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96CDF523-D4AB-4F29-B929-3BF79AA372C0}" xr6:coauthVersionLast="47" xr6:coauthVersionMax="47" xr10:uidLastSave="{00000000-0000-0000-0000-000000000000}"/>
  <bookViews>
    <workbookView xWindow="-110" yWindow="-110" windowWidth="22620" windowHeight="13500" firstSheet="5" activeTab="6" xr2:uid="{9D9BAB05-8CB7-4289-9169-A03518736523}"/>
  </bookViews>
  <sheets>
    <sheet name="Transshipment" sheetId="1" r:id="rId1"/>
    <sheet name="School bus" sheetId="4" r:id="rId2"/>
    <sheet name="Assignemnt 4" sheetId="5" r:id="rId3"/>
    <sheet name="Fifth Avenue" sheetId="6" r:id="rId4"/>
    <sheet name="Fifth Avenue (2)" sheetId="7" r:id="rId5"/>
    <sheet name="Golf club Assign 2" sheetId="8" r:id="rId6"/>
    <sheet name="Hong Kong bank" sheetId="9" r:id="rId7"/>
    <sheet name="Executive furniture" sheetId="10" r:id="rId8"/>
    <sheet name="Luffy" sheetId="11" r:id="rId9"/>
    <sheet name="Movies" sheetId="12" r:id="rId10"/>
    <sheet name="Simple goal" sheetId="13" r:id="rId11"/>
    <sheet name="Goodman" sheetId="14" r:id="rId12"/>
    <sheet name="Goodman (2)" sheetId="15" r:id="rId13"/>
    <sheet name="Frair" sheetId="16" r:id="rId14"/>
    <sheet name="Andrew Carter" sheetId="17" r:id="rId15"/>
    <sheet name="Hardgrave" sheetId="18" r:id="rId16"/>
    <sheet name="Monkey air" sheetId="19" r:id="rId17"/>
    <sheet name="Multiperiod easy" sheetId="20" r:id="rId18"/>
    <sheet name="Blending problem" sheetId="21" r:id="rId19"/>
    <sheet name="GatorAir" sheetId="22" r:id="rId20"/>
    <sheet name="Executive furniture max-min" sheetId="23" r:id="rId21"/>
    <sheet name="Executive furniture min-max" sheetId="24" r:id="rId22"/>
    <sheet name="Assignment 1" sheetId="25" r:id="rId23"/>
    <sheet name="MOL mine" sheetId="26" r:id="rId24"/>
    <sheet name="Hotel" sheetId="28" r:id="rId25"/>
    <sheet name="Grand prix" sheetId="29" r:id="rId26"/>
    <sheet name="quiz 1" sheetId="30" r:id="rId27"/>
    <sheet name="Quiz 2" sheetId="31" r:id="rId28"/>
    <sheet name="Assignment 3" sheetId="32" r:id="rId29"/>
  </sheets>
  <definedNames>
    <definedName name="solver_adj" localSheetId="14" hidden="1">'Andrew Carter'!$M$10:$M$12,'Andrew Carter'!$C$12:$G$17</definedName>
    <definedName name="solver_adj" localSheetId="2" hidden="1">'Assignemnt 4'!$C$3:$N$13</definedName>
    <definedName name="solver_adj" localSheetId="22" hidden="1">'Assignment 1'!$M$12:$M$14,'Assignment 1'!$C$12:$G$17</definedName>
    <definedName name="solver_adj" localSheetId="28" hidden="1">'Assignment 3'!$K$21:$K$35,'Assignment 3'!$N$46</definedName>
    <definedName name="solver_adj" localSheetId="18" hidden="1">'Blending problem'!$C$3:$E$3</definedName>
    <definedName name="solver_adj" localSheetId="7" hidden="1">'Executive furniture'!$C$6:$E$8</definedName>
    <definedName name="solver_adj" localSheetId="20" hidden="1">'Executive furniture max-min'!$C$3:$E$5,'Executive furniture max-min'!$G$18</definedName>
    <definedName name="solver_adj" localSheetId="21" hidden="1">'Executive furniture min-max'!$C$3:$E$5,'Executive furniture min-max'!$G$18</definedName>
    <definedName name="solver_adj" localSheetId="3" hidden="1">'Fifth Avenue'!$B$16:$E$16</definedName>
    <definedName name="solver_adj" localSheetId="4" hidden="1">'Fifth Avenue (2)'!$B$16:$I$16</definedName>
    <definedName name="solver_adj" localSheetId="13" hidden="1">Frair!$B$3:$C$3</definedName>
    <definedName name="solver_adj" localSheetId="19" hidden="1">GatorAir!$C$3:$C$6,GatorAir!$D$3:$G$6</definedName>
    <definedName name="solver_adj" localSheetId="5" hidden="1">'Golf club Assign 2'!$C$10:$I$12</definedName>
    <definedName name="solver_adj" localSheetId="11" hidden="1">Goodman!$C$3:$H$3</definedName>
    <definedName name="solver_adj" localSheetId="12" hidden="1">'Goodman (2)'!$C$3:$H$3,'Goodman (2)'!$M$3:$R$3</definedName>
    <definedName name="solver_adj" localSheetId="25" hidden="1">'Grand prix'!$C$22:$F$24</definedName>
    <definedName name="solver_adj" localSheetId="15" hidden="1">Hardgrave!$G$4:$G$5,Hardgrave!$B$11:$E$15</definedName>
    <definedName name="solver_adj" localSheetId="6" hidden="1">'Hong Kong bank'!$B$4:$G$4</definedName>
    <definedName name="solver_adj" localSheetId="24" hidden="1">Hotel!$C$9:$E$9,Hotel!$C$10:$G$11</definedName>
    <definedName name="solver_adj" localSheetId="8" hidden="1">Luffy!$C$3:$H$3,Luffy!$C$6:$H$6</definedName>
    <definedName name="solver_adj" localSheetId="23" hidden="1">'MOL mine'!$C$3:$D$3,'MOL mine'!$K$7</definedName>
    <definedName name="solver_adj" localSheetId="16" hidden="1">'Monkey air'!$C$5:$G$5</definedName>
    <definedName name="solver_adj" localSheetId="9" hidden="1">Movies!$B$19:$K$19,Movies!$B$20:$K$20</definedName>
    <definedName name="solver_adj" localSheetId="17" hidden="1">'Multiperiod easy'!$C$4:$F$4</definedName>
    <definedName name="solver_adj" localSheetId="26" hidden="1">'quiz 1'!$C$9:$E$9,'quiz 1'!$C$10:$E$10</definedName>
    <definedName name="solver_adj" localSheetId="27" hidden="1">'Quiz 2'!$C$18:$E$21,'Quiz 2'!$K$18:$M$21,'Quiz 2'!$R$18:$R$21</definedName>
    <definedName name="solver_adj" localSheetId="1" hidden="1">'School bus'!$D$3:$F$3,'School bus'!$D$4,'School bus'!$F$4,'School bus'!$H$3,'School bus'!$H$4:$I$4,'School bus'!$C$5,'School bus'!$D$5,'School bus'!$H$5:$J$5,'School bus'!$E$6:$G$6,'School bus'!$I$6:$J$6,'School bus'!$C$7:$D$7,'School bus'!$F$7:$H$7,'School bus'!$J$7,'School bus'!$C$8:$G$8,'School bus'!$I$8:$J$8</definedName>
    <definedName name="solver_adj" localSheetId="10" hidden="1">'Simple goal'!$B$8:$C$8,'Simple goal'!$B$9:$F$10</definedName>
    <definedName name="solver_adj" localSheetId="0" hidden="1">Transshipment!$B$2:$C$4,Transshipment!$D$5:$G$6</definedName>
    <definedName name="solver_cvg" localSheetId="14" hidden="1">0.0001</definedName>
    <definedName name="solver_cvg" localSheetId="2" hidden="1">0.0001</definedName>
    <definedName name="solver_cvg" localSheetId="22" hidden="1">0.0001</definedName>
    <definedName name="solver_cvg" localSheetId="28" hidden="1">0.0001</definedName>
    <definedName name="solver_cvg" localSheetId="18" hidden="1">0.0001</definedName>
    <definedName name="solver_cvg" localSheetId="7" hidden="1">0.0001</definedName>
    <definedName name="solver_cvg" localSheetId="20" hidden="1">0.0001</definedName>
    <definedName name="solver_cvg" localSheetId="21" hidden="1">0.0001</definedName>
    <definedName name="solver_cvg" localSheetId="3" hidden="1">0.0001</definedName>
    <definedName name="solver_cvg" localSheetId="4" hidden="1">0.0001</definedName>
    <definedName name="solver_cvg" localSheetId="13" hidden="1">0.0001</definedName>
    <definedName name="solver_cvg" localSheetId="19" hidden="1">0.0001</definedName>
    <definedName name="solver_cvg" localSheetId="5" hidden="1">0.0001</definedName>
    <definedName name="solver_cvg" localSheetId="11" hidden="1">0.0001</definedName>
    <definedName name="solver_cvg" localSheetId="12" hidden="1">0.0001</definedName>
    <definedName name="solver_cvg" localSheetId="25" hidden="1">0.0001</definedName>
    <definedName name="solver_cvg" localSheetId="15" hidden="1">0.0001</definedName>
    <definedName name="solver_cvg" localSheetId="6" hidden="1">0.0001</definedName>
    <definedName name="solver_cvg" localSheetId="24" hidden="1">0.0001</definedName>
    <definedName name="solver_cvg" localSheetId="8" hidden="1">0.0001</definedName>
    <definedName name="solver_cvg" localSheetId="23" hidden="1">0.0001</definedName>
    <definedName name="solver_cvg" localSheetId="16" hidden="1">0.0001</definedName>
    <definedName name="solver_cvg" localSheetId="9" hidden="1">0.0001</definedName>
    <definedName name="solver_cvg" localSheetId="17" hidden="1">0.0001</definedName>
    <definedName name="solver_cvg" localSheetId="26" hidden="1">0.0001</definedName>
    <definedName name="solver_cvg" localSheetId="27" hidden="1">0.0001</definedName>
    <definedName name="solver_cvg" localSheetId="1" hidden="1">0.0001</definedName>
    <definedName name="solver_cvg" localSheetId="10" hidden="1">0.0001</definedName>
    <definedName name="solver_cvg" localSheetId="0" hidden="1">0.0001</definedName>
    <definedName name="solver_drv" localSheetId="14" hidden="1">1</definedName>
    <definedName name="solver_drv" localSheetId="2" hidden="1">1</definedName>
    <definedName name="solver_drv" localSheetId="22" hidden="1">2</definedName>
    <definedName name="solver_drv" localSheetId="28" hidden="1">1</definedName>
    <definedName name="solver_drv" localSheetId="18" hidden="1">1</definedName>
    <definedName name="solver_drv" localSheetId="7" hidden="1">1</definedName>
    <definedName name="solver_drv" localSheetId="20" hidden="1">1</definedName>
    <definedName name="solver_drv" localSheetId="21" hidden="1">1</definedName>
    <definedName name="solver_drv" localSheetId="3" hidden="1">1</definedName>
    <definedName name="solver_drv" localSheetId="4" hidden="1">1</definedName>
    <definedName name="solver_drv" localSheetId="13" hidden="1">1</definedName>
    <definedName name="solver_drv" localSheetId="19" hidden="1">2</definedName>
    <definedName name="solver_drv" localSheetId="5" hidden="1">1</definedName>
    <definedName name="solver_drv" localSheetId="11" hidden="1">1</definedName>
    <definedName name="solver_drv" localSheetId="12" hidden="1">1</definedName>
    <definedName name="solver_drv" localSheetId="25" hidden="1">1</definedName>
    <definedName name="solver_drv" localSheetId="15" hidden="1">1</definedName>
    <definedName name="solver_drv" localSheetId="6" hidden="1">1</definedName>
    <definedName name="solver_drv" localSheetId="24" hidden="1">2</definedName>
    <definedName name="solver_drv" localSheetId="8" hidden="1">1</definedName>
    <definedName name="solver_drv" localSheetId="23" hidden="1">1</definedName>
    <definedName name="solver_drv" localSheetId="16" hidden="1">1</definedName>
    <definedName name="solver_drv" localSheetId="9" hidden="1">1</definedName>
    <definedName name="solver_drv" localSheetId="17" hidden="1">1</definedName>
    <definedName name="solver_drv" localSheetId="26" hidden="1">1</definedName>
    <definedName name="solver_drv" localSheetId="27" hidden="1">2</definedName>
    <definedName name="solver_drv" localSheetId="1" hidden="1">1</definedName>
    <definedName name="solver_drv" localSheetId="10" hidden="1">1</definedName>
    <definedName name="solver_drv" localSheetId="0" hidden="1">1</definedName>
    <definedName name="solver_eng" localSheetId="14" hidden="1">2</definedName>
    <definedName name="solver_eng" localSheetId="2" hidden="1">2</definedName>
    <definedName name="solver_eng" localSheetId="22" hidden="1">2</definedName>
    <definedName name="solver_eng" localSheetId="28" hidden="1">2</definedName>
    <definedName name="solver_eng" localSheetId="18" hidden="1">2</definedName>
    <definedName name="solver_eng" localSheetId="7" hidden="1">1</definedName>
    <definedName name="solver_eng" localSheetId="20" hidden="1">2</definedName>
    <definedName name="solver_eng" localSheetId="21" hidden="1">2</definedName>
    <definedName name="solver_eng" localSheetId="3" hidden="1">2</definedName>
    <definedName name="solver_eng" localSheetId="4" hidden="1">2</definedName>
    <definedName name="solver_eng" localSheetId="13" hidden="1">2</definedName>
    <definedName name="solver_eng" localSheetId="19" hidden="1">2</definedName>
    <definedName name="solver_eng" localSheetId="5" hidden="1">2</definedName>
    <definedName name="solver_eng" localSheetId="11" hidden="1">2</definedName>
    <definedName name="solver_eng" localSheetId="12" hidden="1">2</definedName>
    <definedName name="solver_eng" localSheetId="25" hidden="1">2</definedName>
    <definedName name="solver_eng" localSheetId="15" hidden="1">2</definedName>
    <definedName name="solver_eng" localSheetId="6" hidden="1">2</definedName>
    <definedName name="solver_eng" localSheetId="24" hidden="1">2</definedName>
    <definedName name="solver_eng" localSheetId="8" hidden="1">2</definedName>
    <definedName name="solver_eng" localSheetId="23" hidden="1">2</definedName>
    <definedName name="solver_eng" localSheetId="16" hidden="1">2</definedName>
    <definedName name="solver_eng" localSheetId="9" hidden="1">2</definedName>
    <definedName name="solver_eng" localSheetId="17" hidden="1">2</definedName>
    <definedName name="solver_eng" localSheetId="26" hidden="1">2</definedName>
    <definedName name="solver_eng" localSheetId="27" hidden="1">2</definedName>
    <definedName name="solver_eng" localSheetId="1" hidden="1">2</definedName>
    <definedName name="solver_eng" localSheetId="10" hidden="1">2</definedName>
    <definedName name="solver_eng" localSheetId="0" hidden="1">2</definedName>
    <definedName name="solver_est" localSheetId="14" hidden="1">1</definedName>
    <definedName name="solver_est" localSheetId="2" hidden="1">1</definedName>
    <definedName name="solver_est" localSheetId="22" hidden="1">1</definedName>
    <definedName name="solver_est" localSheetId="28" hidden="1">1</definedName>
    <definedName name="solver_est" localSheetId="18" hidden="1">1</definedName>
    <definedName name="solver_est" localSheetId="7" hidden="1">1</definedName>
    <definedName name="solver_est" localSheetId="20" hidden="1">1</definedName>
    <definedName name="solver_est" localSheetId="21" hidden="1">1</definedName>
    <definedName name="solver_est" localSheetId="3" hidden="1">1</definedName>
    <definedName name="solver_est" localSheetId="4" hidden="1">1</definedName>
    <definedName name="solver_est" localSheetId="13" hidden="1">1</definedName>
    <definedName name="solver_est" localSheetId="19" hidden="1">1</definedName>
    <definedName name="solver_est" localSheetId="5" hidden="1">1</definedName>
    <definedName name="solver_est" localSheetId="11" hidden="1">1</definedName>
    <definedName name="solver_est" localSheetId="12" hidden="1">1</definedName>
    <definedName name="solver_est" localSheetId="25" hidden="1">1</definedName>
    <definedName name="solver_est" localSheetId="15" hidden="1">1</definedName>
    <definedName name="solver_est" localSheetId="6" hidden="1">1</definedName>
    <definedName name="solver_est" localSheetId="24" hidden="1">1</definedName>
    <definedName name="solver_est" localSheetId="8" hidden="1">1</definedName>
    <definedName name="solver_est" localSheetId="23" hidden="1">1</definedName>
    <definedName name="solver_est" localSheetId="16" hidden="1">1</definedName>
    <definedName name="solver_est" localSheetId="9" hidden="1">1</definedName>
    <definedName name="solver_est" localSheetId="17" hidden="1">1</definedName>
    <definedName name="solver_est" localSheetId="26" hidden="1">1</definedName>
    <definedName name="solver_est" localSheetId="27" hidden="1">1</definedName>
    <definedName name="solver_est" localSheetId="1" hidden="1">1</definedName>
    <definedName name="solver_est" localSheetId="10" hidden="1">1</definedName>
    <definedName name="solver_est" localSheetId="0" hidden="1">1</definedName>
    <definedName name="solver_itr" localSheetId="14" hidden="1">2147483647</definedName>
    <definedName name="solver_itr" localSheetId="2" hidden="1">2147483647</definedName>
    <definedName name="solver_itr" localSheetId="22" hidden="1">2147483647</definedName>
    <definedName name="solver_itr" localSheetId="28" hidden="1">2147483647</definedName>
    <definedName name="solver_itr" localSheetId="18" hidden="1">2147483647</definedName>
    <definedName name="solver_itr" localSheetId="7" hidden="1">2147483647</definedName>
    <definedName name="solver_itr" localSheetId="20" hidden="1">2147483647</definedName>
    <definedName name="solver_itr" localSheetId="21" hidden="1">2147483647</definedName>
    <definedName name="solver_itr" localSheetId="3" hidden="1">2147483647</definedName>
    <definedName name="solver_itr" localSheetId="4" hidden="1">2147483647</definedName>
    <definedName name="solver_itr" localSheetId="13" hidden="1">2147483647</definedName>
    <definedName name="solver_itr" localSheetId="19" hidden="1">2147483647</definedName>
    <definedName name="solver_itr" localSheetId="5" hidden="1">2147483647</definedName>
    <definedName name="solver_itr" localSheetId="11" hidden="1">2147483647</definedName>
    <definedName name="solver_itr" localSheetId="12" hidden="1">2147483647</definedName>
    <definedName name="solver_itr" localSheetId="25" hidden="1">2147483647</definedName>
    <definedName name="solver_itr" localSheetId="15" hidden="1">2147483647</definedName>
    <definedName name="solver_itr" localSheetId="6" hidden="1">2147483647</definedName>
    <definedName name="solver_itr" localSheetId="24" hidden="1">2147483647</definedName>
    <definedName name="solver_itr" localSheetId="8" hidden="1">2147483647</definedName>
    <definedName name="solver_itr" localSheetId="23" hidden="1">2147483647</definedName>
    <definedName name="solver_itr" localSheetId="16" hidden="1">2147483647</definedName>
    <definedName name="solver_itr" localSheetId="9" hidden="1">2147483647</definedName>
    <definedName name="solver_itr" localSheetId="17" hidden="1">2147483647</definedName>
    <definedName name="solver_itr" localSheetId="26" hidden="1">2147483647</definedName>
    <definedName name="solver_itr" localSheetId="27" hidden="1">2147483647</definedName>
    <definedName name="solver_itr" localSheetId="1" hidden="1">2147483647</definedName>
    <definedName name="solver_itr" localSheetId="10" hidden="1">2147483647</definedName>
    <definedName name="solver_itr" localSheetId="0" hidden="1">2147483647</definedName>
    <definedName name="solver_lhs1" localSheetId="14" hidden="1">'Andrew Carter'!$C$18:$G$18</definedName>
    <definedName name="solver_lhs1" localSheetId="2" hidden="1">'Assignemnt 4'!$C$14:$N$14</definedName>
    <definedName name="solver_lhs1" localSheetId="22" hidden="1">'Assignment 1'!$C$18:$G$18</definedName>
    <definedName name="solver_lhs1" localSheetId="28" hidden="1">'Assignment 3'!$C$38:$C$41</definedName>
    <definedName name="solver_lhs1" localSheetId="18" hidden="1">'Blending problem'!$F$3</definedName>
    <definedName name="solver_lhs1" localSheetId="7" hidden="1">'Executive furniture'!$C$9:$E$9</definedName>
    <definedName name="solver_lhs1" localSheetId="20" hidden="1">'Executive furniture max-min'!$C$6:$E$6</definedName>
    <definedName name="solver_lhs1" localSheetId="21" hidden="1">'Executive furniture min-max'!$C$6:$E$6</definedName>
    <definedName name="solver_lhs1" localSheetId="3" hidden="1">'Fifth Avenue'!$B$31:$E$31</definedName>
    <definedName name="solver_lhs1" localSheetId="4" hidden="1">'Fifth Avenue (2)'!$B$36:$E$36</definedName>
    <definedName name="solver_lhs1" localSheetId="13" hidden="1">Frair!$B$11</definedName>
    <definedName name="solver_lhs1" localSheetId="19" hidden="1">GatorAir!$C$3:$C$6</definedName>
    <definedName name="solver_lhs1" localSheetId="5" hidden="1">'Golf club Assign 2'!$C$37:$C$39</definedName>
    <definedName name="solver_lhs1" localSheetId="11" hidden="1">Goodman!$C$3:$H$3</definedName>
    <definedName name="solver_lhs1" localSheetId="12" hidden="1">'Goodman (2)'!$C$9:$H$9</definedName>
    <definedName name="solver_lhs1" localSheetId="25" hidden="1">'Grand prix'!$C$25:$F$25</definedName>
    <definedName name="solver_lhs1" localSheetId="15" hidden="1">Hardgrave!$B$16:$E$16</definedName>
    <definedName name="solver_lhs1" localSheetId="6" hidden="1">'Hong Kong bank'!$B$23:$B$24</definedName>
    <definedName name="solver_lhs1" localSheetId="24" hidden="1">Hotel!$C$12:$G$12</definedName>
    <definedName name="solver_lhs1" localSheetId="8" hidden="1">Luffy!$C$3:$H$3</definedName>
    <definedName name="solver_lhs1" localSheetId="23" hidden="1">'MOL mine'!$E$13:$E$15</definedName>
    <definedName name="solver_lhs1" localSheetId="16" hidden="1">'Monkey air'!$C$10:$F$10</definedName>
    <definedName name="solver_lhs1" localSheetId="9" hidden="1">Movies!$B$21:$K$21</definedName>
    <definedName name="solver_lhs1" localSheetId="17" hidden="1">'Multiperiod easy'!$C$11:$F$11</definedName>
    <definedName name="solver_lhs1" localSheetId="26" hidden="1">'quiz 1'!$C$10:$E$10</definedName>
    <definedName name="solver_lhs1" localSheetId="27" hidden="1">'Quiz 2'!$C$22:$E$22</definedName>
    <definedName name="solver_lhs1" localSheetId="1" hidden="1">'School bus'!$C$9:$J$9</definedName>
    <definedName name="solver_lhs1" localSheetId="10" hidden="1">'Simple goal'!$B$11:$F$11</definedName>
    <definedName name="solver_lhs1" localSheetId="0" hidden="1">Transshipment!$D$7:$G$7</definedName>
    <definedName name="solver_lhs2" localSheetId="14" hidden="1">'Andrew Carter'!$H$12:$H$17</definedName>
    <definedName name="solver_lhs2" localSheetId="2" hidden="1">'Assignemnt 4'!$C$3:$C$13</definedName>
    <definedName name="solver_lhs2" localSheetId="22" hidden="1">'Assignment 1'!$H$12:$H$17</definedName>
    <definedName name="solver_lhs2" localSheetId="28" hidden="1">'Assignment 3'!$H$38</definedName>
    <definedName name="solver_lhs2" localSheetId="18" hidden="1">'Blending problem'!$F$5:$F$8</definedName>
    <definedName name="solver_lhs2" localSheetId="7" hidden="1">'Executive furniture'!$F$6:$F$8</definedName>
    <definedName name="solver_lhs2" localSheetId="20" hidden="1">'Executive furniture max-min'!$D$18:$D$26</definedName>
    <definedName name="solver_lhs2" localSheetId="21" hidden="1">'Executive furniture min-max'!$D$18:$D$26</definedName>
    <definedName name="solver_lhs2" localSheetId="3" hidden="1">'Fifth Avenue'!$B$35:$E$35</definedName>
    <definedName name="solver_lhs2" localSheetId="4" hidden="1">'Fifth Avenue (2)'!$B$40:$E$40</definedName>
    <definedName name="solver_lhs2" localSheetId="13" hidden="1">Frair!$B$12</definedName>
    <definedName name="solver_lhs2" localSheetId="19" hidden="1">GatorAir!$D$7:$G$7</definedName>
    <definedName name="solver_lhs2" localSheetId="5" hidden="1">'Golf club Assign 2'!$C$43:$C$45</definedName>
    <definedName name="solver_lhs2" localSheetId="11" hidden="1">Goodman!$I$3</definedName>
    <definedName name="solver_lhs2" localSheetId="12" hidden="1">'Goodman (2)'!$I$3</definedName>
    <definedName name="solver_lhs2" localSheetId="25" hidden="1">'Grand prix'!$G$22:$G$24</definedName>
    <definedName name="solver_lhs2" localSheetId="15" hidden="1">Hardgrave!$F$11:$F$15</definedName>
    <definedName name="solver_lhs2" localSheetId="6" hidden="1">'Hong Kong bank'!$H$9:$H$16</definedName>
    <definedName name="solver_lhs2" localSheetId="24" hidden="1">Hotel!$C$9:$E$9</definedName>
    <definedName name="solver_lhs2" localSheetId="8" hidden="1">Luffy!$C$6:$H$6</definedName>
    <definedName name="solver_lhs2" localSheetId="23" hidden="1">'MOL mine'!$K$4:$K$6</definedName>
    <definedName name="solver_lhs2" localSheetId="16" hidden="1">'Monkey air'!$C$20:$F$20</definedName>
    <definedName name="solver_lhs2" localSheetId="9" hidden="1">Movies!$L$32:$L$33</definedName>
    <definedName name="solver_lhs2" localSheetId="17" hidden="1">'Multiperiod easy'!$C$11:$F$11</definedName>
    <definedName name="solver_lhs2" localSheetId="26" hidden="1">'quiz 1'!$C$10:$E$10</definedName>
    <definedName name="solver_lhs2" localSheetId="27" hidden="1">'Quiz 2'!$F$18:$F$21</definedName>
    <definedName name="solver_lhs2" localSheetId="1" hidden="1">'School bus'!$K$3:$K$8</definedName>
    <definedName name="solver_lhs2" localSheetId="10" hidden="1">'Simple goal'!$B$8:$C$8</definedName>
    <definedName name="solver_lhs2" localSheetId="0" hidden="1">Transshipment!$H$2:$H$4</definedName>
    <definedName name="solver_lhs3" localSheetId="14" hidden="1">'Andrew Carter'!$M$10:$M$12</definedName>
    <definedName name="solver_lhs3" localSheetId="2" hidden="1">'Assignemnt 4'!$D$3:$N$13</definedName>
    <definedName name="solver_lhs3" localSheetId="22" hidden="1">'Assignment 1'!$M$12:$M$14</definedName>
    <definedName name="solver_lhs3" localSheetId="28" hidden="1">'Assignment 3'!$I$46:$I$49</definedName>
    <definedName name="solver_lhs3" localSheetId="20" hidden="1">'Executive furniture max-min'!$F$3:$F$5</definedName>
    <definedName name="solver_lhs3" localSheetId="21" hidden="1">'Executive furniture min-max'!$F$3:$F$5</definedName>
    <definedName name="solver_lhs3" localSheetId="3" hidden="1">'Fifth Avenue'!$G$23:$G$25</definedName>
    <definedName name="solver_lhs3" localSheetId="4" hidden="1">'Fifth Avenue (2)'!$G$23:$G$25</definedName>
    <definedName name="solver_lhs3" localSheetId="13" hidden="1">Frair!$D$7:$D$8</definedName>
    <definedName name="solver_lhs3" localSheetId="19" hidden="1">GatorAir!$H$3:$H$6</definedName>
    <definedName name="solver_lhs3" localSheetId="5" hidden="1">'Golf club Assign 2'!$F$37:$F$39</definedName>
    <definedName name="solver_lhs3" localSheetId="11" hidden="1">Goodman!$I$9</definedName>
    <definedName name="solver_lhs3" localSheetId="12" hidden="1">'Goodman (2)'!$I$5</definedName>
    <definedName name="solver_lhs3" localSheetId="15" hidden="1">Hardgrave!$G$4:$G$5</definedName>
    <definedName name="solver_lhs3" localSheetId="6" hidden="1">'Hong Kong bank'!#REF!</definedName>
    <definedName name="solver_lhs3" localSheetId="24" hidden="1">Hotel!$C$9:$E$9</definedName>
    <definedName name="solver_lhs3" localSheetId="8" hidden="1">Luffy!$C$6:$H$6</definedName>
    <definedName name="solver_lhs3" localSheetId="16" hidden="1">'Monkey air'!$C$24:$F$24</definedName>
    <definedName name="solver_lhs3" localSheetId="9" hidden="1">Movies!$L$38:$L$39</definedName>
    <definedName name="solver_lhs3" localSheetId="17" hidden="1">'Multiperiod easy'!$C$4:$F$4</definedName>
    <definedName name="solver_lhs3" localSheetId="26" hidden="1">'quiz 1'!$C$9:$E$9</definedName>
    <definedName name="solver_lhs3" localSheetId="27" hidden="1">'Quiz 2'!$K$22:$M$22</definedName>
    <definedName name="solver_lhs3" localSheetId="0" hidden="1">Transshipment!$L$9:$L$10</definedName>
    <definedName name="solver_lhs4" localSheetId="2" hidden="1">'Assignemnt 4'!$O$3:$O$13</definedName>
    <definedName name="solver_lhs4" localSheetId="28" hidden="1">'Assignment 3'!$K$21:$K$35</definedName>
    <definedName name="solver_lhs4" localSheetId="19" hidden="1">GatorAir!$I$14:$I$15</definedName>
    <definedName name="solver_lhs4" localSheetId="5" hidden="1">'Golf club Assign 2'!$F$43:$F$45</definedName>
    <definedName name="solver_lhs4" localSheetId="12" hidden="1">'Goodman (2)'!$L$8</definedName>
    <definedName name="solver_lhs4" localSheetId="15" hidden="1">Hardgrave!$G$6</definedName>
    <definedName name="solver_lhs4" localSheetId="8" hidden="1">Luffy!$C$9:$H$9</definedName>
    <definedName name="solver_lhs4" localSheetId="16" hidden="1">'Monkey air'!$C$6:$G$6</definedName>
    <definedName name="solver_lhs4" localSheetId="9" hidden="1">Movies!$L$40</definedName>
    <definedName name="solver_lhs4" localSheetId="17" hidden="1">'Multiperiod easy'!$C$4:$F$4</definedName>
    <definedName name="solver_lhs4" localSheetId="26" hidden="1">'quiz 1'!$F$15:$F$17</definedName>
    <definedName name="solver_lhs4" localSheetId="27" hidden="1">'Quiz 2'!$N$18:$N$21</definedName>
    <definedName name="solver_lhs5" localSheetId="5" hidden="1">'Golf club Assign 2'!$I$37:$I$39</definedName>
    <definedName name="solver_lhs5" localSheetId="12" hidden="1">'Goodman (2)'!$S$3</definedName>
    <definedName name="solver_lhs5" localSheetId="16" hidden="1">'Monkey air'!$G$10</definedName>
    <definedName name="solver_lhs5" localSheetId="9" hidden="1">Movies!$L$41:$L$44</definedName>
    <definedName name="solver_lhs5" localSheetId="27" hidden="1">'Quiz 2'!$P$44:$P$47</definedName>
    <definedName name="solver_lhs6" localSheetId="5" hidden="1">'Golf club Assign 2'!$I$43:$I$45</definedName>
    <definedName name="solver_lhs6" localSheetId="12" hidden="1">'Goodman (2)'!$S$5</definedName>
    <definedName name="solver_lhs6" localSheetId="27" hidden="1">'Quiz 2'!$R$18:$R$21</definedName>
    <definedName name="solver_lhs7" localSheetId="5" hidden="1">'Golf club Assign 2'!$M$17:$M$19</definedName>
    <definedName name="solver_lhs8" localSheetId="5" hidden="1">'Golf club Assign 2'!$P$17:$P$19</definedName>
    <definedName name="solver_lhs9" localSheetId="5" hidden="1">'Golf club Assign 2'!$S$17:$S$19</definedName>
    <definedName name="solver_mip" localSheetId="14" hidden="1">2147483647</definedName>
    <definedName name="solver_mip" localSheetId="2" hidden="1">2147483647</definedName>
    <definedName name="solver_mip" localSheetId="22" hidden="1">2147483647</definedName>
    <definedName name="solver_mip" localSheetId="28" hidden="1">2147483647</definedName>
    <definedName name="solver_mip" localSheetId="18" hidden="1">2147483647</definedName>
    <definedName name="solver_mip" localSheetId="7" hidden="1">2147483647</definedName>
    <definedName name="solver_mip" localSheetId="20" hidden="1">2147483647</definedName>
    <definedName name="solver_mip" localSheetId="21" hidden="1">2147483647</definedName>
    <definedName name="solver_mip" localSheetId="3" hidden="1">2147483647</definedName>
    <definedName name="solver_mip" localSheetId="4" hidden="1">2147483647</definedName>
    <definedName name="solver_mip" localSheetId="13" hidden="1">2147483647</definedName>
    <definedName name="solver_mip" localSheetId="19" hidden="1">2147483647</definedName>
    <definedName name="solver_mip" localSheetId="5" hidden="1">2147483647</definedName>
    <definedName name="solver_mip" localSheetId="11" hidden="1">2147483647</definedName>
    <definedName name="solver_mip" localSheetId="12" hidden="1">2147483647</definedName>
    <definedName name="solver_mip" localSheetId="25" hidden="1">2147483647</definedName>
    <definedName name="solver_mip" localSheetId="15" hidden="1">2147483647</definedName>
    <definedName name="solver_mip" localSheetId="6" hidden="1">2147483647</definedName>
    <definedName name="solver_mip" localSheetId="24" hidden="1">2147483647</definedName>
    <definedName name="solver_mip" localSheetId="8" hidden="1">2147483647</definedName>
    <definedName name="solver_mip" localSheetId="23" hidden="1">2147483647</definedName>
    <definedName name="solver_mip" localSheetId="16" hidden="1">2147483647</definedName>
    <definedName name="solver_mip" localSheetId="9" hidden="1">2147483647</definedName>
    <definedName name="solver_mip" localSheetId="17" hidden="1">2147483647</definedName>
    <definedName name="solver_mip" localSheetId="26" hidden="1">2147483647</definedName>
    <definedName name="solver_mip" localSheetId="27" hidden="1">2147483647</definedName>
    <definedName name="solver_mip" localSheetId="1" hidden="1">2147483647</definedName>
    <definedName name="solver_mip" localSheetId="10" hidden="1">2147483647</definedName>
    <definedName name="solver_mip" localSheetId="0" hidden="1">2147483647</definedName>
    <definedName name="solver_mni" localSheetId="14" hidden="1">30</definedName>
    <definedName name="solver_mni" localSheetId="2" hidden="1">30</definedName>
    <definedName name="solver_mni" localSheetId="22" hidden="1">30</definedName>
    <definedName name="solver_mni" localSheetId="28" hidden="1">30</definedName>
    <definedName name="solver_mni" localSheetId="18" hidden="1">30</definedName>
    <definedName name="solver_mni" localSheetId="7" hidden="1">30</definedName>
    <definedName name="solver_mni" localSheetId="20" hidden="1">30</definedName>
    <definedName name="solver_mni" localSheetId="21" hidden="1">30</definedName>
    <definedName name="solver_mni" localSheetId="3" hidden="1">30</definedName>
    <definedName name="solver_mni" localSheetId="4" hidden="1">30</definedName>
    <definedName name="solver_mni" localSheetId="13" hidden="1">30</definedName>
    <definedName name="solver_mni" localSheetId="19" hidden="1">30</definedName>
    <definedName name="solver_mni" localSheetId="5" hidden="1">30</definedName>
    <definedName name="solver_mni" localSheetId="11" hidden="1">30</definedName>
    <definedName name="solver_mni" localSheetId="12" hidden="1">30</definedName>
    <definedName name="solver_mni" localSheetId="25" hidden="1">30</definedName>
    <definedName name="solver_mni" localSheetId="15" hidden="1">30</definedName>
    <definedName name="solver_mni" localSheetId="6" hidden="1">30</definedName>
    <definedName name="solver_mni" localSheetId="24" hidden="1">30</definedName>
    <definedName name="solver_mni" localSheetId="8" hidden="1">30</definedName>
    <definedName name="solver_mni" localSheetId="23" hidden="1">30</definedName>
    <definedName name="solver_mni" localSheetId="16" hidden="1">30</definedName>
    <definedName name="solver_mni" localSheetId="9" hidden="1">30</definedName>
    <definedName name="solver_mni" localSheetId="17" hidden="1">30</definedName>
    <definedName name="solver_mni" localSheetId="26" hidden="1">30</definedName>
    <definedName name="solver_mni" localSheetId="27" hidden="1">30</definedName>
    <definedName name="solver_mni" localSheetId="1" hidden="1">30</definedName>
    <definedName name="solver_mni" localSheetId="10" hidden="1">30</definedName>
    <definedName name="solver_mni" localSheetId="0" hidden="1">30</definedName>
    <definedName name="solver_mrt" localSheetId="14" hidden="1">0.075</definedName>
    <definedName name="solver_mrt" localSheetId="2" hidden="1">0.075</definedName>
    <definedName name="solver_mrt" localSheetId="22" hidden="1">0.075</definedName>
    <definedName name="solver_mrt" localSheetId="28" hidden="1">0.075</definedName>
    <definedName name="solver_mrt" localSheetId="18" hidden="1">0.075</definedName>
    <definedName name="solver_mrt" localSheetId="7" hidden="1">0.075</definedName>
    <definedName name="solver_mrt" localSheetId="20" hidden="1">0.075</definedName>
    <definedName name="solver_mrt" localSheetId="21" hidden="1">0.075</definedName>
    <definedName name="solver_mrt" localSheetId="3" hidden="1">0.075</definedName>
    <definedName name="solver_mrt" localSheetId="4" hidden="1">0.075</definedName>
    <definedName name="solver_mrt" localSheetId="13" hidden="1">0.075</definedName>
    <definedName name="solver_mrt" localSheetId="19" hidden="1">0.075</definedName>
    <definedName name="solver_mrt" localSheetId="5" hidden="1">0.075</definedName>
    <definedName name="solver_mrt" localSheetId="11" hidden="1">0.075</definedName>
    <definedName name="solver_mrt" localSheetId="12" hidden="1">0.075</definedName>
    <definedName name="solver_mrt" localSheetId="25" hidden="1">0.075</definedName>
    <definedName name="solver_mrt" localSheetId="15" hidden="1">0.075</definedName>
    <definedName name="solver_mrt" localSheetId="6" hidden="1">0.075</definedName>
    <definedName name="solver_mrt" localSheetId="24" hidden="1">0.075</definedName>
    <definedName name="solver_mrt" localSheetId="8" hidden="1">0.075</definedName>
    <definedName name="solver_mrt" localSheetId="23" hidden="1">0.075</definedName>
    <definedName name="solver_mrt" localSheetId="16" hidden="1">0.075</definedName>
    <definedName name="solver_mrt" localSheetId="9" hidden="1">0.075</definedName>
    <definedName name="solver_mrt" localSheetId="17" hidden="1">0.075</definedName>
    <definedName name="solver_mrt" localSheetId="26" hidden="1">0.075</definedName>
    <definedName name="solver_mrt" localSheetId="27" hidden="1">0.075</definedName>
    <definedName name="solver_mrt" localSheetId="1" hidden="1">0.075</definedName>
    <definedName name="solver_mrt" localSheetId="10" hidden="1">0.075</definedName>
    <definedName name="solver_mrt" localSheetId="0" hidden="1">0.075</definedName>
    <definedName name="solver_msl" localSheetId="14" hidden="1">2</definedName>
    <definedName name="solver_msl" localSheetId="2" hidden="1">2</definedName>
    <definedName name="solver_msl" localSheetId="22" hidden="1">2</definedName>
    <definedName name="solver_msl" localSheetId="28" hidden="1">2</definedName>
    <definedName name="solver_msl" localSheetId="18" hidden="1">2</definedName>
    <definedName name="solver_msl" localSheetId="7" hidden="1">2</definedName>
    <definedName name="solver_msl" localSheetId="20" hidden="1">2</definedName>
    <definedName name="solver_msl" localSheetId="21" hidden="1">2</definedName>
    <definedName name="solver_msl" localSheetId="3" hidden="1">2</definedName>
    <definedName name="solver_msl" localSheetId="4" hidden="1">2</definedName>
    <definedName name="solver_msl" localSheetId="13" hidden="1">2</definedName>
    <definedName name="solver_msl" localSheetId="19" hidden="1">2</definedName>
    <definedName name="solver_msl" localSheetId="5" hidden="1">2</definedName>
    <definedName name="solver_msl" localSheetId="11" hidden="1">2</definedName>
    <definedName name="solver_msl" localSheetId="12" hidden="1">2</definedName>
    <definedName name="solver_msl" localSheetId="25" hidden="1">2</definedName>
    <definedName name="solver_msl" localSheetId="15" hidden="1">2</definedName>
    <definedName name="solver_msl" localSheetId="6" hidden="1">2</definedName>
    <definedName name="solver_msl" localSheetId="24" hidden="1">2</definedName>
    <definedName name="solver_msl" localSheetId="8" hidden="1">2</definedName>
    <definedName name="solver_msl" localSheetId="23" hidden="1">2</definedName>
    <definedName name="solver_msl" localSheetId="16" hidden="1">2</definedName>
    <definedName name="solver_msl" localSheetId="9" hidden="1">2</definedName>
    <definedName name="solver_msl" localSheetId="17" hidden="1">2</definedName>
    <definedName name="solver_msl" localSheetId="26" hidden="1">2</definedName>
    <definedName name="solver_msl" localSheetId="27" hidden="1">2</definedName>
    <definedName name="solver_msl" localSheetId="1" hidden="1">2</definedName>
    <definedName name="solver_msl" localSheetId="10" hidden="1">2</definedName>
    <definedName name="solver_msl" localSheetId="0" hidden="1">2</definedName>
    <definedName name="solver_neg" localSheetId="14" hidden="1">1</definedName>
    <definedName name="solver_neg" localSheetId="2" hidden="1">1</definedName>
    <definedName name="solver_neg" localSheetId="22" hidden="1">1</definedName>
    <definedName name="solver_neg" localSheetId="28" hidden="1">1</definedName>
    <definedName name="solver_neg" localSheetId="18" hidden="1">1</definedName>
    <definedName name="solver_neg" localSheetId="7" hidden="1">1</definedName>
    <definedName name="solver_neg" localSheetId="20" hidden="1">1</definedName>
    <definedName name="solver_neg" localSheetId="21" hidden="1">1</definedName>
    <definedName name="solver_neg" localSheetId="3" hidden="1">1</definedName>
    <definedName name="solver_neg" localSheetId="4" hidden="1">1</definedName>
    <definedName name="solver_neg" localSheetId="13" hidden="1">1</definedName>
    <definedName name="solver_neg" localSheetId="19" hidden="1">1</definedName>
    <definedName name="solver_neg" localSheetId="5" hidden="1">1</definedName>
    <definedName name="solver_neg" localSheetId="11" hidden="1">1</definedName>
    <definedName name="solver_neg" localSheetId="12" hidden="1">1</definedName>
    <definedName name="solver_neg" localSheetId="25" hidden="1">1</definedName>
    <definedName name="solver_neg" localSheetId="15" hidden="1">1</definedName>
    <definedName name="solver_neg" localSheetId="6" hidden="1">1</definedName>
    <definedName name="solver_neg" localSheetId="24" hidden="1">1</definedName>
    <definedName name="solver_neg" localSheetId="8" hidden="1">1</definedName>
    <definedName name="solver_neg" localSheetId="23" hidden="1">1</definedName>
    <definedName name="solver_neg" localSheetId="16" hidden="1">1</definedName>
    <definedName name="solver_neg" localSheetId="9" hidden="1">1</definedName>
    <definedName name="solver_neg" localSheetId="17" hidden="1">1</definedName>
    <definedName name="solver_neg" localSheetId="26" hidden="1">1</definedName>
    <definedName name="solver_neg" localSheetId="27" hidden="1">1</definedName>
    <definedName name="solver_neg" localSheetId="1" hidden="1">1</definedName>
    <definedName name="solver_neg" localSheetId="10" hidden="1">1</definedName>
    <definedName name="solver_neg" localSheetId="0" hidden="1">1</definedName>
    <definedName name="solver_nod" localSheetId="14" hidden="1">2147483647</definedName>
    <definedName name="solver_nod" localSheetId="2" hidden="1">2147483647</definedName>
    <definedName name="solver_nod" localSheetId="22" hidden="1">2147483647</definedName>
    <definedName name="solver_nod" localSheetId="28" hidden="1">2147483647</definedName>
    <definedName name="solver_nod" localSheetId="18" hidden="1">2147483647</definedName>
    <definedName name="solver_nod" localSheetId="7" hidden="1">2147483647</definedName>
    <definedName name="solver_nod" localSheetId="20" hidden="1">2147483647</definedName>
    <definedName name="solver_nod" localSheetId="21" hidden="1">2147483647</definedName>
    <definedName name="solver_nod" localSheetId="3" hidden="1">2147483647</definedName>
    <definedName name="solver_nod" localSheetId="4" hidden="1">2147483647</definedName>
    <definedName name="solver_nod" localSheetId="13" hidden="1">2147483647</definedName>
    <definedName name="solver_nod" localSheetId="19" hidden="1">2147483647</definedName>
    <definedName name="solver_nod" localSheetId="5" hidden="1">2147483647</definedName>
    <definedName name="solver_nod" localSheetId="11" hidden="1">2147483647</definedName>
    <definedName name="solver_nod" localSheetId="12" hidden="1">2147483647</definedName>
    <definedName name="solver_nod" localSheetId="25" hidden="1">2147483647</definedName>
    <definedName name="solver_nod" localSheetId="15" hidden="1">2147483647</definedName>
    <definedName name="solver_nod" localSheetId="6" hidden="1">2147483647</definedName>
    <definedName name="solver_nod" localSheetId="24" hidden="1">2147483647</definedName>
    <definedName name="solver_nod" localSheetId="8" hidden="1">2147483647</definedName>
    <definedName name="solver_nod" localSheetId="23" hidden="1">2147483647</definedName>
    <definedName name="solver_nod" localSheetId="16" hidden="1">2147483647</definedName>
    <definedName name="solver_nod" localSheetId="9" hidden="1">2147483647</definedName>
    <definedName name="solver_nod" localSheetId="17" hidden="1">2147483647</definedName>
    <definedName name="solver_nod" localSheetId="26" hidden="1">2147483647</definedName>
    <definedName name="solver_nod" localSheetId="27" hidden="1">2147483647</definedName>
    <definedName name="solver_nod" localSheetId="1" hidden="1">2147483647</definedName>
    <definedName name="solver_nod" localSheetId="10" hidden="1">2147483647</definedName>
    <definedName name="solver_nod" localSheetId="0" hidden="1">2147483647</definedName>
    <definedName name="solver_num" localSheetId="14" hidden="1">3</definedName>
    <definedName name="solver_num" localSheetId="2" hidden="1">4</definedName>
    <definedName name="solver_num" localSheetId="22" hidden="1">3</definedName>
    <definedName name="solver_num" localSheetId="28" hidden="1">4</definedName>
    <definedName name="solver_num" localSheetId="18" hidden="1">2</definedName>
    <definedName name="solver_num" localSheetId="7" hidden="1">2</definedName>
    <definedName name="solver_num" localSheetId="20" hidden="1">3</definedName>
    <definedName name="solver_num" localSheetId="21" hidden="1">3</definedName>
    <definedName name="solver_num" localSheetId="3" hidden="1">3</definedName>
    <definedName name="solver_num" localSheetId="4" hidden="1">3</definedName>
    <definedName name="solver_num" localSheetId="13" hidden="1">3</definedName>
    <definedName name="solver_num" localSheetId="19" hidden="1">4</definedName>
    <definedName name="solver_num" localSheetId="5" hidden="1">9</definedName>
    <definedName name="solver_num" localSheetId="11" hidden="1">3</definedName>
    <definedName name="solver_num" localSheetId="12" hidden="1">6</definedName>
    <definedName name="solver_num" localSheetId="25" hidden="1">2</definedName>
    <definedName name="solver_num" localSheetId="15" hidden="1">4</definedName>
    <definedName name="solver_num" localSheetId="6" hidden="1">2</definedName>
    <definedName name="solver_num" localSheetId="24" hidden="1">2</definedName>
    <definedName name="solver_num" localSheetId="8" hidden="1">4</definedName>
    <definedName name="solver_num" localSheetId="23" hidden="1">2</definedName>
    <definedName name="solver_num" localSheetId="16" hidden="1">5</definedName>
    <definedName name="solver_num" localSheetId="9" hidden="1">5</definedName>
    <definedName name="solver_num" localSheetId="17" hidden="1">4</definedName>
    <definedName name="solver_num" localSheetId="26" hidden="1">4</definedName>
    <definedName name="solver_num" localSheetId="27" hidden="1">6</definedName>
    <definedName name="solver_num" localSheetId="1" hidden="1">2</definedName>
    <definedName name="solver_num" localSheetId="10" hidden="1">2</definedName>
    <definedName name="solver_num" localSheetId="0" hidden="1">3</definedName>
    <definedName name="solver_nwt" localSheetId="14" hidden="1">1</definedName>
    <definedName name="solver_nwt" localSheetId="2" hidden="1">1</definedName>
    <definedName name="solver_nwt" localSheetId="22" hidden="1">1</definedName>
    <definedName name="solver_nwt" localSheetId="28" hidden="1">1</definedName>
    <definedName name="solver_nwt" localSheetId="18" hidden="1">1</definedName>
    <definedName name="solver_nwt" localSheetId="7" hidden="1">1</definedName>
    <definedName name="solver_nwt" localSheetId="20" hidden="1">1</definedName>
    <definedName name="solver_nwt" localSheetId="21" hidden="1">1</definedName>
    <definedName name="solver_nwt" localSheetId="3" hidden="1">1</definedName>
    <definedName name="solver_nwt" localSheetId="4" hidden="1">1</definedName>
    <definedName name="solver_nwt" localSheetId="13" hidden="1">1</definedName>
    <definedName name="solver_nwt" localSheetId="19" hidden="1">1</definedName>
    <definedName name="solver_nwt" localSheetId="5" hidden="1">1</definedName>
    <definedName name="solver_nwt" localSheetId="11" hidden="1">1</definedName>
    <definedName name="solver_nwt" localSheetId="12" hidden="1">1</definedName>
    <definedName name="solver_nwt" localSheetId="25" hidden="1">1</definedName>
    <definedName name="solver_nwt" localSheetId="15" hidden="1">1</definedName>
    <definedName name="solver_nwt" localSheetId="6" hidden="1">1</definedName>
    <definedName name="solver_nwt" localSheetId="24" hidden="1">1</definedName>
    <definedName name="solver_nwt" localSheetId="8" hidden="1">1</definedName>
    <definedName name="solver_nwt" localSheetId="23" hidden="1">1</definedName>
    <definedName name="solver_nwt" localSheetId="16" hidden="1">1</definedName>
    <definedName name="solver_nwt" localSheetId="9" hidden="1">1</definedName>
    <definedName name="solver_nwt" localSheetId="17" hidden="1">1</definedName>
    <definedName name="solver_nwt" localSheetId="26" hidden="1">1</definedName>
    <definedName name="solver_nwt" localSheetId="27" hidden="1">1</definedName>
    <definedName name="solver_nwt" localSheetId="1" hidden="1">1</definedName>
    <definedName name="solver_nwt" localSheetId="10" hidden="1">1</definedName>
    <definedName name="solver_nwt" localSheetId="0" hidden="1">1</definedName>
    <definedName name="solver_opt" localSheetId="14" hidden="1">'Andrew Carter'!$C$49</definedName>
    <definedName name="solver_opt" localSheetId="2" hidden="1">'Assignemnt 4'!$O$49</definedName>
    <definedName name="solver_opt" localSheetId="22" hidden="1">'Assignment 1'!$G$40</definedName>
    <definedName name="solver_opt" localSheetId="28" hidden="1">'Assignment 3'!$N$46</definedName>
    <definedName name="solver_opt" localSheetId="18" hidden="1">'Blending problem'!$F$10</definedName>
    <definedName name="solver_opt" localSheetId="7" hidden="1">'Executive furniture'!$F$18</definedName>
    <definedName name="solver_opt" localSheetId="20" hidden="1">'Executive furniture max-min'!$G$18</definedName>
    <definedName name="solver_opt" localSheetId="21" hidden="1">'Executive furniture min-max'!$G$18</definedName>
    <definedName name="solver_opt" localSheetId="3" hidden="1">'Fifth Avenue'!$F$28</definedName>
    <definedName name="solver_opt" localSheetId="4" hidden="1">'Fifth Avenue (2)'!$F$32</definedName>
    <definedName name="solver_opt" localSheetId="13" hidden="1">Frair!$D$4</definedName>
    <definedName name="solver_opt" localSheetId="19" hidden="1">GatorAir!$G$27</definedName>
    <definedName name="solver_opt" localSheetId="5" hidden="1">'Golf club Assign 2'!$L$33</definedName>
    <definedName name="solver_opt" localSheetId="11" hidden="1">Goodman!$I$7</definedName>
    <definedName name="solver_opt" localSheetId="12" hidden="1">'Goodman (2)'!$I$15</definedName>
    <definedName name="solver_opt" localSheetId="25" hidden="1">'Grand prix'!$J$35</definedName>
    <definedName name="solver_opt" localSheetId="15" hidden="1">Hardgrave!$F$42</definedName>
    <definedName name="solver_opt" localSheetId="6" hidden="1">'Hong Kong bank'!$E$22</definedName>
    <definedName name="solver_opt" localSheetId="24" hidden="1">Hotel!$B$17</definedName>
    <definedName name="solver_opt" localSheetId="8" hidden="1">Luffy!$I$14</definedName>
    <definedName name="solver_opt" localSheetId="23" hidden="1">'MOL mine'!$K$7</definedName>
    <definedName name="solver_opt" localSheetId="16" hidden="1">'Monkey air'!$H$30</definedName>
    <definedName name="solver_opt" localSheetId="9" hidden="1">Movies!$L$34</definedName>
    <definedName name="solver_opt" localSheetId="17" hidden="1">'Multiperiod easy'!$G$26</definedName>
    <definedName name="solver_opt" localSheetId="26" hidden="1">'quiz 1'!$G$28</definedName>
    <definedName name="solver_opt" localSheetId="27" hidden="1">'Quiz 2'!$D$59</definedName>
    <definedName name="solver_opt" localSheetId="1" hidden="1">'School bus'!$K$21</definedName>
    <definedName name="solver_opt" localSheetId="10" hidden="1">'Simple goal'!$G$23</definedName>
    <definedName name="solver_opt" localSheetId="0" hidden="1">Transshipment!$H$17</definedName>
    <definedName name="solver_pre" localSheetId="14" hidden="1">0.000001</definedName>
    <definedName name="solver_pre" localSheetId="2" hidden="1">0.000001</definedName>
    <definedName name="solver_pre" localSheetId="22" hidden="1">0.000001</definedName>
    <definedName name="solver_pre" localSheetId="28" hidden="1">0.000001</definedName>
    <definedName name="solver_pre" localSheetId="18" hidden="1">0.000001</definedName>
    <definedName name="solver_pre" localSheetId="7" hidden="1">0.000001</definedName>
    <definedName name="solver_pre" localSheetId="20" hidden="1">0.000001</definedName>
    <definedName name="solver_pre" localSheetId="21" hidden="1">0.000001</definedName>
    <definedName name="solver_pre" localSheetId="3" hidden="1">0.000001</definedName>
    <definedName name="solver_pre" localSheetId="4" hidden="1">0.000001</definedName>
    <definedName name="solver_pre" localSheetId="13" hidden="1">0.000001</definedName>
    <definedName name="solver_pre" localSheetId="19" hidden="1">0.000001</definedName>
    <definedName name="solver_pre" localSheetId="5" hidden="1">0.000001</definedName>
    <definedName name="solver_pre" localSheetId="11" hidden="1">0.000001</definedName>
    <definedName name="solver_pre" localSheetId="12" hidden="1">0.000001</definedName>
    <definedName name="solver_pre" localSheetId="25" hidden="1">0.000001</definedName>
    <definedName name="solver_pre" localSheetId="15" hidden="1">0.000001</definedName>
    <definedName name="solver_pre" localSheetId="6" hidden="1">0.000001</definedName>
    <definedName name="solver_pre" localSheetId="24" hidden="1">0.000001</definedName>
    <definedName name="solver_pre" localSheetId="8" hidden="1">0.000001</definedName>
    <definedName name="solver_pre" localSheetId="23" hidden="1">0.000001</definedName>
    <definedName name="solver_pre" localSheetId="16" hidden="1">0.000001</definedName>
    <definedName name="solver_pre" localSheetId="9" hidden="1">0.000001</definedName>
    <definedName name="solver_pre" localSheetId="17" hidden="1">0.000001</definedName>
    <definedName name="solver_pre" localSheetId="26" hidden="1">0.000001</definedName>
    <definedName name="solver_pre" localSheetId="27" hidden="1">0.000001</definedName>
    <definedName name="solver_pre" localSheetId="1" hidden="1">0.000001</definedName>
    <definedName name="solver_pre" localSheetId="10" hidden="1">0.000001</definedName>
    <definedName name="solver_pre" localSheetId="0" hidden="1">0.000001</definedName>
    <definedName name="solver_rbv" localSheetId="14" hidden="1">1</definedName>
    <definedName name="solver_rbv" localSheetId="2" hidden="1">1</definedName>
    <definedName name="solver_rbv" localSheetId="22" hidden="1">2</definedName>
    <definedName name="solver_rbv" localSheetId="28" hidden="1">1</definedName>
    <definedName name="solver_rbv" localSheetId="18" hidden="1">1</definedName>
    <definedName name="solver_rbv" localSheetId="7" hidden="1">1</definedName>
    <definedName name="solver_rbv" localSheetId="20" hidden="1">1</definedName>
    <definedName name="solver_rbv" localSheetId="21" hidden="1">1</definedName>
    <definedName name="solver_rbv" localSheetId="3" hidden="1">1</definedName>
    <definedName name="solver_rbv" localSheetId="4" hidden="1">1</definedName>
    <definedName name="solver_rbv" localSheetId="13" hidden="1">1</definedName>
    <definedName name="solver_rbv" localSheetId="19" hidden="1">2</definedName>
    <definedName name="solver_rbv" localSheetId="5" hidden="1">1</definedName>
    <definedName name="solver_rbv" localSheetId="11" hidden="1">1</definedName>
    <definedName name="solver_rbv" localSheetId="12" hidden="1">1</definedName>
    <definedName name="solver_rbv" localSheetId="25" hidden="1">1</definedName>
    <definedName name="solver_rbv" localSheetId="15" hidden="1">1</definedName>
    <definedName name="solver_rbv" localSheetId="6" hidden="1">1</definedName>
    <definedName name="solver_rbv" localSheetId="24" hidden="1">2</definedName>
    <definedName name="solver_rbv" localSheetId="8" hidden="1">1</definedName>
    <definedName name="solver_rbv" localSheetId="23" hidden="1">1</definedName>
    <definedName name="solver_rbv" localSheetId="16" hidden="1">1</definedName>
    <definedName name="solver_rbv" localSheetId="9" hidden="1">1</definedName>
    <definedName name="solver_rbv" localSheetId="17" hidden="1">1</definedName>
    <definedName name="solver_rbv" localSheetId="26" hidden="1">1</definedName>
    <definedName name="solver_rbv" localSheetId="27" hidden="1">2</definedName>
    <definedName name="solver_rbv" localSheetId="1" hidden="1">1</definedName>
    <definedName name="solver_rbv" localSheetId="10" hidden="1">1</definedName>
    <definedName name="solver_rbv" localSheetId="0" hidden="1">1</definedName>
    <definedName name="solver_rel1" localSheetId="14" hidden="1">2</definedName>
    <definedName name="solver_rel1" localSheetId="2" hidden="1">2</definedName>
    <definedName name="solver_rel1" localSheetId="22" hidden="1">2</definedName>
    <definedName name="solver_rel1" localSheetId="28" hidden="1">3</definedName>
    <definedName name="solver_rel1" localSheetId="18" hidden="1">2</definedName>
    <definedName name="solver_rel1" localSheetId="7" hidden="1">2</definedName>
    <definedName name="solver_rel1" localSheetId="20" hidden="1">2</definedName>
    <definedName name="solver_rel1" localSheetId="21" hidden="1">2</definedName>
    <definedName name="solver_rel1" localSheetId="3" hidden="1">3</definedName>
    <definedName name="solver_rel1" localSheetId="4" hidden="1">3</definedName>
    <definedName name="solver_rel1" localSheetId="13" hidden="1">1</definedName>
    <definedName name="solver_rel1" localSheetId="19" hidden="1">5</definedName>
    <definedName name="solver_rel1" localSheetId="5" hidden="1">1</definedName>
    <definedName name="solver_rel1" localSheetId="11" hidden="1">1</definedName>
    <definedName name="solver_rel1" localSheetId="12" hidden="1">1</definedName>
    <definedName name="solver_rel1" localSheetId="25" hidden="1">3</definedName>
    <definedName name="solver_rel1" localSheetId="15" hidden="1">2</definedName>
    <definedName name="solver_rel1" localSheetId="6" hidden="1">1</definedName>
    <definedName name="solver_rel1" localSheetId="24" hidden="1">2</definedName>
    <definedName name="solver_rel1" localSheetId="8" hidden="1">5</definedName>
    <definedName name="solver_rel1" localSheetId="23" hidden="1">3</definedName>
    <definedName name="solver_rel1" localSheetId="16" hidden="1">3</definedName>
    <definedName name="solver_rel1" localSheetId="9" hidden="1">1</definedName>
    <definedName name="solver_rel1" localSheetId="17" hidden="1">1</definedName>
    <definedName name="solver_rel1" localSheetId="26" hidden="1">1</definedName>
    <definedName name="solver_rel1" localSheetId="27" hidden="1">2</definedName>
    <definedName name="solver_rel1" localSheetId="1" hidden="1">2</definedName>
    <definedName name="solver_rel1" localSheetId="10" hidden="1">2</definedName>
    <definedName name="solver_rel1" localSheetId="0" hidden="1">2</definedName>
    <definedName name="solver_rel2" localSheetId="14" hidden="1">1</definedName>
    <definedName name="solver_rel2" localSheetId="2" hidden="1">5</definedName>
    <definedName name="solver_rel2" localSheetId="22" hidden="1">1</definedName>
    <definedName name="solver_rel2" localSheetId="28" hidden="1">1</definedName>
    <definedName name="solver_rel2" localSheetId="18" hidden="1">3</definedName>
    <definedName name="solver_rel2" localSheetId="7" hidden="1">2</definedName>
    <definedName name="solver_rel2" localSheetId="20" hidden="1">3</definedName>
    <definedName name="solver_rel2" localSheetId="21" hidden="1">1</definedName>
    <definedName name="solver_rel2" localSheetId="3" hidden="1">1</definedName>
    <definedName name="solver_rel2" localSheetId="4" hidden="1">1</definedName>
    <definedName name="solver_rel2" localSheetId="13" hidden="1">3</definedName>
    <definedName name="solver_rel2" localSheetId="19" hidden="1">2</definedName>
    <definedName name="solver_rel2" localSheetId="5" hidden="1">3</definedName>
    <definedName name="solver_rel2" localSheetId="11" hidden="1">1</definedName>
    <definedName name="solver_rel2" localSheetId="12" hidden="1">1</definedName>
    <definedName name="solver_rel2" localSheetId="25" hidden="1">1</definedName>
    <definedName name="solver_rel2" localSheetId="15" hidden="1">2</definedName>
    <definedName name="solver_rel2" localSheetId="6" hidden="1">3</definedName>
    <definedName name="solver_rel2" localSheetId="24" hidden="1">4</definedName>
    <definedName name="solver_rel2" localSheetId="8" hidden="1">1</definedName>
    <definedName name="solver_rel2" localSheetId="23" hidden="1">1</definedName>
    <definedName name="solver_rel2" localSheetId="16" hidden="1">1</definedName>
    <definedName name="solver_rel2" localSheetId="9" hidden="1">1</definedName>
    <definedName name="solver_rel2" localSheetId="17" hidden="1">3</definedName>
    <definedName name="solver_rel2" localSheetId="26" hidden="1">4</definedName>
    <definedName name="solver_rel2" localSheetId="27" hidden="1">1</definedName>
    <definedName name="solver_rel2" localSheetId="1" hidden="1">1</definedName>
    <definedName name="solver_rel2" localSheetId="10" hidden="1">4</definedName>
    <definedName name="solver_rel2" localSheetId="0" hidden="1">1</definedName>
    <definedName name="solver_rel3" localSheetId="14" hidden="1">5</definedName>
    <definedName name="solver_rel3" localSheetId="2" hidden="1">5</definedName>
    <definedName name="solver_rel3" localSheetId="22" hidden="1">5</definedName>
    <definedName name="solver_rel3" localSheetId="28" hidden="1">3</definedName>
    <definedName name="solver_rel3" localSheetId="20" hidden="1">2</definedName>
    <definedName name="solver_rel3" localSheetId="21" hidden="1">2</definedName>
    <definedName name="solver_rel3" localSheetId="3" hidden="1">1</definedName>
    <definedName name="solver_rel3" localSheetId="4" hidden="1">1</definedName>
    <definedName name="solver_rel3" localSheetId="13" hidden="1">1</definedName>
    <definedName name="solver_rel3" localSheetId="19" hidden="1">1</definedName>
    <definedName name="solver_rel3" localSheetId="5" hidden="1">1</definedName>
    <definedName name="solver_rel3" localSheetId="11" hidden="1">1</definedName>
    <definedName name="solver_rel3" localSheetId="12" hidden="1">1</definedName>
    <definedName name="solver_rel3" localSheetId="15" hidden="1">5</definedName>
    <definedName name="solver_rel3" localSheetId="6" hidden="1">3</definedName>
    <definedName name="solver_rel3" localSheetId="24" hidden="1">4</definedName>
    <definedName name="solver_rel3" localSheetId="8" hidden="1">4</definedName>
    <definedName name="solver_rel3" localSheetId="16" hidden="1">1</definedName>
    <definedName name="solver_rel3" localSheetId="9" hidden="1">3</definedName>
    <definedName name="solver_rel3" localSheetId="17" hidden="1">1</definedName>
    <definedName name="solver_rel3" localSheetId="26" hidden="1">5</definedName>
    <definedName name="solver_rel3" localSheetId="27" hidden="1">2</definedName>
    <definedName name="solver_rel3" localSheetId="0" hidden="1">2</definedName>
    <definedName name="solver_rel4" localSheetId="2" hidden="1">1</definedName>
    <definedName name="solver_rel4" localSheetId="28" hidden="1">5</definedName>
    <definedName name="solver_rel4" localSheetId="19" hidden="1">3</definedName>
    <definedName name="solver_rel4" localSheetId="5" hidden="1">3</definedName>
    <definedName name="solver_rel4" localSheetId="12" hidden="1">2</definedName>
    <definedName name="solver_rel4" localSheetId="15" hidden="1">1</definedName>
    <definedName name="solver_rel4" localSheetId="8" hidden="1">3</definedName>
    <definedName name="solver_rel4" localSheetId="16" hidden="1">1</definedName>
    <definedName name="solver_rel4" localSheetId="9" hidden="1">1</definedName>
    <definedName name="solver_rel4" localSheetId="17" hidden="1">3</definedName>
    <definedName name="solver_rel4" localSheetId="26" hidden="1">1</definedName>
    <definedName name="solver_rel4" localSheetId="27" hidden="1">1</definedName>
    <definedName name="solver_rel5" localSheetId="5" hidden="1">1</definedName>
    <definedName name="solver_rel5" localSheetId="12" hidden="1">1</definedName>
    <definedName name="solver_rel5" localSheetId="16" hidden="1">2</definedName>
    <definedName name="solver_rel5" localSheetId="9" hidden="1">3</definedName>
    <definedName name="solver_rel5" localSheetId="27" hidden="1">1</definedName>
    <definedName name="solver_rel6" localSheetId="5" hidden="1">3</definedName>
    <definedName name="solver_rel6" localSheetId="12" hidden="1">1</definedName>
    <definedName name="solver_rel6" localSheetId="27" hidden="1">5</definedName>
    <definedName name="solver_rel7" localSheetId="5" hidden="1">1</definedName>
    <definedName name="solver_rel8" localSheetId="5" hidden="1">1</definedName>
    <definedName name="solver_rel9" localSheetId="5" hidden="1">1</definedName>
    <definedName name="solver_rhs1" localSheetId="14" hidden="1">'Andrew Carter'!$C$20:$G$20</definedName>
    <definedName name="solver_rhs1" localSheetId="2" hidden="1">'Assignemnt 4'!$C$16:$N$16</definedName>
    <definedName name="solver_rhs1" localSheetId="22" hidden="1">'Assignment 1'!$C$20:$G$20</definedName>
    <definedName name="solver_rhs1" localSheetId="28" hidden="1">'Assignment 3'!$E$38:$E$41</definedName>
    <definedName name="solver_rhs1" localSheetId="18" hidden="1">'Blending problem'!$H$3</definedName>
    <definedName name="solver_rhs1" localSheetId="7" hidden="1">'Executive furniture'!$C$11:$E$11</definedName>
    <definedName name="solver_rhs1" localSheetId="20" hidden="1">'Executive furniture max-min'!$C$8:$E$8</definedName>
    <definedName name="solver_rhs1" localSheetId="21" hidden="1">'Executive furniture min-max'!$C$8:$E$8</definedName>
    <definedName name="solver_rhs1" localSheetId="3" hidden="1">'Fifth Avenue'!$B$33:$E$33</definedName>
    <definedName name="solver_rhs1" localSheetId="4" hidden="1">'Fifth Avenue (2)'!$B$38:$E$38</definedName>
    <definedName name="solver_rhs1" localSheetId="13" hidden="1">Frair!$D$11</definedName>
    <definedName name="solver_rhs1" localSheetId="19" hidden="1">"binary"</definedName>
    <definedName name="solver_rhs1" localSheetId="5" hidden="1">'Golf club Assign 2'!$E$37:$E$39</definedName>
    <definedName name="solver_rhs1" localSheetId="11" hidden="1">Goodman!$C$5:$H$5</definedName>
    <definedName name="solver_rhs1" localSheetId="12" hidden="1">'Goodman (2)'!$C$11:$H$11</definedName>
    <definedName name="solver_rhs1" localSheetId="25" hidden="1">'Grand prix'!$C$27:$F$27</definedName>
    <definedName name="solver_rhs1" localSheetId="15" hidden="1">Hardgrave!$B$18:$E$18</definedName>
    <definedName name="solver_rhs1" localSheetId="6" hidden="1">'Hong Kong bank'!$D$23:$D$24</definedName>
    <definedName name="solver_rhs1" localSheetId="24" hidden="1">Hotel!$C$14:$G$14</definedName>
    <definedName name="solver_rhs1" localSheetId="8" hidden="1">"binary"</definedName>
    <definedName name="solver_rhs1" localSheetId="23" hidden="1">'MOL mine'!$G$13:$G$15</definedName>
    <definedName name="solver_rhs1" localSheetId="16" hidden="1">'Monkey air'!$C$12:$F$12</definedName>
    <definedName name="solver_rhs1" localSheetId="9" hidden="1">Movies!$B$23:$K$23</definedName>
    <definedName name="solver_rhs1" localSheetId="17" hidden="1">'Multiperiod easy'!$C$15:$F$15</definedName>
    <definedName name="solver_rhs1" localSheetId="26" hidden="1">'quiz 1'!$C$12:$E$12</definedName>
    <definedName name="solver_rhs1" localSheetId="27" hidden="1">'Quiz 2'!$C$24:$E$24</definedName>
    <definedName name="solver_rhs1" localSheetId="1" hidden="1">'School bus'!$C$11:$J$11</definedName>
    <definedName name="solver_rhs1" localSheetId="10" hidden="1">'Simple goal'!$B$13:$F$13</definedName>
    <definedName name="solver_rhs1" localSheetId="0" hidden="1">Transshipment!$D$9:$G$9</definedName>
    <definedName name="solver_rhs2" localSheetId="14" hidden="1">'Andrew Carter'!$J$12:$J$17</definedName>
    <definedName name="solver_rhs2" localSheetId="2" hidden="1">"binary"</definedName>
    <definedName name="solver_rhs2" localSheetId="22" hidden="1">'Assignment 1'!$J$12:$J$17</definedName>
    <definedName name="solver_rhs2" localSheetId="28" hidden="1">'Assignment 3'!$J$38</definedName>
    <definedName name="solver_rhs2" localSheetId="18" hidden="1">'Blending problem'!$H$5:$H$8</definedName>
    <definedName name="solver_rhs2" localSheetId="7" hidden="1">'Executive furniture'!$H$6:$H$8</definedName>
    <definedName name="solver_rhs2" localSheetId="20" hidden="1">'Executive furniture max-min'!$F$18:$F$26</definedName>
    <definedName name="solver_rhs2" localSheetId="21" hidden="1">'Executive furniture min-max'!$F$18:$F$26</definedName>
    <definedName name="solver_rhs2" localSheetId="3" hidden="1">'Fifth Avenue'!$B$37:$E$37</definedName>
    <definedName name="solver_rhs2" localSheetId="4" hidden="1">'Fifth Avenue (2)'!$B$42:$E$42</definedName>
    <definedName name="solver_rhs2" localSheetId="13" hidden="1">Frair!$D$12</definedName>
    <definedName name="solver_rhs2" localSheetId="19" hidden="1">GatorAir!$D$9:$G$9</definedName>
    <definedName name="solver_rhs2" localSheetId="5" hidden="1">'Golf club Assign 2'!$E$43:$E$45</definedName>
    <definedName name="solver_rhs2" localSheetId="11" hidden="1">Goodman!$K$3</definedName>
    <definedName name="solver_rhs2" localSheetId="12" hidden="1">'Goodman (2)'!$K$3</definedName>
    <definedName name="solver_rhs2" localSheetId="25" hidden="1">'Grand prix'!$I$22:$I$24</definedName>
    <definedName name="solver_rhs2" localSheetId="15" hidden="1">Hardgrave!$H$11:$H$15</definedName>
    <definedName name="solver_rhs2" localSheetId="6" hidden="1">'Hong Kong bank'!$J$9:$J$16</definedName>
    <definedName name="solver_rhs2" localSheetId="24" hidden="1">"integer"</definedName>
    <definedName name="solver_rhs2" localSheetId="8" hidden="1">Luffy!$C$8:$H$8</definedName>
    <definedName name="solver_rhs2" localSheetId="23" hidden="1">'MOL mine'!$M$4:$M$6</definedName>
    <definedName name="solver_rhs2" localSheetId="16" hidden="1">'Monkey air'!$C$22:$F$22</definedName>
    <definedName name="solver_rhs2" localSheetId="9" hidden="1">Movies!$N$32:$N$33</definedName>
    <definedName name="solver_rhs2" localSheetId="17" hidden="1">'Multiperiod easy'!$C$13:$F$13</definedName>
    <definedName name="solver_rhs2" localSheetId="26" hidden="1">"integer"</definedName>
    <definedName name="solver_rhs2" localSheetId="27" hidden="1">'Quiz 2'!$H$18:$H$21</definedName>
    <definedName name="solver_rhs2" localSheetId="1" hidden="1">'School bus'!$M$3:$M$8</definedName>
    <definedName name="solver_rhs2" localSheetId="10" hidden="1">"integer"</definedName>
    <definedName name="solver_rhs2" localSheetId="0" hidden="1">Transshipment!$J$2:$J$4</definedName>
    <definedName name="solver_rhs3" localSheetId="14" hidden="1">"binary"</definedName>
    <definedName name="solver_rhs3" localSheetId="2" hidden="1">"binary"</definedName>
    <definedName name="solver_rhs3" localSheetId="22" hidden="1">"binary"</definedName>
    <definedName name="solver_rhs3" localSheetId="28" hidden="1">'Assignment 3'!$L$46:$L$49</definedName>
    <definedName name="solver_rhs3" localSheetId="20" hidden="1">'Executive furniture max-min'!$H$3:$H$5</definedName>
    <definedName name="solver_rhs3" localSheetId="21" hidden="1">'Executive furniture min-max'!$H$3:$H$5</definedName>
    <definedName name="solver_rhs3" localSheetId="3" hidden="1">'Fifth Avenue'!$I$23:$I$25</definedName>
    <definedName name="solver_rhs3" localSheetId="4" hidden="1">'Fifth Avenue (2)'!$I$23:$I$25</definedName>
    <definedName name="solver_rhs3" localSheetId="13" hidden="1">Frair!$F$7:$F$8</definedName>
    <definedName name="solver_rhs3" localSheetId="19" hidden="1">GatorAir!$J$3:$J$6</definedName>
    <definedName name="solver_rhs3" localSheetId="5" hidden="1">'Golf club Assign 2'!$H$37:$H$39</definedName>
    <definedName name="solver_rhs3" localSheetId="11" hidden="1">Goodman!$K$9</definedName>
    <definedName name="solver_rhs3" localSheetId="12" hidden="1">'Goodman (2)'!$K$5</definedName>
    <definedName name="solver_rhs3" localSheetId="15" hidden="1">"binary"</definedName>
    <definedName name="solver_rhs3" localSheetId="6" hidden="1">'Hong Kong bank'!#REF!</definedName>
    <definedName name="solver_rhs3" localSheetId="24" hidden="1">"integer"</definedName>
    <definedName name="solver_rhs3" localSheetId="8" hidden="1">"integer"</definedName>
    <definedName name="solver_rhs3" localSheetId="16" hidden="1">'Monkey air'!$C$26:$F$26</definedName>
    <definedName name="solver_rhs3" localSheetId="9" hidden="1">Movies!$N$38:$N$39</definedName>
    <definedName name="solver_rhs3" localSheetId="17" hidden="1">'Multiperiod easy'!$C$6:$F$6</definedName>
    <definedName name="solver_rhs3" localSheetId="26" hidden="1">"binary"</definedName>
    <definedName name="solver_rhs3" localSheetId="27" hidden="1">'Quiz 2'!$K$24:$M$24</definedName>
    <definedName name="solver_rhs3" localSheetId="0" hidden="1">Transshipment!$N$9:$N$10</definedName>
    <definedName name="solver_rhs4" localSheetId="2" hidden="1">'Assignemnt 4'!$Q$3:$Q$13</definedName>
    <definedName name="solver_rhs4" localSheetId="28" hidden="1">"binary"</definedName>
    <definedName name="solver_rhs4" localSheetId="19" hidden="1">GatorAir!$K$14:$K$15</definedName>
    <definedName name="solver_rhs4" localSheetId="5" hidden="1">'Golf club Assign 2'!$H$43:$H$45</definedName>
    <definedName name="solver_rhs4" localSheetId="12" hidden="1">'Goodman (2)'!$N$8</definedName>
    <definedName name="solver_rhs4" localSheetId="15" hidden="1">Hardgrave!$I$6</definedName>
    <definedName name="solver_rhs4" localSheetId="8" hidden="1">0</definedName>
    <definedName name="solver_rhs4" localSheetId="16" hidden="1">'Monkey air'!$C$8:$G$8</definedName>
    <definedName name="solver_rhs4" localSheetId="9" hidden="1">Movies!$N$40</definedName>
    <definedName name="solver_rhs4" localSheetId="17" hidden="1">'Multiperiod easy'!$C$8:$F$8</definedName>
    <definedName name="solver_rhs4" localSheetId="26" hidden="1">'quiz 1'!$H$15:$H$17</definedName>
    <definedName name="solver_rhs4" localSheetId="27" hidden="1">'Quiz 2'!$P$18:$P$21</definedName>
    <definedName name="solver_rhs5" localSheetId="5" hidden="1">'Golf club Assign 2'!$K$37:$K$39</definedName>
    <definedName name="solver_rhs5" localSheetId="12" hidden="1">'Goodman (2)'!$U$3</definedName>
    <definedName name="solver_rhs5" localSheetId="16" hidden="1">'Monkey air'!$G$12</definedName>
    <definedName name="solver_rhs5" localSheetId="9" hidden="1">Movies!$N$41:$N$44</definedName>
    <definedName name="solver_rhs5" localSheetId="27" hidden="1">'Quiz 2'!$R$44:$R$47</definedName>
    <definedName name="solver_rhs6" localSheetId="5" hidden="1">'Golf club Assign 2'!$K$43:$K$45</definedName>
    <definedName name="solver_rhs6" localSheetId="12" hidden="1">'Goodman (2)'!$U$5</definedName>
    <definedName name="solver_rhs6" localSheetId="27" hidden="1">"binary"</definedName>
    <definedName name="solver_rhs7" localSheetId="5" hidden="1">'Golf club Assign 2'!$O$17:$O$19</definedName>
    <definedName name="solver_rhs8" localSheetId="5" hidden="1">'Golf club Assign 2'!$R$17:$R$19</definedName>
    <definedName name="solver_rhs9" localSheetId="5" hidden="1">'Golf club Assign 2'!$U$17:$U$19</definedName>
    <definedName name="solver_rlx" localSheetId="14" hidden="1">2</definedName>
    <definedName name="solver_rlx" localSheetId="2" hidden="1">2</definedName>
    <definedName name="solver_rlx" localSheetId="22" hidden="1">2</definedName>
    <definedName name="solver_rlx" localSheetId="28" hidden="1">2</definedName>
    <definedName name="solver_rlx" localSheetId="18" hidden="1">2</definedName>
    <definedName name="solver_rlx" localSheetId="7" hidden="1">2</definedName>
    <definedName name="solver_rlx" localSheetId="20" hidden="1">2</definedName>
    <definedName name="solver_rlx" localSheetId="21" hidden="1">2</definedName>
    <definedName name="solver_rlx" localSheetId="3" hidden="1">2</definedName>
    <definedName name="solver_rlx" localSheetId="4" hidden="1">2</definedName>
    <definedName name="solver_rlx" localSheetId="13" hidden="1">2</definedName>
    <definedName name="solver_rlx" localSheetId="19" hidden="1">2</definedName>
    <definedName name="solver_rlx" localSheetId="5" hidden="1">2</definedName>
    <definedName name="solver_rlx" localSheetId="11" hidden="1">2</definedName>
    <definedName name="solver_rlx" localSheetId="12" hidden="1">2</definedName>
    <definedName name="solver_rlx" localSheetId="25" hidden="1">2</definedName>
    <definedName name="solver_rlx" localSheetId="15" hidden="1">2</definedName>
    <definedName name="solver_rlx" localSheetId="6" hidden="1">2</definedName>
    <definedName name="solver_rlx" localSheetId="24" hidden="1">2</definedName>
    <definedName name="solver_rlx" localSheetId="8" hidden="1">2</definedName>
    <definedName name="solver_rlx" localSheetId="23" hidden="1">2</definedName>
    <definedName name="solver_rlx" localSheetId="16" hidden="1">2</definedName>
    <definedName name="solver_rlx" localSheetId="9" hidden="1">2</definedName>
    <definedName name="solver_rlx" localSheetId="17" hidden="1">2</definedName>
    <definedName name="solver_rlx" localSheetId="26" hidden="1">2</definedName>
    <definedName name="solver_rlx" localSheetId="27" hidden="1">2</definedName>
    <definedName name="solver_rlx" localSheetId="1" hidden="1">2</definedName>
    <definedName name="solver_rlx" localSheetId="10" hidden="1">2</definedName>
    <definedName name="solver_rlx" localSheetId="0" hidden="1">2</definedName>
    <definedName name="solver_rsd" localSheetId="14" hidden="1">0</definedName>
    <definedName name="solver_rsd" localSheetId="2" hidden="1">0</definedName>
    <definedName name="solver_rsd" localSheetId="22" hidden="1">0</definedName>
    <definedName name="solver_rsd" localSheetId="28" hidden="1">0</definedName>
    <definedName name="solver_rsd" localSheetId="18" hidden="1">0</definedName>
    <definedName name="solver_rsd" localSheetId="7" hidden="1">0</definedName>
    <definedName name="solver_rsd" localSheetId="20" hidden="1">0</definedName>
    <definedName name="solver_rsd" localSheetId="21" hidden="1">0</definedName>
    <definedName name="solver_rsd" localSheetId="3" hidden="1">0</definedName>
    <definedName name="solver_rsd" localSheetId="4" hidden="1">0</definedName>
    <definedName name="solver_rsd" localSheetId="13" hidden="1">0</definedName>
    <definedName name="solver_rsd" localSheetId="19" hidden="1">0</definedName>
    <definedName name="solver_rsd" localSheetId="5" hidden="1">0</definedName>
    <definedName name="solver_rsd" localSheetId="11" hidden="1">0</definedName>
    <definedName name="solver_rsd" localSheetId="12" hidden="1">0</definedName>
    <definedName name="solver_rsd" localSheetId="25" hidden="1">0</definedName>
    <definedName name="solver_rsd" localSheetId="15" hidden="1">0</definedName>
    <definedName name="solver_rsd" localSheetId="6" hidden="1">0</definedName>
    <definedName name="solver_rsd" localSheetId="24" hidden="1">0</definedName>
    <definedName name="solver_rsd" localSheetId="8" hidden="1">0</definedName>
    <definedName name="solver_rsd" localSheetId="23" hidden="1">0</definedName>
    <definedName name="solver_rsd" localSheetId="16" hidden="1">0</definedName>
    <definedName name="solver_rsd" localSheetId="9" hidden="1">0</definedName>
    <definedName name="solver_rsd" localSheetId="17" hidden="1">0</definedName>
    <definedName name="solver_rsd" localSheetId="26" hidden="1">0</definedName>
    <definedName name="solver_rsd" localSheetId="27" hidden="1">0</definedName>
    <definedName name="solver_rsd" localSheetId="1" hidden="1">0</definedName>
    <definedName name="solver_rsd" localSheetId="10" hidden="1">0</definedName>
    <definedName name="solver_rsd" localSheetId="0" hidden="1">0</definedName>
    <definedName name="solver_scl" localSheetId="14" hidden="1">1</definedName>
    <definedName name="solver_scl" localSheetId="2" hidden="1">1</definedName>
    <definedName name="solver_scl" localSheetId="22" hidden="1">2</definedName>
    <definedName name="solver_scl" localSheetId="28" hidden="1">1</definedName>
    <definedName name="solver_scl" localSheetId="18" hidden="1">1</definedName>
    <definedName name="solver_scl" localSheetId="7" hidden="1">1</definedName>
    <definedName name="solver_scl" localSheetId="20" hidden="1">1</definedName>
    <definedName name="solver_scl" localSheetId="21" hidden="1">1</definedName>
    <definedName name="solver_scl" localSheetId="3" hidden="1">1</definedName>
    <definedName name="solver_scl" localSheetId="4" hidden="1">1</definedName>
    <definedName name="solver_scl" localSheetId="13" hidden="1">1</definedName>
    <definedName name="solver_scl" localSheetId="19" hidden="1">2</definedName>
    <definedName name="solver_scl" localSheetId="5" hidden="1">1</definedName>
    <definedName name="solver_scl" localSheetId="11" hidden="1">1</definedName>
    <definedName name="solver_scl" localSheetId="12" hidden="1">1</definedName>
    <definedName name="solver_scl" localSheetId="25" hidden="1">1</definedName>
    <definedName name="solver_scl" localSheetId="15" hidden="1">1</definedName>
    <definedName name="solver_scl" localSheetId="6" hidden="1">1</definedName>
    <definedName name="solver_scl" localSheetId="24" hidden="1">2</definedName>
    <definedName name="solver_scl" localSheetId="8" hidden="1">1</definedName>
    <definedName name="solver_scl" localSheetId="23" hidden="1">1</definedName>
    <definedName name="solver_scl" localSheetId="16" hidden="1">1</definedName>
    <definedName name="solver_scl" localSheetId="9" hidden="1">1</definedName>
    <definedName name="solver_scl" localSheetId="17" hidden="1">1</definedName>
    <definedName name="solver_scl" localSheetId="26" hidden="1">1</definedName>
    <definedName name="solver_scl" localSheetId="27" hidden="1">2</definedName>
    <definedName name="solver_scl" localSheetId="1" hidden="1">1</definedName>
    <definedName name="solver_scl" localSheetId="10" hidden="1">1</definedName>
    <definedName name="solver_scl" localSheetId="0" hidden="1">1</definedName>
    <definedName name="solver_sho" localSheetId="14" hidden="1">2</definedName>
    <definedName name="solver_sho" localSheetId="2" hidden="1">2</definedName>
    <definedName name="solver_sho" localSheetId="22" hidden="1">2</definedName>
    <definedName name="solver_sho" localSheetId="28" hidden="1">2</definedName>
    <definedName name="solver_sho" localSheetId="18" hidden="1">2</definedName>
    <definedName name="solver_sho" localSheetId="7" hidden="1">2</definedName>
    <definedName name="solver_sho" localSheetId="20" hidden="1">2</definedName>
    <definedName name="solver_sho" localSheetId="21" hidden="1">2</definedName>
    <definedName name="solver_sho" localSheetId="3" hidden="1">2</definedName>
    <definedName name="solver_sho" localSheetId="4" hidden="1">2</definedName>
    <definedName name="solver_sho" localSheetId="13" hidden="1">2</definedName>
    <definedName name="solver_sho" localSheetId="19" hidden="1">2</definedName>
    <definedName name="solver_sho" localSheetId="5" hidden="1">2</definedName>
    <definedName name="solver_sho" localSheetId="11" hidden="1">2</definedName>
    <definedName name="solver_sho" localSheetId="12" hidden="1">2</definedName>
    <definedName name="solver_sho" localSheetId="25" hidden="1">2</definedName>
    <definedName name="solver_sho" localSheetId="15" hidden="1">2</definedName>
    <definedName name="solver_sho" localSheetId="6" hidden="1">2</definedName>
    <definedName name="solver_sho" localSheetId="24" hidden="1">2</definedName>
    <definedName name="solver_sho" localSheetId="8" hidden="1">2</definedName>
    <definedName name="solver_sho" localSheetId="23" hidden="1">2</definedName>
    <definedName name="solver_sho" localSheetId="16" hidden="1">2</definedName>
    <definedName name="solver_sho" localSheetId="9" hidden="1">2</definedName>
    <definedName name="solver_sho" localSheetId="17" hidden="1">2</definedName>
    <definedName name="solver_sho" localSheetId="26" hidden="1">2</definedName>
    <definedName name="solver_sho" localSheetId="27" hidden="1">2</definedName>
    <definedName name="solver_sho" localSheetId="1" hidden="1">2</definedName>
    <definedName name="solver_sho" localSheetId="10" hidden="1">2</definedName>
    <definedName name="solver_sho" localSheetId="0" hidden="1">2</definedName>
    <definedName name="solver_ssz" localSheetId="14" hidden="1">100</definedName>
    <definedName name="solver_ssz" localSheetId="2" hidden="1">100</definedName>
    <definedName name="solver_ssz" localSheetId="22" hidden="1">100</definedName>
    <definedName name="solver_ssz" localSheetId="28" hidden="1">100</definedName>
    <definedName name="solver_ssz" localSheetId="18" hidden="1">100</definedName>
    <definedName name="solver_ssz" localSheetId="7" hidden="1">100</definedName>
    <definedName name="solver_ssz" localSheetId="20" hidden="1">100</definedName>
    <definedName name="solver_ssz" localSheetId="21" hidden="1">100</definedName>
    <definedName name="solver_ssz" localSheetId="3" hidden="1">100</definedName>
    <definedName name="solver_ssz" localSheetId="4" hidden="1">100</definedName>
    <definedName name="solver_ssz" localSheetId="13" hidden="1">100</definedName>
    <definedName name="solver_ssz" localSheetId="19" hidden="1">100</definedName>
    <definedName name="solver_ssz" localSheetId="5" hidden="1">100</definedName>
    <definedName name="solver_ssz" localSheetId="11" hidden="1">100</definedName>
    <definedName name="solver_ssz" localSheetId="12" hidden="1">100</definedName>
    <definedName name="solver_ssz" localSheetId="25" hidden="1">100</definedName>
    <definedName name="solver_ssz" localSheetId="15" hidden="1">100</definedName>
    <definedName name="solver_ssz" localSheetId="6" hidden="1">100</definedName>
    <definedName name="solver_ssz" localSheetId="24" hidden="1">100</definedName>
    <definedName name="solver_ssz" localSheetId="8" hidden="1">100</definedName>
    <definedName name="solver_ssz" localSheetId="23" hidden="1">100</definedName>
    <definedName name="solver_ssz" localSheetId="16" hidden="1">100</definedName>
    <definedName name="solver_ssz" localSheetId="9" hidden="1">100</definedName>
    <definedName name="solver_ssz" localSheetId="17" hidden="1">100</definedName>
    <definedName name="solver_ssz" localSheetId="26" hidden="1">100</definedName>
    <definedName name="solver_ssz" localSheetId="27" hidden="1">100</definedName>
    <definedName name="solver_ssz" localSheetId="1" hidden="1">100</definedName>
    <definedName name="solver_ssz" localSheetId="10" hidden="1">100</definedName>
    <definedName name="solver_ssz" localSheetId="0" hidden="1">100</definedName>
    <definedName name="solver_tim" localSheetId="14" hidden="1">2147483647</definedName>
    <definedName name="solver_tim" localSheetId="2" hidden="1">2147483647</definedName>
    <definedName name="solver_tim" localSheetId="22" hidden="1">2147483647</definedName>
    <definedName name="solver_tim" localSheetId="28" hidden="1">2147483647</definedName>
    <definedName name="solver_tim" localSheetId="18" hidden="1">2147483647</definedName>
    <definedName name="solver_tim" localSheetId="7" hidden="1">2147483647</definedName>
    <definedName name="solver_tim" localSheetId="20" hidden="1">2147483647</definedName>
    <definedName name="solver_tim" localSheetId="21" hidden="1">2147483647</definedName>
    <definedName name="solver_tim" localSheetId="3" hidden="1">2147483647</definedName>
    <definedName name="solver_tim" localSheetId="4" hidden="1">2147483647</definedName>
    <definedName name="solver_tim" localSheetId="13" hidden="1">2147483647</definedName>
    <definedName name="solver_tim" localSheetId="19" hidden="1">2147483647</definedName>
    <definedName name="solver_tim" localSheetId="5" hidden="1">2147483647</definedName>
    <definedName name="solver_tim" localSheetId="11" hidden="1">2147483647</definedName>
    <definedName name="solver_tim" localSheetId="12" hidden="1">2147483647</definedName>
    <definedName name="solver_tim" localSheetId="25" hidden="1">2147483647</definedName>
    <definedName name="solver_tim" localSheetId="15" hidden="1">2147483647</definedName>
    <definedName name="solver_tim" localSheetId="6" hidden="1">2147483647</definedName>
    <definedName name="solver_tim" localSheetId="24" hidden="1">2147483647</definedName>
    <definedName name="solver_tim" localSheetId="8" hidden="1">2147483647</definedName>
    <definedName name="solver_tim" localSheetId="23" hidden="1">2147483647</definedName>
    <definedName name="solver_tim" localSheetId="16" hidden="1">2147483647</definedName>
    <definedName name="solver_tim" localSheetId="9" hidden="1">2147483647</definedName>
    <definedName name="solver_tim" localSheetId="17" hidden="1">2147483647</definedName>
    <definedName name="solver_tim" localSheetId="26" hidden="1">2147483647</definedName>
    <definedName name="solver_tim" localSheetId="27" hidden="1">2147483647</definedName>
    <definedName name="solver_tim" localSheetId="1" hidden="1">2147483647</definedName>
    <definedName name="solver_tim" localSheetId="10" hidden="1">2147483647</definedName>
    <definedName name="solver_tim" localSheetId="0" hidden="1">2147483647</definedName>
    <definedName name="solver_tol" localSheetId="14" hidden="1">0.01</definedName>
    <definedName name="solver_tol" localSheetId="2" hidden="1">0.01</definedName>
    <definedName name="solver_tol" localSheetId="22" hidden="1">0.01</definedName>
    <definedName name="solver_tol" localSheetId="28" hidden="1">0.01</definedName>
    <definedName name="solver_tol" localSheetId="18" hidden="1">0.01</definedName>
    <definedName name="solver_tol" localSheetId="7" hidden="1">0.01</definedName>
    <definedName name="solver_tol" localSheetId="20" hidden="1">0.01</definedName>
    <definedName name="solver_tol" localSheetId="21" hidden="1">0.01</definedName>
    <definedName name="solver_tol" localSheetId="3" hidden="1">0.01</definedName>
    <definedName name="solver_tol" localSheetId="4" hidden="1">0.01</definedName>
    <definedName name="solver_tol" localSheetId="13" hidden="1">0.01</definedName>
    <definedName name="solver_tol" localSheetId="19" hidden="1">0.01</definedName>
    <definedName name="solver_tol" localSheetId="5" hidden="1">0.01</definedName>
    <definedName name="solver_tol" localSheetId="11" hidden="1">0.01</definedName>
    <definedName name="solver_tol" localSheetId="12" hidden="1">0.01</definedName>
    <definedName name="solver_tol" localSheetId="25" hidden="1">0.01</definedName>
    <definedName name="solver_tol" localSheetId="15" hidden="1">0.01</definedName>
    <definedName name="solver_tol" localSheetId="6" hidden="1">0.01</definedName>
    <definedName name="solver_tol" localSheetId="24" hidden="1">0.01</definedName>
    <definedName name="solver_tol" localSheetId="8" hidden="1">0.01</definedName>
    <definedName name="solver_tol" localSheetId="23" hidden="1">0.01</definedName>
    <definedName name="solver_tol" localSheetId="16" hidden="1">0.01</definedName>
    <definedName name="solver_tol" localSheetId="9" hidden="1">0.01</definedName>
    <definedName name="solver_tol" localSheetId="17" hidden="1">0.01</definedName>
    <definedName name="solver_tol" localSheetId="26" hidden="1">0.01</definedName>
    <definedName name="solver_tol" localSheetId="27" hidden="1">0.01</definedName>
    <definedName name="solver_tol" localSheetId="1" hidden="1">0.01</definedName>
    <definedName name="solver_tol" localSheetId="10" hidden="1">0.01</definedName>
    <definedName name="solver_tol" localSheetId="0" hidden="1">0.01</definedName>
    <definedName name="solver_typ" localSheetId="14" hidden="1">2</definedName>
    <definedName name="solver_typ" localSheetId="2" hidden="1">2</definedName>
    <definedName name="solver_typ" localSheetId="22" hidden="1">2</definedName>
    <definedName name="solver_typ" localSheetId="28" hidden="1">2</definedName>
    <definedName name="solver_typ" localSheetId="18" hidden="1">2</definedName>
    <definedName name="solver_typ" localSheetId="7" hidden="1">2</definedName>
    <definedName name="solver_typ" localSheetId="20" hidden="1">1</definedName>
    <definedName name="solver_typ" localSheetId="21" hidden="1">2</definedName>
    <definedName name="solver_typ" localSheetId="3" hidden="1">1</definedName>
    <definedName name="solver_typ" localSheetId="4" hidden="1">1</definedName>
    <definedName name="solver_typ" localSheetId="13" hidden="1">1</definedName>
    <definedName name="solver_typ" localSheetId="19" hidden="1">2</definedName>
    <definedName name="solver_typ" localSheetId="5" hidden="1">1</definedName>
    <definedName name="solver_typ" localSheetId="11" hidden="1">1</definedName>
    <definedName name="solver_typ" localSheetId="12" hidden="1">1</definedName>
    <definedName name="solver_typ" localSheetId="25" hidden="1">1</definedName>
    <definedName name="solver_typ" localSheetId="15" hidden="1">2</definedName>
    <definedName name="solver_typ" localSheetId="6" hidden="1">2</definedName>
    <definedName name="solver_typ" localSheetId="24" hidden="1">2</definedName>
    <definedName name="solver_typ" localSheetId="8" hidden="1">2</definedName>
    <definedName name="solver_typ" localSheetId="23" hidden="1">2</definedName>
    <definedName name="solver_typ" localSheetId="16" hidden="1">2</definedName>
    <definedName name="solver_typ" localSheetId="9" hidden="1">1</definedName>
    <definedName name="solver_typ" localSheetId="17" hidden="1">2</definedName>
    <definedName name="solver_typ" localSheetId="26" hidden="1">1</definedName>
    <definedName name="solver_typ" localSheetId="27" hidden="1">1</definedName>
    <definedName name="solver_typ" localSheetId="1" hidden="1">2</definedName>
    <definedName name="solver_typ" localSheetId="10" hidden="1">2</definedName>
    <definedName name="solver_typ" localSheetId="0" hidden="1">2</definedName>
    <definedName name="solver_val" localSheetId="14" hidden="1">0</definedName>
    <definedName name="solver_val" localSheetId="2" hidden="1">0</definedName>
    <definedName name="solver_val" localSheetId="22" hidden="1">0</definedName>
    <definedName name="solver_val" localSheetId="28" hidden="1">0</definedName>
    <definedName name="solver_val" localSheetId="18" hidden="1">0</definedName>
    <definedName name="solver_val" localSheetId="7" hidden="1">0</definedName>
    <definedName name="solver_val" localSheetId="20" hidden="1">0</definedName>
    <definedName name="solver_val" localSheetId="21" hidden="1">0</definedName>
    <definedName name="solver_val" localSheetId="3" hidden="1">0</definedName>
    <definedName name="solver_val" localSheetId="4" hidden="1">0</definedName>
    <definedName name="solver_val" localSheetId="13" hidden="1">0</definedName>
    <definedName name="solver_val" localSheetId="19" hidden="1">0</definedName>
    <definedName name="solver_val" localSheetId="5" hidden="1">0</definedName>
    <definedName name="solver_val" localSheetId="11" hidden="1">0</definedName>
    <definedName name="solver_val" localSheetId="12" hidden="1">0</definedName>
    <definedName name="solver_val" localSheetId="25" hidden="1">0</definedName>
    <definedName name="solver_val" localSheetId="15" hidden="1">0</definedName>
    <definedName name="solver_val" localSheetId="6" hidden="1">0</definedName>
    <definedName name="solver_val" localSheetId="24" hidden="1">0</definedName>
    <definedName name="solver_val" localSheetId="8" hidden="1">0</definedName>
    <definedName name="solver_val" localSheetId="23" hidden="1">0</definedName>
    <definedName name="solver_val" localSheetId="16" hidden="1">0</definedName>
    <definedName name="solver_val" localSheetId="9" hidden="1">0</definedName>
    <definedName name="solver_val" localSheetId="17" hidden="1">0</definedName>
    <definedName name="solver_val" localSheetId="26" hidden="1">0</definedName>
    <definedName name="solver_val" localSheetId="27" hidden="1">0</definedName>
    <definedName name="solver_val" localSheetId="1" hidden="1">0</definedName>
    <definedName name="solver_val" localSheetId="10" hidden="1">0</definedName>
    <definedName name="solver_val" localSheetId="0" hidden="1">0</definedName>
    <definedName name="solver_ver" localSheetId="14" hidden="1">3</definedName>
    <definedName name="solver_ver" localSheetId="2" hidden="1">3</definedName>
    <definedName name="solver_ver" localSheetId="22" hidden="1">3</definedName>
    <definedName name="solver_ver" localSheetId="28" hidden="1">3</definedName>
    <definedName name="solver_ver" localSheetId="18" hidden="1">3</definedName>
    <definedName name="solver_ver" localSheetId="7" hidden="1">3</definedName>
    <definedName name="solver_ver" localSheetId="20" hidden="1">3</definedName>
    <definedName name="solver_ver" localSheetId="21" hidden="1">3</definedName>
    <definedName name="solver_ver" localSheetId="3" hidden="1">3</definedName>
    <definedName name="solver_ver" localSheetId="4" hidden="1">3</definedName>
    <definedName name="solver_ver" localSheetId="13" hidden="1">3</definedName>
    <definedName name="solver_ver" localSheetId="19" hidden="1">3</definedName>
    <definedName name="solver_ver" localSheetId="5" hidden="1">3</definedName>
    <definedName name="solver_ver" localSheetId="11" hidden="1">3</definedName>
    <definedName name="solver_ver" localSheetId="12" hidden="1">3</definedName>
    <definedName name="solver_ver" localSheetId="25" hidden="1">3</definedName>
    <definedName name="solver_ver" localSheetId="15" hidden="1">3</definedName>
    <definedName name="solver_ver" localSheetId="6" hidden="1">3</definedName>
    <definedName name="solver_ver" localSheetId="24" hidden="1">3</definedName>
    <definedName name="solver_ver" localSheetId="8" hidden="1">3</definedName>
    <definedName name="solver_ver" localSheetId="23" hidden="1">3</definedName>
    <definedName name="solver_ver" localSheetId="16" hidden="1">3</definedName>
    <definedName name="solver_ver" localSheetId="9" hidden="1">3</definedName>
    <definedName name="solver_ver" localSheetId="17" hidden="1">3</definedName>
    <definedName name="solver_ver" localSheetId="26" hidden="1">3</definedName>
    <definedName name="solver_ver" localSheetId="27" hidden="1">3</definedName>
    <definedName name="solver_ver" localSheetId="1" hidden="1">3</definedName>
    <definedName name="solver_ver" localSheetId="10" hidden="1">3</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49" i="32" l="1"/>
  <c r="L48" i="32"/>
  <c r="L47" i="32"/>
  <c r="L46" i="32"/>
  <c r="U22" i="32"/>
  <c r="U23" i="32"/>
  <c r="U24" i="32"/>
  <c r="U25" i="32"/>
  <c r="U26" i="32"/>
  <c r="U27" i="32"/>
  <c r="U28" i="32"/>
  <c r="U29" i="32"/>
  <c r="U30" i="32"/>
  <c r="U31" i="32"/>
  <c r="U32" i="32"/>
  <c r="U33" i="32"/>
  <c r="U34" i="32"/>
  <c r="U35" i="32"/>
  <c r="U37" i="32"/>
  <c r="U21" i="32"/>
  <c r="R37" i="32"/>
  <c r="S37" i="32"/>
  <c r="T37" i="32"/>
  <c r="Q37" i="32"/>
  <c r="P37" i="32"/>
  <c r="O37" i="32"/>
  <c r="D25" i="32"/>
  <c r="E25" i="32"/>
  <c r="F25" i="32"/>
  <c r="H25" i="32"/>
  <c r="I25" i="32"/>
  <c r="J25" i="32"/>
  <c r="D26" i="32"/>
  <c r="E26" i="32"/>
  <c r="F26" i="32"/>
  <c r="H26" i="32"/>
  <c r="I26" i="32"/>
  <c r="J26" i="32"/>
  <c r="D27" i="32"/>
  <c r="E27" i="32"/>
  <c r="F27" i="32"/>
  <c r="H27" i="32"/>
  <c r="I27" i="32"/>
  <c r="J27" i="32"/>
  <c r="D28" i="32"/>
  <c r="E28" i="32"/>
  <c r="F28" i="32"/>
  <c r="H28" i="32"/>
  <c r="I28" i="32"/>
  <c r="J28" i="32"/>
  <c r="D29" i="32"/>
  <c r="E29" i="32"/>
  <c r="F29" i="32"/>
  <c r="H29" i="32"/>
  <c r="I29" i="32"/>
  <c r="J29" i="32"/>
  <c r="D30" i="32"/>
  <c r="E30" i="32"/>
  <c r="F30" i="32"/>
  <c r="H30" i="32"/>
  <c r="I30" i="32"/>
  <c r="J30" i="32"/>
  <c r="D31" i="32"/>
  <c r="E31" i="32"/>
  <c r="F31" i="32"/>
  <c r="H31" i="32"/>
  <c r="I31" i="32"/>
  <c r="J31" i="32"/>
  <c r="D32" i="32"/>
  <c r="E32" i="32"/>
  <c r="F32" i="32"/>
  <c r="H32" i="32"/>
  <c r="I32" i="32"/>
  <c r="J32" i="32"/>
  <c r="D33" i="32"/>
  <c r="E33" i="32"/>
  <c r="F33" i="32"/>
  <c r="H33" i="32"/>
  <c r="I33" i="32"/>
  <c r="J33" i="32"/>
  <c r="D34" i="32"/>
  <c r="E34" i="32"/>
  <c r="F34" i="32"/>
  <c r="H34" i="32"/>
  <c r="I34" i="32"/>
  <c r="J34" i="32"/>
  <c r="D35" i="32"/>
  <c r="E35" i="32"/>
  <c r="F35" i="32"/>
  <c r="H35" i="32"/>
  <c r="I35" i="32"/>
  <c r="J35" i="32"/>
  <c r="C35" i="32"/>
  <c r="C34" i="32"/>
  <c r="C33" i="32"/>
  <c r="C32" i="32"/>
  <c r="C31" i="32"/>
  <c r="C30" i="32"/>
  <c r="C29" i="32"/>
  <c r="C28" i="32"/>
  <c r="C27" i="32"/>
  <c r="C26" i="32"/>
  <c r="C25" i="32"/>
  <c r="D24" i="32"/>
  <c r="E24" i="32"/>
  <c r="F24" i="32"/>
  <c r="H24" i="32"/>
  <c r="I24" i="32"/>
  <c r="J24" i="32"/>
  <c r="C24" i="32"/>
  <c r="D23" i="32"/>
  <c r="E23" i="32"/>
  <c r="F23" i="32"/>
  <c r="H23" i="32"/>
  <c r="I23" i="32"/>
  <c r="J23" i="32"/>
  <c r="C23" i="32"/>
  <c r="D22" i="32"/>
  <c r="E22" i="32"/>
  <c r="F22" i="32"/>
  <c r="H22" i="32"/>
  <c r="I22" i="32"/>
  <c r="J22" i="32"/>
  <c r="C22" i="32"/>
  <c r="D21" i="32"/>
  <c r="E21" i="32"/>
  <c r="F21" i="32"/>
  <c r="H21" i="32"/>
  <c r="I21" i="32"/>
  <c r="J21" i="32"/>
  <c r="C21" i="32"/>
  <c r="J26" i="31"/>
  <c r="P19" i="31"/>
  <c r="P20" i="31"/>
  <c r="P21" i="31"/>
  <c r="P18" i="31"/>
  <c r="H19" i="31"/>
  <c r="H20" i="31"/>
  <c r="H21" i="31"/>
  <c r="H18" i="31"/>
  <c r="C40" i="31"/>
  <c r="C39" i="31"/>
  <c r="C38" i="31"/>
  <c r="C37" i="31"/>
  <c r="B26" i="31"/>
  <c r="R10" i="31"/>
  <c r="S10" i="31"/>
  <c r="T10" i="31"/>
  <c r="R11" i="31"/>
  <c r="S11" i="31"/>
  <c r="T11" i="31"/>
  <c r="R12" i="31"/>
  <c r="S12" i="31"/>
  <c r="T12" i="31"/>
  <c r="S9" i="31"/>
  <c r="T9" i="31"/>
  <c r="R9" i="31"/>
  <c r="M22" i="31"/>
  <c r="L22" i="31"/>
  <c r="K22" i="31"/>
  <c r="N21" i="31"/>
  <c r="N20" i="31"/>
  <c r="N19" i="31"/>
  <c r="N18" i="31"/>
  <c r="D10" i="31"/>
  <c r="E10" i="31"/>
  <c r="F10" i="31"/>
  <c r="G10" i="31"/>
  <c r="D11" i="31"/>
  <c r="E11" i="31"/>
  <c r="F11" i="31"/>
  <c r="G11" i="31"/>
  <c r="D12" i="31"/>
  <c r="E12" i="31"/>
  <c r="F12" i="31"/>
  <c r="G12" i="31"/>
  <c r="E9" i="31"/>
  <c r="F9" i="31"/>
  <c r="G9" i="31"/>
  <c r="D9" i="31"/>
  <c r="D22" i="31"/>
  <c r="E22" i="31"/>
  <c r="C22" i="31"/>
  <c r="F19" i="31"/>
  <c r="F20" i="31"/>
  <c r="F21" i="31"/>
  <c r="F18" i="31"/>
  <c r="D12" i="30"/>
  <c r="E12" i="30"/>
  <c r="C12" i="30"/>
  <c r="G26" i="30"/>
  <c r="G25" i="30"/>
  <c r="G24" i="30"/>
  <c r="C26" i="30"/>
  <c r="C25" i="30"/>
  <c r="C24" i="30"/>
  <c r="E16" i="30"/>
  <c r="E17" i="30"/>
  <c r="E15" i="30"/>
  <c r="D16" i="30"/>
  <c r="D17" i="30"/>
  <c r="D15" i="30"/>
  <c r="C16" i="30"/>
  <c r="C17" i="30"/>
  <c r="C15" i="30"/>
  <c r="D35" i="29"/>
  <c r="F35" i="29"/>
  <c r="E35" i="29"/>
  <c r="C35" i="29"/>
  <c r="F34" i="29"/>
  <c r="E34" i="29"/>
  <c r="D34" i="29"/>
  <c r="C34" i="29"/>
  <c r="F33" i="29"/>
  <c r="E33" i="29"/>
  <c r="D33" i="29"/>
  <c r="C33" i="29"/>
  <c r="F25" i="29"/>
  <c r="E25" i="29"/>
  <c r="D25" i="29"/>
  <c r="C25" i="29"/>
  <c r="G24" i="29"/>
  <c r="G23" i="29"/>
  <c r="G22" i="29"/>
  <c r="B17" i="28"/>
  <c r="F9" i="28"/>
  <c r="D26" i="28"/>
  <c r="E26" i="28"/>
  <c r="F26" i="28"/>
  <c r="G26" i="28"/>
  <c r="C26" i="28"/>
  <c r="G25" i="28"/>
  <c r="D25" i="28"/>
  <c r="E25" i="28"/>
  <c r="F25" i="28"/>
  <c r="C25" i="28"/>
  <c r="D12" i="28"/>
  <c r="E12" i="28"/>
  <c r="C12" i="28"/>
  <c r="G9" i="28"/>
  <c r="E15" i="26"/>
  <c r="E14" i="26"/>
  <c r="F6" i="26"/>
  <c r="F5" i="26"/>
  <c r="F4" i="26"/>
  <c r="E13" i="26"/>
  <c r="L35" i="25"/>
  <c r="L34" i="25"/>
  <c r="L33" i="25"/>
  <c r="J17" i="25"/>
  <c r="J16" i="25"/>
  <c r="J15" i="25"/>
  <c r="J14" i="25"/>
  <c r="J13" i="25"/>
  <c r="J12" i="25"/>
  <c r="C40" i="25"/>
  <c r="C39" i="25"/>
  <c r="C38" i="25"/>
  <c r="C36" i="25"/>
  <c r="C35" i="25"/>
  <c r="C34" i="25"/>
  <c r="D18" i="25"/>
  <c r="E18" i="25"/>
  <c r="F18" i="25"/>
  <c r="G18" i="25"/>
  <c r="C18" i="25"/>
  <c r="H13" i="25"/>
  <c r="H14" i="25"/>
  <c r="H15" i="25"/>
  <c r="H16" i="25"/>
  <c r="H17" i="25"/>
  <c r="H12" i="25"/>
  <c r="F26" i="24"/>
  <c r="D26" i="24"/>
  <c r="F25" i="24"/>
  <c r="D25" i="24"/>
  <c r="F24" i="24"/>
  <c r="D24" i="24"/>
  <c r="F23" i="24"/>
  <c r="D23" i="24"/>
  <c r="F22" i="24"/>
  <c r="D22" i="24"/>
  <c r="F21" i="24"/>
  <c r="D21" i="24"/>
  <c r="F20" i="24"/>
  <c r="D20" i="24"/>
  <c r="F19" i="24"/>
  <c r="D19" i="24"/>
  <c r="F18" i="24"/>
  <c r="D18" i="24"/>
  <c r="F14" i="24"/>
  <c r="E6" i="24"/>
  <c r="D6" i="24"/>
  <c r="C6" i="24"/>
  <c r="F5" i="24"/>
  <c r="F4" i="24"/>
  <c r="F3" i="24"/>
  <c r="F19" i="23"/>
  <c r="F20" i="23"/>
  <c r="F21" i="23"/>
  <c r="F22" i="23"/>
  <c r="F23" i="23"/>
  <c r="F24" i="23"/>
  <c r="F25" i="23"/>
  <c r="F26" i="23"/>
  <c r="F18" i="23"/>
  <c r="D26" i="23"/>
  <c r="D25" i="23"/>
  <c r="D24" i="23"/>
  <c r="D23" i="23"/>
  <c r="D22" i="23"/>
  <c r="D21" i="23"/>
  <c r="D20" i="23"/>
  <c r="D19" i="23"/>
  <c r="D18" i="23"/>
  <c r="F14" i="23"/>
  <c r="C6" i="23"/>
  <c r="D6" i="23"/>
  <c r="E6" i="23"/>
  <c r="F5" i="23"/>
  <c r="F4" i="23"/>
  <c r="F3" i="23"/>
  <c r="J6" i="22"/>
  <c r="J5" i="22"/>
  <c r="J4" i="22"/>
  <c r="J3" i="22"/>
  <c r="H6" i="22"/>
  <c r="H5" i="22"/>
  <c r="H4" i="22"/>
  <c r="H3" i="22"/>
  <c r="G7" i="22"/>
  <c r="F7" i="22"/>
  <c r="E7" i="22"/>
  <c r="D7" i="22"/>
  <c r="I15" i="22"/>
  <c r="I14" i="22"/>
  <c r="G26" i="22"/>
  <c r="C17" i="22"/>
  <c r="C16" i="22"/>
  <c r="C15" i="22"/>
  <c r="C14" i="22"/>
  <c r="D10" i="21"/>
  <c r="E10" i="21"/>
  <c r="C10" i="21"/>
  <c r="E6" i="21"/>
  <c r="E7" i="21"/>
  <c r="E8" i="21"/>
  <c r="E5" i="21"/>
  <c r="D6" i="21"/>
  <c r="D7" i="21"/>
  <c r="D8" i="21"/>
  <c r="D5" i="21"/>
  <c r="C6" i="21"/>
  <c r="C7" i="21"/>
  <c r="C8" i="21"/>
  <c r="C5" i="21"/>
  <c r="F3" i="21"/>
  <c r="C25" i="20"/>
  <c r="G25" i="20"/>
  <c r="D25" i="20"/>
  <c r="E25" i="20"/>
  <c r="F25" i="20"/>
  <c r="C11" i="20"/>
  <c r="D8" i="20"/>
  <c r="E8" i="20"/>
  <c r="F8" i="20"/>
  <c r="C8" i="20"/>
  <c r="D21" i="20"/>
  <c r="E21" i="20"/>
  <c r="F21" i="20"/>
  <c r="C21" i="20"/>
  <c r="H30" i="19"/>
  <c r="C6" i="19"/>
  <c r="D16" i="19"/>
  <c r="E16" i="19"/>
  <c r="F16" i="19"/>
  <c r="C16" i="19"/>
  <c r="F40" i="18"/>
  <c r="B31" i="18"/>
  <c r="B30" i="18"/>
  <c r="G6" i="18"/>
  <c r="H15" i="18"/>
  <c r="H14" i="18"/>
  <c r="F15" i="18"/>
  <c r="F14" i="18"/>
  <c r="F13" i="18"/>
  <c r="F12" i="18"/>
  <c r="F11" i="18"/>
  <c r="E16" i="18"/>
  <c r="D16" i="18"/>
  <c r="C16" i="18"/>
  <c r="B16" i="18"/>
  <c r="J17" i="17"/>
  <c r="J16" i="17"/>
  <c r="J15" i="17"/>
  <c r="J14" i="17"/>
  <c r="J13" i="17"/>
  <c r="J12" i="17"/>
  <c r="H45" i="17"/>
  <c r="H44" i="17"/>
  <c r="H43" i="17"/>
  <c r="C38" i="17"/>
  <c r="C37" i="17"/>
  <c r="C36" i="17"/>
  <c r="C34" i="17"/>
  <c r="C33" i="17"/>
  <c r="C32" i="17"/>
  <c r="H13" i="17"/>
  <c r="H14" i="17"/>
  <c r="H15" i="17"/>
  <c r="H16" i="17"/>
  <c r="H17" i="17"/>
  <c r="D18" i="17"/>
  <c r="E18" i="17"/>
  <c r="F18" i="17"/>
  <c r="G18" i="17"/>
  <c r="C18" i="17"/>
  <c r="H12" i="17"/>
  <c r="B12" i="16"/>
  <c r="B11" i="16"/>
  <c r="D4" i="16"/>
  <c r="D8" i="16"/>
  <c r="D7" i="16"/>
  <c r="N5" i="15"/>
  <c r="O5" i="15"/>
  <c r="P5" i="15"/>
  <c r="Q5" i="15"/>
  <c r="R5" i="15"/>
  <c r="M5" i="15"/>
  <c r="D9" i="15"/>
  <c r="E9" i="15"/>
  <c r="F9" i="15"/>
  <c r="G9" i="15"/>
  <c r="H9" i="15"/>
  <c r="C9" i="15"/>
  <c r="S3" i="15"/>
  <c r="I3" i="15"/>
  <c r="H5" i="15"/>
  <c r="G5" i="15"/>
  <c r="F5" i="15"/>
  <c r="E5" i="15"/>
  <c r="D5" i="15"/>
  <c r="C5" i="15"/>
  <c r="I3" i="14"/>
  <c r="D9" i="14"/>
  <c r="E9" i="14"/>
  <c r="F9" i="14"/>
  <c r="G9" i="14"/>
  <c r="H9" i="14"/>
  <c r="C9" i="14"/>
  <c r="D7" i="14"/>
  <c r="E7" i="14"/>
  <c r="F7" i="14"/>
  <c r="G7" i="14"/>
  <c r="H7" i="14"/>
  <c r="C7" i="14"/>
  <c r="C23" i="13"/>
  <c r="D23" i="13"/>
  <c r="E23" i="13"/>
  <c r="F23" i="13"/>
  <c r="B23" i="13"/>
  <c r="C22" i="13"/>
  <c r="D22" i="13"/>
  <c r="E22" i="13"/>
  <c r="F22" i="13"/>
  <c r="B22" i="13"/>
  <c r="C11" i="13"/>
  <c r="B11" i="13"/>
  <c r="E8" i="13"/>
  <c r="F8" i="13"/>
  <c r="D8" i="13"/>
  <c r="L44" i="12"/>
  <c r="L43" i="12"/>
  <c r="L42" i="12"/>
  <c r="L41" i="12"/>
  <c r="L40" i="12"/>
  <c r="L39" i="12"/>
  <c r="L38" i="12"/>
  <c r="N38" i="12"/>
  <c r="C29" i="12"/>
  <c r="D29" i="12"/>
  <c r="E29" i="12"/>
  <c r="F29" i="12"/>
  <c r="G29" i="12"/>
  <c r="H29" i="12"/>
  <c r="I29" i="12"/>
  <c r="J29" i="12"/>
  <c r="K29" i="12"/>
  <c r="B29" i="12"/>
  <c r="C26" i="12"/>
  <c r="D26" i="12"/>
  <c r="E26" i="12"/>
  <c r="F26" i="12"/>
  <c r="G26" i="12"/>
  <c r="H26" i="12"/>
  <c r="I26" i="12"/>
  <c r="J26" i="12"/>
  <c r="K26" i="12"/>
  <c r="B26" i="12"/>
  <c r="K28" i="12"/>
  <c r="J28" i="12"/>
  <c r="I28" i="12"/>
  <c r="H28" i="12"/>
  <c r="G28" i="12"/>
  <c r="F28" i="12"/>
  <c r="E28" i="12"/>
  <c r="D28" i="12"/>
  <c r="C28" i="12"/>
  <c r="B28" i="12"/>
  <c r="K27" i="12"/>
  <c r="J27" i="12"/>
  <c r="I27" i="12"/>
  <c r="H27" i="12"/>
  <c r="G27" i="12"/>
  <c r="F27" i="12"/>
  <c r="E27" i="12"/>
  <c r="B27" i="12"/>
  <c r="D27" i="12"/>
  <c r="C27" i="12"/>
  <c r="K25" i="12"/>
  <c r="J25" i="12"/>
  <c r="I25" i="12"/>
  <c r="H25" i="12"/>
  <c r="G25" i="12"/>
  <c r="F25" i="12"/>
  <c r="E25" i="12"/>
  <c r="D25" i="12"/>
  <c r="C25" i="12"/>
  <c r="B25" i="12"/>
  <c r="K24" i="12"/>
  <c r="J24" i="12"/>
  <c r="I24" i="12"/>
  <c r="H24" i="12"/>
  <c r="G24" i="12"/>
  <c r="F24" i="12"/>
  <c r="E24" i="12"/>
  <c r="D24" i="12"/>
  <c r="C24" i="12"/>
  <c r="B24" i="12"/>
  <c r="C21" i="12"/>
  <c r="D21" i="12"/>
  <c r="E21" i="12"/>
  <c r="F21" i="12"/>
  <c r="G21" i="12"/>
  <c r="H21" i="12"/>
  <c r="I21" i="12"/>
  <c r="J21" i="12"/>
  <c r="K21" i="12"/>
  <c r="B21" i="12"/>
  <c r="C8" i="11"/>
  <c r="D8" i="11"/>
  <c r="F8" i="11"/>
  <c r="G8" i="11"/>
  <c r="H8" i="11"/>
  <c r="E8" i="11"/>
  <c r="D14" i="11"/>
  <c r="E14" i="11"/>
  <c r="F14" i="11"/>
  <c r="G14" i="11"/>
  <c r="H14" i="11"/>
  <c r="C14" i="11"/>
  <c r="C9" i="11"/>
  <c r="F18" i="10"/>
  <c r="E9" i="10"/>
  <c r="D9" i="10"/>
  <c r="C9" i="10"/>
  <c r="F8" i="10"/>
  <c r="F7" i="10"/>
  <c r="F6" i="10"/>
  <c r="J19" i="9"/>
  <c r="H19" i="9"/>
  <c r="H18" i="9"/>
  <c r="H17" i="9"/>
  <c r="H16" i="9"/>
  <c r="H15" i="9"/>
  <c r="H14" i="9"/>
  <c r="H13" i="9"/>
  <c r="H12" i="9"/>
  <c r="H11" i="9"/>
  <c r="H10" i="9"/>
  <c r="H8" i="9"/>
  <c r="K45" i="8"/>
  <c r="K44" i="8"/>
  <c r="K43" i="8"/>
  <c r="H44" i="8"/>
  <c r="H45" i="8"/>
  <c r="H43" i="8"/>
  <c r="E44" i="8"/>
  <c r="E45" i="8"/>
  <c r="E43" i="8"/>
  <c r="I44" i="8"/>
  <c r="I45" i="8"/>
  <c r="I43" i="8"/>
  <c r="F44" i="8"/>
  <c r="F45" i="8"/>
  <c r="F43" i="8"/>
  <c r="C44" i="8"/>
  <c r="C45" i="8"/>
  <c r="C43" i="8"/>
  <c r="I38" i="8"/>
  <c r="I39" i="8"/>
  <c r="I37" i="8"/>
  <c r="F38" i="8"/>
  <c r="F39" i="8"/>
  <c r="F37" i="8"/>
  <c r="C38" i="8"/>
  <c r="C39" i="8"/>
  <c r="C37" i="8"/>
  <c r="J33" i="8"/>
  <c r="D13" i="8"/>
  <c r="E13" i="8"/>
  <c r="F13" i="8"/>
  <c r="G13" i="8"/>
  <c r="H13" i="8"/>
  <c r="I13" i="8"/>
  <c r="C13" i="8"/>
  <c r="C40" i="7"/>
  <c r="D40" i="7"/>
  <c r="E40" i="7"/>
  <c r="B40" i="7"/>
  <c r="E36" i="7"/>
  <c r="D36" i="7"/>
  <c r="C36" i="7"/>
  <c r="B36" i="7"/>
  <c r="C30" i="7"/>
  <c r="D30" i="7"/>
  <c r="E30" i="7"/>
  <c r="B30" i="7"/>
  <c r="C20" i="7"/>
  <c r="D20" i="7"/>
  <c r="E20" i="7"/>
  <c r="B20" i="7"/>
  <c r="E26" i="7"/>
  <c r="D26" i="7"/>
  <c r="C26" i="7"/>
  <c r="B26" i="7"/>
  <c r="E25" i="7"/>
  <c r="D25" i="7"/>
  <c r="C25" i="7"/>
  <c r="B25" i="7"/>
  <c r="E24" i="7"/>
  <c r="D24" i="7"/>
  <c r="C24" i="7"/>
  <c r="B24" i="7"/>
  <c r="E23" i="7"/>
  <c r="D23" i="7"/>
  <c r="C23" i="7"/>
  <c r="B23" i="7"/>
  <c r="F27" i="6"/>
  <c r="C35" i="6"/>
  <c r="D35" i="6"/>
  <c r="E35" i="6"/>
  <c r="B35" i="6"/>
  <c r="C31" i="6"/>
  <c r="D31" i="6"/>
  <c r="E31" i="6"/>
  <c r="B31" i="6"/>
  <c r="C20" i="6"/>
  <c r="D20" i="6"/>
  <c r="E20" i="6"/>
  <c r="B20" i="6"/>
  <c r="C26" i="6"/>
  <c r="D26" i="6"/>
  <c r="E26" i="6"/>
  <c r="B26" i="6"/>
  <c r="G26" i="6"/>
  <c r="E24" i="6"/>
  <c r="E25" i="6"/>
  <c r="E23" i="6"/>
  <c r="D24" i="6"/>
  <c r="D25" i="6"/>
  <c r="D23" i="6"/>
  <c r="C24" i="6"/>
  <c r="C25" i="6"/>
  <c r="C23" i="6"/>
  <c r="B25" i="6"/>
  <c r="B24" i="6"/>
  <c r="B23" i="6"/>
  <c r="Q4" i="5"/>
  <c r="Q5" i="5"/>
  <c r="Q6" i="5"/>
  <c r="Q7" i="5"/>
  <c r="Q8" i="5"/>
  <c r="Q9" i="5"/>
  <c r="Q10" i="5"/>
  <c r="Q11" i="5"/>
  <c r="Q12" i="5"/>
  <c r="Q13" i="5"/>
  <c r="Q3" i="5"/>
  <c r="O4" i="5"/>
  <c r="O5" i="5"/>
  <c r="O6" i="5"/>
  <c r="O7" i="5"/>
  <c r="O8" i="5"/>
  <c r="O9" i="5"/>
  <c r="O10" i="5"/>
  <c r="O11" i="5"/>
  <c r="O12" i="5"/>
  <c r="O13" i="5"/>
  <c r="O3" i="5"/>
  <c r="E40" i="5"/>
  <c r="F40" i="5"/>
  <c r="G40" i="5"/>
  <c r="H40" i="5"/>
  <c r="I40" i="5"/>
  <c r="J40" i="5"/>
  <c r="K40" i="5"/>
  <c r="L40" i="5"/>
  <c r="M40" i="5"/>
  <c r="N40" i="5"/>
  <c r="E41" i="5"/>
  <c r="F41" i="5"/>
  <c r="G41" i="5"/>
  <c r="H41" i="5"/>
  <c r="I41" i="5"/>
  <c r="J41" i="5"/>
  <c r="K41" i="5"/>
  <c r="L41" i="5"/>
  <c r="M41" i="5"/>
  <c r="N41" i="5"/>
  <c r="E42" i="5"/>
  <c r="F42" i="5"/>
  <c r="G42" i="5"/>
  <c r="H42" i="5"/>
  <c r="I42" i="5"/>
  <c r="J42" i="5"/>
  <c r="K42" i="5"/>
  <c r="L42" i="5"/>
  <c r="M42" i="5"/>
  <c r="N42" i="5"/>
  <c r="E43" i="5"/>
  <c r="F43" i="5"/>
  <c r="G43" i="5"/>
  <c r="H43" i="5"/>
  <c r="I43" i="5"/>
  <c r="J43" i="5"/>
  <c r="K43" i="5"/>
  <c r="L43" i="5"/>
  <c r="M43" i="5"/>
  <c r="N43" i="5"/>
  <c r="E44" i="5"/>
  <c r="F44" i="5"/>
  <c r="G44" i="5"/>
  <c r="H44" i="5"/>
  <c r="I44" i="5"/>
  <c r="J44" i="5"/>
  <c r="K44" i="5"/>
  <c r="L44" i="5"/>
  <c r="M44" i="5"/>
  <c r="N44" i="5"/>
  <c r="E45" i="5"/>
  <c r="F45" i="5"/>
  <c r="G45" i="5"/>
  <c r="H45" i="5"/>
  <c r="I45" i="5"/>
  <c r="J45" i="5"/>
  <c r="K45" i="5"/>
  <c r="L45" i="5"/>
  <c r="M45" i="5"/>
  <c r="N45" i="5"/>
  <c r="E46" i="5"/>
  <c r="F46" i="5"/>
  <c r="G46" i="5"/>
  <c r="H46" i="5"/>
  <c r="I46" i="5"/>
  <c r="J46" i="5"/>
  <c r="K46" i="5"/>
  <c r="L46" i="5"/>
  <c r="M46" i="5"/>
  <c r="N46" i="5"/>
  <c r="E47" i="5"/>
  <c r="F47" i="5"/>
  <c r="G47" i="5"/>
  <c r="H47" i="5"/>
  <c r="I47" i="5"/>
  <c r="J47" i="5"/>
  <c r="K47" i="5"/>
  <c r="L47" i="5"/>
  <c r="M47" i="5"/>
  <c r="N47" i="5"/>
  <c r="E48" i="5"/>
  <c r="F48" i="5"/>
  <c r="G48" i="5"/>
  <c r="H48" i="5"/>
  <c r="I48" i="5"/>
  <c r="J48" i="5"/>
  <c r="K48" i="5"/>
  <c r="L48" i="5"/>
  <c r="M48" i="5"/>
  <c r="N48" i="5"/>
  <c r="E49" i="5"/>
  <c r="F49" i="5"/>
  <c r="G49" i="5"/>
  <c r="H49" i="5"/>
  <c r="I49" i="5"/>
  <c r="J49" i="5"/>
  <c r="K49" i="5"/>
  <c r="L49" i="5"/>
  <c r="M49" i="5"/>
  <c r="N49" i="5"/>
  <c r="N39" i="5"/>
  <c r="M39" i="5"/>
  <c r="L39" i="5"/>
  <c r="K39" i="5"/>
  <c r="J39" i="5"/>
  <c r="I39" i="5"/>
  <c r="H39" i="5"/>
  <c r="G39" i="5"/>
  <c r="F39" i="5"/>
  <c r="E39" i="5"/>
  <c r="D40" i="5"/>
  <c r="D41" i="5"/>
  <c r="D42" i="5"/>
  <c r="D43" i="5"/>
  <c r="D44" i="5"/>
  <c r="D45" i="5"/>
  <c r="D46" i="5"/>
  <c r="D47" i="5"/>
  <c r="D48" i="5"/>
  <c r="D49" i="5"/>
  <c r="D39" i="5"/>
  <c r="D14" i="5"/>
  <c r="E14" i="5"/>
  <c r="F14" i="5"/>
  <c r="G14" i="5"/>
  <c r="H14" i="5"/>
  <c r="I14" i="5"/>
  <c r="J14" i="5"/>
  <c r="K14" i="5"/>
  <c r="L14" i="5"/>
  <c r="M14" i="5"/>
  <c r="N14" i="5"/>
  <c r="C14" i="5"/>
  <c r="J9" i="4"/>
  <c r="I9" i="4"/>
  <c r="H9" i="4"/>
  <c r="G9" i="4"/>
  <c r="F9" i="4"/>
  <c r="E9" i="4"/>
  <c r="D9" i="4"/>
  <c r="C9" i="4"/>
  <c r="K8" i="4"/>
  <c r="K7" i="4"/>
  <c r="K6" i="4"/>
  <c r="K5" i="4"/>
  <c r="K4" i="4"/>
  <c r="K3" i="4"/>
  <c r="K21" i="4"/>
  <c r="K10" i="1"/>
  <c r="K9" i="1"/>
  <c r="J10" i="1"/>
  <c r="J9" i="1"/>
  <c r="H3" i="1"/>
  <c r="H4" i="1"/>
  <c r="H2" i="1"/>
  <c r="E7" i="1"/>
  <c r="F7" i="1"/>
  <c r="G7" i="1"/>
  <c r="D7" i="1"/>
  <c r="H17" i="1"/>
  <c r="U36" i="32" l="1"/>
  <c r="P35" i="32"/>
  <c r="P21" i="32"/>
  <c r="O22" i="32"/>
  <c r="O23" i="32"/>
  <c r="O24" i="32"/>
  <c r="O25" i="32"/>
  <c r="O26" i="32"/>
  <c r="O27" i="32"/>
  <c r="O28" i="32"/>
  <c r="O29" i="32"/>
  <c r="O30" i="32"/>
  <c r="O31" i="32"/>
  <c r="O32" i="32"/>
  <c r="O33" i="32"/>
  <c r="O34" i="32"/>
  <c r="O35" i="32"/>
  <c r="O21" i="32"/>
  <c r="R22" i="32"/>
  <c r="S22" i="32"/>
  <c r="T22" i="32"/>
  <c r="R23" i="32"/>
  <c r="S23" i="32"/>
  <c r="T23" i="32"/>
  <c r="R24" i="32"/>
  <c r="S24" i="32"/>
  <c r="T24" i="32"/>
  <c r="R25" i="32"/>
  <c r="S25" i="32"/>
  <c r="T25" i="32"/>
  <c r="R26" i="32"/>
  <c r="S26" i="32"/>
  <c r="T26" i="32"/>
  <c r="R27" i="32"/>
  <c r="S27" i="32"/>
  <c r="T27" i="32"/>
  <c r="R28" i="32"/>
  <c r="S28" i="32"/>
  <c r="T28" i="32"/>
  <c r="R29" i="32"/>
  <c r="S29" i="32"/>
  <c r="T29" i="32"/>
  <c r="R30" i="32"/>
  <c r="S30" i="32"/>
  <c r="T30" i="32"/>
  <c r="R31" i="32"/>
  <c r="S31" i="32"/>
  <c r="T31" i="32"/>
  <c r="R32" i="32"/>
  <c r="S32" i="32"/>
  <c r="T32" i="32"/>
  <c r="R33" i="32"/>
  <c r="S33" i="32"/>
  <c r="T33" i="32"/>
  <c r="R34" i="32"/>
  <c r="S34" i="32"/>
  <c r="T34" i="32"/>
  <c r="R35" i="32"/>
  <c r="S35" i="32"/>
  <c r="T35" i="32"/>
  <c r="T21" i="32"/>
  <c r="S21" i="32"/>
  <c r="R21" i="32"/>
  <c r="Q22" i="32"/>
  <c r="Q23" i="32"/>
  <c r="Q24" i="32"/>
  <c r="Q25" i="32"/>
  <c r="Q26" i="32"/>
  <c r="Q27" i="32"/>
  <c r="Q28" i="32"/>
  <c r="Q29" i="32"/>
  <c r="Q30" i="32"/>
  <c r="Q31" i="32"/>
  <c r="Q32" i="32"/>
  <c r="Q33" i="32"/>
  <c r="Q34" i="32"/>
  <c r="Q35" i="32"/>
  <c r="Q21" i="32"/>
  <c r="P22" i="32"/>
  <c r="P23" i="32"/>
  <c r="P24" i="32"/>
  <c r="P25" i="32"/>
  <c r="P26" i="32"/>
  <c r="P27" i="32"/>
  <c r="P28" i="32"/>
  <c r="P29" i="32"/>
  <c r="P30" i="32"/>
  <c r="P31" i="32"/>
  <c r="P32" i="32"/>
  <c r="P33" i="32"/>
  <c r="P34" i="32"/>
  <c r="J36" i="32"/>
  <c r="E36" i="32"/>
  <c r="F36" i="32"/>
  <c r="H36" i="32"/>
  <c r="I36" i="32"/>
  <c r="D53" i="32" s="1"/>
  <c r="F53" i="32" s="1"/>
  <c r="G53" i="32" s="1"/>
  <c r="I53" i="32" s="1"/>
  <c r="C36" i="32"/>
  <c r="D36" i="32"/>
  <c r="D55" i="31"/>
  <c r="C51" i="31"/>
  <c r="C50" i="31"/>
  <c r="K45" i="31"/>
  <c r="K46" i="31"/>
  <c r="K47" i="31"/>
  <c r="K44" i="31"/>
  <c r="C45" i="31"/>
  <c r="C46" i="31"/>
  <c r="C47" i="31"/>
  <c r="C44" i="31"/>
  <c r="K31" i="31"/>
  <c r="K32" i="31"/>
  <c r="K33" i="31"/>
  <c r="K30" i="31"/>
  <c r="D31" i="31"/>
  <c r="D32" i="31"/>
  <c r="D33" i="31"/>
  <c r="L32" i="31"/>
  <c r="D44" i="31"/>
  <c r="D30" i="31"/>
  <c r="L47" i="31"/>
  <c r="L46" i="31"/>
  <c r="L45" i="31"/>
  <c r="L44" i="31"/>
  <c r="D40" i="31"/>
  <c r="D56" i="31" s="1"/>
  <c r="F16" i="30"/>
  <c r="G27" i="30"/>
  <c r="C27" i="30"/>
  <c r="F17" i="30"/>
  <c r="F15" i="30"/>
  <c r="G34" i="29"/>
  <c r="G35" i="29"/>
  <c r="I35" i="29" s="1"/>
  <c r="G33" i="29"/>
  <c r="I33" i="29" s="1"/>
  <c r="F12" i="28"/>
  <c r="G12" i="28"/>
  <c r="H26" i="28"/>
  <c r="H6" i="26"/>
  <c r="I6" i="26" s="1"/>
  <c r="K6" i="26" s="1"/>
  <c r="H4" i="26"/>
  <c r="I4" i="26" s="1"/>
  <c r="K4" i="26" s="1"/>
  <c r="H5" i="26"/>
  <c r="I5" i="26" s="1"/>
  <c r="K5" i="26" s="1"/>
  <c r="D26" i="25"/>
  <c r="D27" i="25"/>
  <c r="D29" i="25"/>
  <c r="D24" i="25"/>
  <c r="M35" i="25"/>
  <c r="D25" i="25"/>
  <c r="D28" i="25"/>
  <c r="D40" i="25"/>
  <c r="C18" i="22"/>
  <c r="F7" i="21"/>
  <c r="F8" i="21"/>
  <c r="F10" i="21"/>
  <c r="F6" i="21"/>
  <c r="F5" i="21"/>
  <c r="D3" i="20"/>
  <c r="C24" i="20"/>
  <c r="G21" i="20"/>
  <c r="C10" i="19"/>
  <c r="D4" i="19" s="1"/>
  <c r="C20" i="19"/>
  <c r="C25" i="18"/>
  <c r="C24" i="18"/>
  <c r="C26" i="18"/>
  <c r="C22" i="18"/>
  <c r="C23" i="18"/>
  <c r="B32" i="18"/>
  <c r="H46" i="17"/>
  <c r="C39" i="17"/>
  <c r="C24" i="17"/>
  <c r="E24" i="17" s="1"/>
  <c r="C25" i="17"/>
  <c r="E25" i="17" s="1"/>
  <c r="C26" i="17"/>
  <c r="E26" i="17" s="1"/>
  <c r="C27" i="17"/>
  <c r="E27" i="17" s="1"/>
  <c r="C28" i="17"/>
  <c r="E28" i="17" s="1"/>
  <c r="C23" i="17"/>
  <c r="E23" i="17" s="1"/>
  <c r="N8" i="15"/>
  <c r="L8" i="15"/>
  <c r="S5" i="15"/>
  <c r="D13" i="15"/>
  <c r="E13" i="15"/>
  <c r="F13" i="15"/>
  <c r="G13" i="15"/>
  <c r="H13" i="15"/>
  <c r="C13" i="15"/>
  <c r="I5" i="15"/>
  <c r="I9" i="14"/>
  <c r="I7" i="14"/>
  <c r="G23" i="13"/>
  <c r="E11" i="13"/>
  <c r="F11" i="13"/>
  <c r="D11" i="13"/>
  <c r="C33" i="12"/>
  <c r="D33" i="12"/>
  <c r="E33" i="12"/>
  <c r="F33" i="12"/>
  <c r="G33" i="12"/>
  <c r="H33" i="12"/>
  <c r="I33" i="12"/>
  <c r="J33" i="12"/>
  <c r="K33" i="12"/>
  <c r="B33" i="12"/>
  <c r="C32" i="12"/>
  <c r="F32" i="12"/>
  <c r="H32" i="12"/>
  <c r="J32" i="12"/>
  <c r="K32" i="12"/>
  <c r="D31" i="12"/>
  <c r="H31" i="12"/>
  <c r="I31" i="12"/>
  <c r="K31" i="12"/>
  <c r="B32" i="12"/>
  <c r="D32" i="12"/>
  <c r="E31" i="12"/>
  <c r="E32" i="12"/>
  <c r="G32" i="12"/>
  <c r="I32" i="12"/>
  <c r="C31" i="12"/>
  <c r="F31" i="12"/>
  <c r="G31" i="12"/>
  <c r="J31" i="12"/>
  <c r="B31" i="12"/>
  <c r="C13" i="11"/>
  <c r="D4" i="11"/>
  <c r="D9" i="11" s="1"/>
  <c r="E25" i="8"/>
  <c r="D25" i="8"/>
  <c r="C25" i="8"/>
  <c r="D20" i="8"/>
  <c r="D19" i="8"/>
  <c r="D18" i="8"/>
  <c r="G20" i="8"/>
  <c r="G19" i="8"/>
  <c r="G18" i="8"/>
  <c r="I19" i="8"/>
  <c r="I20" i="8"/>
  <c r="H19" i="8"/>
  <c r="H20" i="8"/>
  <c r="H18" i="8"/>
  <c r="F19" i="8"/>
  <c r="F20" i="8"/>
  <c r="P19" i="8" s="1"/>
  <c r="F18" i="8"/>
  <c r="P17" i="8" s="1"/>
  <c r="E19" i="8"/>
  <c r="E20" i="8"/>
  <c r="E18" i="8"/>
  <c r="C19" i="8"/>
  <c r="C20" i="8"/>
  <c r="C18" i="8"/>
  <c r="I18" i="8"/>
  <c r="F30" i="7"/>
  <c r="G26" i="7"/>
  <c r="F26" i="7" s="1"/>
  <c r="G25" i="7"/>
  <c r="F25" i="7" s="1"/>
  <c r="G24" i="7"/>
  <c r="F24" i="7" s="1"/>
  <c r="G23" i="7"/>
  <c r="F23" i="7" s="1"/>
  <c r="F20" i="7"/>
  <c r="F20" i="6"/>
  <c r="G25" i="6"/>
  <c r="F25" i="6" s="1"/>
  <c r="G24" i="6"/>
  <c r="F24" i="6" s="1"/>
  <c r="G23" i="6"/>
  <c r="F23" i="6" s="1"/>
  <c r="F26" i="6"/>
  <c r="O49" i="5"/>
  <c r="L10" i="1"/>
  <c r="L9" i="1"/>
  <c r="U38" i="32" l="1"/>
  <c r="Q36" i="32"/>
  <c r="Q38" i="32" s="1"/>
  <c r="O36" i="32"/>
  <c r="O38" i="32" s="1"/>
  <c r="D52" i="32"/>
  <c r="F52" i="32" s="1"/>
  <c r="G52" i="32" s="1"/>
  <c r="I52" i="32" s="1"/>
  <c r="T36" i="32"/>
  <c r="T38" i="32" s="1"/>
  <c r="R36" i="32"/>
  <c r="R38" i="32" s="1"/>
  <c r="P36" i="32"/>
  <c r="P38" i="32" s="1"/>
  <c r="S36" i="32"/>
  <c r="S38" i="32" s="1"/>
  <c r="C40" i="32"/>
  <c r="D48" i="32"/>
  <c r="F48" i="32" s="1"/>
  <c r="G48" i="32" s="1"/>
  <c r="I48" i="32" s="1"/>
  <c r="C41" i="32"/>
  <c r="D49" i="32"/>
  <c r="F49" i="32" s="1"/>
  <c r="G49" i="32" s="1"/>
  <c r="I49" i="32" s="1"/>
  <c r="H38" i="32"/>
  <c r="D50" i="32"/>
  <c r="F50" i="32" s="1"/>
  <c r="G50" i="32" s="1"/>
  <c r="I50" i="32" s="1"/>
  <c r="C39" i="32"/>
  <c r="D47" i="32"/>
  <c r="F47" i="32" s="1"/>
  <c r="G47" i="32" s="1"/>
  <c r="I47" i="32" s="1"/>
  <c r="D46" i="32"/>
  <c r="F46" i="32" s="1"/>
  <c r="G46" i="32" s="1"/>
  <c r="I46" i="32" s="1"/>
  <c r="C38" i="32"/>
  <c r="D51" i="31"/>
  <c r="D58" i="31" s="1"/>
  <c r="E33" i="31"/>
  <c r="D45" i="31"/>
  <c r="P45" i="31" s="1"/>
  <c r="D46" i="31"/>
  <c r="P46" i="31" s="1"/>
  <c r="L31" i="31"/>
  <c r="L30" i="31"/>
  <c r="P44" i="31"/>
  <c r="D47" i="31"/>
  <c r="P47" i="31" s="1"/>
  <c r="L33" i="31"/>
  <c r="G28" i="30"/>
  <c r="I34" i="29"/>
  <c r="J35" i="29"/>
  <c r="E29" i="25"/>
  <c r="G40" i="25" s="1"/>
  <c r="G27" i="22"/>
  <c r="D11" i="20"/>
  <c r="C24" i="19"/>
  <c r="D6" i="19"/>
  <c r="D10" i="19" s="1"/>
  <c r="D20" i="19"/>
  <c r="C27" i="18"/>
  <c r="F42" i="18" s="1"/>
  <c r="E29" i="17"/>
  <c r="C49" i="17" s="1"/>
  <c r="I13" i="15"/>
  <c r="I15" i="15" s="1"/>
  <c r="K34" i="12"/>
  <c r="H34" i="12"/>
  <c r="C34" i="12"/>
  <c r="F34" i="12"/>
  <c r="G34" i="12"/>
  <c r="L33" i="12"/>
  <c r="J34" i="12"/>
  <c r="E34" i="12"/>
  <c r="L32" i="12"/>
  <c r="D34" i="12"/>
  <c r="I34" i="12"/>
  <c r="B34" i="12"/>
  <c r="E4" i="11"/>
  <c r="D13" i="11"/>
  <c r="F25" i="8"/>
  <c r="L33" i="8" s="1"/>
  <c r="S19" i="8"/>
  <c r="S18" i="8"/>
  <c r="P18" i="8"/>
  <c r="S17" i="8"/>
  <c r="M18" i="8"/>
  <c r="M19" i="8"/>
  <c r="M17" i="8"/>
  <c r="F27" i="7"/>
  <c r="F32" i="7" s="1"/>
  <c r="F28" i="6"/>
  <c r="O39" i="32" l="1"/>
  <c r="D51" i="32" s="1"/>
  <c r="F51" i="32" s="1"/>
  <c r="G51" i="32" s="1"/>
  <c r="I51" i="32" s="1"/>
  <c r="I54" i="32" s="1"/>
  <c r="M33" i="31"/>
  <c r="D57" i="31" s="1"/>
  <c r="D59" i="31" s="1"/>
  <c r="M6" i="26"/>
  <c r="M5" i="26"/>
  <c r="M4" i="26"/>
  <c r="D24" i="20"/>
  <c r="E3" i="20"/>
  <c r="D24" i="19"/>
  <c r="E4" i="19"/>
  <c r="L34" i="12"/>
  <c r="E9" i="11"/>
  <c r="E11" i="20" l="1"/>
  <c r="F3" i="20" s="1"/>
  <c r="E6" i="19"/>
  <c r="E10" i="19" s="1"/>
  <c r="E20" i="19"/>
  <c r="F4" i="11"/>
  <c r="E13" i="11"/>
  <c r="E24" i="20" l="1"/>
  <c r="E24" i="19"/>
  <c r="F4" i="19"/>
  <c r="F9" i="11"/>
  <c r="F11" i="20" l="1"/>
  <c r="F6" i="19"/>
  <c r="F10" i="19" s="1"/>
  <c r="F20" i="19"/>
  <c r="G4" i="11"/>
  <c r="G9" i="11" s="1"/>
  <c r="F13" i="11"/>
  <c r="F24" i="20" l="1"/>
  <c r="G26" i="20" s="1"/>
  <c r="F24" i="19"/>
  <c r="G4" i="19"/>
  <c r="G13" i="11"/>
  <c r="H4" i="11"/>
  <c r="H9" i="11" s="1"/>
  <c r="H13" i="11" s="1"/>
  <c r="G6" i="19" l="1"/>
  <c r="G10" i="19" s="1"/>
  <c r="I1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8" authorId="0" shapeId="0" xr:uid="{56A618D2-6FD9-4109-8BA2-DD09F71E7397}">
      <text>
        <r>
          <rPr>
            <b/>
            <sz val="9"/>
            <color indexed="81"/>
            <rFont val="Tahoma"/>
            <family val="2"/>
          </rPr>
          <t>Admin:</t>
        </r>
        <r>
          <rPr>
            <sz val="9"/>
            <color indexed="81"/>
            <rFont val="Tahoma"/>
            <family val="2"/>
          </rPr>
          <t xml:space="preserve">
We want 0 in this case since I dontmind more profit. The same logic we could apply to the cost, since I don’t mid having less cost. Or I may don’t mind producing more units. I need to read the instructions to determine this what I don't mind I must put  0 in weight
</t>
        </r>
      </text>
    </comment>
  </commentList>
</comments>
</file>

<file path=xl/sharedStrings.xml><?xml version="1.0" encoding="utf-8"?>
<sst xmlns="http://schemas.openxmlformats.org/spreadsheetml/2006/main" count="1653" uniqueCount="497">
  <si>
    <t>FROM</t>
  </si>
  <si>
    <t>CHARLOTTE</t>
  </si>
  <si>
    <t>RICHMOND</t>
  </si>
  <si>
    <t>Albany</t>
  </si>
  <si>
    <t>Boston</t>
  </si>
  <si>
    <t>Hartford</t>
  </si>
  <si>
    <t>DALLAS</t>
  </si>
  <si>
    <t>LOUISVILLE</t>
  </si>
  <si>
    <t>MEMPHIS</t>
  </si>
  <si>
    <t>NASHVILLE</t>
  </si>
  <si>
    <t>Charlotte</t>
  </si>
  <si>
    <t>Richmond</t>
  </si>
  <si>
    <t>RICHMOND</t>
    <phoneticPr fontId="4" type="noConversion"/>
  </si>
  <si>
    <t>=</t>
  </si>
  <si>
    <t>=</t>
    <phoneticPr fontId="4" type="noConversion"/>
  </si>
  <si>
    <t>FROM/TO</t>
    <phoneticPr fontId="4" type="noConversion"/>
  </si>
  <si>
    <t>Total demand</t>
    <phoneticPr fontId="4" type="noConversion"/>
  </si>
  <si>
    <t>Total supply</t>
    <phoneticPr fontId="4" type="noConversion"/>
  </si>
  <si>
    <t>Net movement</t>
    <phoneticPr fontId="4" type="noConversion"/>
  </si>
  <si>
    <t>Inflow</t>
    <phoneticPr fontId="4" type="noConversion"/>
  </si>
  <si>
    <t>Outflow</t>
    <phoneticPr fontId="4" type="noConversion"/>
  </si>
  <si>
    <t>&lt;=</t>
  </si>
  <si>
    <t>School 1</t>
  </si>
  <si>
    <t>School 2</t>
  </si>
  <si>
    <t>School 3</t>
  </si>
  <si>
    <t>School 4</t>
  </si>
  <si>
    <t>School 5</t>
  </si>
  <si>
    <t>School 6</t>
  </si>
  <si>
    <t>School 7</t>
  </si>
  <si>
    <t>School 8</t>
  </si>
  <si>
    <t>Company 1</t>
  </si>
  <si>
    <t>Company 2</t>
  </si>
  <si>
    <t>Company 3</t>
  </si>
  <si>
    <t>Company 4</t>
  </si>
  <si>
    <t>Company 5</t>
  </si>
  <si>
    <t>Company 6</t>
  </si>
  <si>
    <t>Total cost</t>
    <phoneticPr fontId="4" type="noConversion"/>
  </si>
  <si>
    <t>&lt;=</t>
    <phoneticPr fontId="4" type="noConversion"/>
  </si>
  <si>
    <t>Chicago</t>
  </si>
  <si>
    <t>Dallas</t>
  </si>
  <si>
    <t>Denver</t>
  </si>
  <si>
    <t>Los Angeles</t>
  </si>
  <si>
    <t>Miami</t>
  </si>
  <si>
    <t>New York</t>
  </si>
  <si>
    <t>Phoenix</t>
  </si>
  <si>
    <t>Pittsburgh</t>
  </si>
  <si>
    <t>San Francisco</t>
  </si>
  <si>
    <t>Seattle</t>
  </si>
  <si>
    <t>Put office?</t>
    <phoneticPr fontId="4" type="noConversion"/>
  </si>
  <si>
    <t>Client</t>
    <phoneticPr fontId="4" type="noConversion"/>
  </si>
  <si>
    <t>Office</t>
    <phoneticPr fontId="4" type="noConversion"/>
  </si>
  <si>
    <t>Yearly travell</t>
    <phoneticPr fontId="4" type="noConversion"/>
  </si>
  <si>
    <t>Total travel distance</t>
    <phoneticPr fontId="4" type="noConversion"/>
  </si>
  <si>
    <t>Material</t>
  </si>
  <si>
    <t>Cost per yard</t>
  </si>
  <si>
    <t>Yards available per month</t>
  </si>
  <si>
    <t>Silk</t>
  </si>
  <si>
    <t>Polyester</t>
  </si>
  <si>
    <t>Cotton</t>
  </si>
  <si>
    <t>Product Data</t>
  </si>
  <si>
    <t>Type of Tie</t>
  </si>
  <si>
    <t>Blend 1</t>
  </si>
  <si>
    <t>Blend 2</t>
  </si>
  <si>
    <t>Selling Price (per tie)</t>
  </si>
  <si>
    <t>Monthly Minimum</t>
  </si>
  <si>
    <t>Monthly Demand</t>
  </si>
  <si>
    <t>Total material (yards per tie)</t>
  </si>
  <si>
    <t>Material Requirements (yards per tie)</t>
  </si>
  <si>
    <t>Blend 1 (50/50)</t>
  </si>
  <si>
    <t>Blend 2 (30/70)</t>
  </si>
  <si>
    <t>Total yards</t>
  </si>
  <si>
    <t>Production amount</t>
    <phoneticPr fontId="4" type="noConversion"/>
  </si>
  <si>
    <t>Production</t>
    <phoneticPr fontId="4" type="noConversion"/>
  </si>
  <si>
    <t>Cost</t>
  </si>
  <si>
    <t>Cost</t>
    <phoneticPr fontId="4" type="noConversion"/>
  </si>
  <si>
    <t>Totalprod cost</t>
    <phoneticPr fontId="4" type="noConversion"/>
  </si>
  <si>
    <t>Total material consumed</t>
    <phoneticPr fontId="4" type="noConversion"/>
  </si>
  <si>
    <t>Labor cost</t>
    <phoneticPr fontId="4" type="noConversion"/>
  </si>
  <si>
    <t>Total revenue</t>
    <phoneticPr fontId="4" type="noConversion"/>
  </si>
  <si>
    <t>&gt;=</t>
  </si>
  <si>
    <t>&gt;=</t>
    <phoneticPr fontId="4" type="noConversion"/>
  </si>
  <si>
    <t>Net profit</t>
    <phoneticPr fontId="4" type="noConversion"/>
  </si>
  <si>
    <t>Produce</t>
    <phoneticPr fontId="4" type="noConversion"/>
  </si>
  <si>
    <t>Buy</t>
    <phoneticPr fontId="4" type="noConversion"/>
  </si>
  <si>
    <t>Production ccost</t>
    <phoneticPr fontId="4" type="noConversion"/>
  </si>
  <si>
    <t>Buying cost/per unit</t>
    <phoneticPr fontId="4" type="noConversion"/>
  </si>
  <si>
    <t>Total prod cost</t>
    <phoneticPr fontId="4" type="noConversion"/>
  </si>
  <si>
    <t>Total purchase cost</t>
    <phoneticPr fontId="4" type="noConversion"/>
  </si>
  <si>
    <t>Total amount</t>
    <phoneticPr fontId="4" type="noConversion"/>
  </si>
  <si>
    <t>Men's</t>
  </si>
  <si>
    <t>Women's</t>
  </si>
  <si>
    <t>Junior's</t>
  </si>
  <si>
    <t>Titanium</t>
  </si>
  <si>
    <t>Aluminum</t>
  </si>
  <si>
    <t>Rock Maple</t>
  </si>
  <si>
    <t>Daytona</t>
  </si>
  <si>
    <t>Memphis</t>
  </si>
  <si>
    <t>Tempe</t>
  </si>
  <si>
    <t>Number of Club Sets Ordered</t>
  </si>
  <si>
    <t>Sacramento</t>
  </si>
  <si>
    <t>Resource available</t>
    <phoneticPr fontId="4" type="noConversion"/>
  </si>
  <si>
    <t>Shipping Costs</t>
  </si>
  <si>
    <t>To\From</t>
  </si>
  <si>
    <t>Total production</t>
    <phoneticPr fontId="4" type="noConversion"/>
  </si>
  <si>
    <t>Revenue</t>
    <phoneticPr fontId="4" type="noConversion"/>
  </si>
  <si>
    <t>Men</t>
    <phoneticPr fontId="4" type="noConversion"/>
  </si>
  <si>
    <t>Women</t>
    <phoneticPr fontId="4" type="noConversion"/>
  </si>
  <si>
    <t>Junior</t>
    <phoneticPr fontId="4" type="noConversion"/>
  </si>
  <si>
    <t>Price/unit</t>
    <phoneticPr fontId="4" type="noConversion"/>
  </si>
  <si>
    <t>Total</t>
  </si>
  <si>
    <t>Total</t>
    <phoneticPr fontId="4" type="noConversion"/>
  </si>
  <si>
    <t>Maximun amount</t>
    <phoneticPr fontId="4" type="noConversion"/>
  </si>
  <si>
    <t>Minimun amount</t>
    <phoneticPr fontId="4" type="noConversion"/>
  </si>
  <si>
    <t>9-10</t>
  </si>
  <si>
    <t>10-11</t>
  </si>
  <si>
    <t>11-12</t>
  </si>
  <si>
    <t>Hong Kong Bank</t>
  </si>
  <si>
    <t>Scheduling Problem</t>
  </si>
  <si>
    <t>FT</t>
  </si>
  <si>
    <t>PT 9</t>
  </si>
  <si>
    <t>PT 10</t>
  </si>
  <si>
    <t>PT 11</t>
  </si>
  <si>
    <t>PT 12</t>
  </si>
  <si>
    <t>PT 1</t>
  </si>
  <si>
    <t>How Many Tellers</t>
  </si>
  <si>
    <t>Actual</t>
  </si>
  <si>
    <t>Sign</t>
  </si>
  <si>
    <t>Limit</t>
  </si>
  <si>
    <t>12-1</t>
  </si>
  <si>
    <t>1-2</t>
  </si>
  <si>
    <t>2-3</t>
  </si>
  <si>
    <t>3-4</t>
  </si>
  <si>
    <t>4-5</t>
  </si>
  <si>
    <t>Max Full Time</t>
  </si>
  <si>
    <t>Part-time limt</t>
  </si>
  <si>
    <t>ALBUQUERQUE</t>
  </si>
  <si>
    <t>BOSTON</t>
  </si>
  <si>
    <t>CLEVELAND</t>
  </si>
  <si>
    <t>Des Moines</t>
  </si>
  <si>
    <t>Evansville</t>
  </si>
  <si>
    <t>Fort Lauderdale</t>
  </si>
  <si>
    <t>FROM/To</t>
    <phoneticPr fontId="4" type="noConversion"/>
  </si>
  <si>
    <t>Jan</t>
  </si>
  <si>
    <t>Feb</t>
  </si>
  <si>
    <t>Mar</t>
  </si>
  <si>
    <t>April</t>
  </si>
  <si>
    <t>May</t>
  </si>
  <si>
    <t>June</t>
  </si>
  <si>
    <t>Start</t>
    <phoneticPr fontId="4" type="noConversion"/>
  </si>
  <si>
    <t>Final</t>
    <phoneticPr fontId="4" type="noConversion"/>
  </si>
  <si>
    <t>Used/Demand</t>
    <phoneticPr fontId="4" type="noConversion"/>
  </si>
  <si>
    <t>order?</t>
    <phoneticPr fontId="4" type="noConversion"/>
  </si>
  <si>
    <t>Fixed order cost</t>
    <phoneticPr fontId="4" type="noConversion"/>
  </si>
  <si>
    <t>Inventory cost</t>
    <phoneticPr fontId="4" type="noConversion"/>
  </si>
  <si>
    <t>--&gt;Cannot be equal to zero</t>
  </si>
  <si>
    <t>Max allowed order</t>
    <phoneticPr fontId="4" type="noConversion"/>
  </si>
  <si>
    <t>Ordered quant</t>
    <phoneticPr fontId="4" type="noConversion"/>
  </si>
  <si>
    <t>Film</t>
  </si>
  <si>
    <t>Rating</t>
  </si>
  <si>
    <t>Type</t>
  </si>
  <si>
    <t>Two-Edge Spoon</t>
  </si>
  <si>
    <t>PG-13</t>
  </si>
  <si>
    <t>Action</t>
  </si>
  <si>
    <t>Princess Donut</t>
  </si>
  <si>
    <t>R</t>
  </si>
  <si>
    <t>Drama</t>
  </si>
  <si>
    <t>The Nap</t>
  </si>
  <si>
    <t>PG</t>
  </si>
  <si>
    <t>Dungeon Crawler</t>
  </si>
  <si>
    <t>Comedy</t>
  </si>
  <si>
    <t>The Plant</t>
  </si>
  <si>
    <t>Captain Kidding</t>
  </si>
  <si>
    <t>Oh Yeah!</t>
  </si>
  <si>
    <t>The Money Tree</t>
  </si>
  <si>
    <t>Mongo</t>
  </si>
  <si>
    <t>The Fez</t>
  </si>
  <si>
    <t>No Name Cast Cost</t>
    <phoneticPr fontId="4" type="noConversion"/>
  </si>
  <si>
    <t>No Name Cast Box Office Gross</t>
    <phoneticPr fontId="4" type="noConversion"/>
  </si>
  <si>
    <t xml:space="preserve"> Big Star Cast Cost</t>
    <phoneticPr fontId="4" type="noConversion"/>
  </si>
  <si>
    <t>Big Star Cast Box Office Gross</t>
    <phoneticPr fontId="4" type="noConversion"/>
  </si>
  <si>
    <t>Star version</t>
    <phoneticPr fontId="4" type="noConversion"/>
  </si>
  <si>
    <t>Normal version</t>
    <phoneticPr fontId="4" type="noConversion"/>
  </si>
  <si>
    <t>Decision control</t>
    <phoneticPr fontId="4" type="noConversion"/>
  </si>
  <si>
    <t>No Name Adv</t>
    <phoneticPr fontId="4" type="noConversion"/>
  </si>
  <si>
    <t>Star Adv</t>
    <phoneticPr fontId="4" type="noConversion"/>
  </si>
  <si>
    <t>Production cost</t>
    <phoneticPr fontId="4" type="noConversion"/>
  </si>
  <si>
    <t>Advertising cost</t>
    <phoneticPr fontId="4" type="noConversion"/>
  </si>
  <si>
    <t>Budget</t>
    <phoneticPr fontId="4" type="noConversion"/>
  </si>
  <si>
    <t>1. At least half the films produced should have a rating of PG or PG-13.</t>
  </si>
  <si>
    <t>2. At least two comedies are to be produced.</t>
  </si>
  <si>
    <t>4. At least one drama is to be produced.</t>
  </si>
  <si>
    <t>5. At least two films should have big-name casts.</t>
  </si>
  <si>
    <t>6. At least two PG films should be produced.</t>
  </si>
  <si>
    <t>7. At least one action movie with a big-name cast should be produced.</t>
  </si>
  <si>
    <t>Plan to produce</t>
    <phoneticPr fontId="4" type="noConversion"/>
  </si>
  <si>
    <t>Mongo</t>
    <phoneticPr fontId="4" type="noConversion"/>
  </si>
  <si>
    <t>The Fez</t>
    <phoneticPr fontId="4" type="noConversion"/>
  </si>
  <si>
    <r>
      <t>3. If </t>
    </r>
    <r>
      <rPr>
        <b/>
        <i/>
        <sz val="11"/>
        <color theme="1"/>
        <rFont val="等线"/>
        <family val="3"/>
        <charset val="134"/>
        <scheme val="minor"/>
      </rPr>
      <t>Mongo </t>
    </r>
    <r>
      <rPr>
        <b/>
        <sz val="11"/>
        <color theme="1"/>
        <rFont val="等线"/>
        <family val="3"/>
        <charset val="134"/>
        <scheme val="minor"/>
      </rPr>
      <t xml:space="preserve">is produced, The Fez </t>
    </r>
    <r>
      <rPr>
        <b/>
        <i/>
        <sz val="11"/>
        <color theme="1"/>
        <rFont val="等线"/>
        <family val="3"/>
        <charset val="134"/>
        <scheme val="minor"/>
      </rPr>
      <t> </t>
    </r>
    <r>
      <rPr>
        <b/>
        <sz val="11"/>
        <color theme="1"/>
        <rFont val="等线"/>
        <family val="3"/>
        <charset val="134"/>
        <scheme val="minor"/>
      </rPr>
      <t>will not be.</t>
    </r>
    <phoneticPr fontId="4" type="noConversion"/>
  </si>
  <si>
    <t>Product</t>
  </si>
  <si>
    <t>A</t>
  </si>
  <si>
    <t>B</t>
  </si>
  <si>
    <t>Available resources</t>
  </si>
  <si>
    <t>Labor(hr/unit)</t>
  </si>
  <si>
    <t>Material(ounces/unit)</t>
  </si>
  <si>
    <t>Profit($/unit)</t>
  </si>
  <si>
    <t>Actual</t>
    <phoneticPr fontId="4" type="noConversion"/>
  </si>
  <si>
    <t>+Under</t>
    <phoneticPr fontId="4" type="noConversion"/>
  </si>
  <si>
    <t>-Over</t>
    <phoneticPr fontId="4" type="noConversion"/>
  </si>
  <si>
    <t>Goal</t>
    <phoneticPr fontId="4" type="noConversion"/>
  </si>
  <si>
    <t>Targets</t>
    <phoneticPr fontId="4" type="noConversion"/>
  </si>
  <si>
    <t>Total % of deviation</t>
    <phoneticPr fontId="4" type="noConversion"/>
  </si>
  <si>
    <t>%Deviation</t>
    <phoneticPr fontId="4" type="noConversion"/>
  </si>
  <si>
    <t>Weights</t>
    <phoneticPr fontId="4" type="noConversion"/>
  </si>
  <si>
    <t>Cu. ft. per lb</t>
  </si>
  <si>
    <t>Amount to load</t>
    <phoneticPr fontId="4" type="noConversion"/>
  </si>
  <si>
    <t>Value of the load</t>
    <phoneticPr fontId="4" type="noConversion"/>
  </si>
  <si>
    <t>Value per pound</t>
    <phoneticPr fontId="4" type="noConversion"/>
  </si>
  <si>
    <t>Cu. ft. per lb of load</t>
    <phoneticPr fontId="4" type="noConversion"/>
  </si>
  <si>
    <t>Pounds available</t>
    <phoneticPr fontId="4" type="noConversion"/>
  </si>
  <si>
    <t>Truck 1</t>
    <phoneticPr fontId="4" type="noConversion"/>
  </si>
  <si>
    <t>Truck 2</t>
    <phoneticPr fontId="4" type="noConversion"/>
  </si>
  <si>
    <t>T1 weight</t>
    <phoneticPr fontId="4" type="noConversion"/>
  </si>
  <si>
    <t>T2 weight</t>
    <phoneticPr fontId="4" type="noConversion"/>
  </si>
  <si>
    <t>Fixed cost</t>
    <phoneticPr fontId="4" type="noConversion"/>
  </si>
  <si>
    <t>There is a demand of 450 for chair, and we also need to produce at least 100 units of table.</t>
  </si>
  <si>
    <t>Tabes</t>
    <phoneticPr fontId="4" type="noConversion"/>
  </si>
  <si>
    <t>Chairs</t>
    <phoneticPr fontId="4" type="noConversion"/>
  </si>
  <si>
    <t>Amoutn to produce</t>
    <phoneticPr fontId="4" type="noConversion"/>
  </si>
  <si>
    <t>Price</t>
    <phoneticPr fontId="4" type="noConversion"/>
  </si>
  <si>
    <t>Painting</t>
    <phoneticPr fontId="4" type="noConversion"/>
  </si>
  <si>
    <t>2400 Human hours (3 hours required for tables and 4 for charis) can be assign for painting of the tables and chairs and 1000 (2 hours for table and 1 hour for chairs) human hours can be assign to the carpentering part of the productions process.</t>
    <phoneticPr fontId="4" type="noConversion"/>
  </si>
  <si>
    <t>carpentering</t>
  </si>
  <si>
    <t>Max chair</t>
    <phoneticPr fontId="4" type="noConversion"/>
  </si>
  <si>
    <t>min table</t>
    <phoneticPr fontId="4" type="noConversion"/>
  </si>
  <si>
    <t>Table 1</t>
  </si>
  <si>
    <t>Plant</t>
  </si>
  <si>
    <t>Variable Cost</t>
  </si>
  <si>
    <t>Fixed Operating</t>
  </si>
  <si>
    <t>Fixed Non-operating</t>
  </si>
  <si>
    <t>Plant 1, regular time</t>
  </si>
  <si>
    <t>Plant 1, Overtime</t>
  </si>
  <si>
    <t>Plant 2, regular time</t>
  </si>
  <si>
    <t>Plant 2, Overtime</t>
  </si>
  <si>
    <t>Plant 3, regular time</t>
  </si>
  <si>
    <t>Plant 3, Overtime</t>
  </si>
  <si>
    <t>Table 2</t>
  </si>
  <si>
    <t>From\To ($/Unit)</t>
  </si>
  <si>
    <t>Wing 1</t>
  </si>
  <si>
    <t>Wing 2</t>
  </si>
  <si>
    <t>Wing 3</t>
  </si>
  <si>
    <t>Wing 4</t>
  </si>
  <si>
    <t>Wing 5</t>
  </si>
  <si>
    <t>Plant 1</t>
  </si>
  <si>
    <t>Plant 2</t>
  </si>
  <si>
    <t>Plant 3</t>
  </si>
  <si>
    <t>Total receive</t>
    <phoneticPr fontId="4" type="noConversion"/>
  </si>
  <si>
    <t>Plant 3 Overtime</t>
    <phoneticPr fontId="4" type="noConversion"/>
  </si>
  <si>
    <t>Plant 1</t>
    <phoneticPr fontId="4" type="noConversion"/>
  </si>
  <si>
    <t>Plant 1 Overtime</t>
    <phoneticPr fontId="4" type="noConversion"/>
  </si>
  <si>
    <t>Plant 2</t>
    <phoneticPr fontId="4" type="noConversion"/>
  </si>
  <si>
    <t>Plant 2 Overtime</t>
    <phoneticPr fontId="4" type="noConversion"/>
  </si>
  <si>
    <t>Open?</t>
    <phoneticPr fontId="4" type="noConversion"/>
  </si>
  <si>
    <t>Total variable cost</t>
    <phoneticPr fontId="4" type="noConversion"/>
  </si>
  <si>
    <t>Operating</t>
    <phoneticPr fontId="4" type="noConversion"/>
  </si>
  <si>
    <t>Non operating</t>
    <phoneticPr fontId="4" type="noConversion"/>
  </si>
  <si>
    <t>Total fixed cost</t>
    <phoneticPr fontId="4" type="noConversion"/>
  </si>
  <si>
    <t>Distribution cost</t>
    <phoneticPr fontId="4" type="noConversion"/>
  </si>
  <si>
    <t>Total distr cost</t>
    <phoneticPr fontId="4" type="noConversion"/>
  </si>
  <si>
    <t>Supply and Demand Data</t>
  </si>
  <si>
    <t>Warehouse</t>
  </si>
  <si>
    <t>Monthly Supply</t>
  </si>
  <si>
    <t>Production Cost (per unit)</t>
  </si>
  <si>
    <t>Detroit</t>
  </si>
  <si>
    <t>Cincinnati</t>
  </si>
  <si>
    <t>Houston</t>
  </si>
  <si>
    <t>Kansas City</t>
  </si>
  <si>
    <t>Note: New plant must supply 11,000 units per month</t>
  </si>
  <si>
    <t>Possible Locations for New Plant</t>
  </si>
  <si>
    <t>Fixed Cost (per month)</t>
  </si>
  <si>
    <t>Birmingham</t>
  </si>
  <si>
    <t>DETROIT</t>
  </si>
  <si>
    <t>HOUSTON</t>
  </si>
  <si>
    <t>NEW YORK</t>
  </si>
  <si>
    <t>LOS ANGELES</t>
  </si>
  <si>
    <t>Open</t>
    <phoneticPr fontId="4" type="noConversion"/>
  </si>
  <si>
    <t>Month demand</t>
    <phoneticPr fontId="4" type="noConversion"/>
  </si>
  <si>
    <t>Month supply</t>
    <phoneticPr fontId="4" type="noConversion"/>
  </si>
  <si>
    <t>Total produciton cost</t>
    <phoneticPr fontId="4" type="noConversion"/>
  </si>
  <si>
    <t>Chicago-Boston</t>
    <phoneticPr fontId="4" type="noConversion"/>
  </si>
  <si>
    <t>Boston-NY</t>
    <phoneticPr fontId="4" type="noConversion"/>
  </si>
  <si>
    <t>NY-Detroit</t>
    <phoneticPr fontId="4" type="noConversion"/>
  </si>
  <si>
    <t>Detroit-Chicago</t>
    <phoneticPr fontId="4" type="noConversion"/>
  </si>
  <si>
    <t>Start fuel</t>
    <phoneticPr fontId="4" type="noConversion"/>
  </si>
  <si>
    <t>Burned fuel</t>
    <phoneticPr fontId="4" type="noConversion"/>
  </si>
  <si>
    <t>Refill</t>
    <phoneticPr fontId="4" type="noConversion"/>
  </si>
  <si>
    <t>BOW</t>
    <phoneticPr fontId="4" type="noConversion"/>
  </si>
  <si>
    <t>Take off weight</t>
    <phoneticPr fontId="4" type="noConversion"/>
  </si>
  <si>
    <t>Landing weight</t>
    <phoneticPr fontId="4" type="noConversion"/>
  </si>
  <si>
    <t>Passenger</t>
    <phoneticPr fontId="4" type="noConversion"/>
  </si>
  <si>
    <t>Landing fuel status</t>
    <phoneticPr fontId="4" type="noConversion"/>
  </si>
  <si>
    <t>Chicago</t>
    <phoneticPr fontId="4" type="noConversion"/>
  </si>
  <si>
    <t>Min landing fuel</t>
    <phoneticPr fontId="4" type="noConversion"/>
  </si>
  <si>
    <t>take off weight</t>
    <phoneticPr fontId="4" type="noConversion"/>
  </si>
  <si>
    <t>landing weight</t>
    <phoneticPr fontId="4" type="noConversion"/>
  </si>
  <si>
    <t>Plane max fuel capacity</t>
    <phoneticPr fontId="4" type="noConversion"/>
  </si>
  <si>
    <t>Cost of fuel</t>
    <phoneticPr fontId="4" type="noConversion"/>
  </si>
  <si>
    <t>Before taking off</t>
    <phoneticPr fontId="4" type="noConversion"/>
  </si>
  <si>
    <t>Quarter</t>
  </si>
  <si>
    <t>Unit Production Cost</t>
  </si>
  <si>
    <t>Maximum Production</t>
  </si>
  <si>
    <t>use/demand</t>
    <phoneticPr fontId="4" type="noConversion"/>
  </si>
  <si>
    <t>Porduciton cost</t>
    <phoneticPr fontId="4" type="noConversion"/>
  </si>
  <si>
    <t>Min inventory</t>
    <phoneticPr fontId="4" type="noConversion"/>
  </si>
  <si>
    <t>Max Inventory</t>
    <phoneticPr fontId="4" type="noConversion"/>
  </si>
  <si>
    <t>Min porduction</t>
    <phoneticPr fontId="4" type="noConversion"/>
  </si>
  <si>
    <t>Final cost</t>
    <phoneticPr fontId="4" type="noConversion"/>
  </si>
  <si>
    <t>Estimated inventory</t>
  </si>
  <si>
    <t>Final Inventory</t>
    <phoneticPr fontId="4" type="noConversion"/>
  </si>
  <si>
    <t>Inventory cost %*unit produciton cost*etimated inventory</t>
    <phoneticPr fontId="4" type="noConversion"/>
  </si>
  <si>
    <t>2 ounce=0.125 pound</t>
  </si>
  <si>
    <t>Grain A</t>
  </si>
  <si>
    <t>Grain B</t>
  </si>
  <si>
    <t>Grain C</t>
  </si>
  <si>
    <t>Min Daily Req</t>
  </si>
  <si>
    <t>$ per pound</t>
  </si>
  <si>
    <t>Protein per pound</t>
  </si>
  <si>
    <t>Riboflavin per pound</t>
  </si>
  <si>
    <t>Phosphorus per pound</t>
  </si>
  <si>
    <t>Magnesium per pound</t>
  </si>
  <si>
    <t>Amount to include</t>
    <phoneticPr fontId="4" type="noConversion"/>
  </si>
  <si>
    <t>Cost per pound</t>
    <phoneticPr fontId="4" type="noConversion"/>
  </si>
  <si>
    <t>City</t>
  </si>
  <si>
    <t>East</t>
  </si>
  <si>
    <t>South</t>
  </si>
  <si>
    <t>Midwest</t>
  </si>
  <si>
    <t>West</t>
  </si>
  <si>
    <t>Atlanta</t>
  </si>
  <si>
    <t>Region</t>
  </si>
  <si>
    <t>Demand</t>
  </si>
  <si>
    <t>Fxed cost</t>
    <phoneticPr fontId="4" type="noConversion"/>
  </si>
  <si>
    <t>Annual Fixed Costs</t>
  </si>
  <si>
    <t>NY</t>
  </si>
  <si>
    <t>LA</t>
  </si>
  <si>
    <t>Total fixed</t>
    <phoneticPr fontId="4" type="noConversion"/>
  </si>
  <si>
    <t>Shipping cost</t>
    <phoneticPr fontId="4" type="noConversion"/>
  </si>
  <si>
    <t>ALBUQUERQUE</t>
    <phoneticPr fontId="4" type="noConversion"/>
  </si>
  <si>
    <t>From</t>
    <phoneticPr fontId="4" type="noConversion"/>
  </si>
  <si>
    <t>To</t>
    <phoneticPr fontId="4" type="noConversion"/>
  </si>
  <si>
    <t>Des Moines</t>
    <phoneticPr fontId="4" type="noConversion"/>
  </si>
  <si>
    <t>Albuquerque</t>
    <phoneticPr fontId="4" type="noConversion"/>
  </si>
  <si>
    <t>Boston</t>
    <phoneticPr fontId="4" type="noConversion"/>
  </si>
  <si>
    <t>Cleveland</t>
    <phoneticPr fontId="4" type="noConversion"/>
  </si>
  <si>
    <t>Evansille</t>
    <phoneticPr fontId="4" type="noConversion"/>
  </si>
  <si>
    <t>Fort Lauderdale</t>
    <phoneticPr fontId="4" type="noConversion"/>
  </si>
  <si>
    <t>Refrence value</t>
    <phoneticPr fontId="4" type="noConversion"/>
  </si>
  <si>
    <t>Gonna be both target and thing to change</t>
    <phoneticPr fontId="4" type="noConversion"/>
  </si>
  <si>
    <t>Plant 1 over</t>
    <phoneticPr fontId="4" type="noConversion"/>
  </si>
  <si>
    <t>Plant 2 over</t>
    <phoneticPr fontId="4" type="noConversion"/>
  </si>
  <si>
    <t>Plant 3 Over</t>
    <phoneticPr fontId="4" type="noConversion"/>
  </si>
  <si>
    <t>Type of Coal</t>
  </si>
  <si>
    <t>Wythe Mine</t>
  </si>
  <si>
    <t>Giles Mine</t>
  </si>
  <si>
    <t>High-Grade</t>
  </si>
  <si>
    <t>Medium-Grade</t>
  </si>
  <si>
    <t>Low-Grade</t>
  </si>
  <si>
    <t>Cost per month</t>
  </si>
  <si>
    <t>Gallons of toxic water produced</t>
  </si>
  <si>
    <t>Life-threatening accidents</t>
  </si>
  <si>
    <t>Min</t>
    <phoneticPr fontId="4" type="noConversion"/>
  </si>
  <si>
    <t>Objective</t>
    <phoneticPr fontId="4" type="noConversion"/>
  </si>
  <si>
    <t>•Blackstone needs to produce 48 more tons of high-grade, 28 more tons of medium-grade, and 100 more tons of low-grade coal.</t>
  </si>
  <si>
    <t>Current</t>
    <phoneticPr fontId="4" type="noConversion"/>
  </si>
  <si>
    <t>Month to operate</t>
    <phoneticPr fontId="4" type="noConversion"/>
  </si>
  <si>
    <t>Planned to produce</t>
    <phoneticPr fontId="4" type="noConversion"/>
  </si>
  <si>
    <t>Target</t>
    <phoneticPr fontId="4" type="noConversion"/>
  </si>
  <si>
    <t>Deviation</t>
    <phoneticPr fontId="4" type="noConversion"/>
  </si>
  <si>
    <t>Deviation=Max objective value-current value</t>
  </si>
  <si>
    <t>Deviation=Current value- Min objective value</t>
  </si>
  <si>
    <t>%Dev</t>
    <phoneticPr fontId="4" type="noConversion"/>
  </si>
  <si>
    <t>Weight</t>
    <phoneticPr fontId="4" type="noConversion"/>
  </si>
  <si>
    <t>Weight deviation</t>
    <phoneticPr fontId="4" type="noConversion"/>
  </si>
  <si>
    <t>Total deviation</t>
    <phoneticPr fontId="4" type="noConversion"/>
  </si>
  <si>
    <t>Reference value</t>
    <phoneticPr fontId="4" type="noConversion"/>
  </si>
  <si>
    <r>
      <t xml:space="preserve">All objectives are </t>
    </r>
    <r>
      <rPr>
        <b/>
        <sz val="11"/>
        <color theme="1"/>
        <rFont val="等线"/>
        <family val="3"/>
        <charset val="134"/>
        <scheme val="minor"/>
      </rPr>
      <t>maximization</t>
    </r>
    <r>
      <rPr>
        <sz val="11"/>
        <color theme="1"/>
        <rFont val="等线"/>
        <family val="2"/>
        <charset val="134"/>
        <scheme val="minor"/>
      </rPr>
      <t xml:space="preserve">Use </t>
    </r>
    <r>
      <rPr>
        <b/>
        <sz val="11"/>
        <color theme="1"/>
        <rFont val="等线"/>
        <family val="3"/>
        <charset val="134"/>
        <scheme val="minor"/>
      </rPr>
      <t>Max-Min</t>
    </r>
    <phoneticPr fontId="4" type="noConversion"/>
  </si>
  <si>
    <t>All objectives are minimizationUse Min-Max</t>
  </si>
  <si>
    <t>Size (sq ft)</t>
  </si>
  <si>
    <t>Unit Cost</t>
  </si>
  <si>
    <t>Small</t>
  </si>
  <si>
    <t>Medium</t>
  </si>
  <si>
    <t>Large</t>
  </si>
  <si>
    <t>Quantity of room</t>
    <phoneticPr fontId="4" type="noConversion"/>
  </si>
  <si>
    <t>Size</t>
    <phoneticPr fontId="4" type="noConversion"/>
  </si>
  <si>
    <t>Estimation</t>
    <phoneticPr fontId="4" type="noConversion"/>
  </si>
  <si>
    <t>Region 1</t>
  </si>
  <si>
    <t>Region 2</t>
  </si>
  <si>
    <t>Region 3</t>
  </si>
  <si>
    <t>Region 4</t>
  </si>
  <si>
    <t>Capacity</t>
  </si>
  <si>
    <t>Tax Rate</t>
  </si>
  <si>
    <t>Table 3</t>
  </si>
  <si>
    <t>Unit Selling Price</t>
  </si>
  <si>
    <t>Profit per unit</t>
    <phoneticPr fontId="4" type="noConversion"/>
  </si>
  <si>
    <t>Tax</t>
    <phoneticPr fontId="4" type="noConversion"/>
  </si>
  <si>
    <t>Profit</t>
    <phoneticPr fontId="4" type="noConversion"/>
  </si>
  <si>
    <t>Operation</t>
  </si>
  <si>
    <t>Product 1</t>
  </si>
  <si>
    <t>Product 2</t>
  </si>
  <si>
    <t>Product 3</t>
  </si>
  <si>
    <t>Total Hours Available</t>
  </si>
  <si>
    <t>Machining</t>
  </si>
  <si>
    <t>Grinding</t>
  </si>
  <si>
    <t>Assembly</t>
  </si>
  <si>
    <t>Q to produce</t>
    <phoneticPr fontId="4" type="noConversion"/>
  </si>
  <si>
    <t>Produce?</t>
    <phoneticPr fontId="4" type="noConversion"/>
  </si>
  <si>
    <t>Fixed Cost per Month</t>
  </si>
  <si>
    <t>Production Cost (Per 100) X30</t>
  </si>
  <si>
    <t>Production Cost (Per 100) X40</t>
  </si>
  <si>
    <t>Production time (hr/100) X30</t>
  </si>
  <si>
    <t>Production time (hr/100) X40</t>
  </si>
  <si>
    <t>Available hr Per Month</t>
  </si>
  <si>
    <t>Springfield</t>
  </si>
  <si>
    <t>Harford</t>
  </si>
  <si>
    <t>New Orleans</t>
  </si>
  <si>
    <t>Orlando</t>
  </si>
  <si>
    <t>Trenton</t>
  </si>
  <si>
    <t>X30</t>
  </si>
  <si>
    <t>X40</t>
  </si>
  <si>
    <t>Transport Cost per 100</t>
  </si>
  <si>
    <t>Production Cost (Per unit) X30</t>
    <phoneticPr fontId="4" type="noConversion"/>
  </si>
  <si>
    <t>Production Cost (Per unit) X40</t>
  </si>
  <si>
    <t>Production time (hr/unit) X30</t>
  </si>
  <si>
    <t>Production time (hr/unit) X40</t>
  </si>
  <si>
    <t>X40</t>
    <phoneticPr fontId="4" type="noConversion"/>
  </si>
  <si>
    <t>Transport Cost per unit</t>
    <phoneticPr fontId="4" type="noConversion"/>
  </si>
  <si>
    <t>Revenue X30</t>
    <phoneticPr fontId="4" type="noConversion"/>
  </si>
  <si>
    <t>Revenue X40</t>
    <phoneticPr fontId="4" type="noConversion"/>
  </si>
  <si>
    <t>Cost/unit</t>
    <phoneticPr fontId="4" type="noConversion"/>
  </si>
  <si>
    <t>Total worked hour</t>
    <phoneticPr fontId="4" type="noConversion"/>
  </si>
  <si>
    <t>X30</t>
    <phoneticPr fontId="4" type="noConversion"/>
  </si>
  <si>
    <t>Net revenue</t>
    <phoneticPr fontId="4" type="noConversion"/>
  </si>
  <si>
    <t>Prod cost</t>
    <phoneticPr fontId="4" type="noConversion"/>
  </si>
  <si>
    <t>Distr cist</t>
    <phoneticPr fontId="4" type="noConversion"/>
  </si>
  <si>
    <t>Infant</t>
  </si>
  <si>
    <t>Type of</t>
  </si>
  <si>
    <t>Facility</t>
  </si>
  <si>
    <t>RENT</t>
  </si>
  <si>
    <t>BUY</t>
  </si>
  <si>
    <t xml:space="preserve"> Infant Care</t>
    <phoneticPr fontId="4" type="noConversion"/>
  </si>
  <si>
    <t>Pre-school Care</t>
    <phoneticPr fontId="4" type="noConversion"/>
  </si>
  <si>
    <t>After school care</t>
    <phoneticPr fontId="4" type="noConversion"/>
  </si>
  <si>
    <t>Drop-in Care</t>
    <phoneticPr fontId="4" type="noConversion"/>
  </si>
  <si>
    <t>Type of Facility</t>
    <phoneticPr fontId="4" type="noConversion"/>
  </si>
  <si>
    <t>Cost of Facility</t>
  </si>
  <si>
    <t>Cost of Facility</t>
    <phoneticPr fontId="4" type="noConversion"/>
  </si>
  <si>
    <t>Maint. Cost</t>
    <phoneticPr fontId="4" type="noConversion"/>
  </si>
  <si>
    <t>Safety Index of Facility</t>
  </si>
  <si>
    <t>Safety Index of Facility</t>
    <phoneticPr fontId="4" type="noConversion"/>
  </si>
  <si>
    <t>Ratios Refer to Child-to-Staff Ratio</t>
  </si>
  <si>
    <t>Personnel</t>
  </si>
  <si>
    <t>Annual Cost</t>
  </si>
  <si>
    <t>of Position</t>
  </si>
  <si>
    <t>Overall</t>
  </si>
  <si>
    <t>Ratio</t>
  </si>
  <si>
    <t>Pre-School</t>
  </si>
  <si>
    <t>After-School</t>
  </si>
  <si>
    <t>Drop-In</t>
  </si>
  <si>
    <t>Medical</t>
  </si>
  <si>
    <t>40:1 </t>
  </si>
  <si>
    <t>Administration</t>
  </si>
  <si>
    <t>Providers</t>
  </si>
  <si>
    <t>Maintainers**</t>
  </si>
  <si>
    <t>** One maintainer per facility.</t>
  </si>
  <si>
    <r>
      <t> </t>
    </r>
    <r>
      <rPr>
        <sz val="11"/>
        <color theme="1"/>
        <rFont val="等线"/>
        <family val="3"/>
        <charset val="134"/>
        <scheme val="minor"/>
      </rPr>
      <t>If the required staff per facility need to be in integers?</t>
    </r>
  </si>
  <si>
    <t>Category</t>
  </si>
  <si>
    <t>Requirements*</t>
  </si>
  <si>
    <t>Infant care</t>
  </si>
  <si>
    <t>Pre-school care</t>
  </si>
  <si>
    <t>After-school care</t>
  </si>
  <si>
    <t>Drop-in care</t>
  </si>
  <si>
    <t>*all requirements are in terms of available slots</t>
  </si>
  <si>
    <t>Selected?</t>
    <phoneticPr fontId="4" type="noConversion"/>
  </si>
  <si>
    <t>Subtotal</t>
    <phoneticPr fontId="4" type="noConversion"/>
  </si>
  <si>
    <t>Max</t>
    <phoneticPr fontId="4" type="noConversion"/>
  </si>
  <si>
    <t>Employee cost</t>
    <phoneticPr fontId="4" type="noConversion"/>
  </si>
  <si>
    <t>Provider</t>
    <phoneticPr fontId="4" type="noConversion"/>
  </si>
  <si>
    <t>Salary per employee</t>
    <phoneticPr fontId="4" type="noConversion"/>
  </si>
  <si>
    <t>Total salary</t>
    <phoneticPr fontId="4" type="noConversion"/>
  </si>
  <si>
    <t>Max-min</t>
    <phoneticPr fontId="4" type="noConversion"/>
  </si>
  <si>
    <r>
      <t xml:space="preserve">All objectives are </t>
    </r>
    <r>
      <rPr>
        <b/>
        <sz val="11"/>
        <color theme="1"/>
        <rFont val="等线"/>
        <family val="3"/>
        <charset val="134"/>
        <scheme val="minor"/>
      </rPr>
      <t>maximization</t>
    </r>
    <r>
      <rPr>
        <sz val="11"/>
        <color theme="1"/>
        <rFont val="等线"/>
        <family val="2"/>
        <charset val="134"/>
        <scheme val="minor"/>
      </rPr>
      <t xml:space="preserve">Use </t>
    </r>
    <r>
      <rPr>
        <b/>
        <sz val="11"/>
        <color theme="1"/>
        <rFont val="等线"/>
        <family val="3"/>
        <charset val="134"/>
        <scheme val="minor"/>
      </rPr>
      <t>Max-Min</t>
    </r>
    <r>
      <rPr>
        <sz val="11"/>
        <color theme="1"/>
        <rFont val="等线"/>
        <family val="2"/>
        <charset val="134"/>
        <scheme val="minor"/>
      </rPr>
      <t xml:space="preserve">  &gt;=</t>
    </r>
    <phoneticPr fontId="4" type="noConversion"/>
  </si>
  <si>
    <t>All objectives are minimizationUse Min-Max  &lt;=</t>
    <phoneticPr fontId="4" type="noConversion"/>
  </si>
  <si>
    <t>Min-max</t>
    <phoneticPr fontId="4" type="noConversion"/>
  </si>
  <si>
    <t>NY-Midwest</t>
    <phoneticPr fontId="4" type="noConversion"/>
  </si>
  <si>
    <t>Atlanta-Midwest</t>
    <phoneticPr fontId="4" type="noConversion"/>
  </si>
  <si>
    <t>Here we need tod decide on how many month to operate each mine</t>
    <phoneticPr fontId="4" type="noConversion"/>
  </si>
  <si>
    <t>Weights for objective programming--&gt;For positive like production, profit or revenue usually we don't mind going over it,</t>
    <phoneticPr fontId="4" type="noConversion"/>
  </si>
  <si>
    <t xml:space="preserve"> whereas costs/losses/contaminatio/negative things usually we dont mind going under the target object</t>
    <phoneticPr fontId="4" type="noConversion"/>
  </si>
  <si>
    <t>total deviation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</si>
</sst>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43" formatCode="_(* #,##0.00_);_(* \(#,##0.00\);_(* &quot;-&quot;??_);_(@_)"/>
    <numFmt numFmtId="181" formatCode="_(* #,##0.0000_);_(* \(#,##0.0000\);_(* &quot;-&quot;??_);_(@_)"/>
  </numFmts>
  <fonts count="19" x14ac:knownFonts="1">
    <font>
      <sz val="11"/>
      <color theme="1"/>
      <name val="等线"/>
      <family val="2"/>
      <charset val="134"/>
      <scheme val="minor"/>
    </font>
    <font>
      <sz val="11"/>
      <color theme="1"/>
      <name val="等线"/>
      <family val="2"/>
      <charset val="134"/>
      <scheme val="minor"/>
    </font>
    <font>
      <sz val="11"/>
      <color rgb="FF9C5700"/>
      <name val="等线"/>
      <family val="2"/>
      <charset val="134"/>
      <scheme val="minor"/>
    </font>
    <font>
      <b/>
      <sz val="11"/>
      <color theme="1"/>
      <name val="等线"/>
      <family val="3"/>
      <charset val="134"/>
      <scheme val="minor"/>
    </font>
    <font>
      <sz val="9"/>
      <name val="等线"/>
      <family val="2"/>
      <charset val="134"/>
      <scheme val="minor"/>
    </font>
    <font>
      <sz val="11"/>
      <color theme="1"/>
      <name val="等线"/>
      <family val="3"/>
      <charset val="134"/>
      <scheme val="minor"/>
    </font>
    <font>
      <sz val="11"/>
      <color rgb="FF000000"/>
      <name val="等线"/>
      <family val="3"/>
      <charset val="134"/>
      <scheme val="minor"/>
    </font>
    <font>
      <sz val="11"/>
      <color rgb="FF006100"/>
      <name val="等线"/>
      <family val="2"/>
      <scheme val="minor"/>
    </font>
    <font>
      <b/>
      <i/>
      <sz val="11"/>
      <color theme="1"/>
      <name val="等线"/>
      <family val="3"/>
      <charset val="134"/>
      <scheme val="minor"/>
    </font>
    <font>
      <sz val="8"/>
      <color rgb="FF273540"/>
      <name val="Arial"/>
      <family val="2"/>
    </font>
    <font>
      <b/>
      <sz val="9"/>
      <color indexed="81"/>
      <name val="Tahoma"/>
      <family val="2"/>
    </font>
    <font>
      <sz val="9"/>
      <color indexed="81"/>
      <name val="Tahoma"/>
      <family val="2"/>
    </font>
    <font>
      <b/>
      <sz val="11"/>
      <name val="等线"/>
      <family val="3"/>
      <charset val="134"/>
      <scheme val="minor"/>
    </font>
    <font>
      <sz val="11"/>
      <color rgb="FF1F1F1F"/>
      <name val="Arial"/>
      <family val="2"/>
    </font>
    <font>
      <b/>
      <sz val="11"/>
      <color rgb="FF1F1F1F"/>
      <name val="Arial"/>
      <family val="2"/>
    </font>
    <font>
      <sz val="11"/>
      <name val="等线"/>
      <family val="2"/>
      <charset val="134"/>
      <scheme val="minor"/>
    </font>
    <font>
      <sz val="12"/>
      <color theme="1"/>
      <name val="Calibri"/>
      <family val="2"/>
    </font>
    <font>
      <sz val="11"/>
      <color theme="1"/>
      <name val="Calibri"/>
      <family val="2"/>
    </font>
    <font>
      <sz val="10.5"/>
      <color theme="1"/>
      <name val="等线"/>
      <family val="3"/>
      <charset val="134"/>
      <scheme val="minor"/>
    </font>
  </fonts>
  <fills count="10">
    <fill>
      <patternFill patternType="none"/>
    </fill>
    <fill>
      <patternFill patternType="gray125"/>
    </fill>
    <fill>
      <patternFill patternType="solid">
        <fgColor rgb="FFC6EFCE"/>
      </patternFill>
    </fill>
    <fill>
      <patternFill patternType="solid">
        <fgColor rgb="FFFFEB9C"/>
      </patternFill>
    </fill>
    <fill>
      <patternFill patternType="solid">
        <fgColor theme="4" tint="0.79998168889431442"/>
        <bgColor indexed="65"/>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FFFF"/>
        <bgColor indexed="64"/>
      </patternFill>
    </fill>
    <fill>
      <patternFill patternType="solid">
        <fgColor rgb="FFFFC000"/>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s>
  <cellStyleXfs count="5">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0" fontId="2" fillId="3" borderId="0" applyNumberFormat="0" applyBorder="0" applyAlignment="0" applyProtection="0">
      <alignment vertical="center"/>
    </xf>
    <xf numFmtId="0" fontId="1" fillId="4" borderId="0" applyNumberFormat="0" applyBorder="0" applyAlignment="0" applyProtection="0">
      <alignment vertical="center"/>
    </xf>
  </cellStyleXfs>
  <cellXfs count="189">
    <xf numFmtId="0" fontId="0" fillId="0" borderId="0" xfId="0">
      <alignment vertical="center"/>
    </xf>
    <xf numFmtId="0" fontId="3" fillId="0" borderId="0" xfId="0" applyFont="1" applyAlignment="1">
      <alignment horizontal="center" vertical="center" wrapText="1"/>
    </xf>
    <xf numFmtId="0" fontId="0" fillId="0" borderId="0" xfId="0" applyAlignment="1">
      <alignment vertical="center" wrapText="1"/>
    </xf>
    <xf numFmtId="6" fontId="0" fillId="0" borderId="0" xfId="0" applyNumberFormat="1">
      <alignment vertical="center"/>
    </xf>
    <xf numFmtId="6" fontId="0" fillId="0" borderId="0" xfId="0" applyNumberFormat="1" applyAlignment="1">
      <alignment vertical="center" wrapText="1"/>
    </xf>
    <xf numFmtId="0" fontId="3" fillId="0" borderId="0" xfId="0" applyFont="1">
      <alignment vertical="center"/>
    </xf>
    <xf numFmtId="0" fontId="3" fillId="0" borderId="2" xfId="0" applyFont="1" applyBorder="1" applyAlignment="1">
      <alignment horizontal="center" vertical="center" wrapText="1"/>
    </xf>
    <xf numFmtId="0" fontId="0" fillId="0" borderId="2" xfId="0" applyBorder="1" applyAlignment="1">
      <alignment vertical="center" wrapText="1"/>
    </xf>
    <xf numFmtId="6" fontId="0" fillId="0" borderId="2" xfId="0" applyNumberFormat="1" applyBorder="1" applyAlignment="1">
      <alignment vertical="center" wrapText="1"/>
    </xf>
    <xf numFmtId="0" fontId="0" fillId="0" borderId="2" xfId="0" applyBorder="1">
      <alignment vertical="center"/>
    </xf>
    <xf numFmtId="43" fontId="3" fillId="0" borderId="2" xfId="1" applyFont="1" applyBorder="1" applyAlignment="1">
      <alignment horizontal="center" vertical="center" wrapText="1"/>
    </xf>
    <xf numFmtId="43" fontId="0" fillId="5" borderId="2" xfId="1" applyFont="1" applyFill="1" applyBorder="1" applyAlignment="1">
      <alignment vertical="center" wrapText="1"/>
    </xf>
    <xf numFmtId="0" fontId="3" fillId="0" borderId="3" xfId="0" applyFont="1" applyBorder="1" applyAlignment="1">
      <alignment horizontal="center" vertical="center" wrapText="1"/>
    </xf>
    <xf numFmtId="43" fontId="0" fillId="0" borderId="0" xfId="1" applyFont="1" applyFill="1" applyBorder="1" applyAlignment="1">
      <alignment vertical="center" wrapText="1"/>
    </xf>
    <xf numFmtId="43" fontId="0" fillId="0" borderId="0" xfId="0" applyNumberFormat="1">
      <alignment vertical="center"/>
    </xf>
    <xf numFmtId="0" fontId="0" fillId="6" borderId="0" xfId="0" applyFill="1">
      <alignment vertical="center"/>
    </xf>
    <xf numFmtId="0" fontId="3" fillId="6" borderId="0" xfId="0" applyFont="1" applyFill="1" applyAlignment="1">
      <alignment horizontal="center" vertical="center" wrapText="1"/>
    </xf>
    <xf numFmtId="0" fontId="0" fillId="7" borderId="0" xfId="0" applyFill="1">
      <alignment vertical="center"/>
    </xf>
    <xf numFmtId="44" fontId="0" fillId="7" borderId="0" xfId="2" applyFont="1" applyFill="1">
      <alignment vertical="center"/>
    </xf>
    <xf numFmtId="43" fontId="0" fillId="6" borderId="0" xfId="1" applyFont="1" applyFill="1" applyAlignment="1">
      <alignment vertical="center" wrapText="1"/>
    </xf>
    <xf numFmtId="43" fontId="0" fillId="0" borderId="0" xfId="0" applyNumberFormat="1" applyAlignment="1">
      <alignment vertical="center" wrapText="1"/>
    </xf>
    <xf numFmtId="0" fontId="0" fillId="5" borderId="2" xfId="0" applyFill="1" applyBorder="1">
      <alignment vertical="center"/>
    </xf>
    <xf numFmtId="0" fontId="5" fillId="8" borderId="4" xfId="0" applyFont="1" applyFill="1" applyBorder="1" applyAlignment="1">
      <alignment vertical="center" wrapText="1"/>
    </xf>
    <xf numFmtId="0" fontId="6" fillId="8" borderId="4" xfId="0" applyFont="1" applyFill="1" applyBorder="1" applyAlignment="1">
      <alignment vertical="center" wrapText="1"/>
    </xf>
    <xf numFmtId="0" fontId="5" fillId="0" borderId="0" xfId="0" applyFont="1">
      <alignment vertical="center"/>
    </xf>
    <xf numFmtId="0" fontId="6" fillId="5" borderId="4" xfId="0" applyFont="1" applyFill="1" applyBorder="1" applyAlignment="1">
      <alignment vertical="center" wrapText="1"/>
    </xf>
    <xf numFmtId="0" fontId="0" fillId="0" borderId="0" xfId="0" applyAlignment="1">
      <alignment horizontal="center" vertical="center"/>
    </xf>
    <xf numFmtId="0" fontId="6" fillId="8" borderId="0" xfId="0" applyFont="1" applyFill="1" applyAlignment="1">
      <alignment vertical="center" wrapText="1"/>
    </xf>
    <xf numFmtId="43" fontId="6" fillId="8" borderId="4" xfId="1" applyFont="1" applyFill="1" applyBorder="1" applyAlignment="1">
      <alignment vertical="center" wrapText="1"/>
    </xf>
    <xf numFmtId="43" fontId="0" fillId="7" borderId="0" xfId="0" applyNumberFormat="1" applyFill="1">
      <alignment vertical="center"/>
    </xf>
    <xf numFmtId="0" fontId="6" fillId="6" borderId="0" xfId="0" applyFont="1" applyFill="1" applyAlignment="1">
      <alignment vertical="center" wrapText="1"/>
    </xf>
    <xf numFmtId="3" fontId="0" fillId="0" borderId="0" xfId="0" applyNumberFormat="1">
      <alignment vertical="center"/>
    </xf>
    <xf numFmtId="8" fontId="0" fillId="0" borderId="0" xfId="0" applyNumberFormat="1">
      <alignment vertical="center"/>
    </xf>
    <xf numFmtId="0" fontId="0" fillId="5" borderId="0" xfId="0" applyFill="1">
      <alignment vertical="center"/>
    </xf>
    <xf numFmtId="6" fontId="0" fillId="0" borderId="2" xfId="0" applyNumberFormat="1" applyBorder="1">
      <alignment vertical="center"/>
    </xf>
    <xf numFmtId="0" fontId="0" fillId="9" borderId="2" xfId="0" applyFill="1" applyBorder="1">
      <alignment vertical="center"/>
    </xf>
    <xf numFmtId="6" fontId="0" fillId="9" borderId="2" xfId="0" applyNumberFormat="1" applyFill="1" applyBorder="1">
      <alignment vertical="center"/>
    </xf>
    <xf numFmtId="3" fontId="0" fillId="9" borderId="2" xfId="0" applyNumberFormat="1" applyFill="1" applyBorder="1">
      <alignment vertical="center"/>
    </xf>
    <xf numFmtId="3" fontId="0" fillId="6" borderId="2" xfId="0" applyNumberFormat="1" applyFill="1" applyBorder="1">
      <alignment vertical="center"/>
    </xf>
    <xf numFmtId="6" fontId="0" fillId="7" borderId="0" xfId="0" applyNumberFormat="1" applyFill="1">
      <alignment vertical="center"/>
    </xf>
    <xf numFmtId="8" fontId="0" fillId="0" borderId="2" xfId="0" applyNumberFormat="1" applyBorder="1">
      <alignment vertical="center"/>
    </xf>
    <xf numFmtId="8" fontId="0" fillId="7" borderId="0" xfId="0" applyNumberFormat="1" applyFill="1">
      <alignment vertical="center"/>
    </xf>
    <xf numFmtId="0" fontId="3" fillId="0" borderId="2" xfId="0" applyFont="1" applyBorder="1">
      <alignment vertical="center"/>
    </xf>
    <xf numFmtId="8" fontId="0" fillId="9" borderId="2" xfId="0" applyNumberFormat="1" applyFill="1" applyBorder="1">
      <alignment vertical="center"/>
    </xf>
    <xf numFmtId="3" fontId="0" fillId="0" borderId="2" xfId="0" applyNumberFormat="1" applyBorder="1">
      <alignment vertical="center"/>
    </xf>
    <xf numFmtId="8" fontId="3" fillId="7" borderId="0" xfId="0" applyNumberFormat="1" applyFont="1" applyFill="1">
      <alignment vertical="center"/>
    </xf>
    <xf numFmtId="0" fontId="0" fillId="0" borderId="7" xfId="0" applyBorder="1">
      <alignment vertical="center"/>
    </xf>
    <xf numFmtId="44" fontId="0" fillId="0" borderId="2" xfId="2" applyFont="1" applyBorder="1">
      <alignment vertical="center"/>
    </xf>
    <xf numFmtId="44" fontId="0" fillId="0" borderId="2" xfId="2" applyFont="1" applyFill="1" applyBorder="1">
      <alignment vertical="center"/>
    </xf>
    <xf numFmtId="43" fontId="0" fillId="0" borderId="0" xfId="1" applyFont="1">
      <alignment vertical="center"/>
    </xf>
    <xf numFmtId="43" fontId="0" fillId="5" borderId="0" xfId="1" applyFont="1" applyFill="1">
      <alignment vertical="center"/>
    </xf>
    <xf numFmtId="43" fontId="0" fillId="0" borderId="2" xfId="1" applyFont="1" applyBorder="1">
      <alignment vertical="center"/>
    </xf>
    <xf numFmtId="43" fontId="0" fillId="5" borderId="2" xfId="1" applyFont="1" applyFill="1" applyBorder="1">
      <alignment vertical="center"/>
    </xf>
    <xf numFmtId="43" fontId="0" fillId="0" borderId="2" xfId="0" applyNumberFormat="1" applyBorder="1">
      <alignment vertical="center"/>
    </xf>
    <xf numFmtId="0" fontId="0" fillId="6" borderId="2" xfId="0" applyFill="1" applyBorder="1">
      <alignment vertical="center"/>
    </xf>
    <xf numFmtId="44" fontId="0" fillId="0" borderId="0" xfId="2" applyFont="1">
      <alignment vertical="center"/>
    </xf>
    <xf numFmtId="43" fontId="0" fillId="7" borderId="0" xfId="1" applyFont="1" applyFill="1">
      <alignment vertical="center"/>
    </xf>
    <xf numFmtId="44" fontId="0" fillId="0" borderId="0" xfId="0" applyNumberFormat="1">
      <alignment vertical="center"/>
    </xf>
    <xf numFmtId="44" fontId="3" fillId="7" borderId="2" xfId="0" applyNumberFormat="1" applyFont="1" applyFill="1" applyBorder="1">
      <alignment vertical="center"/>
    </xf>
    <xf numFmtId="49" fontId="0" fillId="0" borderId="0" xfId="0" applyNumberFormat="1">
      <alignment vertical="center"/>
    </xf>
    <xf numFmtId="0" fontId="0" fillId="0" borderId="0" xfId="0" applyAlignment="1"/>
    <xf numFmtId="0" fontId="2" fillId="3" borderId="0" xfId="3" applyAlignment="1"/>
    <xf numFmtId="44" fontId="7" fillId="2" borderId="0" xfId="2" applyFont="1" applyFill="1" applyAlignment="1"/>
    <xf numFmtId="16" fontId="0" fillId="0" borderId="0" xfId="0" quotePrefix="1" applyNumberFormat="1" applyAlignment="1"/>
    <xf numFmtId="0" fontId="1" fillId="4" borderId="0" xfId="4" applyAlignment="1"/>
    <xf numFmtId="0" fontId="0" fillId="0" borderId="0" xfId="0" quotePrefix="1" applyAlignment="1"/>
    <xf numFmtId="0" fontId="5" fillId="0" borderId="0" xfId="0" applyFont="1" applyAlignment="1">
      <alignment horizontal="left" vertical="center" indent="1"/>
    </xf>
    <xf numFmtId="0" fontId="3" fillId="0" borderId="0" xfId="0" applyFont="1" applyAlignment="1">
      <alignment horizontal="left" vertical="center" indent="1"/>
    </xf>
    <xf numFmtId="0" fontId="9" fillId="8" borderId="4" xfId="0" applyFont="1" applyFill="1" applyBorder="1" applyAlignment="1">
      <alignment vertical="center" wrapText="1"/>
    </xf>
    <xf numFmtId="8" fontId="0" fillId="9" borderId="0" xfId="0" applyNumberFormat="1" applyFill="1">
      <alignment vertical="center"/>
    </xf>
    <xf numFmtId="0" fontId="0" fillId="9" borderId="0" xfId="0" applyFill="1">
      <alignment vertical="center"/>
    </xf>
    <xf numFmtId="6" fontId="0" fillId="0" borderId="0" xfId="1" applyNumberFormat="1" applyFont="1">
      <alignment vertical="center"/>
    </xf>
    <xf numFmtId="8" fontId="0" fillId="0" borderId="0" xfId="1" applyNumberFormat="1" applyFont="1">
      <alignment vertical="center"/>
    </xf>
    <xf numFmtId="43" fontId="0" fillId="6" borderId="0" xfId="1" applyFont="1" applyFill="1">
      <alignment vertical="center"/>
    </xf>
    <xf numFmtId="43" fontId="0" fillId="0" borderId="0" xfId="1" applyFont="1" applyFill="1">
      <alignment vertical="center"/>
    </xf>
    <xf numFmtId="44" fontId="0" fillId="9" borderId="0" xfId="2" applyFont="1" applyFill="1">
      <alignment vertical="center"/>
    </xf>
    <xf numFmtId="44" fontId="0" fillId="0" borderId="0" xfId="2" applyFont="1" applyBorder="1">
      <alignment vertical="center"/>
    </xf>
    <xf numFmtId="8" fontId="0" fillId="7" borderId="2" xfId="0" applyNumberFormat="1" applyFill="1" applyBorder="1">
      <alignment vertical="center"/>
    </xf>
    <xf numFmtId="8" fontId="3" fillId="7" borderId="2" xfId="0" applyNumberFormat="1" applyFont="1" applyFill="1" applyBorder="1">
      <alignment vertical="center"/>
    </xf>
    <xf numFmtId="44" fontId="0" fillId="7" borderId="2" xfId="2" applyFont="1" applyFill="1" applyBorder="1">
      <alignment vertical="center"/>
    </xf>
    <xf numFmtId="0" fontId="0" fillId="0" borderId="8" xfId="0" applyBorder="1">
      <alignment vertical="center"/>
    </xf>
    <xf numFmtId="6" fontId="0" fillId="0" borderId="8" xfId="0" applyNumberFormat="1" applyBorder="1">
      <alignment vertical="center"/>
    </xf>
    <xf numFmtId="43" fontId="0" fillId="0" borderId="2" xfId="1" applyFont="1" applyFill="1" applyBorder="1">
      <alignment vertical="center"/>
    </xf>
    <xf numFmtId="6" fontId="0" fillId="7" borderId="2" xfId="0" applyNumberFormat="1" applyFill="1" applyBorder="1">
      <alignment vertical="center"/>
    </xf>
    <xf numFmtId="44" fontId="0" fillId="7" borderId="2" xfId="0" applyNumberFormat="1" applyFill="1" applyBorder="1">
      <alignment vertical="center"/>
    </xf>
    <xf numFmtId="0" fontId="5" fillId="6" borderId="0" xfId="0" applyFont="1" applyFill="1">
      <alignment vertical="center"/>
    </xf>
    <xf numFmtId="8" fontId="6" fillId="8" borderId="4" xfId="0" applyNumberFormat="1" applyFont="1" applyFill="1" applyBorder="1" applyAlignment="1">
      <alignment vertical="center" wrapText="1"/>
    </xf>
    <xf numFmtId="43" fontId="3" fillId="0" borderId="0" xfId="1" applyFont="1">
      <alignment vertical="center"/>
    </xf>
    <xf numFmtId="43" fontId="12" fillId="0" borderId="0" xfId="1" applyFont="1" applyFill="1">
      <alignment vertical="center"/>
    </xf>
    <xf numFmtId="43" fontId="0" fillId="6" borderId="2" xfId="1" applyFont="1" applyFill="1" applyBorder="1">
      <alignment vertical="center"/>
    </xf>
    <xf numFmtId="43" fontId="3" fillId="0" borderId="2" xfId="1" applyFont="1" applyBorder="1">
      <alignment vertical="center"/>
    </xf>
    <xf numFmtId="43" fontId="5" fillId="0" borderId="2" xfId="1" applyFont="1" applyBorder="1">
      <alignment vertical="center"/>
    </xf>
    <xf numFmtId="43" fontId="0" fillId="7" borderId="2" xfId="1" applyFont="1" applyFill="1" applyBorder="1">
      <alignment vertical="center"/>
    </xf>
    <xf numFmtId="43" fontId="0" fillId="0" borderId="11" xfId="1" applyFont="1" applyBorder="1">
      <alignment vertical="center"/>
    </xf>
    <xf numFmtId="8" fontId="0" fillId="0" borderId="0" xfId="0" applyNumberFormat="1" applyAlignment="1">
      <alignment vertical="center" wrapText="1"/>
    </xf>
    <xf numFmtId="0" fontId="3" fillId="5" borderId="0" xfId="0" applyFont="1" applyFill="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4" fillId="0" borderId="12" xfId="0" applyFont="1" applyBorder="1" applyAlignment="1">
      <alignment vertical="center" wrapText="1" readingOrder="1"/>
    </xf>
    <xf numFmtId="0" fontId="13" fillId="0" borderId="12" xfId="0" applyFont="1" applyBorder="1" applyAlignment="1">
      <alignment vertical="center" wrapText="1" readingOrder="1"/>
    </xf>
    <xf numFmtId="0" fontId="13" fillId="5" borderId="12" xfId="0" applyFont="1" applyFill="1" applyBorder="1" applyAlignment="1">
      <alignment vertical="center" wrapText="1" readingOrder="1"/>
    </xf>
    <xf numFmtId="43" fontId="14" fillId="0" borderId="12" xfId="1" applyFont="1" applyBorder="1" applyAlignment="1">
      <alignment vertical="center" wrapText="1" readingOrder="1"/>
    </xf>
    <xf numFmtId="43" fontId="13" fillId="0" borderId="12" xfId="1" applyFont="1" applyBorder="1" applyAlignment="1">
      <alignment vertical="center" wrapText="1" readingOrder="1"/>
    </xf>
    <xf numFmtId="43" fontId="13" fillId="5" borderId="12" xfId="1" applyFont="1" applyFill="1" applyBorder="1" applyAlignment="1">
      <alignment vertical="center" wrapText="1" readingOrder="1"/>
    </xf>
    <xf numFmtId="43" fontId="13" fillId="6" borderId="12" xfId="1" applyFont="1" applyFill="1" applyBorder="1" applyAlignment="1">
      <alignment vertical="center" wrapText="1" readingOrder="1"/>
    </xf>
    <xf numFmtId="44" fontId="13" fillId="0" borderId="12" xfId="2" applyFont="1" applyBorder="1" applyAlignment="1">
      <alignment vertical="center" wrapText="1" readingOrder="1"/>
    </xf>
    <xf numFmtId="43" fontId="13" fillId="0" borderId="13" xfId="1" applyFont="1" applyBorder="1" applyAlignment="1">
      <alignment vertical="center" wrapText="1" readingOrder="1"/>
    </xf>
    <xf numFmtId="44" fontId="13" fillId="0" borderId="13" xfId="2" applyFont="1" applyBorder="1" applyAlignment="1">
      <alignment vertical="center" wrapText="1" readingOrder="1"/>
    </xf>
    <xf numFmtId="43" fontId="13" fillId="0" borderId="2" xfId="1" applyFont="1" applyBorder="1" applyAlignment="1">
      <alignment vertical="center" wrapText="1" readingOrder="1"/>
    </xf>
    <xf numFmtId="44" fontId="13" fillId="0" borderId="2" xfId="2" applyFont="1" applyBorder="1" applyAlignment="1">
      <alignment vertical="center" wrapText="1" readingOrder="1"/>
    </xf>
    <xf numFmtId="43" fontId="14" fillId="0" borderId="0" xfId="1" applyFont="1" applyBorder="1" applyAlignment="1">
      <alignment vertical="center" wrapText="1" readingOrder="1"/>
    </xf>
    <xf numFmtId="43" fontId="13" fillId="0" borderId="0" xfId="1" applyFont="1" applyFill="1" applyBorder="1" applyAlignment="1">
      <alignment vertical="center" wrapText="1" readingOrder="1"/>
    </xf>
    <xf numFmtId="43" fontId="13" fillId="0" borderId="0" xfId="1" applyFont="1" applyBorder="1" applyAlignment="1">
      <alignment vertical="center" wrapText="1" readingOrder="1"/>
    </xf>
    <xf numFmtId="0" fontId="13" fillId="0" borderId="0" xfId="0" applyFont="1" applyFill="1" applyBorder="1" applyAlignment="1">
      <alignment vertical="center" wrapText="1" readingOrder="1"/>
    </xf>
    <xf numFmtId="0" fontId="13" fillId="9" borderId="12" xfId="0" applyFont="1" applyFill="1" applyBorder="1" applyAlignment="1">
      <alignment vertical="center" wrapText="1" readingOrder="1"/>
    </xf>
    <xf numFmtId="43" fontId="13" fillId="9" borderId="12" xfId="1" applyFont="1" applyFill="1" applyBorder="1" applyAlignment="1">
      <alignment vertical="center" wrapText="1" readingOrder="1"/>
    </xf>
    <xf numFmtId="43" fontId="14" fillId="0" borderId="2" xfId="1" applyFont="1" applyBorder="1" applyAlignment="1">
      <alignment vertical="center" wrapText="1" readingOrder="1"/>
    </xf>
    <xf numFmtId="43" fontId="13" fillId="9" borderId="2" xfId="1" applyFont="1" applyFill="1" applyBorder="1" applyAlignment="1">
      <alignment vertical="center" wrapText="1" readingOrder="1"/>
    </xf>
    <xf numFmtId="43" fontId="3" fillId="7" borderId="2" xfId="1" applyFont="1" applyFill="1" applyBorder="1">
      <alignment vertical="center"/>
    </xf>
    <xf numFmtId="0" fontId="14" fillId="0" borderId="2" xfId="0" applyFont="1" applyBorder="1" applyAlignment="1">
      <alignment vertical="center" wrapText="1" readingOrder="1"/>
    </xf>
    <xf numFmtId="0" fontId="13" fillId="0" borderId="2" xfId="0" applyFont="1" applyBorder="1" applyAlignment="1">
      <alignment vertical="center" wrapText="1" readingOrder="1"/>
    </xf>
    <xf numFmtId="43" fontId="14" fillId="0" borderId="14" xfId="1" applyFont="1" applyFill="1" applyBorder="1" applyAlignment="1">
      <alignment vertical="center" wrapText="1" readingOrder="1"/>
    </xf>
    <xf numFmtId="43" fontId="15" fillId="6" borderId="0" xfId="1" applyFont="1" applyFill="1">
      <alignment vertical="center"/>
    </xf>
    <xf numFmtId="43" fontId="5" fillId="0" borderId="0" xfId="1" applyFont="1">
      <alignment vertical="center"/>
    </xf>
    <xf numFmtId="181" fontId="0" fillId="5" borderId="0" xfId="1" applyNumberFormat="1" applyFont="1" applyFill="1">
      <alignment vertical="center"/>
    </xf>
    <xf numFmtId="181" fontId="0" fillId="0" borderId="0" xfId="1" applyNumberFormat="1" applyFont="1">
      <alignment vertical="center"/>
    </xf>
    <xf numFmtId="44" fontId="0" fillId="6" borderId="0" xfId="2" applyFont="1" applyFill="1">
      <alignment vertical="center"/>
    </xf>
    <xf numFmtId="0" fontId="16" fillId="0" borderId="15" xfId="0" applyFont="1" applyBorder="1" applyAlignment="1">
      <alignment vertical="center" wrapText="1"/>
    </xf>
    <xf numFmtId="0" fontId="16" fillId="0" borderId="16" xfId="0" applyFont="1" applyBorder="1" applyAlignment="1">
      <alignment vertical="center" wrapText="1"/>
    </xf>
    <xf numFmtId="0" fontId="16" fillId="0" borderId="17" xfId="0" applyFont="1" applyBorder="1" applyAlignment="1">
      <alignment vertical="center" wrapText="1"/>
    </xf>
    <xf numFmtId="6" fontId="17" fillId="0" borderId="18" xfId="0" applyNumberFormat="1" applyFont="1" applyBorder="1" applyAlignment="1">
      <alignment horizontal="right" vertical="center" wrapText="1"/>
    </xf>
    <xf numFmtId="0" fontId="17" fillId="0" borderId="18" xfId="0" applyFont="1" applyBorder="1" applyAlignment="1">
      <alignment horizontal="right" vertical="center" wrapText="1"/>
    </xf>
    <xf numFmtId="0" fontId="16" fillId="0" borderId="0" xfId="0" applyFont="1">
      <alignment vertical="center"/>
    </xf>
    <xf numFmtId="0" fontId="16" fillId="0" borderId="18" xfId="0"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6" fontId="16" fillId="0" borderId="18" xfId="0" applyNumberFormat="1" applyFont="1" applyBorder="1" applyAlignment="1">
      <alignment vertical="center" wrapText="1"/>
    </xf>
    <xf numFmtId="9" fontId="16" fillId="0" borderId="18" xfId="0" applyNumberFormat="1" applyFont="1" applyBorder="1" applyAlignment="1">
      <alignment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0" xfId="0" applyFont="1" applyBorder="1" applyAlignment="1">
      <alignment vertical="center" wrapText="1"/>
    </xf>
    <xf numFmtId="0" fontId="0" fillId="0" borderId="0" xfId="0" applyFill="1" applyBorder="1">
      <alignment vertical="center"/>
    </xf>
    <xf numFmtId="0" fontId="16" fillId="0" borderId="0" xfId="0" applyFont="1" applyFill="1" applyBorder="1" applyAlignment="1">
      <alignment vertical="center" wrapText="1"/>
    </xf>
    <xf numFmtId="43" fontId="17" fillId="0" borderId="0" xfId="1" applyFont="1" applyFill="1" applyBorder="1" applyAlignment="1">
      <alignment horizontal="right" vertical="center" wrapText="1"/>
    </xf>
    <xf numFmtId="0" fontId="16" fillId="0" borderId="2" xfId="0" applyFont="1" applyBorder="1" applyAlignment="1">
      <alignment vertical="center" wrapText="1"/>
    </xf>
    <xf numFmtId="43" fontId="17" fillId="5" borderId="2" xfId="1" applyFont="1" applyFill="1" applyBorder="1" applyAlignment="1">
      <alignment horizontal="right" vertical="center" wrapText="1"/>
    </xf>
    <xf numFmtId="0" fontId="0" fillId="0" borderId="0" xfId="0" applyBorder="1">
      <alignment vertical="center"/>
    </xf>
    <xf numFmtId="43" fontId="17" fillId="0" borderId="2" xfId="1" applyFont="1" applyFill="1" applyBorder="1" applyAlignment="1">
      <alignment horizontal="right" vertical="center" wrapText="1"/>
    </xf>
    <xf numFmtId="0" fontId="16" fillId="0" borderId="2" xfId="0" applyFont="1" applyFill="1" applyBorder="1" applyAlignment="1">
      <alignment vertical="center" wrapText="1"/>
    </xf>
    <xf numFmtId="0" fontId="17" fillId="6" borderId="0" xfId="0" applyFont="1" applyFill="1" applyBorder="1" applyAlignment="1">
      <alignment horizontal="right" vertical="center" wrapText="1"/>
    </xf>
    <xf numFmtId="0" fontId="14" fillId="5" borderId="12" xfId="0" applyFont="1" applyFill="1" applyBorder="1" applyAlignment="1">
      <alignment vertical="center" wrapText="1" readingOrder="1"/>
    </xf>
    <xf numFmtId="0" fontId="13" fillId="6" borderId="12" xfId="0" applyFont="1" applyFill="1" applyBorder="1" applyAlignment="1">
      <alignment vertical="center" wrapText="1" readingOrder="1"/>
    </xf>
    <xf numFmtId="0" fontId="13" fillId="0" borderId="2" xfId="0" applyFont="1" applyFill="1" applyBorder="1" applyAlignment="1">
      <alignment vertical="center" wrapText="1" readingOrder="1"/>
    </xf>
    <xf numFmtId="44" fontId="14" fillId="0" borderId="2" xfId="2" applyFont="1" applyBorder="1" applyAlignment="1">
      <alignment vertical="center" wrapText="1" readingOrder="1"/>
    </xf>
    <xf numFmtId="0" fontId="14" fillId="0" borderId="12" xfId="0" applyFont="1" applyFill="1" applyBorder="1" applyAlignment="1">
      <alignment vertical="center" wrapText="1" readingOrder="1"/>
    </xf>
    <xf numFmtId="0" fontId="14" fillId="6" borderId="12" xfId="0" applyFont="1" applyFill="1" applyBorder="1" applyAlignment="1">
      <alignment vertical="center" wrapText="1" readingOrder="1"/>
    </xf>
    <xf numFmtId="44" fontId="0" fillId="7" borderId="0" xfId="0" applyNumberFormat="1" applyFill="1">
      <alignment vertical="center"/>
    </xf>
    <xf numFmtId="3" fontId="13" fillId="9" borderId="12" xfId="0" applyNumberFormat="1" applyFont="1" applyFill="1" applyBorder="1" applyAlignment="1">
      <alignment vertical="center" wrapText="1" readingOrder="1"/>
    </xf>
    <xf numFmtId="0" fontId="14" fillId="0" borderId="2" xfId="0" applyFont="1" applyFill="1" applyBorder="1" applyAlignment="1">
      <alignment vertical="center" wrapText="1" readingOrder="1"/>
    </xf>
    <xf numFmtId="0" fontId="0" fillId="7" borderId="2" xfId="0" applyFill="1" applyBorder="1">
      <alignment vertical="center"/>
    </xf>
    <xf numFmtId="44" fontId="3" fillId="0" borderId="2" xfId="0" applyNumberFormat="1" applyFont="1" applyBorder="1">
      <alignment vertical="center"/>
    </xf>
    <xf numFmtId="0" fontId="6" fillId="8" borderId="21" xfId="0" applyFont="1" applyFill="1" applyBorder="1" applyAlignment="1">
      <alignment vertical="center" wrapText="1"/>
    </xf>
    <xf numFmtId="0" fontId="6" fillId="8" borderId="21" xfId="0" applyFont="1" applyFill="1" applyBorder="1" applyAlignment="1">
      <alignment vertical="center" wrapText="1"/>
    </xf>
    <xf numFmtId="0" fontId="6" fillId="8" borderId="22" xfId="0" applyFont="1" applyFill="1" applyBorder="1" applyAlignment="1">
      <alignment vertical="center" wrapText="1"/>
    </xf>
    <xf numFmtId="0" fontId="6" fillId="8" borderId="23" xfId="0" applyFont="1" applyFill="1" applyBorder="1" applyAlignment="1">
      <alignment vertical="center" wrapText="1"/>
    </xf>
    <xf numFmtId="0" fontId="6" fillId="8" borderId="24" xfId="0" applyFont="1" applyFill="1" applyBorder="1" applyAlignment="1">
      <alignment vertical="center" wrapText="1"/>
    </xf>
    <xf numFmtId="0" fontId="6" fillId="8" borderId="25" xfId="0" applyFont="1" applyFill="1" applyBorder="1" applyAlignment="1">
      <alignment vertical="center" wrapText="1"/>
    </xf>
    <xf numFmtId="6" fontId="6" fillId="8" borderId="4" xfId="0" applyNumberFormat="1" applyFont="1" applyFill="1" applyBorder="1" applyAlignment="1">
      <alignment vertical="center" wrapText="1"/>
    </xf>
    <xf numFmtId="46" fontId="6" fillId="8" borderId="4" xfId="0" applyNumberFormat="1" applyFont="1" applyFill="1" applyBorder="1" applyAlignment="1">
      <alignment vertical="center" wrapText="1"/>
    </xf>
    <xf numFmtId="20" fontId="6" fillId="8" borderId="4" xfId="0" applyNumberFormat="1" applyFont="1" applyFill="1" applyBorder="1" applyAlignment="1">
      <alignment vertical="center" wrapText="1"/>
    </xf>
    <xf numFmtId="0" fontId="18" fillId="0" borderId="0" xfId="0" applyFont="1">
      <alignment vertical="center"/>
    </xf>
    <xf numFmtId="0" fontId="6" fillId="8" borderId="2" xfId="0" applyFont="1" applyFill="1" applyBorder="1" applyAlignment="1">
      <alignment vertical="center" wrapText="1"/>
    </xf>
    <xf numFmtId="0" fontId="0" fillId="5" borderId="2" xfId="0" applyFill="1" applyBorder="1" applyAlignment="1">
      <alignment horizontal="center" vertical="center"/>
    </xf>
    <xf numFmtId="44" fontId="6" fillId="8" borderId="4" xfId="2" applyFont="1" applyFill="1" applyBorder="1" applyAlignment="1">
      <alignment vertical="center" wrapText="1"/>
    </xf>
    <xf numFmtId="44" fontId="6" fillId="8" borderId="24" xfId="2" applyFont="1" applyFill="1" applyBorder="1" applyAlignment="1">
      <alignment vertical="center" wrapText="1"/>
    </xf>
    <xf numFmtId="0" fontId="0" fillId="5" borderId="26" xfId="0" applyFill="1" applyBorder="1" applyAlignment="1">
      <alignment horizontal="center" vertical="center"/>
    </xf>
    <xf numFmtId="44" fontId="3" fillId="0" borderId="2" xfId="2" applyFont="1" applyBorder="1">
      <alignment vertical="center"/>
    </xf>
    <xf numFmtId="0" fontId="6" fillId="8" borderId="0" xfId="0" applyFont="1" applyFill="1" applyBorder="1" applyAlignment="1">
      <alignment vertical="center" wrapText="1"/>
    </xf>
    <xf numFmtId="0" fontId="3" fillId="0" borderId="26" xfId="0" applyFont="1" applyBorder="1">
      <alignment vertical="center"/>
    </xf>
    <xf numFmtId="6" fontId="3" fillId="0" borderId="2" xfId="0" applyNumberFormat="1" applyFont="1" applyBorder="1">
      <alignment vertical="center"/>
    </xf>
    <xf numFmtId="43" fontId="13" fillId="0" borderId="2" xfId="1" applyFont="1" applyFill="1" applyBorder="1" applyAlignment="1">
      <alignment vertical="center" wrapText="1" readingOrder="1"/>
    </xf>
    <xf numFmtId="43" fontId="14" fillId="0" borderId="2" xfId="1" applyFont="1" applyFill="1" applyBorder="1" applyAlignment="1">
      <alignment vertical="center" wrapText="1" readingOrder="1"/>
    </xf>
    <xf numFmtId="44" fontId="0" fillId="0" borderId="2" xfId="0" applyNumberFormat="1" applyBorder="1">
      <alignment vertical="center"/>
    </xf>
  </cellXfs>
  <cellStyles count="5">
    <cellStyle name="20% - Accent1" xfId="4" builtinId="30"/>
    <cellStyle name="Comma" xfId="1" builtinId="3"/>
    <cellStyle name="Currency" xfId="2" builtinId="4"/>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13</xdr:col>
      <xdr:colOff>177800</xdr:colOff>
      <xdr:row>0</xdr:row>
      <xdr:rowOff>0</xdr:rowOff>
    </xdr:from>
    <xdr:to>
      <xdr:col>19</xdr:col>
      <xdr:colOff>92710</xdr:colOff>
      <xdr:row>10</xdr:row>
      <xdr:rowOff>76200</xdr:rowOff>
    </xdr:to>
    <xdr:pic>
      <xdr:nvPicPr>
        <xdr:cNvPr id="2" name="Picture 1">
          <a:extLst>
            <a:ext uri="{FF2B5EF4-FFF2-40B4-BE49-F238E27FC236}">
              <a16:creationId xmlns:a16="http://schemas.microsoft.com/office/drawing/2014/main" id="{C9DDB86A-E622-9A50-07A5-29A702D4B056}"/>
            </a:ext>
          </a:extLst>
        </xdr:cNvPr>
        <xdr:cNvPicPr>
          <a:picLocks noChangeAspect="1"/>
        </xdr:cNvPicPr>
      </xdr:nvPicPr>
      <xdr:blipFill>
        <a:blip xmlns:r="http://schemas.openxmlformats.org/officeDocument/2006/relationships" r:embed="rId1"/>
        <a:stretch>
          <a:fillRect/>
        </a:stretch>
      </xdr:blipFill>
      <xdr:spPr>
        <a:xfrm>
          <a:off x="8763000" y="457200"/>
          <a:ext cx="3877310" cy="1854200"/>
        </a:xfrm>
        <a:prstGeom prst="rect">
          <a:avLst/>
        </a:prstGeom>
      </xdr:spPr>
    </xdr:pic>
    <xdr:clientData/>
  </xdr:twoCellAnchor>
  <xdr:twoCellAnchor editAs="oneCell">
    <xdr:from>
      <xdr:col>0</xdr:col>
      <xdr:colOff>1612900</xdr:colOff>
      <xdr:row>40</xdr:row>
      <xdr:rowOff>12700</xdr:rowOff>
    </xdr:from>
    <xdr:to>
      <xdr:col>4</xdr:col>
      <xdr:colOff>842010</xdr:colOff>
      <xdr:row>47</xdr:row>
      <xdr:rowOff>26035</xdr:rowOff>
    </xdr:to>
    <xdr:pic>
      <xdr:nvPicPr>
        <xdr:cNvPr id="3" name="Picture 2">
          <a:extLst>
            <a:ext uri="{FF2B5EF4-FFF2-40B4-BE49-F238E27FC236}">
              <a16:creationId xmlns:a16="http://schemas.microsoft.com/office/drawing/2014/main" id="{0392B59C-0BFE-88B4-30F8-AF9E0028C3B0}"/>
            </a:ext>
          </a:extLst>
        </xdr:cNvPr>
        <xdr:cNvPicPr>
          <a:picLocks noChangeAspect="1"/>
        </xdr:cNvPicPr>
      </xdr:nvPicPr>
      <xdr:blipFill>
        <a:blip xmlns:r="http://schemas.openxmlformats.org/officeDocument/2006/relationships" r:embed="rId2"/>
        <a:stretch>
          <a:fillRect/>
        </a:stretch>
      </xdr:blipFill>
      <xdr:spPr>
        <a:xfrm>
          <a:off x="1612900" y="7124700"/>
          <a:ext cx="5274310" cy="1257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177800</xdr:colOff>
      <xdr:row>0</xdr:row>
      <xdr:rowOff>0</xdr:rowOff>
    </xdr:from>
    <xdr:to>
      <xdr:col>19</xdr:col>
      <xdr:colOff>92710</xdr:colOff>
      <xdr:row>10</xdr:row>
      <xdr:rowOff>76200</xdr:rowOff>
    </xdr:to>
    <xdr:pic>
      <xdr:nvPicPr>
        <xdr:cNvPr id="2" name="Picture 1">
          <a:extLst>
            <a:ext uri="{FF2B5EF4-FFF2-40B4-BE49-F238E27FC236}">
              <a16:creationId xmlns:a16="http://schemas.microsoft.com/office/drawing/2014/main" id="{61F19C85-9D0B-43BA-8540-3FF8571E30CD}"/>
            </a:ext>
          </a:extLst>
        </xdr:cNvPr>
        <xdr:cNvPicPr>
          <a:picLocks noChangeAspect="1"/>
        </xdr:cNvPicPr>
      </xdr:nvPicPr>
      <xdr:blipFill>
        <a:blip xmlns:r="http://schemas.openxmlformats.org/officeDocument/2006/relationships" r:embed="rId1"/>
        <a:stretch>
          <a:fillRect/>
        </a:stretch>
      </xdr:blipFill>
      <xdr:spPr>
        <a:xfrm>
          <a:off x="15360650" y="0"/>
          <a:ext cx="3877310" cy="1854200"/>
        </a:xfrm>
        <a:prstGeom prst="rect">
          <a:avLst/>
        </a:prstGeom>
      </xdr:spPr>
    </xdr:pic>
    <xdr:clientData/>
  </xdr:twoCellAnchor>
  <xdr:twoCellAnchor editAs="oneCell">
    <xdr:from>
      <xdr:col>5</xdr:col>
      <xdr:colOff>292100</xdr:colOff>
      <xdr:row>5</xdr:row>
      <xdr:rowOff>76200</xdr:rowOff>
    </xdr:from>
    <xdr:to>
      <xdr:col>9</xdr:col>
      <xdr:colOff>86360</xdr:colOff>
      <xdr:row>12</xdr:row>
      <xdr:rowOff>89535</xdr:rowOff>
    </xdr:to>
    <xdr:pic>
      <xdr:nvPicPr>
        <xdr:cNvPr id="3" name="Picture 2">
          <a:extLst>
            <a:ext uri="{FF2B5EF4-FFF2-40B4-BE49-F238E27FC236}">
              <a16:creationId xmlns:a16="http://schemas.microsoft.com/office/drawing/2014/main" id="{EBBE0CD9-B428-48F0-9C7B-B45FE47AEB94}"/>
            </a:ext>
          </a:extLst>
        </xdr:cNvPr>
        <xdr:cNvPicPr>
          <a:picLocks noChangeAspect="1"/>
        </xdr:cNvPicPr>
      </xdr:nvPicPr>
      <xdr:blipFill>
        <a:blip xmlns:r="http://schemas.openxmlformats.org/officeDocument/2006/relationships" r:embed="rId2"/>
        <a:stretch>
          <a:fillRect/>
        </a:stretch>
      </xdr:blipFill>
      <xdr:spPr>
        <a:xfrm>
          <a:off x="7353300" y="965200"/>
          <a:ext cx="5274310" cy="12579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282864</xdr:colOff>
      <xdr:row>0</xdr:row>
      <xdr:rowOff>69272</xdr:rowOff>
    </xdr:from>
    <xdr:to>
      <xdr:col>16</xdr:col>
      <xdr:colOff>438729</xdr:colOff>
      <xdr:row>6</xdr:row>
      <xdr:rowOff>161636</xdr:rowOff>
    </xdr:to>
    <xdr:sp macro="" textlink="">
      <xdr:nvSpPr>
        <xdr:cNvPr id="4" name="TextBox 3">
          <a:extLst>
            <a:ext uri="{FF2B5EF4-FFF2-40B4-BE49-F238E27FC236}">
              <a16:creationId xmlns:a16="http://schemas.microsoft.com/office/drawing/2014/main" id="{DF7213EB-2EED-492C-A0F0-00D728100141}"/>
            </a:ext>
          </a:extLst>
        </xdr:cNvPr>
        <xdr:cNvSpPr txBox="1"/>
      </xdr:nvSpPr>
      <xdr:spPr>
        <a:xfrm>
          <a:off x="7312314" y="69272"/>
          <a:ext cx="4118265" cy="115916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Trick to a scheduling probelm is to recognize</a:t>
          </a:r>
          <a:r>
            <a:rPr lang="en-US" sz="1100" baseline="0"/>
            <a:t> what the DVs are. They are not just the number of works of each type but they are the also when those workers will be scheduled.  SO we only have one type of FT worker in this probelm but we have 5 different types of PT work (starting at 9, 10, 11, 12,and 1).  Also note the many possible optimal answers for this problem.</a:t>
          </a:r>
          <a:br>
            <a:rPr lang="en-US" sz="1100" baseline="0"/>
          </a:b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501650</xdr:colOff>
      <xdr:row>0</xdr:row>
      <xdr:rowOff>139700</xdr:rowOff>
    </xdr:from>
    <xdr:to>
      <xdr:col>17</xdr:col>
      <xdr:colOff>492760</xdr:colOff>
      <xdr:row>15</xdr:row>
      <xdr:rowOff>48895</xdr:rowOff>
    </xdr:to>
    <xdr:pic>
      <xdr:nvPicPr>
        <xdr:cNvPr id="2" name="Picture 1">
          <a:extLst>
            <a:ext uri="{FF2B5EF4-FFF2-40B4-BE49-F238E27FC236}">
              <a16:creationId xmlns:a16="http://schemas.microsoft.com/office/drawing/2014/main" id="{0B249742-D3B7-74C0-F8A3-049A503B0957}"/>
            </a:ext>
          </a:extLst>
        </xdr:cNvPr>
        <xdr:cNvPicPr>
          <a:picLocks noChangeAspect="1"/>
        </xdr:cNvPicPr>
      </xdr:nvPicPr>
      <xdr:blipFill>
        <a:blip xmlns:r="http://schemas.openxmlformats.org/officeDocument/2006/relationships" r:embed="rId1"/>
        <a:stretch>
          <a:fillRect/>
        </a:stretch>
      </xdr:blipFill>
      <xdr:spPr>
        <a:xfrm>
          <a:off x="6445250" y="139700"/>
          <a:ext cx="5274310" cy="25761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431800</xdr:colOff>
      <xdr:row>1</xdr:row>
      <xdr:rowOff>69850</xdr:rowOff>
    </xdr:from>
    <xdr:to>
      <xdr:col>19</xdr:col>
      <xdr:colOff>422910</xdr:colOff>
      <xdr:row>17</xdr:row>
      <xdr:rowOff>58420</xdr:rowOff>
    </xdr:to>
    <xdr:pic>
      <xdr:nvPicPr>
        <xdr:cNvPr id="2" name="Picture 1">
          <a:extLst>
            <a:ext uri="{FF2B5EF4-FFF2-40B4-BE49-F238E27FC236}">
              <a16:creationId xmlns:a16="http://schemas.microsoft.com/office/drawing/2014/main" id="{D72B2DE3-023D-8BE4-D61C-E92601EC9727}"/>
            </a:ext>
          </a:extLst>
        </xdr:cNvPr>
        <xdr:cNvPicPr>
          <a:picLocks noChangeAspect="1"/>
        </xdr:cNvPicPr>
      </xdr:nvPicPr>
      <xdr:blipFill>
        <a:blip xmlns:r="http://schemas.openxmlformats.org/officeDocument/2006/relationships" r:embed="rId1"/>
        <a:stretch>
          <a:fillRect/>
        </a:stretch>
      </xdr:blipFill>
      <xdr:spPr>
        <a:xfrm>
          <a:off x="7696200" y="247650"/>
          <a:ext cx="5274310" cy="28333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133350</xdr:colOff>
      <xdr:row>0</xdr:row>
      <xdr:rowOff>0</xdr:rowOff>
    </xdr:from>
    <xdr:to>
      <xdr:col>19</xdr:col>
      <xdr:colOff>38367</xdr:colOff>
      <xdr:row>26</xdr:row>
      <xdr:rowOff>25651</xdr:rowOff>
    </xdr:to>
    <xdr:pic>
      <xdr:nvPicPr>
        <xdr:cNvPr id="2" name="Picture 1">
          <a:extLst>
            <a:ext uri="{FF2B5EF4-FFF2-40B4-BE49-F238E27FC236}">
              <a16:creationId xmlns:a16="http://schemas.microsoft.com/office/drawing/2014/main" id="{F4B4AE06-1C57-2A97-7DBC-E35DB3BC6BAB}"/>
            </a:ext>
          </a:extLst>
        </xdr:cNvPr>
        <xdr:cNvPicPr>
          <a:picLocks noChangeAspect="1"/>
        </xdr:cNvPicPr>
      </xdr:nvPicPr>
      <xdr:blipFill>
        <a:blip xmlns:r="http://schemas.openxmlformats.org/officeDocument/2006/relationships" r:embed="rId1"/>
        <a:stretch>
          <a:fillRect/>
        </a:stretch>
      </xdr:blipFill>
      <xdr:spPr>
        <a:xfrm>
          <a:off x="7397750" y="0"/>
          <a:ext cx="5188217" cy="48770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31750</xdr:colOff>
      <xdr:row>1</xdr:row>
      <xdr:rowOff>88900</xdr:rowOff>
    </xdr:from>
    <xdr:to>
      <xdr:col>20</xdr:col>
      <xdr:colOff>22860</xdr:colOff>
      <xdr:row>16</xdr:row>
      <xdr:rowOff>149860</xdr:rowOff>
    </xdr:to>
    <xdr:pic>
      <xdr:nvPicPr>
        <xdr:cNvPr id="2" name="Picture 1">
          <a:extLst>
            <a:ext uri="{FF2B5EF4-FFF2-40B4-BE49-F238E27FC236}">
              <a16:creationId xmlns:a16="http://schemas.microsoft.com/office/drawing/2014/main" id="{969DCD46-4DC5-4BC6-D371-DB854014E87E}"/>
            </a:ext>
          </a:extLst>
        </xdr:cNvPr>
        <xdr:cNvPicPr>
          <a:picLocks noChangeAspect="1"/>
        </xdr:cNvPicPr>
      </xdr:nvPicPr>
      <xdr:blipFill>
        <a:blip xmlns:r="http://schemas.openxmlformats.org/officeDocument/2006/relationships" r:embed="rId1"/>
        <a:stretch>
          <a:fillRect/>
        </a:stretch>
      </xdr:blipFill>
      <xdr:spPr>
        <a:xfrm>
          <a:off x="8369300" y="266700"/>
          <a:ext cx="5274310" cy="2727960"/>
        </a:xfrm>
        <a:prstGeom prst="rect">
          <a:avLst/>
        </a:prstGeom>
      </xdr:spPr>
    </xdr:pic>
    <xdr:clientData/>
  </xdr:twoCellAnchor>
  <xdr:twoCellAnchor editAs="oneCell">
    <xdr:from>
      <xdr:col>12</xdr:col>
      <xdr:colOff>247650</xdr:colOff>
      <xdr:row>18</xdr:row>
      <xdr:rowOff>88900</xdr:rowOff>
    </xdr:from>
    <xdr:to>
      <xdr:col>17</xdr:col>
      <xdr:colOff>285750</xdr:colOff>
      <xdr:row>27</xdr:row>
      <xdr:rowOff>171450</xdr:rowOff>
    </xdr:to>
    <xdr:pic>
      <xdr:nvPicPr>
        <xdr:cNvPr id="3" name="Picture 2">
          <a:extLst>
            <a:ext uri="{FF2B5EF4-FFF2-40B4-BE49-F238E27FC236}">
              <a16:creationId xmlns:a16="http://schemas.microsoft.com/office/drawing/2014/main" id="{8F8EF37E-6C3C-FAFB-983F-B967F6DAEC37}"/>
            </a:ext>
          </a:extLst>
        </xdr:cNvPr>
        <xdr:cNvPicPr>
          <a:picLocks noChangeAspect="1"/>
        </xdr:cNvPicPr>
      </xdr:nvPicPr>
      <xdr:blipFill>
        <a:blip xmlns:r="http://schemas.openxmlformats.org/officeDocument/2006/relationships" r:embed="rId2"/>
        <a:stretch>
          <a:fillRect/>
        </a:stretch>
      </xdr:blipFill>
      <xdr:spPr>
        <a:xfrm>
          <a:off x="8585200" y="3289300"/>
          <a:ext cx="3340100" cy="1682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234950</xdr:colOff>
      <xdr:row>15</xdr:row>
      <xdr:rowOff>133350</xdr:rowOff>
    </xdr:from>
    <xdr:to>
      <xdr:col>6</xdr:col>
      <xdr:colOff>454660</xdr:colOff>
      <xdr:row>30</xdr:row>
      <xdr:rowOff>134620</xdr:rowOff>
    </xdr:to>
    <xdr:pic>
      <xdr:nvPicPr>
        <xdr:cNvPr id="4" name="Picture 3">
          <a:extLst>
            <a:ext uri="{FF2B5EF4-FFF2-40B4-BE49-F238E27FC236}">
              <a16:creationId xmlns:a16="http://schemas.microsoft.com/office/drawing/2014/main" id="{D62D4E9C-A82A-18FC-13E4-26069AD88C2C}"/>
            </a:ext>
          </a:extLst>
        </xdr:cNvPr>
        <xdr:cNvPicPr>
          <a:picLocks noChangeAspect="1"/>
        </xdr:cNvPicPr>
      </xdr:nvPicPr>
      <xdr:blipFill>
        <a:blip xmlns:r="http://schemas.openxmlformats.org/officeDocument/2006/relationships" r:embed="rId1"/>
        <a:stretch>
          <a:fillRect/>
        </a:stretch>
      </xdr:blipFill>
      <xdr:spPr>
        <a:xfrm>
          <a:off x="234950" y="2800350"/>
          <a:ext cx="5274310" cy="26682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114300</xdr:colOff>
      <xdr:row>2</xdr:row>
      <xdr:rowOff>95250</xdr:rowOff>
    </xdr:from>
    <xdr:to>
      <xdr:col>15</xdr:col>
      <xdr:colOff>586105</xdr:colOff>
      <xdr:row>12</xdr:row>
      <xdr:rowOff>0</xdr:rowOff>
    </xdr:to>
    <xdr:pic>
      <xdr:nvPicPr>
        <xdr:cNvPr id="2" name="Picture 1">
          <a:extLst>
            <a:ext uri="{FF2B5EF4-FFF2-40B4-BE49-F238E27FC236}">
              <a16:creationId xmlns:a16="http://schemas.microsoft.com/office/drawing/2014/main" id="{42D3D556-AA45-B132-964F-F7C6CE975FD0}"/>
            </a:ext>
          </a:extLst>
        </xdr:cNvPr>
        <xdr:cNvPicPr>
          <a:picLocks noChangeAspect="1"/>
        </xdr:cNvPicPr>
      </xdr:nvPicPr>
      <xdr:blipFill>
        <a:blip xmlns:r="http://schemas.openxmlformats.org/officeDocument/2006/relationships" r:embed="rId1"/>
        <a:stretch>
          <a:fillRect/>
        </a:stretch>
      </xdr:blipFill>
      <xdr:spPr>
        <a:xfrm>
          <a:off x="6057900" y="450850"/>
          <a:ext cx="4434205" cy="1682750"/>
        </a:xfrm>
        <a:prstGeom prst="rect">
          <a:avLst/>
        </a:prstGeom>
      </xdr:spPr>
    </xdr:pic>
    <xdr:clientData/>
  </xdr:twoCellAnchor>
  <xdr:twoCellAnchor editAs="oneCell">
    <xdr:from>
      <xdr:col>8</xdr:col>
      <xdr:colOff>641350</xdr:colOff>
      <xdr:row>13</xdr:row>
      <xdr:rowOff>0</xdr:rowOff>
    </xdr:from>
    <xdr:to>
      <xdr:col>15</xdr:col>
      <xdr:colOff>422910</xdr:colOff>
      <xdr:row>24</xdr:row>
      <xdr:rowOff>43180</xdr:rowOff>
    </xdr:to>
    <xdr:pic>
      <xdr:nvPicPr>
        <xdr:cNvPr id="3" name="Picture 2">
          <a:extLst>
            <a:ext uri="{FF2B5EF4-FFF2-40B4-BE49-F238E27FC236}">
              <a16:creationId xmlns:a16="http://schemas.microsoft.com/office/drawing/2014/main" id="{095D2BF3-07BB-F699-A1CE-4A68E6BFB8C7}"/>
            </a:ext>
          </a:extLst>
        </xdr:cNvPr>
        <xdr:cNvPicPr>
          <a:picLocks noChangeAspect="1"/>
        </xdr:cNvPicPr>
      </xdr:nvPicPr>
      <xdr:blipFill>
        <a:blip xmlns:r="http://schemas.openxmlformats.org/officeDocument/2006/relationships" r:embed="rId2"/>
        <a:stretch>
          <a:fillRect/>
        </a:stretch>
      </xdr:blipFill>
      <xdr:spPr>
        <a:xfrm>
          <a:off x="5924550" y="2311400"/>
          <a:ext cx="4404360" cy="1998980"/>
        </a:xfrm>
        <a:prstGeom prst="rect">
          <a:avLst/>
        </a:prstGeom>
      </xdr:spPr>
    </xdr:pic>
    <xdr:clientData/>
  </xdr:twoCellAnchor>
  <xdr:twoCellAnchor editAs="oneCell">
    <xdr:from>
      <xdr:col>10</xdr:col>
      <xdr:colOff>425450</xdr:colOff>
      <xdr:row>1</xdr:row>
      <xdr:rowOff>146050</xdr:rowOff>
    </xdr:from>
    <xdr:to>
      <xdr:col>15</xdr:col>
      <xdr:colOff>381000</xdr:colOff>
      <xdr:row>14</xdr:row>
      <xdr:rowOff>17780</xdr:rowOff>
    </xdr:to>
    <xdr:pic>
      <xdr:nvPicPr>
        <xdr:cNvPr id="4" name="Picture 3">
          <a:extLst>
            <a:ext uri="{FF2B5EF4-FFF2-40B4-BE49-F238E27FC236}">
              <a16:creationId xmlns:a16="http://schemas.microsoft.com/office/drawing/2014/main" id="{6BEC3B3B-A4AF-E00F-FF89-77C512ADF932}"/>
            </a:ext>
          </a:extLst>
        </xdr:cNvPr>
        <xdr:cNvPicPr>
          <a:picLocks noChangeAspect="1"/>
        </xdr:cNvPicPr>
      </xdr:nvPicPr>
      <xdr:blipFill>
        <a:blip xmlns:r="http://schemas.openxmlformats.org/officeDocument/2006/relationships" r:embed="rId3"/>
        <a:stretch>
          <a:fillRect/>
        </a:stretch>
      </xdr:blipFill>
      <xdr:spPr>
        <a:xfrm>
          <a:off x="7689850" y="323850"/>
          <a:ext cx="3257550" cy="21831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400050</xdr:colOff>
      <xdr:row>9</xdr:row>
      <xdr:rowOff>82550</xdr:rowOff>
    </xdr:from>
    <xdr:to>
      <xdr:col>16</xdr:col>
      <xdr:colOff>391160</xdr:colOff>
      <xdr:row>25</xdr:row>
      <xdr:rowOff>42545</xdr:rowOff>
    </xdr:to>
    <xdr:pic>
      <xdr:nvPicPr>
        <xdr:cNvPr id="3" name="Picture 2">
          <a:extLst>
            <a:ext uri="{FF2B5EF4-FFF2-40B4-BE49-F238E27FC236}">
              <a16:creationId xmlns:a16="http://schemas.microsoft.com/office/drawing/2014/main" id="{284490CD-CA3D-0022-2904-F1A56E9C3694}"/>
            </a:ext>
          </a:extLst>
        </xdr:cNvPr>
        <xdr:cNvPicPr>
          <a:picLocks noChangeAspect="1"/>
        </xdr:cNvPicPr>
      </xdr:nvPicPr>
      <xdr:blipFill>
        <a:blip xmlns:r="http://schemas.openxmlformats.org/officeDocument/2006/relationships" r:embed="rId1"/>
        <a:stretch>
          <a:fillRect/>
        </a:stretch>
      </xdr:blipFill>
      <xdr:spPr>
        <a:xfrm>
          <a:off x="8921750" y="1682750"/>
          <a:ext cx="5274310" cy="28047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285750</xdr:colOff>
      <xdr:row>0</xdr:row>
      <xdr:rowOff>0</xdr:rowOff>
    </xdr:from>
    <xdr:to>
      <xdr:col>15</xdr:col>
      <xdr:colOff>276860</xdr:colOff>
      <xdr:row>26</xdr:row>
      <xdr:rowOff>119380</xdr:rowOff>
    </xdr:to>
    <xdr:pic>
      <xdr:nvPicPr>
        <xdr:cNvPr id="2" name="Picture 1">
          <a:extLst>
            <a:ext uri="{FF2B5EF4-FFF2-40B4-BE49-F238E27FC236}">
              <a16:creationId xmlns:a16="http://schemas.microsoft.com/office/drawing/2014/main" id="{84AEBC8F-4D3B-BFCD-EF54-FF43AC692FA0}"/>
            </a:ext>
          </a:extLst>
        </xdr:cNvPr>
        <xdr:cNvPicPr>
          <a:picLocks noChangeAspect="1"/>
        </xdr:cNvPicPr>
      </xdr:nvPicPr>
      <xdr:blipFill>
        <a:blip xmlns:r="http://schemas.openxmlformats.org/officeDocument/2006/relationships" r:embed="rId1"/>
        <a:stretch>
          <a:fillRect/>
        </a:stretch>
      </xdr:blipFill>
      <xdr:spPr>
        <a:xfrm>
          <a:off x="7588250" y="0"/>
          <a:ext cx="5274310" cy="47421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654050</xdr:colOff>
      <xdr:row>1</xdr:row>
      <xdr:rowOff>298450</xdr:rowOff>
    </xdr:from>
    <xdr:to>
      <xdr:col>17</xdr:col>
      <xdr:colOff>645160</xdr:colOff>
      <xdr:row>13</xdr:row>
      <xdr:rowOff>233045</xdr:rowOff>
    </xdr:to>
    <xdr:pic>
      <xdr:nvPicPr>
        <xdr:cNvPr id="2" name="Picture 1">
          <a:extLst>
            <a:ext uri="{FF2B5EF4-FFF2-40B4-BE49-F238E27FC236}">
              <a16:creationId xmlns:a16="http://schemas.microsoft.com/office/drawing/2014/main" id="{6B9948AB-BB3B-244F-CBC3-3FB7045874AE}"/>
            </a:ext>
          </a:extLst>
        </xdr:cNvPr>
        <xdr:cNvPicPr>
          <a:picLocks noChangeAspect="1"/>
        </xdr:cNvPicPr>
      </xdr:nvPicPr>
      <xdr:blipFill>
        <a:blip xmlns:r="http://schemas.openxmlformats.org/officeDocument/2006/relationships" r:embed="rId1"/>
        <a:stretch>
          <a:fillRect/>
        </a:stretch>
      </xdr:blipFill>
      <xdr:spPr>
        <a:xfrm>
          <a:off x="8013700" y="476250"/>
          <a:ext cx="5274310" cy="2188845"/>
        </a:xfrm>
        <a:prstGeom prst="rect">
          <a:avLst/>
        </a:prstGeom>
      </xdr:spPr>
    </xdr:pic>
    <xdr:clientData/>
  </xdr:twoCellAnchor>
  <xdr:twoCellAnchor editAs="oneCell">
    <xdr:from>
      <xdr:col>10</xdr:col>
      <xdr:colOff>101600</xdr:colOff>
      <xdr:row>14</xdr:row>
      <xdr:rowOff>158750</xdr:rowOff>
    </xdr:from>
    <xdr:to>
      <xdr:col>17</xdr:col>
      <xdr:colOff>562610</xdr:colOff>
      <xdr:row>29</xdr:row>
      <xdr:rowOff>17145</xdr:rowOff>
    </xdr:to>
    <xdr:pic>
      <xdr:nvPicPr>
        <xdr:cNvPr id="3" name="Picture 2">
          <a:extLst>
            <a:ext uri="{FF2B5EF4-FFF2-40B4-BE49-F238E27FC236}">
              <a16:creationId xmlns:a16="http://schemas.microsoft.com/office/drawing/2014/main" id="{EB39428E-7EDE-7B5B-E798-A65839EABF61}"/>
            </a:ext>
          </a:extLst>
        </xdr:cNvPr>
        <xdr:cNvPicPr>
          <a:picLocks noChangeAspect="1"/>
        </xdr:cNvPicPr>
      </xdr:nvPicPr>
      <xdr:blipFill>
        <a:blip xmlns:r="http://schemas.openxmlformats.org/officeDocument/2006/relationships" r:embed="rId2"/>
        <a:stretch>
          <a:fillRect/>
        </a:stretch>
      </xdr:blipFill>
      <xdr:spPr>
        <a:xfrm>
          <a:off x="8121650" y="2647950"/>
          <a:ext cx="5083810" cy="252539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336550</xdr:colOff>
      <xdr:row>0</xdr:row>
      <xdr:rowOff>44450</xdr:rowOff>
    </xdr:from>
    <xdr:to>
      <xdr:col>17</xdr:col>
      <xdr:colOff>327660</xdr:colOff>
      <xdr:row>10</xdr:row>
      <xdr:rowOff>271145</xdr:rowOff>
    </xdr:to>
    <xdr:pic>
      <xdr:nvPicPr>
        <xdr:cNvPr id="2" name="Picture 1">
          <a:extLst>
            <a:ext uri="{FF2B5EF4-FFF2-40B4-BE49-F238E27FC236}">
              <a16:creationId xmlns:a16="http://schemas.microsoft.com/office/drawing/2014/main" id="{6842769D-54B9-3C4E-6A84-608EB90BF712}"/>
            </a:ext>
          </a:extLst>
        </xdr:cNvPr>
        <xdr:cNvPicPr>
          <a:picLocks noChangeAspect="1"/>
        </xdr:cNvPicPr>
      </xdr:nvPicPr>
      <xdr:blipFill>
        <a:blip xmlns:r="http://schemas.openxmlformats.org/officeDocument/2006/relationships" r:embed="rId1"/>
        <a:stretch>
          <a:fillRect/>
        </a:stretch>
      </xdr:blipFill>
      <xdr:spPr>
        <a:xfrm>
          <a:off x="7264400" y="44450"/>
          <a:ext cx="5274310" cy="25761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577850</xdr:colOff>
      <xdr:row>0</xdr:row>
      <xdr:rowOff>171450</xdr:rowOff>
    </xdr:from>
    <xdr:to>
      <xdr:col>19</xdr:col>
      <xdr:colOff>568960</xdr:colOff>
      <xdr:row>11</xdr:row>
      <xdr:rowOff>36195</xdr:rowOff>
    </xdr:to>
    <xdr:pic>
      <xdr:nvPicPr>
        <xdr:cNvPr id="2" name="Picture 1">
          <a:extLst>
            <a:ext uri="{FF2B5EF4-FFF2-40B4-BE49-F238E27FC236}">
              <a16:creationId xmlns:a16="http://schemas.microsoft.com/office/drawing/2014/main" id="{DAB0F6D2-7F9B-4A97-B47E-E88B9F4D8B1A}"/>
            </a:ext>
          </a:extLst>
        </xdr:cNvPr>
        <xdr:cNvPicPr>
          <a:picLocks noChangeAspect="1"/>
        </xdr:cNvPicPr>
      </xdr:nvPicPr>
      <xdr:blipFill>
        <a:blip xmlns:r="http://schemas.openxmlformats.org/officeDocument/2006/relationships" r:embed="rId1"/>
        <a:stretch>
          <a:fillRect/>
        </a:stretch>
      </xdr:blipFill>
      <xdr:spPr>
        <a:xfrm>
          <a:off x="8826500" y="171450"/>
          <a:ext cx="5274310" cy="257619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387350</xdr:colOff>
      <xdr:row>1</xdr:row>
      <xdr:rowOff>88900</xdr:rowOff>
    </xdr:from>
    <xdr:to>
      <xdr:col>16</xdr:col>
      <xdr:colOff>146480</xdr:colOff>
      <xdr:row>14</xdr:row>
      <xdr:rowOff>99994</xdr:rowOff>
    </xdr:to>
    <xdr:pic>
      <xdr:nvPicPr>
        <xdr:cNvPr id="2" name="Picture 1">
          <a:extLst>
            <a:ext uri="{FF2B5EF4-FFF2-40B4-BE49-F238E27FC236}">
              <a16:creationId xmlns:a16="http://schemas.microsoft.com/office/drawing/2014/main" id="{CB089F96-568B-A7C6-07F6-2340C3C93D00}"/>
            </a:ext>
          </a:extLst>
        </xdr:cNvPr>
        <xdr:cNvPicPr>
          <a:picLocks noChangeAspect="1"/>
        </xdr:cNvPicPr>
      </xdr:nvPicPr>
      <xdr:blipFill>
        <a:blip xmlns:r="http://schemas.openxmlformats.org/officeDocument/2006/relationships" r:embed="rId1"/>
        <a:stretch>
          <a:fillRect/>
        </a:stretch>
      </xdr:blipFill>
      <xdr:spPr>
        <a:xfrm>
          <a:off x="7054850" y="273050"/>
          <a:ext cx="5042330" cy="253839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552450</xdr:colOff>
      <xdr:row>0</xdr:row>
      <xdr:rowOff>19050</xdr:rowOff>
    </xdr:from>
    <xdr:to>
      <xdr:col>19</xdr:col>
      <xdr:colOff>428595</xdr:colOff>
      <xdr:row>19</xdr:row>
      <xdr:rowOff>31750</xdr:rowOff>
    </xdr:to>
    <xdr:pic>
      <xdr:nvPicPr>
        <xdr:cNvPr id="2" name="Picture 1">
          <a:extLst>
            <a:ext uri="{FF2B5EF4-FFF2-40B4-BE49-F238E27FC236}">
              <a16:creationId xmlns:a16="http://schemas.microsoft.com/office/drawing/2014/main" id="{653B9DA4-9F96-4F86-B97B-923A0287FDED}"/>
            </a:ext>
          </a:extLst>
        </xdr:cNvPr>
        <xdr:cNvPicPr>
          <a:picLocks noChangeAspect="1"/>
        </xdr:cNvPicPr>
      </xdr:nvPicPr>
      <xdr:blipFill>
        <a:blip xmlns:r="http://schemas.openxmlformats.org/officeDocument/2006/relationships" r:embed="rId1"/>
        <a:stretch>
          <a:fillRect/>
        </a:stretch>
      </xdr:blipFill>
      <xdr:spPr>
        <a:xfrm>
          <a:off x="7816850" y="19050"/>
          <a:ext cx="5159345" cy="4203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86769-9573-44B2-AB57-4BBDC1BA8BBB}">
  <sheetPr>
    <tabColor rgb="FFFF0000"/>
  </sheetPr>
  <dimension ref="A1:N17"/>
  <sheetViews>
    <sheetView workbookViewId="0">
      <selection activeCell="K9" sqref="K9"/>
    </sheetView>
  </sheetViews>
  <sheetFormatPr defaultRowHeight="14" x14ac:dyDescent="0.3"/>
  <cols>
    <col min="2" max="2" width="11.75" customWidth="1"/>
    <col min="3" max="3" width="10.75" customWidth="1"/>
    <col min="5" max="5" width="11" customWidth="1"/>
    <col min="6" max="7" width="10.25" customWidth="1"/>
    <col min="8" max="8" width="12.1640625" bestFit="1" customWidth="1"/>
    <col min="9" max="9" width="12.4140625" customWidth="1"/>
    <col min="10" max="10" width="11.4140625" customWidth="1"/>
  </cols>
  <sheetData>
    <row r="1" spans="1:14" ht="28" x14ac:dyDescent="0.3">
      <c r="A1" s="6" t="s">
        <v>15</v>
      </c>
      <c r="B1" s="10" t="s">
        <v>1</v>
      </c>
      <c r="C1" s="10" t="s">
        <v>12</v>
      </c>
      <c r="D1" s="6" t="s">
        <v>6</v>
      </c>
      <c r="E1" s="6" t="s">
        <v>7</v>
      </c>
      <c r="F1" s="6" t="s">
        <v>8</v>
      </c>
      <c r="G1" s="6" t="s">
        <v>9</v>
      </c>
      <c r="H1" s="1"/>
      <c r="J1" s="12" t="s">
        <v>17</v>
      </c>
    </row>
    <row r="2" spans="1:14" x14ac:dyDescent="0.3">
      <c r="A2" s="7" t="s">
        <v>3</v>
      </c>
      <c r="B2" s="11">
        <v>450</v>
      </c>
      <c r="C2" s="11">
        <v>0</v>
      </c>
      <c r="D2" s="9"/>
      <c r="E2" s="9"/>
      <c r="F2" s="9"/>
      <c r="G2" s="9"/>
      <c r="H2" s="14">
        <f>SUM(B2:C2)</f>
        <v>450</v>
      </c>
      <c r="I2" t="s">
        <v>21</v>
      </c>
      <c r="J2" s="15">
        <v>450</v>
      </c>
    </row>
    <row r="3" spans="1:14" x14ac:dyDescent="0.3">
      <c r="A3" s="7" t="s">
        <v>4</v>
      </c>
      <c r="B3" s="11">
        <v>250</v>
      </c>
      <c r="C3" s="11">
        <v>250</v>
      </c>
      <c r="D3" s="9"/>
      <c r="E3" s="9"/>
      <c r="F3" s="9"/>
      <c r="G3" s="9"/>
      <c r="H3" s="14">
        <f t="shared" ref="H3:H4" si="0">SUM(B3:C3)</f>
        <v>500</v>
      </c>
      <c r="I3" t="s">
        <v>21</v>
      </c>
      <c r="J3" s="15">
        <v>500</v>
      </c>
    </row>
    <row r="4" spans="1:14" x14ac:dyDescent="0.3">
      <c r="A4" s="7" t="s">
        <v>5</v>
      </c>
      <c r="B4" s="11">
        <v>0</v>
      </c>
      <c r="C4" s="11">
        <v>475</v>
      </c>
      <c r="D4" s="9"/>
      <c r="E4" s="9"/>
      <c r="F4" s="9"/>
      <c r="G4" s="9"/>
      <c r="H4" s="14">
        <f t="shared" si="0"/>
        <v>475</v>
      </c>
      <c r="I4" t="s">
        <v>21</v>
      </c>
      <c r="J4" s="15">
        <v>580</v>
      </c>
    </row>
    <row r="5" spans="1:14" x14ac:dyDescent="0.3">
      <c r="A5" s="7" t="s">
        <v>10</v>
      </c>
      <c r="B5" s="9"/>
      <c r="C5" s="9"/>
      <c r="D5" s="11">
        <v>0</v>
      </c>
      <c r="E5" s="11">
        <v>300</v>
      </c>
      <c r="F5" s="11">
        <v>0</v>
      </c>
      <c r="G5" s="11">
        <v>400</v>
      </c>
      <c r="H5" s="13"/>
    </row>
    <row r="6" spans="1:14" x14ac:dyDescent="0.3">
      <c r="A6" s="7" t="s">
        <v>11</v>
      </c>
      <c r="B6" s="9"/>
      <c r="C6" s="9"/>
      <c r="D6" s="11">
        <v>450</v>
      </c>
      <c r="E6" s="11">
        <v>0</v>
      </c>
      <c r="F6" s="11">
        <v>275</v>
      </c>
      <c r="G6" s="11">
        <v>0</v>
      </c>
      <c r="H6" s="13"/>
    </row>
    <row r="7" spans="1:14" x14ac:dyDescent="0.3">
      <c r="A7" s="2"/>
      <c r="D7" s="13">
        <f>SUM(D5:D6)</f>
        <v>450</v>
      </c>
      <c r="E7" s="13">
        <f t="shared" ref="E7:G7" si="1">SUM(E5:E6)</f>
        <v>300</v>
      </c>
      <c r="F7" s="13">
        <f t="shared" si="1"/>
        <v>275</v>
      </c>
      <c r="G7" s="13">
        <f t="shared" si="1"/>
        <v>400</v>
      </c>
      <c r="H7" s="13"/>
    </row>
    <row r="8" spans="1:14" x14ac:dyDescent="0.3">
      <c r="D8" t="s">
        <v>14</v>
      </c>
      <c r="E8" t="s">
        <v>13</v>
      </c>
      <c r="F8" t="s">
        <v>13</v>
      </c>
      <c r="G8" t="s">
        <v>13</v>
      </c>
      <c r="J8" t="s">
        <v>19</v>
      </c>
      <c r="K8" t="s">
        <v>20</v>
      </c>
      <c r="L8" t="s">
        <v>18</v>
      </c>
    </row>
    <row r="9" spans="1:14" x14ac:dyDescent="0.3">
      <c r="C9" t="s">
        <v>16</v>
      </c>
      <c r="D9" s="15">
        <v>450</v>
      </c>
      <c r="E9" s="15">
        <v>300</v>
      </c>
      <c r="F9" s="15">
        <v>275</v>
      </c>
      <c r="G9" s="16">
        <v>400</v>
      </c>
      <c r="H9" s="1"/>
      <c r="I9" s="7" t="s">
        <v>10</v>
      </c>
      <c r="J9" s="2">
        <f>SUM(B2:B4)</f>
        <v>700</v>
      </c>
      <c r="K9" s="20">
        <f>SUM(D5:G5)</f>
        <v>700</v>
      </c>
      <c r="L9" s="14">
        <f>J9-K9</f>
        <v>0</v>
      </c>
      <c r="M9" t="s">
        <v>14</v>
      </c>
      <c r="N9" s="15">
        <v>0</v>
      </c>
    </row>
    <row r="10" spans="1:14" x14ac:dyDescent="0.3">
      <c r="G10" s="2"/>
      <c r="H10" s="2"/>
      <c r="I10" s="7" t="s">
        <v>11</v>
      </c>
      <c r="J10" s="20">
        <f>SUM(C2:C4)</f>
        <v>725</v>
      </c>
      <c r="K10" s="20">
        <f>SUM(D6:G6)</f>
        <v>725</v>
      </c>
      <c r="L10" s="14">
        <f>J10-K10</f>
        <v>0</v>
      </c>
      <c r="M10" s="4" t="s">
        <v>14</v>
      </c>
      <c r="N10" s="19">
        <v>0</v>
      </c>
    </row>
    <row r="11" spans="1:14" x14ac:dyDescent="0.3">
      <c r="G11" s="2"/>
      <c r="H11" s="2"/>
      <c r="I11" s="4"/>
      <c r="J11" s="4"/>
      <c r="K11" s="4"/>
      <c r="L11" s="4"/>
    </row>
    <row r="12" spans="1:14" x14ac:dyDescent="0.3">
      <c r="A12" s="6" t="s">
        <v>0</v>
      </c>
      <c r="B12" s="6" t="s">
        <v>1</v>
      </c>
      <c r="C12" s="6" t="s">
        <v>2</v>
      </c>
      <c r="D12" s="6" t="s">
        <v>6</v>
      </c>
      <c r="E12" s="6" t="s">
        <v>7</v>
      </c>
      <c r="F12" s="6" t="s">
        <v>8</v>
      </c>
      <c r="G12" s="6" t="s">
        <v>9</v>
      </c>
      <c r="H12" s="1"/>
    </row>
    <row r="13" spans="1:14" x14ac:dyDescent="0.3">
      <c r="A13" s="7" t="s">
        <v>3</v>
      </c>
      <c r="B13" s="8">
        <v>40</v>
      </c>
      <c r="C13" s="8">
        <v>55</v>
      </c>
      <c r="D13" s="9"/>
      <c r="E13" s="9"/>
      <c r="F13" s="9"/>
      <c r="G13" s="9"/>
    </row>
    <row r="14" spans="1:14" x14ac:dyDescent="0.3">
      <c r="A14" s="7" t="s">
        <v>4</v>
      </c>
      <c r="B14" s="8">
        <v>43</v>
      </c>
      <c r="C14" s="8">
        <v>46</v>
      </c>
      <c r="D14" s="9"/>
      <c r="E14" s="9"/>
      <c r="F14" s="9"/>
      <c r="G14" s="9"/>
    </row>
    <row r="15" spans="1:14" x14ac:dyDescent="0.3">
      <c r="A15" s="7" t="s">
        <v>5</v>
      </c>
      <c r="B15" s="8">
        <v>50</v>
      </c>
      <c r="C15" s="8">
        <v>50</v>
      </c>
      <c r="D15" s="9"/>
      <c r="E15" s="9"/>
      <c r="F15" s="9"/>
      <c r="G15" s="9"/>
    </row>
    <row r="16" spans="1:14" x14ac:dyDescent="0.3">
      <c r="A16" s="7" t="s">
        <v>10</v>
      </c>
      <c r="B16" s="9"/>
      <c r="C16" s="9"/>
      <c r="D16" s="8">
        <v>38</v>
      </c>
      <c r="E16" s="8">
        <v>40</v>
      </c>
      <c r="F16" s="8">
        <v>51</v>
      </c>
      <c r="G16" s="8">
        <v>40</v>
      </c>
      <c r="H16" s="4"/>
    </row>
    <row r="17" spans="1:8" x14ac:dyDescent="0.3">
      <c r="A17" s="7" t="s">
        <v>11</v>
      </c>
      <c r="B17" s="9"/>
      <c r="C17" s="9"/>
      <c r="D17" s="8">
        <v>30</v>
      </c>
      <c r="E17" s="8">
        <v>47</v>
      </c>
      <c r="F17" s="8">
        <v>41</v>
      </c>
      <c r="G17" s="8">
        <v>45</v>
      </c>
      <c r="H17" s="18">
        <f>SUMPRODUCT(B2:G6,B13:G17)</f>
        <v>116775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234E2-1DA8-494E-B369-94103FA0B11B}">
  <sheetPr>
    <tabColor rgb="FF92D050"/>
  </sheetPr>
  <dimension ref="B2:M21"/>
  <sheetViews>
    <sheetView workbookViewId="0">
      <selection activeCell="I5" sqref="I5"/>
    </sheetView>
  </sheetViews>
  <sheetFormatPr defaultRowHeight="14" x14ac:dyDescent="0.3"/>
  <cols>
    <col min="2" max="2" width="10.4140625" bestFit="1" customWidth="1"/>
    <col min="11" max="11" width="11.08203125" bestFit="1" customWidth="1"/>
  </cols>
  <sheetData>
    <row r="2" spans="2:13" x14ac:dyDescent="0.3">
      <c r="B2" s="9"/>
      <c r="C2" s="9" t="s">
        <v>22</v>
      </c>
      <c r="D2" s="9" t="s">
        <v>23</v>
      </c>
      <c r="E2" s="9" t="s">
        <v>24</v>
      </c>
      <c r="F2" s="9" t="s">
        <v>25</v>
      </c>
      <c r="G2" s="9" t="s">
        <v>26</v>
      </c>
      <c r="H2" s="9" t="s">
        <v>27</v>
      </c>
      <c r="I2" s="9" t="s">
        <v>28</v>
      </c>
      <c r="J2" s="9" t="s">
        <v>29</v>
      </c>
    </row>
    <row r="3" spans="2:13" x14ac:dyDescent="0.3">
      <c r="B3" s="9" t="s">
        <v>30</v>
      </c>
      <c r="C3" s="9"/>
      <c r="D3" s="21">
        <v>0</v>
      </c>
      <c r="E3" s="21">
        <v>1</v>
      </c>
      <c r="F3" s="21">
        <v>0</v>
      </c>
      <c r="G3" s="9"/>
      <c r="H3" s="21">
        <v>0</v>
      </c>
      <c r="I3" s="9"/>
      <c r="J3" s="9"/>
      <c r="K3">
        <f t="shared" ref="K3:K8" si="0">SUM(C3:J3)</f>
        <v>1</v>
      </c>
      <c r="L3" t="s">
        <v>37</v>
      </c>
      <c r="M3" s="15">
        <v>2</v>
      </c>
    </row>
    <row r="4" spans="2:13" x14ac:dyDescent="0.3">
      <c r="B4" s="9" t="s">
        <v>31</v>
      </c>
      <c r="C4" s="9"/>
      <c r="D4" s="21">
        <v>0</v>
      </c>
      <c r="E4" s="9"/>
      <c r="F4" s="21">
        <v>0</v>
      </c>
      <c r="G4" s="9"/>
      <c r="H4" s="21">
        <v>1</v>
      </c>
      <c r="I4" s="21">
        <v>1</v>
      </c>
      <c r="J4" s="9"/>
      <c r="K4">
        <f t="shared" si="0"/>
        <v>2</v>
      </c>
      <c r="L4" t="s">
        <v>37</v>
      </c>
      <c r="M4" s="15">
        <v>2</v>
      </c>
    </row>
    <row r="5" spans="2:13" x14ac:dyDescent="0.3">
      <c r="B5" s="9" t="s">
        <v>32</v>
      </c>
      <c r="C5" s="21">
        <v>0</v>
      </c>
      <c r="D5" s="21">
        <v>1</v>
      </c>
      <c r="E5" s="9"/>
      <c r="F5" s="9"/>
      <c r="G5" s="9"/>
      <c r="H5" s="21">
        <v>0</v>
      </c>
      <c r="I5" s="21">
        <v>0</v>
      </c>
      <c r="J5" s="21">
        <v>0</v>
      </c>
      <c r="K5">
        <f t="shared" si="0"/>
        <v>1</v>
      </c>
      <c r="L5" t="s">
        <v>37</v>
      </c>
      <c r="M5" s="15">
        <v>2</v>
      </c>
    </row>
    <row r="6" spans="2:13" x14ac:dyDescent="0.3">
      <c r="B6" s="9" t="s">
        <v>33</v>
      </c>
      <c r="C6" s="9"/>
      <c r="D6" s="9"/>
      <c r="E6" s="21">
        <v>0</v>
      </c>
      <c r="F6" s="21">
        <v>0</v>
      </c>
      <c r="G6" s="21">
        <v>0</v>
      </c>
      <c r="H6" s="9"/>
      <c r="I6" s="21">
        <v>0</v>
      </c>
      <c r="J6" s="21">
        <v>0</v>
      </c>
      <c r="K6">
        <f t="shared" si="0"/>
        <v>0</v>
      </c>
      <c r="L6" t="s">
        <v>37</v>
      </c>
      <c r="M6" s="15">
        <v>2</v>
      </c>
    </row>
    <row r="7" spans="2:13" x14ac:dyDescent="0.3">
      <c r="B7" s="9" t="s">
        <v>34</v>
      </c>
      <c r="C7" s="21">
        <v>0</v>
      </c>
      <c r="D7" s="21">
        <v>0</v>
      </c>
      <c r="E7" s="9"/>
      <c r="F7" s="21">
        <v>1</v>
      </c>
      <c r="G7" s="21">
        <v>0</v>
      </c>
      <c r="H7" s="21">
        <v>0</v>
      </c>
      <c r="I7" s="9"/>
      <c r="J7" s="21">
        <v>1</v>
      </c>
      <c r="K7">
        <f t="shared" si="0"/>
        <v>2</v>
      </c>
      <c r="L7" t="s">
        <v>37</v>
      </c>
      <c r="M7" s="15">
        <v>2</v>
      </c>
    </row>
    <row r="8" spans="2:13" x14ac:dyDescent="0.3">
      <c r="B8" s="9" t="s">
        <v>35</v>
      </c>
      <c r="C8" s="21">
        <v>1</v>
      </c>
      <c r="D8" s="21">
        <v>0</v>
      </c>
      <c r="E8" s="21">
        <v>0</v>
      </c>
      <c r="F8" s="21">
        <v>0</v>
      </c>
      <c r="G8" s="21">
        <v>1</v>
      </c>
      <c r="H8" s="9"/>
      <c r="I8" s="21">
        <v>0</v>
      </c>
      <c r="J8" s="21">
        <v>0</v>
      </c>
      <c r="K8">
        <f t="shared" si="0"/>
        <v>2</v>
      </c>
      <c r="L8" t="s">
        <v>37</v>
      </c>
      <c r="M8" s="15">
        <v>2</v>
      </c>
    </row>
    <row r="9" spans="2:13" x14ac:dyDescent="0.3">
      <c r="C9">
        <f t="shared" ref="C9:J9" si="1">SUM(C3:C8)</f>
        <v>1</v>
      </c>
      <c r="D9">
        <f t="shared" si="1"/>
        <v>1</v>
      </c>
      <c r="E9">
        <f t="shared" si="1"/>
        <v>1</v>
      </c>
      <c r="F9">
        <f t="shared" si="1"/>
        <v>1</v>
      </c>
      <c r="G9">
        <f t="shared" si="1"/>
        <v>1</v>
      </c>
      <c r="H9">
        <f t="shared" si="1"/>
        <v>1</v>
      </c>
      <c r="I9">
        <f t="shared" si="1"/>
        <v>1</v>
      </c>
      <c r="J9">
        <f t="shared" si="1"/>
        <v>1</v>
      </c>
    </row>
    <row r="10" spans="2:13" x14ac:dyDescent="0.3">
      <c r="C10" t="s">
        <v>14</v>
      </c>
      <c r="D10" t="s">
        <v>14</v>
      </c>
      <c r="E10" t="s">
        <v>14</v>
      </c>
      <c r="F10" t="s">
        <v>14</v>
      </c>
      <c r="G10" t="s">
        <v>14</v>
      </c>
      <c r="H10" t="s">
        <v>14</v>
      </c>
      <c r="I10" t="s">
        <v>14</v>
      </c>
      <c r="J10" t="s">
        <v>14</v>
      </c>
    </row>
    <row r="11" spans="2:13" x14ac:dyDescent="0.3">
      <c r="C11" s="15">
        <v>1</v>
      </c>
      <c r="D11" s="15">
        <v>1</v>
      </c>
      <c r="E11" s="15">
        <v>1</v>
      </c>
      <c r="F11" s="15">
        <v>1</v>
      </c>
      <c r="G11" s="15">
        <v>1</v>
      </c>
      <c r="H11" s="15">
        <v>1</v>
      </c>
      <c r="I11" s="15">
        <v>1</v>
      </c>
      <c r="J11" s="15">
        <v>1</v>
      </c>
    </row>
    <row r="15" spans="2:13" x14ac:dyDescent="0.3">
      <c r="B15" s="9"/>
      <c r="C15" s="9" t="s">
        <v>22</v>
      </c>
      <c r="D15" s="9" t="s">
        <v>23</v>
      </c>
      <c r="E15" s="9" t="s">
        <v>24</v>
      </c>
      <c r="F15" s="9" t="s">
        <v>25</v>
      </c>
      <c r="G15" s="9" t="s">
        <v>26</v>
      </c>
      <c r="H15" s="9" t="s">
        <v>27</v>
      </c>
      <c r="I15" s="9" t="s">
        <v>28</v>
      </c>
      <c r="J15" s="9" t="s">
        <v>29</v>
      </c>
    </row>
    <row r="16" spans="2:13" x14ac:dyDescent="0.3">
      <c r="B16" s="9" t="s">
        <v>30</v>
      </c>
      <c r="C16" s="9"/>
      <c r="D16" s="9">
        <v>8200</v>
      </c>
      <c r="E16" s="9">
        <v>7800</v>
      </c>
      <c r="F16" s="9">
        <v>5400</v>
      </c>
      <c r="G16" s="9"/>
      <c r="H16" s="9">
        <v>3900</v>
      </c>
      <c r="I16" s="9"/>
      <c r="J16" s="9"/>
    </row>
    <row r="17" spans="2:11" x14ac:dyDescent="0.3">
      <c r="B17" s="9" t="s">
        <v>31</v>
      </c>
      <c r="C17" s="9"/>
      <c r="D17" s="9">
        <v>8200</v>
      </c>
      <c r="E17" s="9"/>
      <c r="F17" s="9">
        <v>6300</v>
      </c>
      <c r="G17" s="9"/>
      <c r="H17" s="9">
        <v>3300</v>
      </c>
      <c r="I17" s="9">
        <v>4900</v>
      </c>
      <c r="J17" s="9"/>
    </row>
    <row r="18" spans="2:11" x14ac:dyDescent="0.3">
      <c r="B18" s="9" t="s">
        <v>32</v>
      </c>
      <c r="C18" s="9">
        <v>7800</v>
      </c>
      <c r="D18" s="9">
        <v>4800</v>
      </c>
      <c r="E18" s="9"/>
      <c r="F18" s="9"/>
      <c r="G18" s="9"/>
      <c r="H18" s="9">
        <v>4400</v>
      </c>
      <c r="I18" s="9">
        <v>5600</v>
      </c>
      <c r="J18" s="9">
        <v>3600</v>
      </c>
    </row>
    <row r="19" spans="2:11" x14ac:dyDescent="0.3">
      <c r="B19" s="9" t="s">
        <v>33</v>
      </c>
      <c r="C19" s="9"/>
      <c r="D19" s="9"/>
      <c r="E19" s="9">
        <v>8000</v>
      </c>
      <c r="F19" s="9">
        <v>5000</v>
      </c>
      <c r="G19" s="9">
        <v>6800</v>
      </c>
      <c r="H19" s="9"/>
      <c r="I19" s="9">
        <v>6700</v>
      </c>
      <c r="J19" s="9">
        <v>4200</v>
      </c>
    </row>
    <row r="20" spans="2:11" x14ac:dyDescent="0.3">
      <c r="B20" s="9" t="s">
        <v>34</v>
      </c>
      <c r="C20" s="9">
        <v>7200</v>
      </c>
      <c r="D20" s="9">
        <v>6400</v>
      </c>
      <c r="E20" s="9"/>
      <c r="F20" s="9">
        <v>3900</v>
      </c>
      <c r="G20" s="9">
        <v>6400</v>
      </c>
      <c r="H20" s="9">
        <v>2800</v>
      </c>
      <c r="I20" s="9"/>
      <c r="J20" s="9">
        <v>3000</v>
      </c>
      <c r="K20" t="s">
        <v>36</v>
      </c>
    </row>
    <row r="21" spans="2:11" x14ac:dyDescent="0.3">
      <c r="B21" s="9" t="s">
        <v>35</v>
      </c>
      <c r="C21" s="9">
        <v>7000</v>
      </c>
      <c r="D21" s="9">
        <v>5800</v>
      </c>
      <c r="E21" s="9">
        <v>7500</v>
      </c>
      <c r="F21" s="9">
        <v>4500</v>
      </c>
      <c r="G21" s="9">
        <v>5600</v>
      </c>
      <c r="H21" s="9"/>
      <c r="I21" s="9">
        <v>6000</v>
      </c>
      <c r="J21" s="9">
        <v>4200</v>
      </c>
      <c r="K21" s="18">
        <f>SUMPRODUCT(C3:J8,C16:J21)</f>
        <v>40300</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CD0E-C963-4BE9-A9BE-86625466BC12}">
  <sheetPr>
    <tabColor rgb="FF92D050"/>
  </sheetPr>
  <dimension ref="A1:Q49"/>
  <sheetViews>
    <sheetView topLeftCell="A26" workbookViewId="0">
      <selection activeCell="C5" sqref="C5"/>
    </sheetView>
  </sheetViews>
  <sheetFormatPr defaultRowHeight="14" x14ac:dyDescent="0.3"/>
  <cols>
    <col min="3" max="5" width="11.08203125" bestFit="1" customWidth="1"/>
    <col min="6" max="6" width="12.58203125" bestFit="1" customWidth="1"/>
    <col min="7" max="7" width="11.08203125" bestFit="1" customWidth="1"/>
    <col min="8" max="14" width="8.75" bestFit="1" customWidth="1"/>
    <col min="15" max="15" width="12.58203125" bestFit="1" customWidth="1"/>
  </cols>
  <sheetData>
    <row r="1" spans="1:17" x14ac:dyDescent="0.3">
      <c r="D1" s="96" t="s">
        <v>49</v>
      </c>
      <c r="E1" s="96"/>
      <c r="F1" s="96"/>
      <c r="G1" s="96"/>
      <c r="H1" s="96"/>
      <c r="I1" s="96"/>
      <c r="J1" s="96"/>
      <c r="K1" s="96"/>
      <c r="L1" s="96"/>
      <c r="M1" s="96"/>
      <c r="N1" s="96"/>
    </row>
    <row r="2" spans="1:17" ht="28" x14ac:dyDescent="0.3">
      <c r="B2" s="22"/>
      <c r="C2" s="22" t="s">
        <v>48</v>
      </c>
      <c r="D2" s="23" t="s">
        <v>4</v>
      </c>
      <c r="E2" s="23" t="s">
        <v>38</v>
      </c>
      <c r="F2" s="23" t="s">
        <v>39</v>
      </c>
      <c r="G2" s="23" t="s">
        <v>40</v>
      </c>
      <c r="H2" s="23" t="s">
        <v>41</v>
      </c>
      <c r="I2" s="23" t="s">
        <v>42</v>
      </c>
      <c r="J2" s="23" t="s">
        <v>43</v>
      </c>
      <c r="K2" s="23" t="s">
        <v>44</v>
      </c>
      <c r="L2" s="23" t="s">
        <v>45</v>
      </c>
      <c r="M2" s="23" t="s">
        <v>46</v>
      </c>
      <c r="N2" s="23" t="s">
        <v>47</v>
      </c>
    </row>
    <row r="3" spans="1:17" x14ac:dyDescent="0.3">
      <c r="A3" s="97" t="s">
        <v>50</v>
      </c>
      <c r="B3" s="23" t="s">
        <v>4</v>
      </c>
      <c r="C3" s="25">
        <v>0</v>
      </c>
      <c r="D3" s="25">
        <v>0</v>
      </c>
      <c r="E3" s="25">
        <v>0</v>
      </c>
      <c r="F3" s="25">
        <v>0</v>
      </c>
      <c r="G3" s="25">
        <v>0</v>
      </c>
      <c r="H3" s="25">
        <v>0</v>
      </c>
      <c r="I3" s="25">
        <v>0</v>
      </c>
      <c r="J3" s="25">
        <v>0</v>
      </c>
      <c r="K3" s="25">
        <v>0</v>
      </c>
      <c r="L3" s="25">
        <v>0</v>
      </c>
      <c r="M3" s="25">
        <v>0</v>
      </c>
      <c r="N3" s="25">
        <v>0</v>
      </c>
      <c r="O3">
        <f>SUM(D3:N3)</f>
        <v>0</v>
      </c>
      <c r="P3" t="s">
        <v>37</v>
      </c>
      <c r="Q3" s="30">
        <f>12*C3</f>
        <v>0</v>
      </c>
    </row>
    <row r="4" spans="1:17" x14ac:dyDescent="0.3">
      <c r="A4" s="97"/>
      <c r="B4" s="23" t="s">
        <v>38</v>
      </c>
      <c r="C4" s="25">
        <v>0</v>
      </c>
      <c r="D4" s="25">
        <v>0</v>
      </c>
      <c r="E4" s="25">
        <v>0</v>
      </c>
      <c r="F4" s="25">
        <v>0</v>
      </c>
      <c r="G4" s="25">
        <v>0</v>
      </c>
      <c r="H4" s="25">
        <v>0</v>
      </c>
      <c r="I4" s="25">
        <v>0</v>
      </c>
      <c r="J4" s="25">
        <v>0</v>
      </c>
      <c r="K4" s="25">
        <v>0</v>
      </c>
      <c r="L4" s="25">
        <v>0</v>
      </c>
      <c r="M4" s="25">
        <v>0</v>
      </c>
      <c r="N4" s="25">
        <v>0</v>
      </c>
      <c r="O4">
        <f t="shared" ref="O4:O13" si="0">SUM(D4:N4)</f>
        <v>0</v>
      </c>
      <c r="P4" t="s">
        <v>37</v>
      </c>
      <c r="Q4" s="30">
        <f t="shared" ref="Q4:Q13" si="1">12*C4</f>
        <v>0</v>
      </c>
    </row>
    <row r="5" spans="1:17" x14ac:dyDescent="0.3">
      <c r="A5" s="97"/>
      <c r="B5" s="23" t="s">
        <v>39</v>
      </c>
      <c r="C5" s="25">
        <v>1</v>
      </c>
      <c r="D5" s="25">
        <v>0</v>
      </c>
      <c r="E5" s="25">
        <v>0</v>
      </c>
      <c r="F5" s="25">
        <v>1</v>
      </c>
      <c r="G5" s="25">
        <v>1</v>
      </c>
      <c r="H5" s="25">
        <v>0</v>
      </c>
      <c r="I5" s="25">
        <v>0</v>
      </c>
      <c r="J5" s="25">
        <v>0</v>
      </c>
      <c r="K5" s="25">
        <v>0</v>
      </c>
      <c r="L5" s="25">
        <v>0</v>
      </c>
      <c r="M5" s="25">
        <v>0</v>
      </c>
      <c r="N5" s="25">
        <v>0</v>
      </c>
      <c r="O5">
        <f t="shared" si="0"/>
        <v>2</v>
      </c>
      <c r="P5" t="s">
        <v>37</v>
      </c>
      <c r="Q5" s="30">
        <f t="shared" si="1"/>
        <v>12</v>
      </c>
    </row>
    <row r="6" spans="1:17" x14ac:dyDescent="0.3">
      <c r="A6" s="97"/>
      <c r="B6" s="23" t="s">
        <v>40</v>
      </c>
      <c r="C6" s="25">
        <v>0</v>
      </c>
      <c r="D6" s="25">
        <v>0</v>
      </c>
      <c r="E6" s="25">
        <v>0</v>
      </c>
      <c r="F6" s="25">
        <v>0</v>
      </c>
      <c r="G6" s="25">
        <v>0</v>
      </c>
      <c r="H6" s="25">
        <v>0</v>
      </c>
      <c r="I6" s="25">
        <v>0</v>
      </c>
      <c r="J6" s="25">
        <v>0</v>
      </c>
      <c r="K6" s="25">
        <v>0</v>
      </c>
      <c r="L6" s="25">
        <v>0</v>
      </c>
      <c r="M6" s="25">
        <v>0</v>
      </c>
      <c r="N6" s="25">
        <v>0</v>
      </c>
      <c r="O6">
        <f t="shared" si="0"/>
        <v>0</v>
      </c>
      <c r="P6" t="s">
        <v>37</v>
      </c>
      <c r="Q6" s="30">
        <f t="shared" si="1"/>
        <v>0</v>
      </c>
    </row>
    <row r="7" spans="1:17" ht="28" x14ac:dyDescent="0.3">
      <c r="A7" s="97"/>
      <c r="B7" s="23" t="s">
        <v>41</v>
      </c>
      <c r="C7" s="25">
        <v>0</v>
      </c>
      <c r="D7" s="25">
        <v>0</v>
      </c>
      <c r="E7" s="25">
        <v>0</v>
      </c>
      <c r="F7" s="25">
        <v>0</v>
      </c>
      <c r="G7" s="25">
        <v>0</v>
      </c>
      <c r="H7" s="25">
        <v>0</v>
      </c>
      <c r="I7" s="25">
        <v>0</v>
      </c>
      <c r="J7" s="25">
        <v>0</v>
      </c>
      <c r="K7" s="25">
        <v>0</v>
      </c>
      <c r="L7" s="25">
        <v>0</v>
      </c>
      <c r="M7" s="25">
        <v>0</v>
      </c>
      <c r="N7" s="25">
        <v>0</v>
      </c>
      <c r="O7">
        <f t="shared" si="0"/>
        <v>0</v>
      </c>
      <c r="P7" t="s">
        <v>37</v>
      </c>
      <c r="Q7" s="30">
        <f t="shared" si="1"/>
        <v>0</v>
      </c>
    </row>
    <row r="8" spans="1:17" x14ac:dyDescent="0.3">
      <c r="A8" s="97"/>
      <c r="B8" s="23" t="s">
        <v>42</v>
      </c>
      <c r="C8" s="25">
        <v>0</v>
      </c>
      <c r="D8" s="25">
        <v>0</v>
      </c>
      <c r="E8" s="25">
        <v>0</v>
      </c>
      <c r="F8" s="25">
        <v>0</v>
      </c>
      <c r="G8" s="25">
        <v>0</v>
      </c>
      <c r="H8" s="25">
        <v>0</v>
      </c>
      <c r="I8" s="25">
        <v>0</v>
      </c>
      <c r="J8" s="25">
        <v>0</v>
      </c>
      <c r="K8" s="25">
        <v>0</v>
      </c>
      <c r="L8" s="25">
        <v>0</v>
      </c>
      <c r="M8" s="25">
        <v>0</v>
      </c>
      <c r="N8" s="25">
        <v>0</v>
      </c>
      <c r="O8">
        <f t="shared" si="0"/>
        <v>0</v>
      </c>
      <c r="P8" t="s">
        <v>37</v>
      </c>
      <c r="Q8" s="30">
        <f t="shared" si="1"/>
        <v>0</v>
      </c>
    </row>
    <row r="9" spans="1:17" x14ac:dyDescent="0.3">
      <c r="A9" s="97"/>
      <c r="B9" s="23" t="s">
        <v>43</v>
      </c>
      <c r="C9" s="25">
        <v>1</v>
      </c>
      <c r="D9" s="25">
        <v>1</v>
      </c>
      <c r="E9" s="25">
        <v>1</v>
      </c>
      <c r="F9" s="25">
        <v>0</v>
      </c>
      <c r="G9" s="25">
        <v>0</v>
      </c>
      <c r="H9" s="25">
        <v>0</v>
      </c>
      <c r="I9" s="25">
        <v>1</v>
      </c>
      <c r="J9" s="25">
        <v>1</v>
      </c>
      <c r="K9" s="25">
        <v>0</v>
      </c>
      <c r="L9" s="25">
        <v>1</v>
      </c>
      <c r="M9" s="25">
        <v>0</v>
      </c>
      <c r="N9" s="25">
        <v>0</v>
      </c>
      <c r="O9">
        <f t="shared" si="0"/>
        <v>5</v>
      </c>
      <c r="P9" t="s">
        <v>37</v>
      </c>
      <c r="Q9" s="30">
        <f t="shared" si="1"/>
        <v>12</v>
      </c>
    </row>
    <row r="10" spans="1:17" x14ac:dyDescent="0.3">
      <c r="A10" s="97"/>
      <c r="B10" s="23" t="s">
        <v>44</v>
      </c>
      <c r="C10" s="25">
        <v>0</v>
      </c>
      <c r="D10" s="25">
        <v>0</v>
      </c>
      <c r="E10" s="25">
        <v>0</v>
      </c>
      <c r="F10" s="25">
        <v>0</v>
      </c>
      <c r="G10" s="25">
        <v>0</v>
      </c>
      <c r="H10" s="25">
        <v>0</v>
      </c>
      <c r="I10" s="25">
        <v>0</v>
      </c>
      <c r="J10" s="25">
        <v>0</v>
      </c>
      <c r="K10" s="25">
        <v>0</v>
      </c>
      <c r="L10" s="25">
        <v>0</v>
      </c>
      <c r="M10" s="25">
        <v>0</v>
      </c>
      <c r="N10" s="25">
        <v>0</v>
      </c>
      <c r="O10">
        <f t="shared" si="0"/>
        <v>0</v>
      </c>
      <c r="P10" t="s">
        <v>37</v>
      </c>
      <c r="Q10" s="30">
        <f t="shared" si="1"/>
        <v>0</v>
      </c>
    </row>
    <row r="11" spans="1:17" x14ac:dyDescent="0.3">
      <c r="A11" s="97"/>
      <c r="B11" s="23" t="s">
        <v>45</v>
      </c>
      <c r="C11" s="25">
        <v>0</v>
      </c>
      <c r="D11" s="25">
        <v>0</v>
      </c>
      <c r="E11" s="25">
        <v>0</v>
      </c>
      <c r="F11" s="25">
        <v>0</v>
      </c>
      <c r="G11" s="25">
        <v>0</v>
      </c>
      <c r="H11" s="25">
        <v>0</v>
      </c>
      <c r="I11" s="25">
        <v>0</v>
      </c>
      <c r="J11" s="25">
        <v>0</v>
      </c>
      <c r="K11" s="25">
        <v>0</v>
      </c>
      <c r="L11" s="25">
        <v>0</v>
      </c>
      <c r="M11" s="25">
        <v>0</v>
      </c>
      <c r="N11" s="25">
        <v>0</v>
      </c>
      <c r="O11">
        <f t="shared" si="0"/>
        <v>0</v>
      </c>
      <c r="P11" t="s">
        <v>37</v>
      </c>
      <c r="Q11" s="30">
        <f t="shared" si="1"/>
        <v>0</v>
      </c>
    </row>
    <row r="12" spans="1:17" ht="28" x14ac:dyDescent="0.3">
      <c r="A12" s="97"/>
      <c r="B12" s="23" t="s">
        <v>46</v>
      </c>
      <c r="C12" s="25">
        <v>1</v>
      </c>
      <c r="D12" s="25">
        <v>0</v>
      </c>
      <c r="E12" s="25">
        <v>0</v>
      </c>
      <c r="F12" s="25">
        <v>0</v>
      </c>
      <c r="G12" s="25">
        <v>0</v>
      </c>
      <c r="H12" s="25">
        <v>1</v>
      </c>
      <c r="I12" s="25">
        <v>0</v>
      </c>
      <c r="J12" s="25">
        <v>0</v>
      </c>
      <c r="K12" s="25">
        <v>1</v>
      </c>
      <c r="L12" s="25">
        <v>0</v>
      </c>
      <c r="M12" s="25">
        <v>1</v>
      </c>
      <c r="N12" s="25">
        <v>1</v>
      </c>
      <c r="O12">
        <f t="shared" si="0"/>
        <v>4</v>
      </c>
      <c r="P12" t="s">
        <v>37</v>
      </c>
      <c r="Q12" s="30">
        <f t="shared" si="1"/>
        <v>12</v>
      </c>
    </row>
    <row r="13" spans="1:17" x14ac:dyDescent="0.3">
      <c r="A13" s="97"/>
      <c r="B13" s="23" t="s">
        <v>47</v>
      </c>
      <c r="C13" s="25">
        <v>0</v>
      </c>
      <c r="D13" s="25">
        <v>0</v>
      </c>
      <c r="E13" s="25">
        <v>0</v>
      </c>
      <c r="F13" s="25">
        <v>0</v>
      </c>
      <c r="G13" s="25">
        <v>0</v>
      </c>
      <c r="H13" s="25">
        <v>0</v>
      </c>
      <c r="I13" s="25">
        <v>0</v>
      </c>
      <c r="J13" s="25">
        <v>0</v>
      </c>
      <c r="K13" s="25">
        <v>0</v>
      </c>
      <c r="L13" s="25">
        <v>0</v>
      </c>
      <c r="M13" s="25">
        <v>0</v>
      </c>
      <c r="N13" s="25">
        <v>0</v>
      </c>
      <c r="O13">
        <f t="shared" si="0"/>
        <v>0</v>
      </c>
      <c r="P13" t="s">
        <v>37</v>
      </c>
      <c r="Q13" s="30">
        <f t="shared" si="1"/>
        <v>0</v>
      </c>
    </row>
    <row r="14" spans="1:17" x14ac:dyDescent="0.3">
      <c r="B14" s="24"/>
      <c r="C14">
        <f>SUM(C3:C13)</f>
        <v>3</v>
      </c>
      <c r="D14">
        <f t="shared" ref="D14:N14" si="2">SUM(D3:D13)</f>
        <v>1</v>
      </c>
      <c r="E14">
        <f t="shared" si="2"/>
        <v>1</v>
      </c>
      <c r="F14">
        <f t="shared" si="2"/>
        <v>1</v>
      </c>
      <c r="G14">
        <f t="shared" si="2"/>
        <v>1</v>
      </c>
      <c r="H14">
        <f t="shared" si="2"/>
        <v>1</v>
      </c>
      <c r="I14">
        <f t="shared" si="2"/>
        <v>1</v>
      </c>
      <c r="J14">
        <f t="shared" si="2"/>
        <v>1</v>
      </c>
      <c r="K14">
        <f t="shared" si="2"/>
        <v>1</v>
      </c>
      <c r="L14">
        <f t="shared" si="2"/>
        <v>1</v>
      </c>
      <c r="M14">
        <f t="shared" si="2"/>
        <v>1</v>
      </c>
      <c r="N14">
        <f t="shared" si="2"/>
        <v>1</v>
      </c>
    </row>
    <row r="15" spans="1:17" x14ac:dyDescent="0.3">
      <c r="B15" s="24"/>
      <c r="C15" t="s">
        <v>14</v>
      </c>
      <c r="D15" t="s">
        <v>14</v>
      </c>
      <c r="E15" t="s">
        <v>14</v>
      </c>
      <c r="F15" t="s">
        <v>14</v>
      </c>
      <c r="G15" t="s">
        <v>14</v>
      </c>
      <c r="H15" t="s">
        <v>14</v>
      </c>
      <c r="I15" t="s">
        <v>14</v>
      </c>
      <c r="J15" t="s">
        <v>14</v>
      </c>
      <c r="K15" t="s">
        <v>14</v>
      </c>
      <c r="L15" t="s">
        <v>14</v>
      </c>
      <c r="M15" t="s">
        <v>14</v>
      </c>
      <c r="N15" t="s">
        <v>14</v>
      </c>
    </row>
    <row r="16" spans="1:17" x14ac:dyDescent="0.3">
      <c r="B16" s="24"/>
      <c r="C16" s="15">
        <v>3</v>
      </c>
      <c r="D16" s="15">
        <v>1</v>
      </c>
      <c r="E16" s="15">
        <v>1</v>
      </c>
      <c r="F16" s="15">
        <v>1</v>
      </c>
      <c r="G16" s="15">
        <v>1</v>
      </c>
      <c r="H16" s="15">
        <v>1</v>
      </c>
      <c r="I16" s="15">
        <v>1</v>
      </c>
      <c r="J16" s="15">
        <v>1</v>
      </c>
      <c r="K16" s="15">
        <v>1</v>
      </c>
      <c r="L16" s="15">
        <v>1</v>
      </c>
      <c r="M16" s="15">
        <v>1</v>
      </c>
      <c r="N16" s="15">
        <v>1</v>
      </c>
    </row>
    <row r="17" spans="2:14" x14ac:dyDescent="0.3">
      <c r="B17" s="24"/>
    </row>
    <row r="18" spans="2:14" ht="28" x14ac:dyDescent="0.3">
      <c r="B18" s="24"/>
      <c r="C18" t="s">
        <v>51</v>
      </c>
      <c r="D18" s="23" t="s">
        <v>4</v>
      </c>
      <c r="E18" s="23" t="s">
        <v>38</v>
      </c>
      <c r="F18" s="23" t="s">
        <v>39</v>
      </c>
      <c r="G18" s="23" t="s">
        <v>40</v>
      </c>
      <c r="H18" s="23" t="s">
        <v>41</v>
      </c>
      <c r="I18" s="23" t="s">
        <v>42</v>
      </c>
      <c r="J18" s="23" t="s">
        <v>43</v>
      </c>
      <c r="K18" s="23" t="s">
        <v>44</v>
      </c>
      <c r="L18" s="23" t="s">
        <v>45</v>
      </c>
      <c r="M18" s="23" t="s">
        <v>46</v>
      </c>
      <c r="N18" s="23" t="s">
        <v>47</v>
      </c>
    </row>
    <row r="19" spans="2:14" x14ac:dyDescent="0.3">
      <c r="B19" s="24"/>
      <c r="D19" s="23">
        <v>885</v>
      </c>
      <c r="E19" s="23">
        <v>760</v>
      </c>
      <c r="F19" s="23">
        <v>1124</v>
      </c>
      <c r="G19" s="23">
        <v>708</v>
      </c>
      <c r="H19" s="23">
        <v>1224</v>
      </c>
      <c r="I19" s="23">
        <v>1152</v>
      </c>
      <c r="J19" s="23">
        <v>1560</v>
      </c>
      <c r="K19" s="23">
        <v>1222</v>
      </c>
      <c r="L19" s="23">
        <v>856</v>
      </c>
      <c r="M19" s="23">
        <v>1443</v>
      </c>
      <c r="N19" s="23">
        <v>612</v>
      </c>
    </row>
    <row r="20" spans="2:14" x14ac:dyDescent="0.3">
      <c r="B20" s="24"/>
    </row>
    <row r="21" spans="2:14" x14ac:dyDescent="0.3">
      <c r="B21" s="24"/>
    </row>
    <row r="23" spans="2:14" ht="28" x14ac:dyDescent="0.3">
      <c r="C23" s="22"/>
      <c r="D23" s="23" t="s">
        <v>4</v>
      </c>
      <c r="E23" s="23" t="s">
        <v>38</v>
      </c>
      <c r="F23" s="23" t="s">
        <v>39</v>
      </c>
      <c r="G23" s="23" t="s">
        <v>40</v>
      </c>
      <c r="H23" s="23" t="s">
        <v>41</v>
      </c>
      <c r="I23" s="23" t="s">
        <v>42</v>
      </c>
      <c r="J23" s="23" t="s">
        <v>43</v>
      </c>
      <c r="K23" s="23" t="s">
        <v>44</v>
      </c>
      <c r="L23" s="23" t="s">
        <v>45</v>
      </c>
      <c r="M23" s="23" t="s">
        <v>46</v>
      </c>
      <c r="N23" s="23" t="s">
        <v>47</v>
      </c>
    </row>
    <row r="24" spans="2:14" x14ac:dyDescent="0.3">
      <c r="C24" s="23" t="s">
        <v>4</v>
      </c>
      <c r="D24" s="23">
        <v>0</v>
      </c>
      <c r="E24" s="23">
        <v>983</v>
      </c>
      <c r="F24" s="23">
        <v>1815</v>
      </c>
      <c r="G24" s="23">
        <v>1991</v>
      </c>
      <c r="H24" s="23">
        <v>3036</v>
      </c>
      <c r="I24" s="23">
        <v>1539</v>
      </c>
      <c r="J24" s="23">
        <v>213</v>
      </c>
      <c r="K24" s="23">
        <v>2664</v>
      </c>
      <c r="L24" s="23">
        <v>792</v>
      </c>
      <c r="M24" s="23">
        <v>2385</v>
      </c>
      <c r="N24" s="23">
        <v>2612</v>
      </c>
    </row>
    <row r="25" spans="2:14" x14ac:dyDescent="0.3">
      <c r="C25" s="23" t="s">
        <v>38</v>
      </c>
      <c r="D25" s="23">
        <v>983</v>
      </c>
      <c r="E25" s="23">
        <v>0</v>
      </c>
      <c r="F25" s="23">
        <v>1205</v>
      </c>
      <c r="G25" s="23">
        <v>1050</v>
      </c>
      <c r="H25" s="23">
        <v>2112</v>
      </c>
      <c r="I25" s="23">
        <v>1390</v>
      </c>
      <c r="J25" s="23">
        <v>840</v>
      </c>
      <c r="K25" s="23">
        <v>1729</v>
      </c>
      <c r="L25" s="23">
        <v>457</v>
      </c>
      <c r="M25" s="23">
        <v>2212</v>
      </c>
      <c r="N25" s="23">
        <v>2052</v>
      </c>
    </row>
    <row r="26" spans="2:14" x14ac:dyDescent="0.3">
      <c r="C26" s="23" t="s">
        <v>39</v>
      </c>
      <c r="D26" s="23">
        <v>1815</v>
      </c>
      <c r="E26" s="23">
        <v>1205</v>
      </c>
      <c r="F26" s="23">
        <v>0</v>
      </c>
      <c r="G26" s="23">
        <v>801</v>
      </c>
      <c r="H26" s="23">
        <v>1425</v>
      </c>
      <c r="I26" s="23">
        <v>1332</v>
      </c>
      <c r="J26" s="23">
        <v>1604</v>
      </c>
      <c r="K26" s="23">
        <v>1027</v>
      </c>
      <c r="L26" s="23">
        <v>1237</v>
      </c>
      <c r="M26" s="23">
        <v>1765</v>
      </c>
      <c r="N26" s="23">
        <v>2404</v>
      </c>
    </row>
    <row r="27" spans="2:14" x14ac:dyDescent="0.3">
      <c r="C27" s="23" t="s">
        <v>40</v>
      </c>
      <c r="D27" s="23">
        <v>1991</v>
      </c>
      <c r="E27" s="23">
        <v>1050</v>
      </c>
      <c r="F27" s="23">
        <v>801</v>
      </c>
      <c r="G27" s="23">
        <v>0</v>
      </c>
      <c r="H27" s="23">
        <v>1174</v>
      </c>
      <c r="I27" s="23">
        <v>2041</v>
      </c>
      <c r="J27" s="23">
        <v>1780</v>
      </c>
      <c r="K27" s="23">
        <v>836</v>
      </c>
      <c r="L27" s="23">
        <v>1411</v>
      </c>
      <c r="M27" s="23">
        <v>1765</v>
      </c>
      <c r="N27" s="23">
        <v>1373</v>
      </c>
    </row>
    <row r="28" spans="2:14" x14ac:dyDescent="0.3">
      <c r="C28" s="23" t="s">
        <v>41</v>
      </c>
      <c r="D28" s="23">
        <v>3036</v>
      </c>
      <c r="E28" s="23">
        <v>2112</v>
      </c>
      <c r="F28" s="23">
        <v>1425</v>
      </c>
      <c r="G28" s="23">
        <v>1174</v>
      </c>
      <c r="H28" s="23">
        <v>0</v>
      </c>
      <c r="I28" s="23">
        <v>2757</v>
      </c>
      <c r="J28" s="23">
        <v>2825</v>
      </c>
      <c r="K28" s="23">
        <v>398</v>
      </c>
      <c r="L28" s="23">
        <v>2456</v>
      </c>
      <c r="M28" s="23">
        <v>403</v>
      </c>
      <c r="N28" s="23">
        <v>1909</v>
      </c>
    </row>
    <row r="29" spans="2:14" x14ac:dyDescent="0.3">
      <c r="C29" s="23" t="s">
        <v>42</v>
      </c>
      <c r="D29" s="23">
        <v>1539</v>
      </c>
      <c r="E29" s="23">
        <v>1390</v>
      </c>
      <c r="F29" s="23">
        <v>1332</v>
      </c>
      <c r="G29" s="23">
        <v>2041</v>
      </c>
      <c r="H29" s="23">
        <v>2757</v>
      </c>
      <c r="I29" s="23">
        <v>0</v>
      </c>
      <c r="J29" s="23">
        <v>1258</v>
      </c>
      <c r="K29" s="23">
        <v>2359</v>
      </c>
      <c r="L29" s="23">
        <v>1250</v>
      </c>
      <c r="M29" s="23">
        <v>3097</v>
      </c>
      <c r="N29" s="23">
        <v>3389</v>
      </c>
    </row>
    <row r="30" spans="2:14" x14ac:dyDescent="0.3">
      <c r="C30" s="23" t="s">
        <v>43</v>
      </c>
      <c r="D30" s="23">
        <v>213</v>
      </c>
      <c r="E30" s="23">
        <v>840</v>
      </c>
      <c r="F30" s="23">
        <v>1604</v>
      </c>
      <c r="G30" s="23">
        <v>1780</v>
      </c>
      <c r="H30" s="23">
        <v>2825</v>
      </c>
      <c r="I30" s="23">
        <v>1258</v>
      </c>
      <c r="J30" s="23">
        <v>0</v>
      </c>
      <c r="K30" s="23">
        <v>2442</v>
      </c>
      <c r="L30" s="23">
        <v>386</v>
      </c>
      <c r="M30" s="23">
        <v>3036</v>
      </c>
      <c r="N30" s="23">
        <v>2900</v>
      </c>
    </row>
    <row r="31" spans="2:14" x14ac:dyDescent="0.3">
      <c r="C31" s="23" t="s">
        <v>44</v>
      </c>
      <c r="D31" s="23">
        <v>2664</v>
      </c>
      <c r="E31" s="23">
        <v>1729</v>
      </c>
      <c r="F31" s="23">
        <v>1027</v>
      </c>
      <c r="G31" s="23">
        <v>836</v>
      </c>
      <c r="H31" s="23">
        <v>398</v>
      </c>
      <c r="I31" s="23">
        <v>2359</v>
      </c>
      <c r="J31" s="23">
        <v>2442</v>
      </c>
      <c r="K31" s="23">
        <v>0</v>
      </c>
      <c r="L31" s="23">
        <v>2073</v>
      </c>
      <c r="M31" s="23">
        <v>800</v>
      </c>
      <c r="N31" s="23">
        <v>1482</v>
      </c>
    </row>
    <row r="32" spans="2:14" x14ac:dyDescent="0.3">
      <c r="C32" s="23" t="s">
        <v>45</v>
      </c>
      <c r="D32" s="23">
        <v>792</v>
      </c>
      <c r="E32" s="23">
        <v>457</v>
      </c>
      <c r="F32" s="23">
        <v>1237</v>
      </c>
      <c r="G32" s="23">
        <v>1411</v>
      </c>
      <c r="H32" s="23">
        <v>2456</v>
      </c>
      <c r="I32" s="23">
        <v>1250</v>
      </c>
      <c r="J32" s="23">
        <v>386</v>
      </c>
      <c r="K32" s="23">
        <v>2073</v>
      </c>
      <c r="L32" s="23">
        <v>0</v>
      </c>
      <c r="M32" s="23">
        <v>2653</v>
      </c>
      <c r="N32" s="23">
        <v>2517</v>
      </c>
    </row>
    <row r="33" spans="3:14" ht="28" x14ac:dyDescent="0.3">
      <c r="C33" s="23" t="s">
        <v>46</v>
      </c>
      <c r="D33" s="23">
        <v>2385</v>
      </c>
      <c r="E33" s="23">
        <v>2212</v>
      </c>
      <c r="F33" s="23">
        <v>1765</v>
      </c>
      <c r="G33" s="23">
        <v>1765</v>
      </c>
      <c r="H33" s="23">
        <v>403</v>
      </c>
      <c r="I33" s="23">
        <v>3097</v>
      </c>
      <c r="J33" s="23">
        <v>3036</v>
      </c>
      <c r="K33" s="23">
        <v>800</v>
      </c>
      <c r="L33" s="23">
        <v>2653</v>
      </c>
      <c r="M33" s="23">
        <v>0</v>
      </c>
      <c r="N33" s="23">
        <v>817</v>
      </c>
    </row>
    <row r="34" spans="3:14" x14ac:dyDescent="0.3">
      <c r="C34" s="23" t="s">
        <v>47</v>
      </c>
      <c r="D34" s="23">
        <v>2612</v>
      </c>
      <c r="E34" s="23">
        <v>2052</v>
      </c>
      <c r="F34" s="23">
        <v>2404</v>
      </c>
      <c r="G34" s="23">
        <v>1373</v>
      </c>
      <c r="H34" s="23">
        <v>1909</v>
      </c>
      <c r="I34" s="23">
        <v>3389</v>
      </c>
      <c r="J34" s="23">
        <v>2900</v>
      </c>
      <c r="K34" s="23">
        <v>1482</v>
      </c>
      <c r="L34" s="23">
        <v>2517</v>
      </c>
      <c r="M34" s="23">
        <v>817</v>
      </c>
      <c r="N34" s="23">
        <v>0</v>
      </c>
    </row>
    <row r="37" spans="3:14" ht="28" x14ac:dyDescent="0.3">
      <c r="C37" s="27" t="s">
        <v>52</v>
      </c>
    </row>
    <row r="38" spans="3:14" ht="28" x14ac:dyDescent="0.3">
      <c r="C38" s="22"/>
      <c r="D38" s="23" t="s">
        <v>4</v>
      </c>
      <c r="E38" s="23" t="s">
        <v>38</v>
      </c>
      <c r="F38" s="23" t="s">
        <v>39</v>
      </c>
      <c r="G38" s="23" t="s">
        <v>40</v>
      </c>
      <c r="H38" s="23" t="s">
        <v>41</v>
      </c>
      <c r="I38" s="23" t="s">
        <v>42</v>
      </c>
      <c r="J38" s="23" t="s">
        <v>43</v>
      </c>
      <c r="K38" s="23" t="s">
        <v>44</v>
      </c>
      <c r="L38" s="23" t="s">
        <v>45</v>
      </c>
      <c r="M38" s="23" t="s">
        <v>46</v>
      </c>
      <c r="N38" s="23" t="s">
        <v>47</v>
      </c>
    </row>
    <row r="39" spans="3:14" x14ac:dyDescent="0.3">
      <c r="C39" s="23" t="s">
        <v>4</v>
      </c>
      <c r="D39" s="28">
        <f>D3*$D$19*D24</f>
        <v>0</v>
      </c>
      <c r="E39" s="28">
        <f>E3*$E$19*E24</f>
        <v>0</v>
      </c>
      <c r="F39" s="28">
        <f>F3*$F$19*F24</f>
        <v>0</v>
      </c>
      <c r="G39" s="28">
        <f>G3*$G$19*G24</f>
        <v>0</v>
      </c>
      <c r="H39" s="28">
        <f>H3*$H$19*H24</f>
        <v>0</v>
      </c>
      <c r="I39" s="28">
        <f>I3*$I$19*I24</f>
        <v>0</v>
      </c>
      <c r="J39" s="28">
        <f>J3*$J$19*J24</f>
        <v>0</v>
      </c>
      <c r="K39" s="28">
        <f>K3*$K$19*K24</f>
        <v>0</v>
      </c>
      <c r="L39" s="28">
        <f>L3*$L$19*L24</f>
        <v>0</v>
      </c>
      <c r="M39" s="28">
        <f>M3*$M$19*M24</f>
        <v>0</v>
      </c>
      <c r="N39" s="28">
        <f>N3*$N$19*N24</f>
        <v>0</v>
      </c>
    </row>
    <row r="40" spans="3:14" x14ac:dyDescent="0.3">
      <c r="C40" s="23" t="s">
        <v>38</v>
      </c>
      <c r="D40" s="28">
        <f t="shared" ref="D40:D49" si="3">D4*$D$19*D25</f>
        <v>0</v>
      </c>
      <c r="E40" s="28">
        <f t="shared" ref="E40:E49" si="4">E4*$E$19*E25</f>
        <v>0</v>
      </c>
      <c r="F40" s="28">
        <f t="shared" ref="F40:F49" si="5">F4*$F$19*F25</f>
        <v>0</v>
      </c>
      <c r="G40" s="28">
        <f t="shared" ref="G40:G49" si="6">G4*$G$19*G25</f>
        <v>0</v>
      </c>
      <c r="H40" s="28">
        <f t="shared" ref="H40:H49" si="7">H4*$H$19*H25</f>
        <v>0</v>
      </c>
      <c r="I40" s="28">
        <f t="shared" ref="I40:I49" si="8">I4*$I$19*I25</f>
        <v>0</v>
      </c>
      <c r="J40" s="28">
        <f t="shared" ref="J40:J49" si="9">J4*$J$19*J25</f>
        <v>0</v>
      </c>
      <c r="K40" s="28">
        <f t="shared" ref="K40:K49" si="10">K4*$K$19*K25</f>
        <v>0</v>
      </c>
      <c r="L40" s="28">
        <f t="shared" ref="L40:L49" si="11">L4*$L$19*L25</f>
        <v>0</v>
      </c>
      <c r="M40" s="28">
        <f t="shared" ref="M40:M49" si="12">M4*$M$19*M25</f>
        <v>0</v>
      </c>
      <c r="N40" s="28">
        <f t="shared" ref="N40:N49" si="13">N4*$N$19*N25</f>
        <v>0</v>
      </c>
    </row>
    <row r="41" spans="3:14" x14ac:dyDescent="0.3">
      <c r="C41" s="23" t="s">
        <v>39</v>
      </c>
      <c r="D41" s="28">
        <f t="shared" si="3"/>
        <v>0</v>
      </c>
      <c r="E41" s="28">
        <f t="shared" si="4"/>
        <v>0</v>
      </c>
      <c r="F41" s="28">
        <f t="shared" si="5"/>
        <v>0</v>
      </c>
      <c r="G41" s="28">
        <f t="shared" si="6"/>
        <v>567108</v>
      </c>
      <c r="H41" s="28">
        <f t="shared" si="7"/>
        <v>0</v>
      </c>
      <c r="I41" s="28">
        <f t="shared" si="8"/>
        <v>0</v>
      </c>
      <c r="J41" s="28">
        <f t="shared" si="9"/>
        <v>0</v>
      </c>
      <c r="K41" s="28">
        <f t="shared" si="10"/>
        <v>0</v>
      </c>
      <c r="L41" s="28">
        <f t="shared" si="11"/>
        <v>0</v>
      </c>
      <c r="M41" s="28">
        <f t="shared" si="12"/>
        <v>0</v>
      </c>
      <c r="N41" s="28">
        <f t="shared" si="13"/>
        <v>0</v>
      </c>
    </row>
    <row r="42" spans="3:14" x14ac:dyDescent="0.3">
      <c r="C42" s="23" t="s">
        <v>40</v>
      </c>
      <c r="D42" s="28">
        <f t="shared" si="3"/>
        <v>0</v>
      </c>
      <c r="E42" s="28">
        <f t="shared" si="4"/>
        <v>0</v>
      </c>
      <c r="F42" s="28">
        <f t="shared" si="5"/>
        <v>0</v>
      </c>
      <c r="G42" s="28">
        <f t="shared" si="6"/>
        <v>0</v>
      </c>
      <c r="H42" s="28">
        <f t="shared" si="7"/>
        <v>0</v>
      </c>
      <c r="I42" s="28">
        <f t="shared" si="8"/>
        <v>0</v>
      </c>
      <c r="J42" s="28">
        <f t="shared" si="9"/>
        <v>0</v>
      </c>
      <c r="K42" s="28">
        <f t="shared" si="10"/>
        <v>0</v>
      </c>
      <c r="L42" s="28">
        <f t="shared" si="11"/>
        <v>0</v>
      </c>
      <c r="M42" s="28">
        <f t="shared" si="12"/>
        <v>0</v>
      </c>
      <c r="N42" s="28">
        <f t="shared" si="13"/>
        <v>0</v>
      </c>
    </row>
    <row r="43" spans="3:14" x14ac:dyDescent="0.3">
      <c r="C43" s="23" t="s">
        <v>41</v>
      </c>
      <c r="D43" s="28">
        <f t="shared" si="3"/>
        <v>0</v>
      </c>
      <c r="E43" s="28">
        <f t="shared" si="4"/>
        <v>0</v>
      </c>
      <c r="F43" s="28">
        <f t="shared" si="5"/>
        <v>0</v>
      </c>
      <c r="G43" s="28">
        <f t="shared" si="6"/>
        <v>0</v>
      </c>
      <c r="H43" s="28">
        <f t="shared" si="7"/>
        <v>0</v>
      </c>
      <c r="I43" s="28">
        <f t="shared" si="8"/>
        <v>0</v>
      </c>
      <c r="J43" s="28">
        <f t="shared" si="9"/>
        <v>0</v>
      </c>
      <c r="K43" s="28">
        <f t="shared" si="10"/>
        <v>0</v>
      </c>
      <c r="L43" s="28">
        <f t="shared" si="11"/>
        <v>0</v>
      </c>
      <c r="M43" s="28">
        <f t="shared" si="12"/>
        <v>0</v>
      </c>
      <c r="N43" s="28">
        <f t="shared" si="13"/>
        <v>0</v>
      </c>
    </row>
    <row r="44" spans="3:14" x14ac:dyDescent="0.3">
      <c r="C44" s="23" t="s">
        <v>42</v>
      </c>
      <c r="D44" s="28">
        <f t="shared" si="3"/>
        <v>0</v>
      </c>
      <c r="E44" s="28">
        <f t="shared" si="4"/>
        <v>0</v>
      </c>
      <c r="F44" s="28">
        <f t="shared" si="5"/>
        <v>0</v>
      </c>
      <c r="G44" s="28">
        <f t="shared" si="6"/>
        <v>0</v>
      </c>
      <c r="H44" s="28">
        <f t="shared" si="7"/>
        <v>0</v>
      </c>
      <c r="I44" s="28">
        <f t="shared" si="8"/>
        <v>0</v>
      </c>
      <c r="J44" s="28">
        <f t="shared" si="9"/>
        <v>0</v>
      </c>
      <c r="K44" s="28">
        <f t="shared" si="10"/>
        <v>0</v>
      </c>
      <c r="L44" s="28">
        <f t="shared" si="11"/>
        <v>0</v>
      </c>
      <c r="M44" s="28">
        <f t="shared" si="12"/>
        <v>0</v>
      </c>
      <c r="N44" s="28">
        <f t="shared" si="13"/>
        <v>0</v>
      </c>
    </row>
    <row r="45" spans="3:14" x14ac:dyDescent="0.3">
      <c r="C45" s="23" t="s">
        <v>43</v>
      </c>
      <c r="D45" s="28">
        <f t="shared" si="3"/>
        <v>188505</v>
      </c>
      <c r="E45" s="28">
        <f t="shared" si="4"/>
        <v>638400</v>
      </c>
      <c r="F45" s="28">
        <f t="shared" si="5"/>
        <v>0</v>
      </c>
      <c r="G45" s="28">
        <f t="shared" si="6"/>
        <v>0</v>
      </c>
      <c r="H45" s="28">
        <f t="shared" si="7"/>
        <v>0</v>
      </c>
      <c r="I45" s="28">
        <f t="shared" si="8"/>
        <v>1449216</v>
      </c>
      <c r="J45" s="28">
        <f t="shared" si="9"/>
        <v>0</v>
      </c>
      <c r="K45" s="28">
        <f t="shared" si="10"/>
        <v>0</v>
      </c>
      <c r="L45" s="28">
        <f t="shared" si="11"/>
        <v>330416</v>
      </c>
      <c r="M45" s="28">
        <f t="shared" si="12"/>
        <v>0</v>
      </c>
      <c r="N45" s="28">
        <f t="shared" si="13"/>
        <v>0</v>
      </c>
    </row>
    <row r="46" spans="3:14" x14ac:dyDescent="0.3">
      <c r="C46" s="23" t="s">
        <v>44</v>
      </c>
      <c r="D46" s="28">
        <f t="shared" si="3"/>
        <v>0</v>
      </c>
      <c r="E46" s="28">
        <f t="shared" si="4"/>
        <v>0</v>
      </c>
      <c r="F46" s="28">
        <f t="shared" si="5"/>
        <v>0</v>
      </c>
      <c r="G46" s="28">
        <f t="shared" si="6"/>
        <v>0</v>
      </c>
      <c r="H46" s="28">
        <f t="shared" si="7"/>
        <v>0</v>
      </c>
      <c r="I46" s="28">
        <f t="shared" si="8"/>
        <v>0</v>
      </c>
      <c r="J46" s="28">
        <f t="shared" si="9"/>
        <v>0</v>
      </c>
      <c r="K46" s="28">
        <f t="shared" si="10"/>
        <v>0</v>
      </c>
      <c r="L46" s="28">
        <f t="shared" si="11"/>
        <v>0</v>
      </c>
      <c r="M46" s="28">
        <f t="shared" si="12"/>
        <v>0</v>
      </c>
      <c r="N46" s="28">
        <f t="shared" si="13"/>
        <v>0</v>
      </c>
    </row>
    <row r="47" spans="3:14" x14ac:dyDescent="0.3">
      <c r="C47" s="23" t="s">
        <v>45</v>
      </c>
      <c r="D47" s="28">
        <f t="shared" si="3"/>
        <v>0</v>
      </c>
      <c r="E47" s="28">
        <f t="shared" si="4"/>
        <v>0</v>
      </c>
      <c r="F47" s="28">
        <f t="shared" si="5"/>
        <v>0</v>
      </c>
      <c r="G47" s="28">
        <f t="shared" si="6"/>
        <v>0</v>
      </c>
      <c r="H47" s="28">
        <f t="shared" si="7"/>
        <v>0</v>
      </c>
      <c r="I47" s="28">
        <f t="shared" si="8"/>
        <v>0</v>
      </c>
      <c r="J47" s="28">
        <f t="shared" si="9"/>
        <v>0</v>
      </c>
      <c r="K47" s="28">
        <f t="shared" si="10"/>
        <v>0</v>
      </c>
      <c r="L47" s="28">
        <f t="shared" si="11"/>
        <v>0</v>
      </c>
      <c r="M47" s="28">
        <f t="shared" si="12"/>
        <v>0</v>
      </c>
      <c r="N47" s="28">
        <f t="shared" si="13"/>
        <v>0</v>
      </c>
    </row>
    <row r="48" spans="3:14" ht="28" x14ac:dyDescent="0.3">
      <c r="C48" s="23" t="s">
        <v>46</v>
      </c>
      <c r="D48" s="28">
        <f t="shared" si="3"/>
        <v>0</v>
      </c>
      <c r="E48" s="28">
        <f t="shared" si="4"/>
        <v>0</v>
      </c>
      <c r="F48" s="28">
        <f t="shared" si="5"/>
        <v>0</v>
      </c>
      <c r="G48" s="28">
        <f t="shared" si="6"/>
        <v>0</v>
      </c>
      <c r="H48" s="28">
        <f t="shared" si="7"/>
        <v>493272</v>
      </c>
      <c r="I48" s="28">
        <f t="shared" si="8"/>
        <v>0</v>
      </c>
      <c r="J48" s="28">
        <f t="shared" si="9"/>
        <v>0</v>
      </c>
      <c r="K48" s="28">
        <f t="shared" si="10"/>
        <v>977600</v>
      </c>
      <c r="L48" s="28">
        <f t="shared" si="11"/>
        <v>0</v>
      </c>
      <c r="M48" s="28">
        <f t="shared" si="12"/>
        <v>0</v>
      </c>
      <c r="N48" s="28">
        <f t="shared" si="13"/>
        <v>500004</v>
      </c>
    </row>
    <row r="49" spans="3:15" x14ac:dyDescent="0.3">
      <c r="C49" s="23" t="s">
        <v>47</v>
      </c>
      <c r="D49" s="28">
        <f t="shared" si="3"/>
        <v>0</v>
      </c>
      <c r="E49" s="28">
        <f t="shared" si="4"/>
        <v>0</v>
      </c>
      <c r="F49" s="28">
        <f t="shared" si="5"/>
        <v>0</v>
      </c>
      <c r="G49" s="28">
        <f t="shared" si="6"/>
        <v>0</v>
      </c>
      <c r="H49" s="28">
        <f t="shared" si="7"/>
        <v>0</v>
      </c>
      <c r="I49" s="28">
        <f t="shared" si="8"/>
        <v>0</v>
      </c>
      <c r="J49" s="28">
        <f t="shared" si="9"/>
        <v>0</v>
      </c>
      <c r="K49" s="28">
        <f t="shared" si="10"/>
        <v>0</v>
      </c>
      <c r="L49" s="28">
        <f t="shared" si="11"/>
        <v>0</v>
      </c>
      <c r="M49" s="28">
        <f t="shared" si="12"/>
        <v>0</v>
      </c>
      <c r="N49" s="28">
        <f t="shared" si="13"/>
        <v>0</v>
      </c>
      <c r="O49" s="29">
        <f>SUM(D39:N49)</f>
        <v>5144521</v>
      </c>
    </row>
  </sheetData>
  <mergeCells count="2">
    <mergeCell ref="D1:N1"/>
    <mergeCell ref="A3:A13"/>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6B23E-B29E-448D-AD40-C56AEEA7E61E}">
  <sheetPr>
    <tabColor rgb="FF92D050"/>
  </sheetPr>
  <dimension ref="A1:I72"/>
  <sheetViews>
    <sheetView topLeftCell="A10" workbookViewId="0">
      <selection activeCell="B23" sqref="B23"/>
    </sheetView>
  </sheetViews>
  <sheetFormatPr defaultRowHeight="14" x14ac:dyDescent="0.3"/>
  <cols>
    <col min="1" max="1" width="31.5" bestFit="1" customWidth="1"/>
    <col min="2" max="2" width="12.83203125" customWidth="1"/>
    <col min="3" max="3" width="22.25" customWidth="1"/>
    <col min="4" max="4" width="12.75" customWidth="1"/>
    <col min="5" max="5" width="13.33203125" customWidth="1"/>
    <col min="6" max="6" width="20.9140625" bestFit="1" customWidth="1"/>
    <col min="7" max="7" width="21.5" bestFit="1" customWidth="1"/>
    <col min="9" max="9" width="20.83203125" customWidth="1"/>
  </cols>
  <sheetData>
    <row r="1" spans="1:6" x14ac:dyDescent="0.3">
      <c r="A1" s="9" t="s">
        <v>67</v>
      </c>
      <c r="B1" s="98" t="s">
        <v>60</v>
      </c>
      <c r="C1" s="98"/>
      <c r="D1" s="98"/>
      <c r="E1" s="98"/>
    </row>
    <row r="2" spans="1:6" x14ac:dyDescent="0.3">
      <c r="A2" s="9" t="s">
        <v>53</v>
      </c>
      <c r="B2" s="9" t="s">
        <v>56</v>
      </c>
      <c r="C2" s="9" t="s">
        <v>57</v>
      </c>
      <c r="D2" s="9" t="s">
        <v>68</v>
      </c>
      <c r="E2" s="9" t="s">
        <v>69</v>
      </c>
      <c r="F2" s="9" t="s">
        <v>54</v>
      </c>
    </row>
    <row r="3" spans="1:6" x14ac:dyDescent="0.3">
      <c r="A3" s="9" t="s">
        <v>56</v>
      </c>
      <c r="B3" s="35">
        <v>0.125</v>
      </c>
      <c r="C3" s="35">
        <v>0</v>
      </c>
      <c r="D3" s="35">
        <v>0</v>
      </c>
      <c r="E3" s="35">
        <v>0</v>
      </c>
      <c r="F3" s="36">
        <v>20</v>
      </c>
    </row>
    <row r="4" spans="1:6" x14ac:dyDescent="0.3">
      <c r="A4" s="9" t="s">
        <v>57</v>
      </c>
      <c r="B4" s="35">
        <v>0</v>
      </c>
      <c r="C4" s="35">
        <v>0.08</v>
      </c>
      <c r="D4" s="35">
        <v>0.05</v>
      </c>
      <c r="E4" s="35">
        <v>0.03</v>
      </c>
      <c r="F4" s="36">
        <v>6</v>
      </c>
    </row>
    <row r="5" spans="1:6" x14ac:dyDescent="0.3">
      <c r="A5" s="9" t="s">
        <v>58</v>
      </c>
      <c r="B5" s="35">
        <v>0</v>
      </c>
      <c r="C5" s="35">
        <v>0</v>
      </c>
      <c r="D5" s="35">
        <v>0.05</v>
      </c>
      <c r="E5" s="35">
        <v>7.0000000000000007E-2</v>
      </c>
      <c r="F5" s="36">
        <v>9</v>
      </c>
    </row>
    <row r="6" spans="1:6" x14ac:dyDescent="0.3">
      <c r="A6" s="9" t="s">
        <v>70</v>
      </c>
      <c r="B6" s="35">
        <v>0.125</v>
      </c>
      <c r="C6" s="35">
        <v>0.08</v>
      </c>
      <c r="D6" s="35">
        <v>0.1</v>
      </c>
      <c r="E6" s="35">
        <v>0.1</v>
      </c>
    </row>
    <row r="8" spans="1:6" x14ac:dyDescent="0.3">
      <c r="A8" s="9"/>
      <c r="B8" s="9" t="s">
        <v>56</v>
      </c>
      <c r="C8" s="9" t="s">
        <v>57</v>
      </c>
      <c r="D8" s="9" t="s">
        <v>61</v>
      </c>
      <c r="E8" s="9" t="s">
        <v>62</v>
      </c>
    </row>
    <row r="9" spans="1:6" x14ac:dyDescent="0.3">
      <c r="A9" s="9" t="s">
        <v>63</v>
      </c>
      <c r="B9" s="43">
        <v>6.7</v>
      </c>
      <c r="C9" s="43">
        <v>3.55</v>
      </c>
      <c r="D9" s="43">
        <v>4.3099999999999996</v>
      </c>
      <c r="E9" s="43">
        <v>4.8099999999999996</v>
      </c>
    </row>
    <row r="10" spans="1:6" x14ac:dyDescent="0.3">
      <c r="A10" s="9" t="s">
        <v>64</v>
      </c>
      <c r="B10" s="37">
        <v>6000</v>
      </c>
      <c r="C10" s="37">
        <v>10000</v>
      </c>
      <c r="D10" s="37">
        <v>13000</v>
      </c>
      <c r="E10" s="37">
        <v>6000</v>
      </c>
    </row>
    <row r="11" spans="1:6" x14ac:dyDescent="0.3">
      <c r="A11" s="9" t="s">
        <v>65</v>
      </c>
      <c r="B11" s="37">
        <v>7000</v>
      </c>
      <c r="C11" s="37">
        <v>14000</v>
      </c>
      <c r="D11" s="37">
        <v>16000</v>
      </c>
      <c r="E11" s="37">
        <v>8500</v>
      </c>
    </row>
    <row r="12" spans="1:6" x14ac:dyDescent="0.3">
      <c r="A12" s="9" t="s">
        <v>66</v>
      </c>
      <c r="B12" s="35">
        <v>0.125</v>
      </c>
      <c r="C12" s="35">
        <v>0.08</v>
      </c>
      <c r="D12" s="35">
        <v>0.1</v>
      </c>
      <c r="E12" s="35">
        <v>0.1</v>
      </c>
    </row>
    <row r="15" spans="1:6" x14ac:dyDescent="0.3">
      <c r="A15" s="9"/>
      <c r="B15" s="9" t="s">
        <v>56</v>
      </c>
      <c r="C15" s="9" t="s">
        <v>57</v>
      </c>
      <c r="D15" s="9" t="s">
        <v>61</v>
      </c>
      <c r="E15" s="9" t="s">
        <v>62</v>
      </c>
    </row>
    <row r="16" spans="1:6" x14ac:dyDescent="0.3">
      <c r="A16" s="9" t="s">
        <v>71</v>
      </c>
      <c r="B16" s="21">
        <v>7000</v>
      </c>
      <c r="C16" s="21">
        <v>13625.000000000002</v>
      </c>
      <c r="D16" s="21">
        <v>13099.999999999998</v>
      </c>
      <c r="E16" s="21">
        <v>8500</v>
      </c>
    </row>
    <row r="18" spans="1:9" x14ac:dyDescent="0.3">
      <c r="A18" s="9"/>
      <c r="B18" s="9" t="s">
        <v>56</v>
      </c>
      <c r="C18" s="9" t="s">
        <v>57</v>
      </c>
      <c r="D18" s="9" t="s">
        <v>61</v>
      </c>
      <c r="E18" s="9" t="s">
        <v>62</v>
      </c>
    </row>
    <row r="19" spans="1:9" x14ac:dyDescent="0.3">
      <c r="A19" s="9" t="s">
        <v>63</v>
      </c>
      <c r="B19" s="40">
        <v>6.7</v>
      </c>
      <c r="C19" s="40">
        <v>3.55</v>
      </c>
      <c r="D19" s="40">
        <v>4.3099999999999996</v>
      </c>
      <c r="E19" s="40">
        <v>4.8099999999999996</v>
      </c>
    </row>
    <row r="20" spans="1:9" x14ac:dyDescent="0.3">
      <c r="A20" s="42" t="s">
        <v>78</v>
      </c>
      <c r="B20" s="40">
        <f>B16*B19</f>
        <v>46900</v>
      </c>
      <c r="C20" s="40">
        <f t="shared" ref="C20:E20" si="0">C16*C19</f>
        <v>48368.750000000007</v>
      </c>
      <c r="D20" s="40">
        <f t="shared" si="0"/>
        <v>56460.999999999985</v>
      </c>
      <c r="E20" s="40">
        <f t="shared" si="0"/>
        <v>40885</v>
      </c>
      <c r="F20" s="41">
        <f>SUM(B20:E20)</f>
        <v>192614.75</v>
      </c>
    </row>
    <row r="22" spans="1:9" x14ac:dyDescent="0.3">
      <c r="A22" s="9" t="s">
        <v>72</v>
      </c>
      <c r="B22" s="9" t="s">
        <v>56</v>
      </c>
      <c r="C22" s="9" t="s">
        <v>57</v>
      </c>
      <c r="D22" s="9" t="s">
        <v>61</v>
      </c>
      <c r="E22" s="9" t="s">
        <v>62</v>
      </c>
      <c r="F22" s="9" t="s">
        <v>74</v>
      </c>
      <c r="G22" s="9" t="s">
        <v>76</v>
      </c>
      <c r="H22" s="9"/>
      <c r="I22" s="9" t="s">
        <v>55</v>
      </c>
    </row>
    <row r="23" spans="1:9" x14ac:dyDescent="0.3">
      <c r="A23" s="9" t="s">
        <v>56</v>
      </c>
      <c r="B23" s="9">
        <f>$B$16*B3</f>
        <v>875</v>
      </c>
      <c r="C23" s="9">
        <f>$C$16*C3</f>
        <v>0</v>
      </c>
      <c r="D23" s="9">
        <f>$D$16*D3</f>
        <v>0</v>
      </c>
      <c r="E23" s="9">
        <f>$E$16*E3</f>
        <v>0</v>
      </c>
      <c r="F23" s="34">
        <f>G23*F3</f>
        <v>17500</v>
      </c>
      <c r="G23" s="9">
        <f>SUM(B23:E23)</f>
        <v>875</v>
      </c>
      <c r="H23" s="9" t="s">
        <v>37</v>
      </c>
      <c r="I23" s="38">
        <v>1000</v>
      </c>
    </row>
    <row r="24" spans="1:9" x14ac:dyDescent="0.3">
      <c r="A24" s="9" t="s">
        <v>57</v>
      </c>
      <c r="B24" s="9">
        <f>$B$16*B4</f>
        <v>0</v>
      </c>
      <c r="C24" s="9">
        <f t="shared" ref="C24:C25" si="1">$C$16*C4</f>
        <v>1090.0000000000002</v>
      </c>
      <c r="D24" s="9">
        <f t="shared" ref="D24:D25" si="2">$D$16*D4</f>
        <v>655</v>
      </c>
      <c r="E24" s="9">
        <f t="shared" ref="E24:E25" si="3">$E$16*E4</f>
        <v>255</v>
      </c>
      <c r="F24" s="34">
        <f>G24*F4</f>
        <v>12000.000000000002</v>
      </c>
      <c r="G24" s="9">
        <f>SUM(B24:E24)</f>
        <v>2000.0000000000002</v>
      </c>
      <c r="H24" s="9" t="s">
        <v>37</v>
      </c>
      <c r="I24" s="38">
        <v>2000</v>
      </c>
    </row>
    <row r="25" spans="1:9" x14ac:dyDescent="0.3">
      <c r="A25" s="9" t="s">
        <v>58</v>
      </c>
      <c r="B25" s="9">
        <f>$B$16*B5</f>
        <v>0</v>
      </c>
      <c r="C25" s="9">
        <f t="shared" si="1"/>
        <v>0</v>
      </c>
      <c r="D25" s="9">
        <f t="shared" si="2"/>
        <v>655</v>
      </c>
      <c r="E25" s="9">
        <f t="shared" si="3"/>
        <v>595</v>
      </c>
      <c r="F25" s="34">
        <f>G25*F5</f>
        <v>11250</v>
      </c>
      <c r="G25" s="9">
        <f>SUM(B25:E25)</f>
        <v>1250</v>
      </c>
      <c r="H25" s="9" t="s">
        <v>37</v>
      </c>
      <c r="I25" s="38">
        <v>1250</v>
      </c>
    </row>
    <row r="26" spans="1:9" x14ac:dyDescent="0.3">
      <c r="A26" s="9" t="s">
        <v>77</v>
      </c>
      <c r="B26" s="9">
        <f>B16</f>
        <v>7000</v>
      </c>
      <c r="C26" s="9">
        <f t="shared" ref="C26:E26" si="4">C16</f>
        <v>13625.000000000002</v>
      </c>
      <c r="D26" s="9">
        <f t="shared" si="4"/>
        <v>13099.999999999998</v>
      </c>
      <c r="E26" s="9">
        <f t="shared" si="4"/>
        <v>8500</v>
      </c>
      <c r="F26" s="34">
        <f>G26*0.75</f>
        <v>31668.75</v>
      </c>
      <c r="G26" s="9">
        <f>SUM(B26:E26)</f>
        <v>42225</v>
      </c>
      <c r="H26" s="9"/>
      <c r="I26" s="9"/>
    </row>
    <row r="27" spans="1:9" x14ac:dyDescent="0.3">
      <c r="E27" s="5" t="s">
        <v>75</v>
      </c>
      <c r="F27" s="39">
        <f>SUM(F23:F26)</f>
        <v>72418.75</v>
      </c>
    </row>
    <row r="28" spans="1:9" x14ac:dyDescent="0.3">
      <c r="E28" s="5" t="s">
        <v>81</v>
      </c>
      <c r="F28" s="45">
        <f>F20-F27</f>
        <v>120196</v>
      </c>
    </row>
    <row r="30" spans="1:9" x14ac:dyDescent="0.3">
      <c r="B30" s="9" t="s">
        <v>56</v>
      </c>
      <c r="C30" s="9" t="s">
        <v>57</v>
      </c>
      <c r="D30" s="9" t="s">
        <v>61</v>
      </c>
      <c r="E30" s="9" t="s">
        <v>62</v>
      </c>
    </row>
    <row r="31" spans="1:9" x14ac:dyDescent="0.3">
      <c r="A31" s="9" t="s">
        <v>71</v>
      </c>
      <c r="B31" s="9">
        <f>B16</f>
        <v>7000</v>
      </c>
      <c r="C31" s="9">
        <f t="shared" ref="C31:E31" si="5">C16</f>
        <v>13625.000000000002</v>
      </c>
      <c r="D31" s="9">
        <f t="shared" si="5"/>
        <v>13099.999999999998</v>
      </c>
      <c r="E31" s="9">
        <f t="shared" si="5"/>
        <v>8500</v>
      </c>
    </row>
    <row r="32" spans="1:9" x14ac:dyDescent="0.3">
      <c r="B32" s="9" t="s">
        <v>80</v>
      </c>
      <c r="C32" s="9" t="s">
        <v>80</v>
      </c>
      <c r="D32" s="9" t="s">
        <v>80</v>
      </c>
      <c r="E32" s="9" t="s">
        <v>80</v>
      </c>
    </row>
    <row r="33" spans="1:5" x14ac:dyDescent="0.3">
      <c r="A33" s="9" t="s">
        <v>64</v>
      </c>
      <c r="B33" s="38">
        <v>6000</v>
      </c>
      <c r="C33" s="38">
        <v>10000</v>
      </c>
      <c r="D33" s="38">
        <v>13000</v>
      </c>
      <c r="E33" s="38">
        <v>6000</v>
      </c>
    </row>
    <row r="34" spans="1:5" x14ac:dyDescent="0.3">
      <c r="A34" s="9"/>
      <c r="B34" s="44"/>
      <c r="C34" s="44"/>
      <c r="D34" s="44"/>
      <c r="E34" s="44"/>
    </row>
    <row r="35" spans="1:5" x14ac:dyDescent="0.3">
      <c r="A35" s="9" t="s">
        <v>71</v>
      </c>
      <c r="B35" s="9">
        <f>B16</f>
        <v>7000</v>
      </c>
      <c r="C35" s="9">
        <f t="shared" ref="C35:E35" si="6">C16</f>
        <v>13625.000000000002</v>
      </c>
      <c r="D35" s="9">
        <f t="shared" si="6"/>
        <v>13099.999999999998</v>
      </c>
      <c r="E35" s="9">
        <f t="shared" si="6"/>
        <v>8500</v>
      </c>
    </row>
    <row r="36" spans="1:5" x14ac:dyDescent="0.3">
      <c r="A36" s="9"/>
      <c r="B36" s="44" t="s">
        <v>37</v>
      </c>
      <c r="C36" s="44" t="s">
        <v>37</v>
      </c>
      <c r="D36" s="44" t="s">
        <v>37</v>
      </c>
      <c r="E36" s="44" t="s">
        <v>37</v>
      </c>
    </row>
    <row r="37" spans="1:5" x14ac:dyDescent="0.3">
      <c r="A37" s="9" t="s">
        <v>65</v>
      </c>
      <c r="B37" s="38">
        <v>7000</v>
      </c>
      <c r="C37" s="38">
        <v>14000</v>
      </c>
      <c r="D37" s="38">
        <v>16000</v>
      </c>
      <c r="E37" s="38">
        <v>8500</v>
      </c>
    </row>
    <row r="67" spans="2:6" x14ac:dyDescent="0.3">
      <c r="B67" t="s">
        <v>59</v>
      </c>
      <c r="C67" t="s">
        <v>60</v>
      </c>
    </row>
    <row r="68" spans="2:6" x14ac:dyDescent="0.3">
      <c r="C68" t="s">
        <v>56</v>
      </c>
      <c r="D68" t="s">
        <v>57</v>
      </c>
      <c r="E68" t="s">
        <v>61</v>
      </c>
      <c r="F68" t="s">
        <v>62</v>
      </c>
    </row>
    <row r="69" spans="2:6" x14ac:dyDescent="0.3">
      <c r="B69" t="s">
        <v>63</v>
      </c>
      <c r="C69" s="32">
        <v>6.7</v>
      </c>
      <c r="D69" s="32">
        <v>3.55</v>
      </c>
      <c r="E69" s="32">
        <v>4.3099999999999996</v>
      </c>
      <c r="F69" s="32">
        <v>4.8099999999999996</v>
      </c>
    </row>
    <row r="70" spans="2:6" x14ac:dyDescent="0.3">
      <c r="B70" t="s">
        <v>64</v>
      </c>
      <c r="C70" s="31">
        <v>6000</v>
      </c>
      <c r="D70" s="31">
        <v>10000</v>
      </c>
      <c r="E70" s="31">
        <v>13000</v>
      </c>
      <c r="F70" s="31">
        <v>6000</v>
      </c>
    </row>
    <row r="71" spans="2:6" x14ac:dyDescent="0.3">
      <c r="B71" t="s">
        <v>65</v>
      </c>
      <c r="C71" s="31">
        <v>7000</v>
      </c>
      <c r="D71" s="31">
        <v>14000</v>
      </c>
      <c r="E71" s="31">
        <v>16000</v>
      </c>
      <c r="F71" s="31">
        <v>8500</v>
      </c>
    </row>
    <row r="72" spans="2:6" x14ac:dyDescent="0.3">
      <c r="B72" t="s">
        <v>66</v>
      </c>
      <c r="C72">
        <v>0.125</v>
      </c>
      <c r="D72">
        <v>0.08</v>
      </c>
      <c r="E72">
        <v>0.1</v>
      </c>
      <c r="F72">
        <v>0.1</v>
      </c>
    </row>
  </sheetData>
  <mergeCells count="1">
    <mergeCell ref="B1:E1"/>
  </mergeCells>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ED2E-87F9-48CA-88C9-81194B5BF568}">
  <sheetPr>
    <tabColor rgb="FF92D050"/>
  </sheetPr>
  <dimension ref="A1:I77"/>
  <sheetViews>
    <sheetView workbookViewId="0">
      <selection activeCell="C16" sqref="C16"/>
    </sheetView>
  </sheetViews>
  <sheetFormatPr defaultRowHeight="14" x14ac:dyDescent="0.3"/>
  <cols>
    <col min="1" max="1" width="31.5" bestFit="1" customWidth="1"/>
    <col min="2" max="2" width="12.83203125" customWidth="1"/>
    <col min="3" max="3" width="22.25" customWidth="1"/>
    <col min="4" max="4" width="12.75" customWidth="1"/>
    <col min="5" max="5" width="13.33203125" customWidth="1"/>
    <col min="6" max="6" width="20.9140625" bestFit="1" customWidth="1"/>
    <col min="7" max="7" width="21.5" bestFit="1" customWidth="1"/>
    <col min="9" max="9" width="20.83203125" customWidth="1"/>
  </cols>
  <sheetData>
    <row r="1" spans="1:9" x14ac:dyDescent="0.3">
      <c r="A1" s="9" t="s">
        <v>67</v>
      </c>
      <c r="B1" s="98" t="s">
        <v>60</v>
      </c>
      <c r="C1" s="98"/>
      <c r="D1" s="98"/>
      <c r="E1" s="98"/>
    </row>
    <row r="2" spans="1:9" x14ac:dyDescent="0.3">
      <c r="A2" s="9" t="s">
        <v>53</v>
      </c>
      <c r="B2" s="9" t="s">
        <v>56</v>
      </c>
      <c r="C2" s="9" t="s">
        <v>57</v>
      </c>
      <c r="D2" s="9" t="s">
        <v>68</v>
      </c>
      <c r="E2" s="9" t="s">
        <v>69</v>
      </c>
      <c r="F2" s="9" t="s">
        <v>54</v>
      </c>
    </row>
    <row r="3" spans="1:9" x14ac:dyDescent="0.3">
      <c r="A3" s="9" t="s">
        <v>56</v>
      </c>
      <c r="B3" s="35">
        <v>0.125</v>
      </c>
      <c r="C3" s="35">
        <v>0</v>
      </c>
      <c r="D3" s="35">
        <v>0</v>
      </c>
      <c r="E3" s="35">
        <v>0</v>
      </c>
      <c r="F3" s="36">
        <v>20</v>
      </c>
    </row>
    <row r="4" spans="1:9" x14ac:dyDescent="0.3">
      <c r="A4" s="9" t="s">
        <v>57</v>
      </c>
      <c r="B4" s="35">
        <v>0</v>
      </c>
      <c r="C4" s="35">
        <v>0.08</v>
      </c>
      <c r="D4" s="35">
        <v>0.05</v>
      </c>
      <c r="E4" s="35">
        <v>0.03</v>
      </c>
      <c r="F4" s="36">
        <v>6</v>
      </c>
    </row>
    <row r="5" spans="1:9" x14ac:dyDescent="0.3">
      <c r="A5" s="9" t="s">
        <v>58</v>
      </c>
      <c r="B5" s="35">
        <v>0</v>
      </c>
      <c r="C5" s="35">
        <v>0</v>
      </c>
      <c r="D5" s="35">
        <v>0.05</v>
      </c>
      <c r="E5" s="35">
        <v>7.0000000000000007E-2</v>
      </c>
      <c r="F5" s="36">
        <v>9</v>
      </c>
    </row>
    <row r="6" spans="1:9" x14ac:dyDescent="0.3">
      <c r="A6" s="9" t="s">
        <v>70</v>
      </c>
      <c r="B6" s="35">
        <v>0.125</v>
      </c>
      <c r="C6" s="35">
        <v>0.08</v>
      </c>
      <c r="D6" s="35">
        <v>0.1</v>
      </c>
      <c r="E6" s="35">
        <v>0.1</v>
      </c>
    </row>
    <row r="8" spans="1:9" x14ac:dyDescent="0.3">
      <c r="A8" s="9"/>
      <c r="B8" s="9" t="s">
        <v>56</v>
      </c>
      <c r="C8" s="9" t="s">
        <v>57</v>
      </c>
      <c r="D8" s="9" t="s">
        <v>61</v>
      </c>
      <c r="E8" s="9" t="s">
        <v>62</v>
      </c>
    </row>
    <row r="9" spans="1:9" x14ac:dyDescent="0.3">
      <c r="A9" s="9" t="s">
        <v>63</v>
      </c>
      <c r="B9" s="43">
        <v>6.7</v>
      </c>
      <c r="C9" s="43">
        <v>3.55</v>
      </c>
      <c r="D9" s="43">
        <v>4.3099999999999996</v>
      </c>
      <c r="E9" s="43">
        <v>4.8099999999999996</v>
      </c>
    </row>
    <row r="10" spans="1:9" x14ac:dyDescent="0.3">
      <c r="A10" s="9" t="s">
        <v>64</v>
      </c>
      <c r="B10" s="37">
        <v>6000</v>
      </c>
      <c r="C10" s="37">
        <v>10000</v>
      </c>
      <c r="D10" s="37">
        <v>13000</v>
      </c>
      <c r="E10" s="37">
        <v>6000</v>
      </c>
    </row>
    <row r="11" spans="1:9" x14ac:dyDescent="0.3">
      <c r="A11" s="9" t="s">
        <v>65</v>
      </c>
      <c r="B11" s="37">
        <v>7000</v>
      </c>
      <c r="C11" s="37">
        <v>14000</v>
      </c>
      <c r="D11" s="37">
        <v>16000</v>
      </c>
      <c r="E11" s="37">
        <v>8500</v>
      </c>
    </row>
    <row r="12" spans="1:9" x14ac:dyDescent="0.3">
      <c r="A12" s="9" t="s">
        <v>66</v>
      </c>
      <c r="B12" s="35">
        <v>0.125</v>
      </c>
      <c r="C12" s="35">
        <v>0.08</v>
      </c>
      <c r="D12" s="35">
        <v>0.1</v>
      </c>
      <c r="E12" s="35">
        <v>0.1</v>
      </c>
    </row>
    <row r="14" spans="1:9" x14ac:dyDescent="0.3">
      <c r="B14" s="99" t="s">
        <v>82</v>
      </c>
      <c r="C14" s="99"/>
      <c r="D14" s="99"/>
      <c r="E14" s="99"/>
      <c r="F14" s="99" t="s">
        <v>83</v>
      </c>
      <c r="G14" s="99"/>
      <c r="H14" s="99"/>
      <c r="I14" s="99"/>
    </row>
    <row r="15" spans="1:9" x14ac:dyDescent="0.3">
      <c r="A15" s="9"/>
      <c r="B15" s="9" t="s">
        <v>56</v>
      </c>
      <c r="C15" s="9" t="s">
        <v>57</v>
      </c>
      <c r="D15" s="9" t="s">
        <v>61</v>
      </c>
      <c r="E15" s="9" t="s">
        <v>62</v>
      </c>
      <c r="F15" s="9" t="s">
        <v>56</v>
      </c>
      <c r="G15" s="9" t="s">
        <v>57</v>
      </c>
      <c r="H15" s="9" t="s">
        <v>61</v>
      </c>
      <c r="I15" s="9" t="s">
        <v>62</v>
      </c>
    </row>
    <row r="16" spans="1:9" x14ac:dyDescent="0.3">
      <c r="A16" s="9" t="s">
        <v>71</v>
      </c>
      <c r="B16" s="21">
        <v>7000</v>
      </c>
      <c r="C16" s="21">
        <v>12589.285714285716</v>
      </c>
      <c r="D16" s="21">
        <v>16000</v>
      </c>
      <c r="E16" s="21">
        <v>6428.5714285714275</v>
      </c>
      <c r="F16" s="21">
        <v>0</v>
      </c>
      <c r="G16" s="21">
        <v>1410.7142857142851</v>
      </c>
      <c r="H16" s="21">
        <v>0</v>
      </c>
      <c r="I16" s="21">
        <v>2071.4285714285725</v>
      </c>
    </row>
    <row r="18" spans="1:9" x14ac:dyDescent="0.3">
      <c r="A18" s="9"/>
      <c r="B18" s="9" t="s">
        <v>56</v>
      </c>
      <c r="C18" s="9" t="s">
        <v>57</v>
      </c>
      <c r="D18" s="9" t="s">
        <v>61</v>
      </c>
      <c r="E18" s="9" t="s">
        <v>62</v>
      </c>
    </row>
    <row r="19" spans="1:9" x14ac:dyDescent="0.3">
      <c r="A19" s="9" t="s">
        <v>63</v>
      </c>
      <c r="B19" s="40">
        <v>6.7</v>
      </c>
      <c r="C19" s="40">
        <v>3.55</v>
      </c>
      <c r="D19" s="40">
        <v>4.3099999999999996</v>
      </c>
      <c r="E19" s="40">
        <v>4.8099999999999996</v>
      </c>
    </row>
    <row r="20" spans="1:9" x14ac:dyDescent="0.3">
      <c r="A20" s="42" t="s">
        <v>78</v>
      </c>
      <c r="B20" s="40">
        <f>(B16+F16)*B19</f>
        <v>46900</v>
      </c>
      <c r="C20" s="40">
        <f t="shared" ref="C20:E20" si="0">(C16+G16)*C19</f>
        <v>49700</v>
      </c>
      <c r="D20" s="40">
        <f t="shared" si="0"/>
        <v>68960</v>
      </c>
      <c r="E20" s="40">
        <f t="shared" si="0"/>
        <v>40885</v>
      </c>
      <c r="F20" s="41">
        <f>SUM(B20:E20)</f>
        <v>206445</v>
      </c>
    </row>
    <row r="22" spans="1:9" x14ac:dyDescent="0.3">
      <c r="A22" s="9" t="s">
        <v>84</v>
      </c>
      <c r="B22" s="9" t="s">
        <v>56</v>
      </c>
      <c r="C22" s="9" t="s">
        <v>57</v>
      </c>
      <c r="D22" s="9" t="s">
        <v>61</v>
      </c>
      <c r="E22" s="9" t="s">
        <v>62</v>
      </c>
      <c r="F22" s="9" t="s">
        <v>74</v>
      </c>
      <c r="G22" s="9" t="s">
        <v>76</v>
      </c>
      <c r="H22" s="9"/>
      <c r="I22" s="9" t="s">
        <v>55</v>
      </c>
    </row>
    <row r="23" spans="1:9" x14ac:dyDescent="0.3">
      <c r="A23" s="9" t="s">
        <v>56</v>
      </c>
      <c r="B23" s="9">
        <f>$B$16*B3</f>
        <v>875</v>
      </c>
      <c r="C23" s="9">
        <f>$C$16*C3</f>
        <v>0</v>
      </c>
      <c r="D23" s="9">
        <f>$D$16*D3</f>
        <v>0</v>
      </c>
      <c r="E23" s="9">
        <f>$E$16*E3</f>
        <v>0</v>
      </c>
      <c r="F23" s="34">
        <f>G23*F3</f>
        <v>17500</v>
      </c>
      <c r="G23" s="9">
        <f>SUM(B23:E23)</f>
        <v>875</v>
      </c>
      <c r="H23" s="9" t="s">
        <v>37</v>
      </c>
      <c r="I23" s="38">
        <v>1000</v>
      </c>
    </row>
    <row r="24" spans="1:9" x14ac:dyDescent="0.3">
      <c r="A24" s="9" t="s">
        <v>57</v>
      </c>
      <c r="B24" s="9">
        <f>$B$16*B4</f>
        <v>0</v>
      </c>
      <c r="C24" s="9">
        <f t="shared" ref="C24:C25" si="1">$C$16*C4</f>
        <v>1007.1428571428572</v>
      </c>
      <c r="D24" s="9">
        <f t="shared" ref="D24:D25" si="2">$D$16*D4</f>
        <v>800</v>
      </c>
      <c r="E24" s="9">
        <f t="shared" ref="E24:E25" si="3">$E$16*E4</f>
        <v>192.85714285714283</v>
      </c>
      <c r="F24" s="34">
        <f>G24*F4</f>
        <v>12000.000000000002</v>
      </c>
      <c r="G24" s="9">
        <f>SUM(B24:E24)</f>
        <v>2000.0000000000002</v>
      </c>
      <c r="H24" s="9" t="s">
        <v>37</v>
      </c>
      <c r="I24" s="38">
        <v>2000</v>
      </c>
    </row>
    <row r="25" spans="1:9" x14ac:dyDescent="0.3">
      <c r="A25" s="9" t="s">
        <v>58</v>
      </c>
      <c r="B25" s="9">
        <f>$B$16*B5</f>
        <v>0</v>
      </c>
      <c r="C25" s="9">
        <f t="shared" si="1"/>
        <v>0</v>
      </c>
      <c r="D25" s="9">
        <f t="shared" si="2"/>
        <v>800</v>
      </c>
      <c r="E25" s="9">
        <f t="shared" si="3"/>
        <v>449.99999999999994</v>
      </c>
      <c r="F25" s="34">
        <f>G25*F5</f>
        <v>11250</v>
      </c>
      <c r="G25" s="9">
        <f>SUM(B25:E25)</f>
        <v>1250</v>
      </c>
      <c r="H25" s="9" t="s">
        <v>37</v>
      </c>
      <c r="I25" s="38">
        <v>1250</v>
      </c>
    </row>
    <row r="26" spans="1:9" x14ac:dyDescent="0.3">
      <c r="A26" s="9" t="s">
        <v>77</v>
      </c>
      <c r="B26" s="9">
        <f>B16</f>
        <v>7000</v>
      </c>
      <c r="C26" s="9">
        <f t="shared" ref="C26:E26" si="4">C16</f>
        <v>12589.285714285716</v>
      </c>
      <c r="D26" s="9">
        <f t="shared" si="4"/>
        <v>16000</v>
      </c>
      <c r="E26" s="9">
        <f t="shared" si="4"/>
        <v>6428.5714285714275</v>
      </c>
      <c r="F26" s="34">
        <f>G26*0.75</f>
        <v>31513.392857142859</v>
      </c>
      <c r="G26" s="9">
        <f>SUM(B26:E26)</f>
        <v>42017.857142857145</v>
      </c>
      <c r="H26" s="9"/>
      <c r="I26" s="9"/>
    </row>
    <row r="27" spans="1:9" x14ac:dyDescent="0.3">
      <c r="E27" s="5" t="s">
        <v>86</v>
      </c>
      <c r="F27" s="39">
        <f>SUM(F23:F26)</f>
        <v>72263.392857142855</v>
      </c>
    </row>
    <row r="28" spans="1:9" x14ac:dyDescent="0.3">
      <c r="A28" s="9"/>
      <c r="B28" s="9" t="s">
        <v>56</v>
      </c>
      <c r="C28" s="9" t="s">
        <v>57</v>
      </c>
      <c r="D28" s="9" t="s">
        <v>61</v>
      </c>
      <c r="E28" s="9" t="s">
        <v>62</v>
      </c>
      <c r="F28" s="3"/>
    </row>
    <row r="29" spans="1:9" x14ac:dyDescent="0.3">
      <c r="A29" s="9" t="s">
        <v>85</v>
      </c>
      <c r="B29" s="47">
        <v>4.25</v>
      </c>
      <c r="C29" s="47">
        <v>2</v>
      </c>
      <c r="D29" s="47">
        <v>2.5</v>
      </c>
      <c r="E29" s="48">
        <v>2.2000000000000002</v>
      </c>
    </row>
    <row r="30" spans="1:9" x14ac:dyDescent="0.3">
      <c r="A30" s="9" t="s">
        <v>87</v>
      </c>
      <c r="B30" s="9">
        <f>B29*F16</f>
        <v>0</v>
      </c>
      <c r="C30" s="9">
        <f>C29*G16</f>
        <v>2821.4285714285702</v>
      </c>
      <c r="D30" s="9">
        <f>D29*H16</f>
        <v>0</v>
      </c>
      <c r="E30" s="9">
        <f>E29*I16</f>
        <v>4557.1428571428596</v>
      </c>
      <c r="F30" s="39">
        <f>SUM(B30:E30)</f>
        <v>7378.5714285714294</v>
      </c>
    </row>
    <row r="31" spans="1:9" x14ac:dyDescent="0.3">
      <c r="F31" s="3"/>
    </row>
    <row r="32" spans="1:9" x14ac:dyDescent="0.3">
      <c r="E32" s="5" t="s">
        <v>81</v>
      </c>
      <c r="F32" s="45">
        <f>F20-F27-F30</f>
        <v>126803.03571428572</v>
      </c>
    </row>
    <row r="35" spans="1:5" x14ac:dyDescent="0.3">
      <c r="B35" s="9" t="s">
        <v>56</v>
      </c>
      <c r="C35" s="9" t="s">
        <v>57</v>
      </c>
      <c r="D35" s="9" t="s">
        <v>61</v>
      </c>
      <c r="E35" s="9" t="s">
        <v>62</v>
      </c>
    </row>
    <row r="36" spans="1:5" x14ac:dyDescent="0.3">
      <c r="A36" s="9" t="s">
        <v>88</v>
      </c>
      <c r="B36" s="9">
        <f>B16+F16</f>
        <v>7000</v>
      </c>
      <c r="C36" s="9">
        <f>C16+G16</f>
        <v>14000</v>
      </c>
      <c r="D36" s="9">
        <f>D16+H16</f>
        <v>16000</v>
      </c>
      <c r="E36" s="9">
        <f>E16+I16</f>
        <v>8500</v>
      </c>
    </row>
    <row r="37" spans="1:5" x14ac:dyDescent="0.3">
      <c r="B37" s="9" t="s">
        <v>80</v>
      </c>
      <c r="C37" s="9" t="s">
        <v>80</v>
      </c>
      <c r="D37" s="9" t="s">
        <v>80</v>
      </c>
      <c r="E37" s="9" t="s">
        <v>80</v>
      </c>
    </row>
    <row r="38" spans="1:5" x14ac:dyDescent="0.3">
      <c r="A38" s="9" t="s">
        <v>64</v>
      </c>
      <c r="B38" s="38">
        <v>6000</v>
      </c>
      <c r="C38" s="38">
        <v>10000</v>
      </c>
      <c r="D38" s="38">
        <v>13000</v>
      </c>
      <c r="E38" s="38">
        <v>6000</v>
      </c>
    </row>
    <row r="39" spans="1:5" x14ac:dyDescent="0.3">
      <c r="A39" s="9"/>
      <c r="B39" s="44"/>
      <c r="C39" s="44"/>
      <c r="D39" s="44"/>
      <c r="E39" s="44"/>
    </row>
    <row r="40" spans="1:5" x14ac:dyDescent="0.3">
      <c r="A40" s="9" t="s">
        <v>88</v>
      </c>
      <c r="B40" s="9">
        <f>B16+F16</f>
        <v>7000</v>
      </c>
      <c r="C40" s="9">
        <f t="shared" ref="C40:E40" si="5">C16+G16</f>
        <v>14000</v>
      </c>
      <c r="D40" s="9">
        <f t="shared" si="5"/>
        <v>16000</v>
      </c>
      <c r="E40" s="9">
        <f t="shared" si="5"/>
        <v>8500</v>
      </c>
    </row>
    <row r="41" spans="1:5" x14ac:dyDescent="0.3">
      <c r="A41" s="9"/>
      <c r="B41" s="44" t="s">
        <v>37</v>
      </c>
      <c r="C41" s="44" t="s">
        <v>37</v>
      </c>
      <c r="D41" s="44" t="s">
        <v>37</v>
      </c>
      <c r="E41" s="44" t="s">
        <v>37</v>
      </c>
    </row>
    <row r="42" spans="1:5" x14ac:dyDescent="0.3">
      <c r="A42" s="9" t="s">
        <v>65</v>
      </c>
      <c r="B42" s="38">
        <v>7000</v>
      </c>
      <c r="C42" s="38">
        <v>14000</v>
      </c>
      <c r="D42" s="38">
        <v>16000</v>
      </c>
      <c r="E42" s="38">
        <v>8500</v>
      </c>
    </row>
    <row r="72" spans="2:6" x14ac:dyDescent="0.3">
      <c r="B72" t="s">
        <v>59</v>
      </c>
      <c r="C72" t="s">
        <v>60</v>
      </c>
    </row>
    <row r="73" spans="2:6" x14ac:dyDescent="0.3">
      <c r="C73" t="s">
        <v>56</v>
      </c>
      <c r="D73" t="s">
        <v>57</v>
      </c>
      <c r="E73" t="s">
        <v>61</v>
      </c>
      <c r="F73" t="s">
        <v>62</v>
      </c>
    </row>
    <row r="74" spans="2:6" x14ac:dyDescent="0.3">
      <c r="B74" t="s">
        <v>63</v>
      </c>
      <c r="C74" s="32">
        <v>6.7</v>
      </c>
      <c r="D74" s="32">
        <v>3.55</v>
      </c>
      <c r="E74" s="32">
        <v>4.3099999999999996</v>
      </c>
      <c r="F74" s="32">
        <v>4.8099999999999996</v>
      </c>
    </row>
    <row r="75" spans="2:6" x14ac:dyDescent="0.3">
      <c r="B75" t="s">
        <v>64</v>
      </c>
      <c r="C75" s="31">
        <v>6000</v>
      </c>
      <c r="D75" s="31">
        <v>10000</v>
      </c>
      <c r="E75" s="31">
        <v>13000</v>
      </c>
      <c r="F75" s="31">
        <v>6000</v>
      </c>
    </row>
    <row r="76" spans="2:6" x14ac:dyDescent="0.3">
      <c r="B76" t="s">
        <v>65</v>
      </c>
      <c r="C76" s="31">
        <v>7000</v>
      </c>
      <c r="D76" s="31">
        <v>14000</v>
      </c>
      <c r="E76" s="31">
        <v>16000</v>
      </c>
      <c r="F76" s="31">
        <v>8500</v>
      </c>
    </row>
    <row r="77" spans="2:6" x14ac:dyDescent="0.3">
      <c r="B77" t="s">
        <v>66</v>
      </c>
      <c r="C77">
        <v>0.125</v>
      </c>
      <c r="D77">
        <v>0.08</v>
      </c>
      <c r="E77">
        <v>0.1</v>
      </c>
      <c r="F77">
        <v>0.1</v>
      </c>
    </row>
  </sheetData>
  <mergeCells count="3">
    <mergeCell ref="B1:E1"/>
    <mergeCell ref="B14:E14"/>
    <mergeCell ref="F14:I14"/>
  </mergeCells>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03D7-587A-4D46-BA1F-06DF1E68B04F}">
  <sheetPr>
    <tabColor rgb="FF92D050"/>
  </sheetPr>
  <dimension ref="B1:U45"/>
  <sheetViews>
    <sheetView topLeftCell="A19" workbookViewId="0">
      <selection activeCell="N19" sqref="N19"/>
    </sheetView>
  </sheetViews>
  <sheetFormatPr defaultRowHeight="14" x14ac:dyDescent="0.3"/>
  <cols>
    <col min="2" max="2" width="15.75" bestFit="1" customWidth="1"/>
    <col min="3" max="5" width="12.1640625" bestFit="1" customWidth="1"/>
    <col min="6" max="6" width="13.6640625" bestFit="1" customWidth="1"/>
    <col min="7" max="7" width="16.08203125" bestFit="1" customWidth="1"/>
    <col min="10" max="10" width="12.1640625" bestFit="1" customWidth="1"/>
    <col min="12" max="12" width="25.75" bestFit="1" customWidth="1"/>
  </cols>
  <sheetData>
    <row r="1" spans="2:21" x14ac:dyDescent="0.3">
      <c r="B1" s="9" t="s">
        <v>72</v>
      </c>
      <c r="C1" s="9" t="s">
        <v>89</v>
      </c>
      <c r="D1" s="9" t="s">
        <v>90</v>
      </c>
      <c r="E1" s="9" t="s">
        <v>91</v>
      </c>
      <c r="G1" s="9" t="s">
        <v>100</v>
      </c>
      <c r="H1" s="9" t="s">
        <v>95</v>
      </c>
      <c r="I1" s="9" t="s">
        <v>96</v>
      </c>
      <c r="J1" s="9" t="s">
        <v>97</v>
      </c>
      <c r="L1" s="9" t="s">
        <v>98</v>
      </c>
      <c r="M1" s="9" t="s">
        <v>89</v>
      </c>
      <c r="N1" s="9" t="s">
        <v>90</v>
      </c>
      <c r="O1" s="9" t="s">
        <v>91</v>
      </c>
    </row>
    <row r="2" spans="2:21" x14ac:dyDescent="0.3">
      <c r="B2" s="9" t="s">
        <v>92</v>
      </c>
      <c r="C2" s="35">
        <v>2.9</v>
      </c>
      <c r="D2" s="35">
        <v>2.7</v>
      </c>
      <c r="E2" s="35">
        <v>2.5</v>
      </c>
      <c r="G2" s="9" t="s">
        <v>92</v>
      </c>
      <c r="H2" s="35">
        <v>4500</v>
      </c>
      <c r="I2" s="35">
        <v>8500</v>
      </c>
      <c r="J2" s="35">
        <v>14500</v>
      </c>
      <c r="L2" s="9" t="s">
        <v>99</v>
      </c>
      <c r="M2" s="35">
        <v>700</v>
      </c>
      <c r="N2" s="35">
        <v>900</v>
      </c>
      <c r="O2" s="35">
        <v>900</v>
      </c>
    </row>
    <row r="3" spans="2:21" x14ac:dyDescent="0.3">
      <c r="B3" s="9" t="s">
        <v>93</v>
      </c>
      <c r="C3" s="35">
        <v>4.5</v>
      </c>
      <c r="D3" s="35">
        <v>4</v>
      </c>
      <c r="E3" s="35">
        <v>5</v>
      </c>
      <c r="G3" s="9" t="s">
        <v>93</v>
      </c>
      <c r="H3" s="35">
        <v>6000</v>
      </c>
      <c r="I3" s="35">
        <v>12000</v>
      </c>
      <c r="J3" s="35">
        <v>19000</v>
      </c>
      <c r="L3" s="9" t="s">
        <v>40</v>
      </c>
      <c r="M3" s="35">
        <v>550</v>
      </c>
      <c r="N3" s="35">
        <v>1000</v>
      </c>
      <c r="O3" s="35">
        <v>1500</v>
      </c>
    </row>
    <row r="4" spans="2:21" x14ac:dyDescent="0.3">
      <c r="B4" s="9" t="s">
        <v>94</v>
      </c>
      <c r="C4" s="35">
        <v>5.4</v>
      </c>
      <c r="D4" s="35">
        <v>5</v>
      </c>
      <c r="E4" s="35">
        <v>4.8</v>
      </c>
      <c r="G4" s="9" t="s">
        <v>94</v>
      </c>
      <c r="H4" s="35">
        <v>9500</v>
      </c>
      <c r="I4" s="35">
        <v>16000</v>
      </c>
      <c r="J4" s="35">
        <v>18000</v>
      </c>
      <c r="L4" s="9" t="s">
        <v>45</v>
      </c>
      <c r="M4" s="35">
        <v>900</v>
      </c>
      <c r="N4" s="35">
        <v>1200</v>
      </c>
      <c r="O4" s="35">
        <v>1100</v>
      </c>
    </row>
    <row r="8" spans="2:21" x14ac:dyDescent="0.3">
      <c r="B8" s="9"/>
      <c r="C8" s="98" t="s">
        <v>89</v>
      </c>
      <c r="D8" s="98"/>
      <c r="E8" s="98" t="s">
        <v>90</v>
      </c>
      <c r="F8" s="98"/>
      <c r="G8" s="98"/>
      <c r="H8" s="98" t="s">
        <v>91</v>
      </c>
      <c r="I8" s="98"/>
    </row>
    <row r="9" spans="2:21" x14ac:dyDescent="0.3">
      <c r="B9" s="51" t="s">
        <v>102</v>
      </c>
      <c r="C9" s="51" t="s">
        <v>95</v>
      </c>
      <c r="D9" s="51" t="s">
        <v>97</v>
      </c>
      <c r="E9" s="51" t="s">
        <v>95</v>
      </c>
      <c r="F9" s="51" t="s">
        <v>96</v>
      </c>
      <c r="G9" s="51" t="s">
        <v>97</v>
      </c>
      <c r="H9" s="51" t="s">
        <v>96</v>
      </c>
      <c r="I9" s="51" t="s">
        <v>97</v>
      </c>
      <c r="J9" s="49"/>
    </row>
    <row r="10" spans="2:21" x14ac:dyDescent="0.3">
      <c r="B10" s="51" t="s">
        <v>99</v>
      </c>
      <c r="C10" s="52">
        <v>0</v>
      </c>
      <c r="D10" s="52">
        <v>629.99999999999989</v>
      </c>
      <c r="E10" s="52">
        <v>0</v>
      </c>
      <c r="F10" s="52">
        <v>459.3103448275827</v>
      </c>
      <c r="G10" s="52">
        <v>350.6896551724173</v>
      </c>
      <c r="H10" s="52">
        <v>0</v>
      </c>
      <c r="I10" s="52">
        <v>810</v>
      </c>
      <c r="J10" s="49"/>
    </row>
    <row r="11" spans="2:21" x14ac:dyDescent="0.3">
      <c r="B11" s="51" t="s">
        <v>40</v>
      </c>
      <c r="C11" s="52">
        <v>495</v>
      </c>
      <c r="D11" s="52">
        <v>0</v>
      </c>
      <c r="E11" s="52">
        <v>31.87499999999844</v>
      </c>
      <c r="F11" s="52">
        <v>868.12500000000159</v>
      </c>
      <c r="G11" s="52">
        <v>0</v>
      </c>
      <c r="H11" s="52">
        <v>0</v>
      </c>
      <c r="I11" s="52">
        <v>1350.0000000000002</v>
      </c>
      <c r="J11" s="49"/>
    </row>
    <row r="12" spans="2:21" x14ac:dyDescent="0.3">
      <c r="B12" s="51" t="s">
        <v>45</v>
      </c>
      <c r="C12" s="52">
        <v>810</v>
      </c>
      <c r="D12" s="52">
        <v>0</v>
      </c>
      <c r="E12" s="52">
        <v>0</v>
      </c>
      <c r="F12" s="52">
        <v>1079.9999999999982</v>
      </c>
      <c r="G12" s="52">
        <v>0</v>
      </c>
      <c r="H12" s="52">
        <v>474.05172413793389</v>
      </c>
      <c r="I12" s="52">
        <v>515.94827586206611</v>
      </c>
      <c r="J12" s="49"/>
    </row>
    <row r="13" spans="2:21" x14ac:dyDescent="0.3">
      <c r="B13" s="51" t="s">
        <v>103</v>
      </c>
      <c r="C13" s="51">
        <f>SUM(C10:C12)</f>
        <v>1305</v>
      </c>
      <c r="D13" s="51">
        <f t="shared" ref="D13:I13" si="0">SUM(D10:D12)</f>
        <v>629.99999999999989</v>
      </c>
      <c r="E13" s="51">
        <f t="shared" si="0"/>
        <v>31.87499999999844</v>
      </c>
      <c r="F13" s="51">
        <f t="shared" si="0"/>
        <v>2407.4353448275824</v>
      </c>
      <c r="G13" s="51">
        <f t="shared" si="0"/>
        <v>350.6896551724173</v>
      </c>
      <c r="H13" s="51">
        <f t="shared" si="0"/>
        <v>474.05172413793389</v>
      </c>
      <c r="I13" s="51">
        <f t="shared" si="0"/>
        <v>2675.9482758620661</v>
      </c>
      <c r="J13" s="49"/>
    </row>
    <row r="14" spans="2:21" x14ac:dyDescent="0.3">
      <c r="B14" s="49"/>
      <c r="C14" s="49"/>
      <c r="D14" s="49"/>
      <c r="E14" s="49"/>
      <c r="F14" s="49"/>
      <c r="G14" s="49"/>
      <c r="H14" s="49"/>
      <c r="I14" s="49"/>
      <c r="J14" s="49"/>
    </row>
    <row r="15" spans="2:21" x14ac:dyDescent="0.3">
      <c r="B15" s="49"/>
      <c r="C15" s="49"/>
      <c r="D15" s="49"/>
      <c r="E15" s="49"/>
      <c r="F15" s="49"/>
      <c r="G15" s="49"/>
      <c r="H15" s="49"/>
      <c r="I15" s="49"/>
      <c r="J15" s="49"/>
    </row>
    <row r="16" spans="2:21" x14ac:dyDescent="0.3">
      <c r="B16" s="51"/>
      <c r="C16" s="98" t="s">
        <v>89</v>
      </c>
      <c r="D16" s="98"/>
      <c r="E16" s="98" t="s">
        <v>90</v>
      </c>
      <c r="F16" s="98"/>
      <c r="G16" s="98"/>
      <c r="H16" s="98" t="s">
        <v>91</v>
      </c>
      <c r="I16" s="98"/>
      <c r="J16" s="49"/>
      <c r="L16" s="9" t="s">
        <v>100</v>
      </c>
      <c r="M16" s="100" t="s">
        <v>95</v>
      </c>
      <c r="N16" s="101"/>
      <c r="O16" s="102"/>
      <c r="P16" s="100" t="s">
        <v>96</v>
      </c>
      <c r="Q16" s="101"/>
      <c r="R16" s="102"/>
      <c r="S16" s="100" t="s">
        <v>97</v>
      </c>
      <c r="T16" s="101"/>
      <c r="U16" s="102"/>
    </row>
    <row r="17" spans="2:21" x14ac:dyDescent="0.3">
      <c r="B17" s="51" t="s">
        <v>72</v>
      </c>
      <c r="C17" s="51" t="s">
        <v>95</v>
      </c>
      <c r="D17" s="51" t="s">
        <v>97</v>
      </c>
      <c r="E17" s="51" t="s">
        <v>95</v>
      </c>
      <c r="F17" s="51" t="s">
        <v>96</v>
      </c>
      <c r="G17" s="51" t="s">
        <v>97</v>
      </c>
      <c r="H17" s="51" t="s">
        <v>96</v>
      </c>
      <c r="I17" s="51" t="s">
        <v>97</v>
      </c>
      <c r="J17" s="49"/>
      <c r="L17" s="9" t="s">
        <v>92</v>
      </c>
      <c r="M17" s="53">
        <f>C18+E18</f>
        <v>3870.5624999999959</v>
      </c>
      <c r="N17" s="9" t="s">
        <v>37</v>
      </c>
      <c r="O17" s="54">
        <v>4500</v>
      </c>
      <c r="P17" s="53">
        <f>F18+H18</f>
        <v>7685.204741379308</v>
      </c>
      <c r="Q17" s="9" t="s">
        <v>37</v>
      </c>
      <c r="R17" s="54">
        <v>8500</v>
      </c>
      <c r="S17" s="53">
        <f>D18+G18+I18</f>
        <v>9463.732758620692</v>
      </c>
      <c r="T17" s="9" t="s">
        <v>37</v>
      </c>
      <c r="U17" s="54">
        <v>14500</v>
      </c>
    </row>
    <row r="18" spans="2:21" x14ac:dyDescent="0.3">
      <c r="B18" s="9" t="s">
        <v>92</v>
      </c>
      <c r="C18" s="51">
        <f>$C$13*C2</f>
        <v>3784.5</v>
      </c>
      <c r="D18" s="51">
        <f>$D$13*C2</f>
        <v>1826.9999999999995</v>
      </c>
      <c r="E18" s="51">
        <f>$E$13*D2</f>
        <v>86.062499999995794</v>
      </c>
      <c r="F18" s="51">
        <f>D2*$F$13</f>
        <v>6500.0754310344728</v>
      </c>
      <c r="G18" s="51">
        <f>D2*$G$13</f>
        <v>946.86206896552676</v>
      </c>
      <c r="H18" s="51">
        <f>E2*$H$13</f>
        <v>1185.1293103448347</v>
      </c>
      <c r="I18" s="51">
        <f>E2*$I$13</f>
        <v>6689.8706896551648</v>
      </c>
      <c r="J18" s="49"/>
      <c r="L18" s="9" t="s">
        <v>93</v>
      </c>
      <c r="M18" s="53">
        <f t="shared" ref="M18:M19" si="1">C19+E19</f>
        <v>5999.9999999999936</v>
      </c>
      <c r="N18" s="9" t="s">
        <v>37</v>
      </c>
      <c r="O18" s="54">
        <v>6000</v>
      </c>
      <c r="P18" s="53">
        <f t="shared" ref="P18:P19" si="2">F19+H19</f>
        <v>12000</v>
      </c>
      <c r="Q18" s="9" t="s">
        <v>37</v>
      </c>
      <c r="R18" s="54">
        <v>12000</v>
      </c>
      <c r="S18" s="53">
        <f t="shared" ref="S18:S19" si="3">D19+G19+I19</f>
        <v>17617.5</v>
      </c>
      <c r="T18" s="9" t="s">
        <v>37</v>
      </c>
      <c r="U18" s="54">
        <v>19000</v>
      </c>
    </row>
    <row r="19" spans="2:21" x14ac:dyDescent="0.3">
      <c r="B19" s="9" t="s">
        <v>93</v>
      </c>
      <c r="C19" s="51">
        <f>$C$13*C3</f>
        <v>5872.5</v>
      </c>
      <c r="D19" s="51">
        <f t="shared" ref="D19:D20" si="4">$D$13*C3</f>
        <v>2834.9999999999995</v>
      </c>
      <c r="E19" s="51">
        <f t="shared" ref="E19:E20" si="5">$E$13*D3</f>
        <v>127.49999999999376</v>
      </c>
      <c r="F19" s="51">
        <f>D3*$F$13</f>
        <v>9629.7413793103296</v>
      </c>
      <c r="G19" s="51">
        <f t="shared" ref="G19:G20" si="6">D3*$G$13</f>
        <v>1402.7586206896692</v>
      </c>
      <c r="H19" s="51">
        <f t="shared" ref="H19:H20" si="7">E3*$H$13</f>
        <v>2370.2586206896694</v>
      </c>
      <c r="I19" s="51">
        <f t="shared" ref="I19:I20" si="8">E3*$I$13</f>
        <v>13379.74137931033</v>
      </c>
      <c r="J19" s="49"/>
      <c r="L19" s="9" t="s">
        <v>94</v>
      </c>
      <c r="M19" s="53">
        <f t="shared" si="1"/>
        <v>7206.3749999999927</v>
      </c>
      <c r="N19" s="9" t="s">
        <v>37</v>
      </c>
      <c r="O19" s="54">
        <v>9500</v>
      </c>
      <c r="P19" s="53">
        <f t="shared" si="2"/>
        <v>14312.624999999996</v>
      </c>
      <c r="Q19" s="9" t="s">
        <v>37</v>
      </c>
      <c r="R19" s="54">
        <v>16000</v>
      </c>
      <c r="S19" s="53">
        <f t="shared" si="3"/>
        <v>18000.000000000004</v>
      </c>
      <c r="T19" s="9" t="s">
        <v>37</v>
      </c>
      <c r="U19" s="54">
        <v>18000</v>
      </c>
    </row>
    <row r="20" spans="2:21" x14ac:dyDescent="0.3">
      <c r="B20" s="9" t="s">
        <v>94</v>
      </c>
      <c r="C20" s="51">
        <f>$C$13*C4</f>
        <v>7047.0000000000009</v>
      </c>
      <c r="D20" s="51">
        <f t="shared" si="4"/>
        <v>3401.9999999999995</v>
      </c>
      <c r="E20" s="51">
        <f t="shared" si="5"/>
        <v>159.37499999999221</v>
      </c>
      <c r="F20" s="51">
        <f>D4*$F$13</f>
        <v>12037.176724137913</v>
      </c>
      <c r="G20" s="51">
        <f t="shared" si="6"/>
        <v>1753.4482758620866</v>
      </c>
      <c r="H20" s="51">
        <f t="shared" si="7"/>
        <v>2275.4482758620825</v>
      </c>
      <c r="I20" s="51">
        <f t="shared" si="8"/>
        <v>12844.551724137917</v>
      </c>
      <c r="J20" s="49"/>
    </row>
    <row r="21" spans="2:21" x14ac:dyDescent="0.3">
      <c r="B21" s="49"/>
      <c r="C21" s="49"/>
      <c r="D21" s="49"/>
      <c r="E21" s="49"/>
      <c r="F21" s="49"/>
      <c r="G21" s="49"/>
      <c r="H21" s="49"/>
      <c r="I21" s="49"/>
      <c r="J21" s="49"/>
    </row>
    <row r="22" spans="2:21" x14ac:dyDescent="0.3">
      <c r="B22" s="49"/>
      <c r="C22" s="49"/>
      <c r="D22" s="49"/>
      <c r="E22" s="49"/>
      <c r="F22" s="49"/>
      <c r="G22" s="49"/>
      <c r="H22" s="49"/>
      <c r="I22" s="49"/>
      <c r="J22" s="49"/>
    </row>
    <row r="23" spans="2:21" x14ac:dyDescent="0.3">
      <c r="B23" s="51" t="s">
        <v>104</v>
      </c>
      <c r="C23" s="51" t="s">
        <v>105</v>
      </c>
      <c r="D23" s="51" t="s">
        <v>106</v>
      </c>
      <c r="E23" s="51" t="s">
        <v>107</v>
      </c>
      <c r="F23" s="49"/>
      <c r="G23" s="49"/>
      <c r="H23" s="49"/>
      <c r="I23" s="49"/>
      <c r="J23" s="49"/>
    </row>
    <row r="24" spans="2:21" x14ac:dyDescent="0.3">
      <c r="B24" s="51" t="s">
        <v>108</v>
      </c>
      <c r="C24" s="47">
        <v>225</v>
      </c>
      <c r="D24" s="47">
        <v>195</v>
      </c>
      <c r="E24" s="47">
        <v>165</v>
      </c>
      <c r="F24" s="49"/>
      <c r="G24" s="49"/>
      <c r="H24" s="49"/>
      <c r="I24" s="49"/>
      <c r="J24" s="49"/>
    </row>
    <row r="25" spans="2:21" x14ac:dyDescent="0.3">
      <c r="B25" s="51" t="s">
        <v>110</v>
      </c>
      <c r="C25" s="47">
        <f>SUM(C13:D13)*C24</f>
        <v>435375</v>
      </c>
      <c r="D25" s="47">
        <f>SUM(E13:G13)*D24</f>
        <v>544049.99999999965</v>
      </c>
      <c r="E25" s="47">
        <f>SUM(H13:I13)*E24</f>
        <v>519750</v>
      </c>
      <c r="F25" s="18">
        <f>SUM(C25:E25)</f>
        <v>1499174.9999999995</v>
      </c>
      <c r="G25" s="49"/>
      <c r="H25" s="49"/>
      <c r="I25" s="49"/>
      <c r="J25" s="49"/>
    </row>
    <row r="26" spans="2:21" x14ac:dyDescent="0.3">
      <c r="B26" s="49"/>
      <c r="C26" s="49"/>
      <c r="D26" s="49"/>
      <c r="E26" s="49"/>
      <c r="F26" s="49"/>
      <c r="G26" s="49"/>
      <c r="H26" s="49"/>
      <c r="I26" s="49"/>
      <c r="J26" s="49"/>
    </row>
    <row r="28" spans="2:21" x14ac:dyDescent="0.3">
      <c r="L28" s="32"/>
    </row>
    <row r="29" spans="2:21" x14ac:dyDescent="0.3">
      <c r="B29" s="9" t="s">
        <v>101</v>
      </c>
      <c r="C29" s="98" t="s">
        <v>89</v>
      </c>
      <c r="D29" s="98"/>
      <c r="E29" s="98" t="s">
        <v>90</v>
      </c>
      <c r="F29" s="98"/>
      <c r="G29" s="98"/>
      <c r="H29" s="98" t="s">
        <v>91</v>
      </c>
      <c r="I29" s="98"/>
    </row>
    <row r="30" spans="2:21" x14ac:dyDescent="0.3">
      <c r="B30" s="9" t="s">
        <v>102</v>
      </c>
      <c r="C30" s="9" t="s">
        <v>95</v>
      </c>
      <c r="D30" s="9" t="s">
        <v>97</v>
      </c>
      <c r="E30" s="9" t="s">
        <v>95</v>
      </c>
      <c r="F30" s="9" t="s">
        <v>96</v>
      </c>
      <c r="G30" s="9" t="s">
        <v>97</v>
      </c>
      <c r="H30" s="9" t="s">
        <v>96</v>
      </c>
      <c r="I30" s="9" t="s">
        <v>97</v>
      </c>
    </row>
    <row r="31" spans="2:21" x14ac:dyDescent="0.3">
      <c r="B31" s="9" t="s">
        <v>99</v>
      </c>
      <c r="C31" s="34">
        <v>51</v>
      </c>
      <c r="D31" s="34">
        <v>10</v>
      </c>
      <c r="E31" s="34">
        <v>49</v>
      </c>
      <c r="F31" s="34">
        <v>33</v>
      </c>
      <c r="G31" s="34">
        <v>9</v>
      </c>
      <c r="H31" s="34">
        <v>31</v>
      </c>
      <c r="I31" s="34">
        <v>8</v>
      </c>
    </row>
    <row r="32" spans="2:21" x14ac:dyDescent="0.3">
      <c r="B32" s="9" t="s">
        <v>40</v>
      </c>
      <c r="C32" s="34">
        <v>28</v>
      </c>
      <c r="D32" s="34">
        <v>43</v>
      </c>
      <c r="E32" s="34">
        <v>27</v>
      </c>
      <c r="F32" s="34">
        <v>22</v>
      </c>
      <c r="G32" s="34">
        <v>42</v>
      </c>
      <c r="H32" s="34">
        <v>21</v>
      </c>
      <c r="I32" s="34">
        <v>40</v>
      </c>
      <c r="L32" s="42" t="s">
        <v>81</v>
      </c>
    </row>
    <row r="33" spans="2:12" x14ac:dyDescent="0.3">
      <c r="B33" s="9" t="s">
        <v>45</v>
      </c>
      <c r="C33" s="34">
        <v>36</v>
      </c>
      <c r="D33" s="34">
        <v>56</v>
      </c>
      <c r="E33" s="34">
        <v>34</v>
      </c>
      <c r="F33" s="34">
        <v>13</v>
      </c>
      <c r="G33" s="34">
        <v>54</v>
      </c>
      <c r="H33" s="34">
        <v>12</v>
      </c>
      <c r="I33" s="34">
        <v>52</v>
      </c>
      <c r="J33" s="18">
        <f>SUMPRODUCT(C10:I12,C31:I33)</f>
        <v>194630.75431034461</v>
      </c>
      <c r="L33" s="58">
        <f>F25-J33</f>
        <v>1304544.245689655</v>
      </c>
    </row>
    <row r="35" spans="2:12" x14ac:dyDescent="0.3">
      <c r="B35" t="s">
        <v>111</v>
      </c>
    </row>
    <row r="36" spans="2:12" x14ac:dyDescent="0.3">
      <c r="B36" s="9" t="s">
        <v>100</v>
      </c>
      <c r="C36" s="100" t="s">
        <v>105</v>
      </c>
      <c r="D36" s="101"/>
      <c r="E36" s="102"/>
      <c r="F36" s="100" t="s">
        <v>106</v>
      </c>
      <c r="G36" s="101"/>
      <c r="H36" s="102"/>
      <c r="I36" s="100" t="s">
        <v>107</v>
      </c>
      <c r="J36" s="101"/>
      <c r="K36" s="102"/>
    </row>
    <row r="37" spans="2:12" x14ac:dyDescent="0.3">
      <c r="B37" s="9" t="s">
        <v>99</v>
      </c>
      <c r="C37" s="53">
        <f>C10+D10</f>
        <v>629.99999999999989</v>
      </c>
      <c r="D37" s="9" t="s">
        <v>37</v>
      </c>
      <c r="E37" s="54">
        <v>700</v>
      </c>
      <c r="F37" s="53">
        <f>E10+F10+G10</f>
        <v>810</v>
      </c>
      <c r="G37" s="9" t="s">
        <v>37</v>
      </c>
      <c r="H37" s="54">
        <v>900</v>
      </c>
      <c r="I37" s="53">
        <f>H10+I10</f>
        <v>810</v>
      </c>
      <c r="J37" s="9" t="s">
        <v>37</v>
      </c>
      <c r="K37" s="54">
        <v>900</v>
      </c>
    </row>
    <row r="38" spans="2:12" x14ac:dyDescent="0.3">
      <c r="B38" s="9" t="s">
        <v>40</v>
      </c>
      <c r="C38" s="53">
        <f t="shared" ref="C38:C39" si="9">C11+D11</f>
        <v>495</v>
      </c>
      <c r="D38" s="9" t="s">
        <v>37</v>
      </c>
      <c r="E38" s="54">
        <v>550</v>
      </c>
      <c r="F38" s="53">
        <f t="shared" ref="F38:F39" si="10">E11+F11+G11</f>
        <v>900</v>
      </c>
      <c r="G38" s="9" t="s">
        <v>37</v>
      </c>
      <c r="H38" s="54">
        <v>1000</v>
      </c>
      <c r="I38" s="53">
        <f t="shared" ref="I38:I39" si="11">H11+I11</f>
        <v>1350.0000000000002</v>
      </c>
      <c r="J38" s="9" t="s">
        <v>37</v>
      </c>
      <c r="K38" s="54">
        <v>1500</v>
      </c>
    </row>
    <row r="39" spans="2:12" x14ac:dyDescent="0.3">
      <c r="B39" s="9" t="s">
        <v>45</v>
      </c>
      <c r="C39" s="53">
        <f t="shared" si="9"/>
        <v>810</v>
      </c>
      <c r="D39" s="9" t="s">
        <v>37</v>
      </c>
      <c r="E39" s="54">
        <v>900</v>
      </c>
      <c r="F39" s="53">
        <f t="shared" si="10"/>
        <v>1079.9999999999982</v>
      </c>
      <c r="G39" s="9" t="s">
        <v>37</v>
      </c>
      <c r="H39" s="54">
        <v>1200</v>
      </c>
      <c r="I39" s="53">
        <f t="shared" si="11"/>
        <v>990</v>
      </c>
      <c r="J39" s="9" t="s">
        <v>37</v>
      </c>
      <c r="K39" s="54">
        <v>1100</v>
      </c>
    </row>
    <row r="41" spans="2:12" x14ac:dyDescent="0.3">
      <c r="B41" t="s">
        <v>112</v>
      </c>
    </row>
    <row r="42" spans="2:12" x14ac:dyDescent="0.3">
      <c r="B42" s="9" t="s">
        <v>100</v>
      </c>
      <c r="C42" s="100" t="s">
        <v>105</v>
      </c>
      <c r="D42" s="101"/>
      <c r="E42" s="102"/>
      <c r="F42" s="100" t="s">
        <v>106</v>
      </c>
      <c r="G42" s="101"/>
      <c r="H42" s="102"/>
      <c r="I42" s="100" t="s">
        <v>107</v>
      </c>
      <c r="J42" s="101"/>
      <c r="K42" s="102"/>
    </row>
    <row r="43" spans="2:12" x14ac:dyDescent="0.3">
      <c r="B43" s="9" t="s">
        <v>99</v>
      </c>
      <c r="C43" s="53">
        <f>C10+D10</f>
        <v>629.99999999999989</v>
      </c>
      <c r="D43" s="9" t="s">
        <v>80</v>
      </c>
      <c r="E43" s="54">
        <f>0.9*E37</f>
        <v>630</v>
      </c>
      <c r="F43" s="53">
        <f>E10+F10+G10</f>
        <v>810</v>
      </c>
      <c r="G43" s="9" t="s">
        <v>80</v>
      </c>
      <c r="H43" s="54">
        <f>0.9*H37</f>
        <v>810</v>
      </c>
      <c r="I43" s="53">
        <f>H10+I10</f>
        <v>810</v>
      </c>
      <c r="J43" s="9" t="s">
        <v>80</v>
      </c>
      <c r="K43" s="54">
        <f>0.9*K37</f>
        <v>810</v>
      </c>
    </row>
    <row r="44" spans="2:12" x14ac:dyDescent="0.3">
      <c r="B44" s="9" t="s">
        <v>40</v>
      </c>
      <c r="C44" s="53">
        <f t="shared" ref="C44:C45" si="12">C11+D11</f>
        <v>495</v>
      </c>
      <c r="D44" s="9" t="s">
        <v>80</v>
      </c>
      <c r="E44" s="54">
        <f t="shared" ref="E44:E45" si="13">0.9*E38</f>
        <v>495</v>
      </c>
      <c r="F44" s="53">
        <f t="shared" ref="F44:F45" si="14">E11+F11+G11</f>
        <v>900</v>
      </c>
      <c r="G44" s="9" t="s">
        <v>80</v>
      </c>
      <c r="H44" s="54">
        <f t="shared" ref="H44:H45" si="15">0.9*H38</f>
        <v>900</v>
      </c>
      <c r="I44" s="53">
        <f t="shared" ref="I44:I45" si="16">H11+I11</f>
        <v>1350.0000000000002</v>
      </c>
      <c r="J44" s="9" t="s">
        <v>80</v>
      </c>
      <c r="K44" s="54">
        <f t="shared" ref="K44:K45" si="17">0.9*K38</f>
        <v>1350</v>
      </c>
    </row>
    <row r="45" spans="2:12" x14ac:dyDescent="0.3">
      <c r="B45" s="9" t="s">
        <v>45</v>
      </c>
      <c r="C45" s="53">
        <f t="shared" si="12"/>
        <v>810</v>
      </c>
      <c r="D45" s="9" t="s">
        <v>80</v>
      </c>
      <c r="E45" s="54">
        <f t="shared" si="13"/>
        <v>810</v>
      </c>
      <c r="F45" s="53">
        <f t="shared" si="14"/>
        <v>1079.9999999999982</v>
      </c>
      <c r="G45" s="9" t="s">
        <v>80</v>
      </c>
      <c r="H45" s="54">
        <f t="shared" si="15"/>
        <v>1080</v>
      </c>
      <c r="I45" s="53">
        <f t="shared" si="16"/>
        <v>990</v>
      </c>
      <c r="J45" s="9" t="s">
        <v>80</v>
      </c>
      <c r="K45" s="54">
        <f t="shared" si="17"/>
        <v>990</v>
      </c>
    </row>
  </sheetData>
  <mergeCells count="18">
    <mergeCell ref="C8:D8"/>
    <mergeCell ref="E8:G8"/>
    <mergeCell ref="H8:I8"/>
    <mergeCell ref="C16:D16"/>
    <mergeCell ref="E16:G16"/>
    <mergeCell ref="H16:I16"/>
    <mergeCell ref="M16:O16"/>
    <mergeCell ref="P16:R16"/>
    <mergeCell ref="S16:U16"/>
    <mergeCell ref="C29:D29"/>
    <mergeCell ref="H29:I29"/>
    <mergeCell ref="E29:G29"/>
    <mergeCell ref="C36:E36"/>
    <mergeCell ref="F36:H36"/>
    <mergeCell ref="I36:K36"/>
    <mergeCell ref="C42:E42"/>
    <mergeCell ref="F42:H42"/>
    <mergeCell ref="I42:K42"/>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C659F-9D63-4CFE-82D8-F5FC32D606AE}">
  <sheetPr>
    <tabColor rgb="FFFF0000"/>
  </sheetPr>
  <dimension ref="A1:J19"/>
  <sheetViews>
    <sheetView tabSelected="1" workbookViewId="0">
      <selection activeCell="B7" sqref="B7"/>
    </sheetView>
  </sheetViews>
  <sheetFormatPr defaultRowHeight="14" x14ac:dyDescent="0.3"/>
  <cols>
    <col min="1" max="1" width="17.33203125" style="60" bestFit="1" customWidth="1"/>
    <col min="2" max="7" width="8.6640625" style="60"/>
    <col min="8" max="8" width="10.08203125" style="60" bestFit="1" customWidth="1"/>
    <col min="9" max="9" width="4.1640625" style="60" bestFit="1" customWidth="1"/>
    <col min="10" max="16384" width="8.6640625" style="60"/>
  </cols>
  <sheetData>
    <row r="1" spans="1:10" x14ac:dyDescent="0.3">
      <c r="A1" s="60" t="s">
        <v>116</v>
      </c>
    </row>
    <row r="2" spans="1:10" x14ac:dyDescent="0.3">
      <c r="A2" s="60" t="s">
        <v>117</v>
      </c>
    </row>
    <row r="6" spans="1:10" x14ac:dyDescent="0.3">
      <c r="B6" s="60" t="s">
        <v>118</v>
      </c>
      <c r="C6" s="60" t="s">
        <v>119</v>
      </c>
      <c r="D6" s="60" t="s">
        <v>120</v>
      </c>
      <c r="E6" s="60" t="s">
        <v>121</v>
      </c>
      <c r="F6" s="60" t="s">
        <v>122</v>
      </c>
      <c r="G6" s="60" t="s">
        <v>123</v>
      </c>
    </row>
    <row r="7" spans="1:10" x14ac:dyDescent="0.3">
      <c r="A7" s="60" t="s">
        <v>124</v>
      </c>
      <c r="B7" s="61">
        <v>10</v>
      </c>
      <c r="C7" s="61">
        <v>1</v>
      </c>
      <c r="D7" s="61">
        <v>6</v>
      </c>
      <c r="E7" s="61">
        <v>2</v>
      </c>
      <c r="F7" s="61">
        <v>3</v>
      </c>
      <c r="G7" s="61">
        <v>2</v>
      </c>
    </row>
    <row r="8" spans="1:10" x14ac:dyDescent="0.3">
      <c r="A8" s="60" t="s">
        <v>73</v>
      </c>
      <c r="B8" s="60">
        <v>90</v>
      </c>
      <c r="C8" s="60">
        <v>28</v>
      </c>
      <c r="D8" s="60">
        <v>28</v>
      </c>
      <c r="E8" s="60">
        <v>28</v>
      </c>
      <c r="F8" s="60">
        <v>28</v>
      </c>
      <c r="G8" s="60">
        <v>28</v>
      </c>
      <c r="H8" s="62">
        <f>SUMPRODUCT($B$7:$G$7,B8:G8)</f>
        <v>1292</v>
      </c>
    </row>
    <row r="9" spans="1:10" x14ac:dyDescent="0.3">
      <c r="H9" s="60" t="s">
        <v>125</v>
      </c>
      <c r="I9" s="60" t="s">
        <v>126</v>
      </c>
      <c r="J9" s="60" t="s">
        <v>127</v>
      </c>
    </row>
    <row r="10" spans="1:10" x14ac:dyDescent="0.3">
      <c r="A10" s="63" t="s">
        <v>113</v>
      </c>
      <c r="B10" s="60">
        <v>1</v>
      </c>
      <c r="C10" s="60">
        <v>1</v>
      </c>
      <c r="H10" s="64">
        <f t="shared" ref="H10:H19" si="0">SUMPRODUCT(B10:G10,$B$7:$G$7)</f>
        <v>11</v>
      </c>
      <c r="I10" s="60" t="s">
        <v>79</v>
      </c>
      <c r="J10" s="60">
        <v>10</v>
      </c>
    </row>
    <row r="11" spans="1:10" x14ac:dyDescent="0.3">
      <c r="A11" s="65" t="s">
        <v>114</v>
      </c>
      <c r="B11" s="60">
        <v>1</v>
      </c>
      <c r="C11" s="60">
        <v>1</v>
      </c>
      <c r="D11" s="60">
        <v>1</v>
      </c>
      <c r="H11" s="64">
        <f t="shared" si="0"/>
        <v>17</v>
      </c>
      <c r="I11" s="60" t="s">
        <v>79</v>
      </c>
      <c r="J11" s="60">
        <v>12</v>
      </c>
    </row>
    <row r="12" spans="1:10" x14ac:dyDescent="0.3">
      <c r="A12" s="65" t="s">
        <v>115</v>
      </c>
      <c r="B12" s="60">
        <v>0.5</v>
      </c>
      <c r="C12" s="60">
        <v>1</v>
      </c>
      <c r="D12" s="60">
        <v>1</v>
      </c>
      <c r="E12" s="60">
        <v>1</v>
      </c>
      <c r="H12" s="64">
        <f t="shared" si="0"/>
        <v>14</v>
      </c>
      <c r="I12" s="60" t="s">
        <v>79</v>
      </c>
      <c r="J12" s="60">
        <v>14</v>
      </c>
    </row>
    <row r="13" spans="1:10" x14ac:dyDescent="0.3">
      <c r="A13" s="65" t="s">
        <v>128</v>
      </c>
      <c r="B13" s="60">
        <v>0.5</v>
      </c>
      <c r="C13" s="60">
        <v>1</v>
      </c>
      <c r="D13" s="60">
        <v>1</v>
      </c>
      <c r="E13" s="60">
        <v>1</v>
      </c>
      <c r="F13" s="60">
        <v>1</v>
      </c>
      <c r="H13" s="64">
        <f t="shared" si="0"/>
        <v>17</v>
      </c>
      <c r="I13" s="60" t="s">
        <v>79</v>
      </c>
      <c r="J13" s="60">
        <v>16</v>
      </c>
    </row>
    <row r="14" spans="1:10" x14ac:dyDescent="0.3">
      <c r="A14" s="65" t="s">
        <v>129</v>
      </c>
      <c r="B14" s="60">
        <v>1</v>
      </c>
      <c r="D14" s="60">
        <v>1</v>
      </c>
      <c r="E14" s="60">
        <v>1</v>
      </c>
      <c r="F14" s="60">
        <v>1</v>
      </c>
      <c r="G14" s="60">
        <v>1</v>
      </c>
      <c r="H14" s="64">
        <f t="shared" si="0"/>
        <v>23</v>
      </c>
      <c r="I14" s="60" t="s">
        <v>79</v>
      </c>
      <c r="J14" s="60">
        <v>18</v>
      </c>
    </row>
    <row r="15" spans="1:10" x14ac:dyDescent="0.3">
      <c r="A15" s="65" t="s">
        <v>130</v>
      </c>
      <c r="B15" s="60">
        <v>1</v>
      </c>
      <c r="E15" s="60">
        <v>1</v>
      </c>
      <c r="F15" s="60">
        <v>1</v>
      </c>
      <c r="G15" s="60">
        <v>1</v>
      </c>
      <c r="H15" s="64">
        <f t="shared" si="0"/>
        <v>17</v>
      </c>
      <c r="I15" s="60" t="s">
        <v>79</v>
      </c>
      <c r="J15" s="60">
        <v>17</v>
      </c>
    </row>
    <row r="16" spans="1:10" x14ac:dyDescent="0.3">
      <c r="A16" s="65" t="s">
        <v>131</v>
      </c>
      <c r="B16" s="60">
        <v>1</v>
      </c>
      <c r="F16" s="60">
        <v>1</v>
      </c>
      <c r="G16" s="60">
        <v>1</v>
      </c>
      <c r="H16" s="64">
        <f t="shared" si="0"/>
        <v>15</v>
      </c>
      <c r="I16" s="60" t="s">
        <v>79</v>
      </c>
      <c r="J16" s="60">
        <v>15</v>
      </c>
    </row>
    <row r="17" spans="1:10" x14ac:dyDescent="0.3">
      <c r="A17" s="63" t="s">
        <v>132</v>
      </c>
      <c r="B17" s="60">
        <v>1</v>
      </c>
      <c r="G17" s="60">
        <v>1</v>
      </c>
      <c r="H17" s="64">
        <f t="shared" si="0"/>
        <v>12</v>
      </c>
      <c r="I17" s="60" t="s">
        <v>79</v>
      </c>
      <c r="J17" s="60">
        <v>10</v>
      </c>
    </row>
    <row r="18" spans="1:10" x14ac:dyDescent="0.3">
      <c r="A18" s="60" t="s">
        <v>133</v>
      </c>
      <c r="B18" s="60">
        <v>1</v>
      </c>
      <c r="H18" s="64">
        <f t="shared" si="0"/>
        <v>10</v>
      </c>
      <c r="I18" s="65" t="s">
        <v>21</v>
      </c>
      <c r="J18" s="60">
        <v>12</v>
      </c>
    </row>
    <row r="19" spans="1:10" x14ac:dyDescent="0.3">
      <c r="A19" s="60" t="s">
        <v>134</v>
      </c>
      <c r="C19" s="60">
        <v>4</v>
      </c>
      <c r="D19" s="60">
        <v>4</v>
      </c>
      <c r="E19" s="60">
        <v>4</v>
      </c>
      <c r="F19" s="60">
        <v>4</v>
      </c>
      <c r="G19" s="60">
        <v>4</v>
      </c>
      <c r="H19" s="64">
        <f t="shared" si="0"/>
        <v>56</v>
      </c>
      <c r="I19" s="65" t="s">
        <v>21</v>
      </c>
      <c r="J19" s="60">
        <f>0.5*SUM(J10:J17)</f>
        <v>56</v>
      </c>
    </row>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8F2B-6BCE-44F5-AB3C-87872D834BFD}">
  <sheetPr>
    <tabColor rgb="FF92D050"/>
  </sheetPr>
  <dimension ref="B5:H18"/>
  <sheetViews>
    <sheetView workbookViewId="0">
      <selection activeCell="I19" sqref="I19"/>
    </sheetView>
  </sheetViews>
  <sheetFormatPr defaultRowHeight="14" x14ac:dyDescent="0.3"/>
  <cols>
    <col min="2" max="2" width="13.6640625" bestFit="1" customWidth="1"/>
    <col min="3" max="3" width="13.9140625" bestFit="1" customWidth="1"/>
    <col min="4" max="4" width="8.1640625" bestFit="1" customWidth="1"/>
    <col min="5" max="5" width="10.75" bestFit="1" customWidth="1"/>
    <col min="6" max="6" width="9" bestFit="1" customWidth="1"/>
  </cols>
  <sheetData>
    <row r="5" spans="2:8" x14ac:dyDescent="0.3">
      <c r="B5" s="9" t="s">
        <v>141</v>
      </c>
      <c r="C5" s="9" t="s">
        <v>135</v>
      </c>
      <c r="D5" s="9" t="s">
        <v>136</v>
      </c>
      <c r="E5" s="9" t="s">
        <v>137</v>
      </c>
    </row>
    <row r="6" spans="2:8" x14ac:dyDescent="0.3">
      <c r="B6" s="9" t="s">
        <v>138</v>
      </c>
      <c r="C6" s="52">
        <v>99.999999333333363</v>
      </c>
      <c r="D6" s="52">
        <v>3.3333332183360653E-7</v>
      </c>
      <c r="E6" s="52">
        <v>3.3333332183360653E-7</v>
      </c>
      <c r="F6" s="14">
        <f>SUM(C6:E6)</f>
        <v>100</v>
      </c>
      <c r="G6" t="s">
        <v>14</v>
      </c>
      <c r="H6" s="15">
        <v>100</v>
      </c>
    </row>
    <row r="7" spans="2:8" x14ac:dyDescent="0.3">
      <c r="B7" s="9" t="s">
        <v>139</v>
      </c>
      <c r="C7" s="52">
        <v>0</v>
      </c>
      <c r="D7" s="52">
        <v>199.99999966666667</v>
      </c>
      <c r="E7" s="52">
        <v>100.0000003333333</v>
      </c>
      <c r="F7" s="14">
        <f>SUM(C7:E7)</f>
        <v>300</v>
      </c>
      <c r="G7" t="s">
        <v>14</v>
      </c>
      <c r="H7" s="15">
        <v>300</v>
      </c>
    </row>
    <row r="8" spans="2:8" x14ac:dyDescent="0.3">
      <c r="B8" s="9" t="s">
        <v>140</v>
      </c>
      <c r="C8" s="52">
        <v>200.00000066666666</v>
      </c>
      <c r="D8" s="52">
        <v>0</v>
      </c>
      <c r="E8" s="52">
        <v>99.999999333333349</v>
      </c>
      <c r="F8" s="14">
        <f>SUM(C8:E8)</f>
        <v>300</v>
      </c>
      <c r="G8" t="s">
        <v>14</v>
      </c>
      <c r="H8" s="15">
        <v>300</v>
      </c>
    </row>
    <row r="9" spans="2:8" x14ac:dyDescent="0.3">
      <c r="C9" s="14">
        <f>SUM(C6:C8)</f>
        <v>300</v>
      </c>
      <c r="D9" s="14">
        <f>SUM(D6:D8)</f>
        <v>200</v>
      </c>
      <c r="E9" s="14">
        <f>SUM(E6:E8)</f>
        <v>199.99999999999997</v>
      </c>
    </row>
    <row r="10" spans="2:8" x14ac:dyDescent="0.3">
      <c r="C10" t="s">
        <v>14</v>
      </c>
      <c r="D10" t="s">
        <v>14</v>
      </c>
      <c r="E10" t="s">
        <v>14</v>
      </c>
    </row>
    <row r="11" spans="2:8" x14ac:dyDescent="0.3">
      <c r="C11" s="15">
        <v>300</v>
      </c>
      <c r="D11" s="15">
        <v>200</v>
      </c>
      <c r="E11" s="15">
        <v>200</v>
      </c>
    </row>
    <row r="15" spans="2:8" x14ac:dyDescent="0.3">
      <c r="B15" s="9" t="s">
        <v>141</v>
      </c>
      <c r="C15" s="9" t="s">
        <v>135</v>
      </c>
      <c r="D15" s="9" t="s">
        <v>136</v>
      </c>
      <c r="E15" s="9" t="s">
        <v>137</v>
      </c>
    </row>
    <row r="16" spans="2:8" x14ac:dyDescent="0.3">
      <c r="B16" s="9" t="s">
        <v>138</v>
      </c>
      <c r="C16" s="34">
        <v>5</v>
      </c>
      <c r="D16" s="34">
        <v>4</v>
      </c>
      <c r="E16" s="34">
        <v>3</v>
      </c>
    </row>
    <row r="17" spans="2:6" x14ac:dyDescent="0.3">
      <c r="B17" s="9" t="s">
        <v>139</v>
      </c>
      <c r="C17" s="34">
        <v>8</v>
      </c>
      <c r="D17" s="34">
        <v>4</v>
      </c>
      <c r="E17" s="34">
        <v>3</v>
      </c>
    </row>
    <row r="18" spans="2:6" x14ac:dyDescent="0.3">
      <c r="B18" s="9" t="s">
        <v>140</v>
      </c>
      <c r="C18" s="34">
        <v>9</v>
      </c>
      <c r="D18" s="34">
        <v>7</v>
      </c>
      <c r="E18" s="34">
        <v>5</v>
      </c>
      <c r="F18" s="56">
        <f>SUMPRODUCT(C6:E8,C16:E18)</f>
        <v>3900.0000013333333</v>
      </c>
    </row>
  </sheetData>
  <phoneticPr fontId="4"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0E77-4E6B-4478-9DF5-C284F0F0271A}">
  <sheetPr>
    <tabColor rgb="FF92D050"/>
  </sheetPr>
  <dimension ref="B2:I14"/>
  <sheetViews>
    <sheetView workbookViewId="0">
      <selection activeCell="C9" sqref="C9:H9"/>
    </sheetView>
  </sheetViews>
  <sheetFormatPr defaultRowHeight="14" x14ac:dyDescent="0.3"/>
  <cols>
    <col min="2" max="2" width="16" customWidth="1"/>
    <col min="5" max="5" width="12.5" bestFit="1" customWidth="1"/>
  </cols>
  <sheetData>
    <row r="2" spans="2:9" x14ac:dyDescent="0.3">
      <c r="C2" t="s">
        <v>142</v>
      </c>
      <c r="D2" t="s">
        <v>143</v>
      </c>
      <c r="E2" t="s">
        <v>144</v>
      </c>
      <c r="F2" t="s">
        <v>145</v>
      </c>
      <c r="G2" t="s">
        <v>146</v>
      </c>
      <c r="H2" t="s">
        <v>147</v>
      </c>
    </row>
    <row r="3" spans="2:9" x14ac:dyDescent="0.3">
      <c r="B3" t="s">
        <v>151</v>
      </c>
      <c r="C3" s="33">
        <v>1</v>
      </c>
      <c r="D3" s="33">
        <v>0</v>
      </c>
      <c r="E3" s="33">
        <v>1</v>
      </c>
      <c r="F3" s="33">
        <v>0</v>
      </c>
      <c r="G3" s="33">
        <v>1</v>
      </c>
      <c r="H3" s="33">
        <v>0</v>
      </c>
    </row>
    <row r="4" spans="2:9" x14ac:dyDescent="0.3">
      <c r="B4" t="s">
        <v>148</v>
      </c>
      <c r="C4">
        <v>0</v>
      </c>
      <c r="D4">
        <f>C9</f>
        <v>800</v>
      </c>
      <c r="E4">
        <f t="shared" ref="E4:G4" si="0">D9</f>
        <v>0</v>
      </c>
      <c r="F4">
        <f t="shared" si="0"/>
        <v>400</v>
      </c>
      <c r="G4">
        <f t="shared" si="0"/>
        <v>0</v>
      </c>
      <c r="H4">
        <f>G9</f>
        <v>600</v>
      </c>
    </row>
    <row r="5" spans="2:9" x14ac:dyDescent="0.3">
      <c r="B5" t="s">
        <v>150</v>
      </c>
      <c r="C5">
        <v>700</v>
      </c>
      <c r="D5">
        <v>800</v>
      </c>
      <c r="E5">
        <v>1200</v>
      </c>
      <c r="F5">
        <v>400</v>
      </c>
      <c r="G5">
        <v>600</v>
      </c>
      <c r="H5">
        <v>600</v>
      </c>
    </row>
    <row r="6" spans="2:9" x14ac:dyDescent="0.3">
      <c r="B6" t="s">
        <v>156</v>
      </c>
      <c r="C6" s="33">
        <v>1500</v>
      </c>
      <c r="D6" s="33">
        <v>0</v>
      </c>
      <c r="E6" s="33">
        <v>1600</v>
      </c>
      <c r="F6" s="33">
        <v>0</v>
      </c>
      <c r="G6" s="33">
        <v>1200</v>
      </c>
      <c r="H6" s="33">
        <v>0</v>
      </c>
    </row>
    <row r="7" spans="2:9" x14ac:dyDescent="0.3">
      <c r="C7" t="s">
        <v>37</v>
      </c>
      <c r="D7" t="s">
        <v>37</v>
      </c>
      <c r="E7" t="s">
        <v>37</v>
      </c>
      <c r="F7" t="s">
        <v>37</v>
      </c>
      <c r="G7" t="s">
        <v>37</v>
      </c>
      <c r="H7" t="s">
        <v>37</v>
      </c>
    </row>
    <row r="8" spans="2:9" x14ac:dyDescent="0.3">
      <c r="B8" t="s">
        <v>155</v>
      </c>
      <c r="C8" s="15">
        <f t="shared" ref="C8:H8" si="1">50000*C3</f>
        <v>50000</v>
      </c>
      <c r="D8" s="15">
        <f t="shared" si="1"/>
        <v>0</v>
      </c>
      <c r="E8" s="15">
        <f t="shared" si="1"/>
        <v>50000</v>
      </c>
      <c r="F8" s="15">
        <f t="shared" si="1"/>
        <v>0</v>
      </c>
      <c r="G8" s="15">
        <f t="shared" si="1"/>
        <v>50000</v>
      </c>
      <c r="H8" s="15">
        <f t="shared" si="1"/>
        <v>0</v>
      </c>
    </row>
    <row r="9" spans="2:9" x14ac:dyDescent="0.3">
      <c r="B9" t="s">
        <v>149</v>
      </c>
      <c r="C9">
        <f t="shared" ref="C9:H9" si="2">C4-C5+C6</f>
        <v>800</v>
      </c>
      <c r="D9">
        <f t="shared" si="2"/>
        <v>0</v>
      </c>
      <c r="E9">
        <f t="shared" si="2"/>
        <v>400</v>
      </c>
      <c r="F9">
        <f t="shared" si="2"/>
        <v>0</v>
      </c>
      <c r="G9">
        <f t="shared" si="2"/>
        <v>600</v>
      </c>
      <c r="H9">
        <f t="shared" si="2"/>
        <v>0</v>
      </c>
      <c r="I9" s="59" t="s">
        <v>154</v>
      </c>
    </row>
    <row r="10" spans="2:9" x14ac:dyDescent="0.3">
      <c r="I10" s="59"/>
    </row>
    <row r="11" spans="2:9" x14ac:dyDescent="0.3">
      <c r="I11" s="59"/>
    </row>
    <row r="13" spans="2:9" x14ac:dyDescent="0.3">
      <c r="B13" t="s">
        <v>153</v>
      </c>
      <c r="C13">
        <f>0.03*C9</f>
        <v>24</v>
      </c>
      <c r="D13">
        <f t="shared" ref="D13:H13" si="3">0.03*D9</f>
        <v>0</v>
      </c>
      <c r="E13">
        <f t="shared" si="3"/>
        <v>12</v>
      </c>
      <c r="F13">
        <f t="shared" si="3"/>
        <v>0</v>
      </c>
      <c r="G13">
        <f t="shared" si="3"/>
        <v>18</v>
      </c>
      <c r="H13">
        <f t="shared" si="3"/>
        <v>0</v>
      </c>
    </row>
    <row r="14" spans="2:9" x14ac:dyDescent="0.3">
      <c r="B14" t="s">
        <v>152</v>
      </c>
      <c r="C14">
        <f t="shared" ref="C14:H14" si="4">50*C3</f>
        <v>50</v>
      </c>
      <c r="D14">
        <f t="shared" si="4"/>
        <v>0</v>
      </c>
      <c r="E14">
        <f t="shared" si="4"/>
        <v>50</v>
      </c>
      <c r="F14">
        <f t="shared" si="4"/>
        <v>0</v>
      </c>
      <c r="G14">
        <f t="shared" si="4"/>
        <v>50</v>
      </c>
      <c r="H14">
        <f t="shared" si="4"/>
        <v>0</v>
      </c>
      <c r="I14" s="17">
        <f>SUM(C13:H14)</f>
        <v>204</v>
      </c>
    </row>
  </sheetData>
  <phoneticPr fontId="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D57F-9F0E-483E-BA63-2C012797138F}">
  <sheetPr>
    <tabColor rgb="FF92D050"/>
  </sheetPr>
  <dimension ref="A3:N44"/>
  <sheetViews>
    <sheetView topLeftCell="A28" zoomScale="115" zoomScaleNormal="115" workbookViewId="0">
      <selection activeCell="J40" sqref="J40"/>
    </sheetView>
  </sheetViews>
  <sheetFormatPr defaultRowHeight="14" x14ac:dyDescent="0.3"/>
  <cols>
    <col min="1" max="1" width="64.83203125" bestFit="1" customWidth="1"/>
    <col min="2" max="2" width="15.4140625" bestFit="1" customWidth="1"/>
    <col min="3" max="3" width="13.08203125" bestFit="1" customWidth="1"/>
    <col min="5" max="5" width="17.33203125" bestFit="1" customWidth="1"/>
    <col min="6" max="6" width="27.33203125" bestFit="1" customWidth="1"/>
    <col min="7" max="7" width="16.08203125" bestFit="1" customWidth="1"/>
    <col min="8" max="8" width="25.58203125" bestFit="1" customWidth="1"/>
  </cols>
  <sheetData>
    <row r="3" spans="1:11" x14ac:dyDescent="0.3">
      <c r="A3" t="s">
        <v>157</v>
      </c>
      <c r="B3" t="s">
        <v>158</v>
      </c>
      <c r="C3" t="s">
        <v>159</v>
      </c>
      <c r="D3" t="s">
        <v>176</v>
      </c>
      <c r="E3" t="s">
        <v>177</v>
      </c>
      <c r="F3" t="s">
        <v>178</v>
      </c>
      <c r="G3" t="s">
        <v>179</v>
      </c>
    </row>
    <row r="4" spans="1:11" x14ac:dyDescent="0.3">
      <c r="A4" t="s">
        <v>160</v>
      </c>
      <c r="B4" t="s">
        <v>161</v>
      </c>
      <c r="C4" t="s">
        <v>162</v>
      </c>
      <c r="D4">
        <v>5</v>
      </c>
      <c r="E4">
        <v>8</v>
      </c>
      <c r="F4">
        <v>10</v>
      </c>
      <c r="G4">
        <v>15</v>
      </c>
    </row>
    <row r="5" spans="1:11" x14ac:dyDescent="0.3">
      <c r="A5" t="s">
        <v>163</v>
      </c>
      <c r="B5" t="s">
        <v>164</v>
      </c>
      <c r="C5" t="s">
        <v>165</v>
      </c>
      <c r="D5">
        <v>12</v>
      </c>
      <c r="E5">
        <v>20</v>
      </c>
      <c r="F5">
        <v>25</v>
      </c>
      <c r="G5">
        <v>35</v>
      </c>
    </row>
    <row r="6" spans="1:11" x14ac:dyDescent="0.3">
      <c r="A6" t="s">
        <v>166</v>
      </c>
      <c r="B6" t="s">
        <v>167</v>
      </c>
      <c r="C6" t="s">
        <v>165</v>
      </c>
      <c r="D6">
        <v>8</v>
      </c>
      <c r="E6">
        <v>10</v>
      </c>
      <c r="F6">
        <v>12</v>
      </c>
      <c r="G6">
        <v>26</v>
      </c>
    </row>
    <row r="7" spans="1:11" x14ac:dyDescent="0.3">
      <c r="A7" t="s">
        <v>168</v>
      </c>
      <c r="B7" t="s">
        <v>167</v>
      </c>
      <c r="C7" t="s">
        <v>169</v>
      </c>
      <c r="D7">
        <v>7</v>
      </c>
      <c r="E7">
        <v>12</v>
      </c>
      <c r="F7">
        <v>15</v>
      </c>
      <c r="G7">
        <v>26</v>
      </c>
    </row>
    <row r="8" spans="1:11" x14ac:dyDescent="0.3">
      <c r="A8" t="s">
        <v>170</v>
      </c>
      <c r="B8" t="s">
        <v>161</v>
      </c>
      <c r="C8" t="s">
        <v>165</v>
      </c>
      <c r="D8">
        <v>15</v>
      </c>
      <c r="E8">
        <v>30</v>
      </c>
      <c r="F8">
        <v>30</v>
      </c>
      <c r="G8">
        <v>45</v>
      </c>
    </row>
    <row r="9" spans="1:11" x14ac:dyDescent="0.3">
      <c r="A9" t="s">
        <v>171</v>
      </c>
      <c r="B9" t="s">
        <v>167</v>
      </c>
      <c r="C9" t="s">
        <v>169</v>
      </c>
      <c r="D9">
        <v>10</v>
      </c>
      <c r="E9">
        <v>20</v>
      </c>
      <c r="F9">
        <v>17</v>
      </c>
      <c r="G9">
        <v>28</v>
      </c>
    </row>
    <row r="10" spans="1:11" x14ac:dyDescent="0.3">
      <c r="A10" t="s">
        <v>172</v>
      </c>
      <c r="B10" t="s">
        <v>164</v>
      </c>
      <c r="C10" t="s">
        <v>169</v>
      </c>
      <c r="D10">
        <v>4</v>
      </c>
      <c r="E10">
        <v>7</v>
      </c>
      <c r="F10">
        <v>8</v>
      </c>
      <c r="G10">
        <v>12</v>
      </c>
    </row>
    <row r="11" spans="1:11" x14ac:dyDescent="0.3">
      <c r="A11" t="s">
        <v>173</v>
      </c>
      <c r="B11" t="s">
        <v>167</v>
      </c>
      <c r="C11" t="s">
        <v>169</v>
      </c>
      <c r="D11">
        <v>11</v>
      </c>
      <c r="E11">
        <v>15</v>
      </c>
      <c r="F11">
        <v>14</v>
      </c>
      <c r="G11">
        <v>20</v>
      </c>
    </row>
    <row r="12" spans="1:11" x14ac:dyDescent="0.3">
      <c r="A12" t="s">
        <v>174</v>
      </c>
      <c r="B12" t="s">
        <v>164</v>
      </c>
      <c r="C12" t="s">
        <v>162</v>
      </c>
      <c r="D12">
        <v>20</v>
      </c>
      <c r="E12">
        <v>28</v>
      </c>
      <c r="F12">
        <v>40</v>
      </c>
      <c r="G12">
        <v>65</v>
      </c>
    </row>
    <row r="13" spans="1:11" x14ac:dyDescent="0.3">
      <c r="A13" t="s">
        <v>175</v>
      </c>
      <c r="B13" t="s">
        <v>164</v>
      </c>
      <c r="C13" t="s">
        <v>162</v>
      </c>
      <c r="D13">
        <v>25</v>
      </c>
      <c r="E13">
        <v>37</v>
      </c>
      <c r="F13">
        <v>50</v>
      </c>
      <c r="G13">
        <v>80</v>
      </c>
    </row>
    <row r="16" spans="1:11" x14ac:dyDescent="0.3">
      <c r="B16" t="s">
        <v>160</v>
      </c>
      <c r="C16" t="s">
        <v>163</v>
      </c>
      <c r="D16" t="s">
        <v>166</v>
      </c>
      <c r="E16" t="s">
        <v>168</v>
      </c>
      <c r="F16" t="s">
        <v>170</v>
      </c>
      <c r="G16" t="s">
        <v>171</v>
      </c>
      <c r="H16" t="s">
        <v>172</v>
      </c>
      <c r="I16" t="s">
        <v>173</v>
      </c>
      <c r="J16" t="s">
        <v>195</v>
      </c>
      <c r="K16" t="s">
        <v>196</v>
      </c>
    </row>
    <row r="17" spans="1:14" x14ac:dyDescent="0.3">
      <c r="B17" t="s">
        <v>161</v>
      </c>
      <c r="C17" t="s">
        <v>164</v>
      </c>
      <c r="D17" t="s">
        <v>167</v>
      </c>
      <c r="E17" t="s">
        <v>167</v>
      </c>
      <c r="F17" t="s">
        <v>161</v>
      </c>
      <c r="G17" t="s">
        <v>167</v>
      </c>
      <c r="H17" t="s">
        <v>164</v>
      </c>
      <c r="I17" t="s">
        <v>167</v>
      </c>
      <c r="J17" t="s">
        <v>164</v>
      </c>
      <c r="K17" t="s">
        <v>164</v>
      </c>
    </row>
    <row r="18" spans="1:14" x14ac:dyDescent="0.3">
      <c r="B18" t="s">
        <v>162</v>
      </c>
      <c r="C18" t="s">
        <v>165</v>
      </c>
      <c r="D18" t="s">
        <v>165</v>
      </c>
      <c r="E18" t="s">
        <v>169</v>
      </c>
      <c r="F18" t="s">
        <v>165</v>
      </c>
      <c r="G18" t="s">
        <v>169</v>
      </c>
      <c r="H18" t="s">
        <v>169</v>
      </c>
      <c r="I18" t="s">
        <v>169</v>
      </c>
      <c r="J18" t="s">
        <v>162</v>
      </c>
      <c r="K18" t="s">
        <v>162</v>
      </c>
    </row>
    <row r="19" spans="1:14" x14ac:dyDescent="0.3">
      <c r="A19" t="s">
        <v>181</v>
      </c>
      <c r="B19" s="33">
        <v>0</v>
      </c>
      <c r="C19" s="33">
        <v>1</v>
      </c>
      <c r="D19" s="33">
        <v>0</v>
      </c>
      <c r="E19" s="33">
        <v>0.99999999999999989</v>
      </c>
      <c r="F19" s="33">
        <v>1</v>
      </c>
      <c r="G19" s="33">
        <v>1</v>
      </c>
      <c r="H19" s="33">
        <v>0</v>
      </c>
      <c r="I19" s="33">
        <v>0</v>
      </c>
      <c r="J19" s="33">
        <v>0</v>
      </c>
      <c r="K19" s="33">
        <v>0</v>
      </c>
    </row>
    <row r="20" spans="1:14" x14ac:dyDescent="0.3">
      <c r="A20" t="s">
        <v>180</v>
      </c>
      <c r="B20" s="33">
        <v>0</v>
      </c>
      <c r="C20" s="33">
        <v>0</v>
      </c>
      <c r="D20" s="33">
        <v>1</v>
      </c>
      <c r="E20" s="33">
        <v>0</v>
      </c>
      <c r="F20" s="33">
        <v>0</v>
      </c>
      <c r="G20" s="33">
        <v>0</v>
      </c>
      <c r="H20" s="33">
        <v>0</v>
      </c>
      <c r="I20" s="33">
        <v>0</v>
      </c>
      <c r="J20" s="33">
        <v>0.60000000000000075</v>
      </c>
      <c r="K20" s="33">
        <v>0.39999999999999925</v>
      </c>
    </row>
    <row r="21" spans="1:14" x14ac:dyDescent="0.3">
      <c r="B21">
        <f>SUM(B19:B20)</f>
        <v>0</v>
      </c>
      <c r="C21">
        <f t="shared" ref="C21:K21" si="0">SUM(C19:C20)</f>
        <v>1</v>
      </c>
      <c r="D21">
        <f t="shared" si="0"/>
        <v>1</v>
      </c>
      <c r="E21">
        <f t="shared" si="0"/>
        <v>0.99999999999999989</v>
      </c>
      <c r="F21">
        <f t="shared" si="0"/>
        <v>1</v>
      </c>
      <c r="G21">
        <f t="shared" si="0"/>
        <v>1</v>
      </c>
      <c r="H21">
        <f t="shared" si="0"/>
        <v>0</v>
      </c>
      <c r="I21">
        <f t="shared" si="0"/>
        <v>0</v>
      </c>
      <c r="J21">
        <f t="shared" si="0"/>
        <v>0.60000000000000075</v>
      </c>
      <c r="K21">
        <f t="shared" si="0"/>
        <v>0.39999999999999925</v>
      </c>
    </row>
    <row r="22" spans="1:14" x14ac:dyDescent="0.3">
      <c r="A22" t="s">
        <v>182</v>
      </c>
      <c r="B22" t="s">
        <v>37</v>
      </c>
      <c r="C22" t="s">
        <v>37</v>
      </c>
      <c r="D22" t="s">
        <v>37</v>
      </c>
      <c r="E22" t="s">
        <v>37</v>
      </c>
      <c r="F22" t="s">
        <v>37</v>
      </c>
      <c r="G22" t="s">
        <v>37</v>
      </c>
      <c r="H22" t="s">
        <v>37</v>
      </c>
      <c r="I22" t="s">
        <v>37</v>
      </c>
      <c r="J22" t="s">
        <v>37</v>
      </c>
      <c r="K22" t="s">
        <v>37</v>
      </c>
    </row>
    <row r="23" spans="1:14" x14ac:dyDescent="0.3">
      <c r="B23" s="15">
        <v>1</v>
      </c>
      <c r="C23" s="15">
        <v>1</v>
      </c>
      <c r="D23" s="15">
        <v>1</v>
      </c>
      <c r="E23" s="15">
        <v>1</v>
      </c>
      <c r="F23" s="15">
        <v>1</v>
      </c>
      <c r="G23" s="15">
        <v>1</v>
      </c>
      <c r="H23" s="15">
        <v>1</v>
      </c>
      <c r="I23" s="15">
        <v>1</v>
      </c>
      <c r="J23" s="15">
        <v>1</v>
      </c>
      <c r="K23" s="15">
        <v>1</v>
      </c>
    </row>
    <row r="24" spans="1:14" x14ac:dyDescent="0.3">
      <c r="A24" t="s">
        <v>176</v>
      </c>
      <c r="B24">
        <f>D4*B19</f>
        <v>0</v>
      </c>
      <c r="C24">
        <f>D5*C19</f>
        <v>12</v>
      </c>
      <c r="D24">
        <f>D6*D19</f>
        <v>0</v>
      </c>
      <c r="E24">
        <f>D7*E19</f>
        <v>6.9999999999999991</v>
      </c>
      <c r="F24">
        <f>D8*F19</f>
        <v>15</v>
      </c>
      <c r="G24">
        <f>D9*G19</f>
        <v>10</v>
      </c>
      <c r="H24">
        <f>D10*H19</f>
        <v>0</v>
      </c>
      <c r="I24">
        <f>D11*I19</f>
        <v>0</v>
      </c>
      <c r="J24">
        <f>D12*J19</f>
        <v>0</v>
      </c>
      <c r="K24">
        <f>D13*K19</f>
        <v>0</v>
      </c>
    </row>
    <row r="25" spans="1:14" x14ac:dyDescent="0.3">
      <c r="A25" t="s">
        <v>177</v>
      </c>
      <c r="B25">
        <f>E4*B19</f>
        <v>0</v>
      </c>
      <c r="C25">
        <f>E5*C19</f>
        <v>20</v>
      </c>
      <c r="D25">
        <f>E6*D19</f>
        <v>0</v>
      </c>
      <c r="E25">
        <f>E7*E19</f>
        <v>11.999999999999998</v>
      </c>
      <c r="F25">
        <f>E8*F19</f>
        <v>30</v>
      </c>
      <c r="G25">
        <f>E9*G19</f>
        <v>20</v>
      </c>
      <c r="H25">
        <f>E10*H19</f>
        <v>0</v>
      </c>
      <c r="I25">
        <f>E11*I19</f>
        <v>0</v>
      </c>
      <c r="J25">
        <f>E12*J19</f>
        <v>0</v>
      </c>
      <c r="K25">
        <f>E13*K19</f>
        <v>0</v>
      </c>
    </row>
    <row r="26" spans="1:14" x14ac:dyDescent="0.3">
      <c r="A26" t="s">
        <v>183</v>
      </c>
      <c r="B26">
        <f>1*B19</f>
        <v>0</v>
      </c>
      <c r="C26">
        <f t="shared" ref="C26:K26" si="1">1*C19</f>
        <v>1</v>
      </c>
      <c r="D26">
        <f t="shared" si="1"/>
        <v>0</v>
      </c>
      <c r="E26">
        <f t="shared" si="1"/>
        <v>0.99999999999999989</v>
      </c>
      <c r="F26">
        <f t="shared" si="1"/>
        <v>1</v>
      </c>
      <c r="G26">
        <f t="shared" si="1"/>
        <v>1</v>
      </c>
      <c r="H26">
        <f t="shared" si="1"/>
        <v>0</v>
      </c>
      <c r="I26">
        <f t="shared" si="1"/>
        <v>0</v>
      </c>
      <c r="J26">
        <f t="shared" si="1"/>
        <v>0</v>
      </c>
      <c r="K26">
        <f t="shared" si="1"/>
        <v>0</v>
      </c>
    </row>
    <row r="27" spans="1:14" x14ac:dyDescent="0.3">
      <c r="A27" t="s">
        <v>178</v>
      </c>
      <c r="B27">
        <f>F4*B20</f>
        <v>0</v>
      </c>
      <c r="C27">
        <f>F5*C20</f>
        <v>0</v>
      </c>
      <c r="D27">
        <f>F6*D20</f>
        <v>12</v>
      </c>
      <c r="E27">
        <f>F7*E20</f>
        <v>0</v>
      </c>
      <c r="F27">
        <f>F8*F20</f>
        <v>0</v>
      </c>
      <c r="G27">
        <f>F9*G20</f>
        <v>0</v>
      </c>
      <c r="H27">
        <f>F10*H20</f>
        <v>0</v>
      </c>
      <c r="I27">
        <f>F11*I20</f>
        <v>0</v>
      </c>
      <c r="J27">
        <f>F12*J20</f>
        <v>24.000000000000028</v>
      </c>
      <c r="K27">
        <f>F13*K20</f>
        <v>19.999999999999961</v>
      </c>
    </row>
    <row r="28" spans="1:14" x14ac:dyDescent="0.3">
      <c r="A28" t="s">
        <v>179</v>
      </c>
      <c r="B28">
        <f>G4*B20</f>
        <v>0</v>
      </c>
      <c r="C28">
        <f>G5*C20</f>
        <v>0</v>
      </c>
      <c r="D28">
        <f>G6*D20</f>
        <v>26</v>
      </c>
      <c r="E28">
        <f>G7*E20</f>
        <v>0</v>
      </c>
      <c r="F28">
        <f>G8*F20</f>
        <v>0</v>
      </c>
      <c r="G28">
        <f>G9*G20</f>
        <v>0</v>
      </c>
      <c r="H28">
        <f>G10*H20</f>
        <v>0</v>
      </c>
      <c r="I28">
        <f>G11*I20</f>
        <v>0</v>
      </c>
      <c r="J28">
        <f>G12*J20</f>
        <v>39.00000000000005</v>
      </c>
      <c r="K28">
        <f>G13*K20</f>
        <v>31.99999999999994</v>
      </c>
    </row>
    <row r="29" spans="1:14" x14ac:dyDescent="0.3">
      <c r="A29" t="s">
        <v>184</v>
      </c>
      <c r="B29">
        <f>3*B20</f>
        <v>0</v>
      </c>
      <c r="C29">
        <f t="shared" ref="C29:K29" si="2">3*C20</f>
        <v>0</v>
      </c>
      <c r="D29">
        <f t="shared" si="2"/>
        <v>3</v>
      </c>
      <c r="E29">
        <f t="shared" si="2"/>
        <v>0</v>
      </c>
      <c r="F29">
        <f t="shared" si="2"/>
        <v>0</v>
      </c>
      <c r="G29">
        <f t="shared" si="2"/>
        <v>0</v>
      </c>
      <c r="H29">
        <f t="shared" si="2"/>
        <v>0</v>
      </c>
      <c r="I29">
        <f t="shared" si="2"/>
        <v>0</v>
      </c>
      <c r="J29">
        <f t="shared" si="2"/>
        <v>1.8000000000000023</v>
      </c>
      <c r="K29">
        <f t="shared" si="2"/>
        <v>1.1999999999999977</v>
      </c>
    </row>
    <row r="31" spans="1:14" x14ac:dyDescent="0.3">
      <c r="A31" t="s">
        <v>104</v>
      </c>
      <c r="B31">
        <f>(B25+B28)*0.8</f>
        <v>0</v>
      </c>
      <c r="C31">
        <f t="shared" ref="C31:K31" si="3">(C25+C28)*0.8</f>
        <v>16</v>
      </c>
      <c r="D31">
        <f t="shared" si="3"/>
        <v>20.8</v>
      </c>
      <c r="E31">
        <f t="shared" si="3"/>
        <v>9.6</v>
      </c>
      <c r="F31">
        <f t="shared" si="3"/>
        <v>24</v>
      </c>
      <c r="G31">
        <f t="shared" si="3"/>
        <v>16</v>
      </c>
      <c r="H31">
        <f t="shared" si="3"/>
        <v>0</v>
      </c>
      <c r="I31">
        <f t="shared" si="3"/>
        <v>0</v>
      </c>
      <c r="J31">
        <f t="shared" si="3"/>
        <v>31.200000000000042</v>
      </c>
      <c r="K31">
        <f t="shared" si="3"/>
        <v>25.599999999999952</v>
      </c>
      <c r="N31" t="s">
        <v>187</v>
      </c>
    </row>
    <row r="32" spans="1:14" x14ac:dyDescent="0.3">
      <c r="A32" t="s">
        <v>185</v>
      </c>
      <c r="B32">
        <f>B24+B27</f>
        <v>0</v>
      </c>
      <c r="C32">
        <f t="shared" ref="C32:K32" si="4">C24+C27</f>
        <v>12</v>
      </c>
      <c r="D32">
        <f t="shared" si="4"/>
        <v>12</v>
      </c>
      <c r="E32">
        <f t="shared" si="4"/>
        <v>6.9999999999999991</v>
      </c>
      <c r="F32">
        <f t="shared" si="4"/>
        <v>15</v>
      </c>
      <c r="G32">
        <f t="shared" si="4"/>
        <v>10</v>
      </c>
      <c r="H32">
        <f t="shared" si="4"/>
        <v>0</v>
      </c>
      <c r="I32">
        <f t="shared" si="4"/>
        <v>0</v>
      </c>
      <c r="J32">
        <f t="shared" si="4"/>
        <v>24.000000000000028</v>
      </c>
      <c r="K32">
        <f t="shared" si="4"/>
        <v>19.999999999999961</v>
      </c>
      <c r="L32">
        <f>SUM(B32:K32)</f>
        <v>99.999999999999986</v>
      </c>
      <c r="M32" t="s">
        <v>37</v>
      </c>
      <c r="N32" s="15">
        <v>100</v>
      </c>
    </row>
    <row r="33" spans="1:14" x14ac:dyDescent="0.3">
      <c r="A33" t="s">
        <v>186</v>
      </c>
      <c r="B33">
        <f>B26+B29</f>
        <v>0</v>
      </c>
      <c r="C33">
        <f t="shared" ref="C33:K33" si="5">C26+C29</f>
        <v>1</v>
      </c>
      <c r="D33">
        <f t="shared" si="5"/>
        <v>3</v>
      </c>
      <c r="E33">
        <f t="shared" si="5"/>
        <v>0.99999999999999989</v>
      </c>
      <c r="F33">
        <f t="shared" si="5"/>
        <v>1</v>
      </c>
      <c r="G33">
        <f t="shared" si="5"/>
        <v>1</v>
      </c>
      <c r="H33">
        <f t="shared" si="5"/>
        <v>0</v>
      </c>
      <c r="I33">
        <f t="shared" si="5"/>
        <v>0</v>
      </c>
      <c r="J33">
        <f t="shared" si="5"/>
        <v>1.8000000000000023</v>
      </c>
      <c r="K33">
        <f t="shared" si="5"/>
        <v>1.1999999999999977</v>
      </c>
      <c r="L33">
        <f>SUM(B33:K33)</f>
        <v>10</v>
      </c>
      <c r="M33" t="s">
        <v>37</v>
      </c>
      <c r="N33" s="15">
        <v>15</v>
      </c>
    </row>
    <row r="34" spans="1:14" x14ac:dyDescent="0.3">
      <c r="B34">
        <f>B31-B32-B33</f>
        <v>0</v>
      </c>
      <c r="C34">
        <f t="shared" ref="C34:K34" si="6">C31-C32-C33</f>
        <v>3</v>
      </c>
      <c r="D34">
        <f t="shared" si="6"/>
        <v>5.8000000000000007</v>
      </c>
      <c r="E34">
        <f t="shared" si="6"/>
        <v>1.6000000000000005</v>
      </c>
      <c r="F34">
        <f t="shared" si="6"/>
        <v>8</v>
      </c>
      <c r="G34">
        <f t="shared" si="6"/>
        <v>5</v>
      </c>
      <c r="H34">
        <f t="shared" si="6"/>
        <v>0</v>
      </c>
      <c r="I34">
        <f t="shared" si="6"/>
        <v>0</v>
      </c>
      <c r="J34">
        <f t="shared" si="6"/>
        <v>5.400000000000011</v>
      </c>
      <c r="K34">
        <f t="shared" si="6"/>
        <v>4.3999999999999932</v>
      </c>
      <c r="L34" s="17">
        <f>SUM(B34:K34)</f>
        <v>33.200000000000003</v>
      </c>
    </row>
    <row r="37" spans="1:14" x14ac:dyDescent="0.3">
      <c r="L37" t="s">
        <v>194</v>
      </c>
    </row>
    <row r="38" spans="1:14" x14ac:dyDescent="0.3">
      <c r="A38" s="66" t="s">
        <v>188</v>
      </c>
      <c r="B38">
        <v>1</v>
      </c>
      <c r="D38">
        <v>1</v>
      </c>
      <c r="E38">
        <v>1</v>
      </c>
      <c r="F38">
        <v>1</v>
      </c>
      <c r="G38">
        <v>1</v>
      </c>
      <c r="I38">
        <v>1</v>
      </c>
      <c r="L38">
        <f>SUMPRODUCT($B$19:$K$19,$B$38:$K$38)+SUMPRODUCT($B$20:$K$20,$B$38:$K$38)</f>
        <v>4</v>
      </c>
      <c r="M38" t="s">
        <v>80</v>
      </c>
      <c r="N38" s="15">
        <f>SUM(B19:K20)/2</f>
        <v>3</v>
      </c>
    </row>
    <row r="39" spans="1:14" x14ac:dyDescent="0.3">
      <c r="A39" s="67" t="s">
        <v>189</v>
      </c>
      <c r="E39">
        <v>1</v>
      </c>
      <c r="G39">
        <v>1</v>
      </c>
      <c r="H39">
        <v>1</v>
      </c>
      <c r="I39">
        <v>1</v>
      </c>
      <c r="L39">
        <f>SUMPRODUCT($B$19:$K$19,$B$39:$K$39)+SUMPRODUCT($B$20:$K$20,$B$39:$K$39)</f>
        <v>2</v>
      </c>
      <c r="M39" t="s">
        <v>80</v>
      </c>
      <c r="N39" s="15">
        <v>2</v>
      </c>
    </row>
    <row r="40" spans="1:14" x14ac:dyDescent="0.3">
      <c r="A40" s="67" t="s">
        <v>197</v>
      </c>
      <c r="J40">
        <v>1</v>
      </c>
      <c r="K40">
        <v>1</v>
      </c>
      <c r="L40">
        <f>SUMPRODUCT($B$19:$K$19,$B$40:$K$40)+SUMPRODUCT($B$20:$K$20,$B$40:$K$40)</f>
        <v>1</v>
      </c>
      <c r="M40" t="s">
        <v>37</v>
      </c>
      <c r="N40" s="15">
        <v>1</v>
      </c>
    </row>
    <row r="41" spans="1:14" x14ac:dyDescent="0.3">
      <c r="A41" s="67" t="s">
        <v>190</v>
      </c>
      <c r="C41">
        <v>1</v>
      </c>
      <c r="D41">
        <v>1</v>
      </c>
      <c r="F41">
        <v>1</v>
      </c>
      <c r="L41">
        <f>SUMPRODUCT($B$19:$K$19,$B$41:$K$41)+SUMPRODUCT($B$20:$K$20,$B$41:$K$41)</f>
        <v>3</v>
      </c>
      <c r="M41" t="s">
        <v>80</v>
      </c>
      <c r="N41" s="15">
        <v>1</v>
      </c>
    </row>
    <row r="42" spans="1:14" x14ac:dyDescent="0.3">
      <c r="A42" s="67" t="s">
        <v>191</v>
      </c>
      <c r="B42">
        <v>1</v>
      </c>
      <c r="C42">
        <v>1</v>
      </c>
      <c r="D42">
        <v>1</v>
      </c>
      <c r="E42">
        <v>1</v>
      </c>
      <c r="F42">
        <v>1</v>
      </c>
      <c r="G42">
        <v>1</v>
      </c>
      <c r="H42">
        <v>1</v>
      </c>
      <c r="I42">
        <v>1</v>
      </c>
      <c r="J42">
        <v>1</v>
      </c>
      <c r="K42">
        <v>1</v>
      </c>
      <c r="L42">
        <f>SUMPRODUCT(B20:K20,B42:K42)</f>
        <v>2</v>
      </c>
      <c r="M42" t="s">
        <v>80</v>
      </c>
      <c r="N42" s="15">
        <v>2</v>
      </c>
    </row>
    <row r="43" spans="1:14" x14ac:dyDescent="0.3">
      <c r="A43" s="67" t="s">
        <v>192</v>
      </c>
      <c r="D43">
        <v>1</v>
      </c>
      <c r="E43">
        <v>1</v>
      </c>
      <c r="G43">
        <v>1</v>
      </c>
      <c r="I43">
        <v>1</v>
      </c>
      <c r="L43">
        <f>SUMPRODUCT($B$19:$K$19,$B$43:$K$43)+SUMPRODUCT($B$20:$K$20,$B$43:$K$43)</f>
        <v>3</v>
      </c>
      <c r="M43" t="s">
        <v>80</v>
      </c>
      <c r="N43" s="15">
        <v>2</v>
      </c>
    </row>
    <row r="44" spans="1:14" x14ac:dyDescent="0.3">
      <c r="A44" s="67" t="s">
        <v>193</v>
      </c>
      <c r="B44">
        <v>1</v>
      </c>
      <c r="J44">
        <v>1</v>
      </c>
      <c r="K44">
        <v>1</v>
      </c>
      <c r="L44">
        <f>SUMPRODUCT(B20:K20,B44:K44)</f>
        <v>1</v>
      </c>
      <c r="M44" t="s">
        <v>80</v>
      </c>
      <c r="N44" s="15">
        <v>1</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F449-0C82-4C5C-BBD3-56DE60B9FDC4}">
  <sheetPr>
    <tabColor rgb="FFFF0000"/>
  </sheetPr>
  <dimension ref="A1:G23"/>
  <sheetViews>
    <sheetView workbookViewId="0">
      <selection activeCell="G20" sqref="G20"/>
    </sheetView>
  </sheetViews>
  <sheetFormatPr defaultRowHeight="14" x14ac:dyDescent="0.3"/>
  <sheetData>
    <row r="1" spans="1:6" ht="20" x14ac:dyDescent="0.3">
      <c r="A1" s="68" t="s">
        <v>198</v>
      </c>
      <c r="B1" s="68" t="s">
        <v>199</v>
      </c>
      <c r="C1" s="68" t="s">
        <v>200</v>
      </c>
      <c r="D1" s="68" t="s">
        <v>201</v>
      </c>
    </row>
    <row r="2" spans="1:6" x14ac:dyDescent="0.3">
      <c r="A2" s="68" t="s">
        <v>202</v>
      </c>
      <c r="B2" s="68">
        <v>3</v>
      </c>
      <c r="C2" s="68">
        <v>2</v>
      </c>
      <c r="D2" s="68">
        <v>150</v>
      </c>
    </row>
    <row r="3" spans="1:6" ht="20" x14ac:dyDescent="0.3">
      <c r="A3" s="68" t="s">
        <v>203</v>
      </c>
      <c r="B3" s="68">
        <v>1</v>
      </c>
      <c r="C3" s="68">
        <v>2</v>
      </c>
      <c r="D3" s="68">
        <v>200</v>
      </c>
    </row>
    <row r="4" spans="1:6" x14ac:dyDescent="0.3">
      <c r="A4" s="68" t="s">
        <v>204</v>
      </c>
      <c r="B4" s="68">
        <v>7</v>
      </c>
      <c r="C4" s="68">
        <v>6</v>
      </c>
      <c r="D4" s="68"/>
    </row>
    <row r="7" spans="1:6" ht="20" x14ac:dyDescent="0.3">
      <c r="B7" s="68" t="s">
        <v>199</v>
      </c>
      <c r="C7" s="68" t="s">
        <v>200</v>
      </c>
      <c r="D7" s="68" t="s">
        <v>202</v>
      </c>
      <c r="E7" s="68" t="s">
        <v>203</v>
      </c>
      <c r="F7" s="68" t="s">
        <v>204</v>
      </c>
    </row>
    <row r="8" spans="1:6" x14ac:dyDescent="0.3">
      <c r="A8" t="s">
        <v>205</v>
      </c>
      <c r="B8" s="33">
        <v>40</v>
      </c>
      <c r="C8" s="33">
        <v>70</v>
      </c>
      <c r="D8">
        <f>(B8*B2)+(C8*C2)</f>
        <v>260</v>
      </c>
      <c r="E8">
        <f>(B8*B3)+(C8*C3)</f>
        <v>180</v>
      </c>
      <c r="F8">
        <f>(B8*B4)+(C8*C4)</f>
        <v>700</v>
      </c>
    </row>
    <row r="9" spans="1:6" x14ac:dyDescent="0.3">
      <c r="A9" s="59" t="s">
        <v>206</v>
      </c>
      <c r="B9" s="33">
        <v>0</v>
      </c>
      <c r="C9" s="33">
        <v>0</v>
      </c>
      <c r="D9" s="33">
        <v>0</v>
      </c>
      <c r="E9" s="33">
        <v>20</v>
      </c>
      <c r="F9" s="33">
        <v>0</v>
      </c>
    </row>
    <row r="10" spans="1:6" x14ac:dyDescent="0.3">
      <c r="A10" s="59" t="s">
        <v>207</v>
      </c>
      <c r="B10" s="33">
        <v>0</v>
      </c>
      <c r="C10" s="33">
        <v>0</v>
      </c>
      <c r="D10" s="33">
        <v>110</v>
      </c>
      <c r="E10" s="33">
        <v>0</v>
      </c>
      <c r="F10" s="33">
        <v>300</v>
      </c>
    </row>
    <row r="11" spans="1:6" x14ac:dyDescent="0.3">
      <c r="A11" t="s">
        <v>208</v>
      </c>
      <c r="B11">
        <f>B8+B9-B10</f>
        <v>40</v>
      </c>
      <c r="C11">
        <f t="shared" ref="C11:F11" si="0">C8+C9-C10</f>
        <v>70</v>
      </c>
      <c r="D11">
        <f t="shared" si="0"/>
        <v>150</v>
      </c>
      <c r="E11">
        <f t="shared" si="0"/>
        <v>200</v>
      </c>
      <c r="F11">
        <f t="shared" si="0"/>
        <v>400</v>
      </c>
    </row>
    <row r="12" spans="1:6" x14ac:dyDescent="0.3">
      <c r="B12" t="s">
        <v>14</v>
      </c>
      <c r="C12" t="s">
        <v>14</v>
      </c>
      <c r="D12" t="s">
        <v>14</v>
      </c>
      <c r="E12" t="s">
        <v>14</v>
      </c>
      <c r="F12" t="s">
        <v>14</v>
      </c>
    </row>
    <row r="13" spans="1:6" x14ac:dyDescent="0.3">
      <c r="A13" t="s">
        <v>209</v>
      </c>
      <c r="B13" s="15">
        <v>40</v>
      </c>
      <c r="C13" s="15">
        <v>70</v>
      </c>
      <c r="D13" s="15">
        <v>150</v>
      </c>
      <c r="E13" s="15">
        <v>200</v>
      </c>
      <c r="F13" s="15">
        <v>400</v>
      </c>
    </row>
    <row r="16" spans="1:6" x14ac:dyDescent="0.3">
      <c r="A16" t="s">
        <v>212</v>
      </c>
    </row>
    <row r="17" spans="1:7" x14ac:dyDescent="0.3">
      <c r="A17" s="59" t="s">
        <v>206</v>
      </c>
      <c r="B17">
        <v>2</v>
      </c>
      <c r="C17">
        <v>2</v>
      </c>
      <c r="D17">
        <v>1</v>
      </c>
      <c r="E17">
        <v>1</v>
      </c>
      <c r="F17">
        <v>10000</v>
      </c>
    </row>
    <row r="18" spans="1:7" x14ac:dyDescent="0.3">
      <c r="A18" s="59" t="s">
        <v>207</v>
      </c>
      <c r="B18">
        <v>2</v>
      </c>
      <c r="C18">
        <v>2</v>
      </c>
      <c r="D18">
        <v>1</v>
      </c>
      <c r="E18">
        <v>1</v>
      </c>
      <c r="F18">
        <v>0</v>
      </c>
    </row>
    <row r="20" spans="1:7" x14ac:dyDescent="0.3">
      <c r="A20" t="s">
        <v>210</v>
      </c>
    </row>
    <row r="21" spans="1:7" x14ac:dyDescent="0.3">
      <c r="A21" t="s">
        <v>211</v>
      </c>
    </row>
    <row r="22" spans="1:7" x14ac:dyDescent="0.3">
      <c r="A22" s="59" t="s">
        <v>206</v>
      </c>
      <c r="B22">
        <f>B9/B13</f>
        <v>0</v>
      </c>
      <c r="C22">
        <f>C9/C13</f>
        <v>0</v>
      </c>
      <c r="D22">
        <f>D9/D13</f>
        <v>0</v>
      </c>
      <c r="E22">
        <f>E9/E13</f>
        <v>0.1</v>
      </c>
      <c r="F22">
        <f>F9/F13</f>
        <v>0</v>
      </c>
    </row>
    <row r="23" spans="1:7" x14ac:dyDescent="0.3">
      <c r="A23" s="59" t="s">
        <v>207</v>
      </c>
      <c r="B23">
        <f>B10/B13</f>
        <v>0</v>
      </c>
      <c r="C23">
        <f t="shared" ref="C23:F23" si="1">C10/C13</f>
        <v>0</v>
      </c>
      <c r="D23">
        <f t="shared" si="1"/>
        <v>0.73333333333333328</v>
      </c>
      <c r="E23">
        <f t="shared" si="1"/>
        <v>0</v>
      </c>
      <c r="F23">
        <f t="shared" si="1"/>
        <v>0.75</v>
      </c>
      <c r="G23" s="17">
        <f>SUMPRODUCT(B17:F18,B22:F23)</f>
        <v>0.83333333333333326</v>
      </c>
    </row>
  </sheetData>
  <phoneticPr fontId="4" type="noConversion"/>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64DD7-2379-4104-BD54-9EFD8E8A2067}">
  <sheetPr>
    <tabColor rgb="FF92D050"/>
  </sheetPr>
  <dimension ref="B2:K34"/>
  <sheetViews>
    <sheetView workbookViewId="0">
      <selection activeCell="H18" sqref="H18"/>
    </sheetView>
  </sheetViews>
  <sheetFormatPr defaultRowHeight="14" x14ac:dyDescent="0.3"/>
  <cols>
    <col min="2" max="2" width="14.08203125" bestFit="1" customWidth="1"/>
  </cols>
  <sheetData>
    <row r="2" spans="2:11" x14ac:dyDescent="0.3">
      <c r="C2">
        <v>1</v>
      </c>
      <c r="D2">
        <v>2</v>
      </c>
      <c r="E2">
        <v>3</v>
      </c>
      <c r="F2">
        <v>4</v>
      </c>
      <c r="G2">
        <v>5</v>
      </c>
      <c r="H2">
        <v>6</v>
      </c>
    </row>
    <row r="3" spans="2:11" x14ac:dyDescent="0.3">
      <c r="B3" t="s">
        <v>214</v>
      </c>
      <c r="C3" s="33">
        <v>3037.3831775700942</v>
      </c>
      <c r="D3" s="33">
        <v>4500</v>
      </c>
      <c r="E3" s="33">
        <v>3000</v>
      </c>
      <c r="F3" s="33">
        <v>0</v>
      </c>
      <c r="G3" s="33">
        <v>4000</v>
      </c>
      <c r="H3" s="33">
        <v>462.61682242990582</v>
      </c>
      <c r="I3">
        <f>SUM(C3:H3)</f>
        <v>15000</v>
      </c>
      <c r="J3" t="s">
        <v>37</v>
      </c>
      <c r="K3" s="15">
        <v>15000</v>
      </c>
    </row>
    <row r="4" spans="2:11" x14ac:dyDescent="0.3">
      <c r="C4" s="49" t="s">
        <v>37</v>
      </c>
      <c r="D4" s="49" t="s">
        <v>37</v>
      </c>
      <c r="E4" s="49" t="s">
        <v>37</v>
      </c>
      <c r="F4" s="49" t="s">
        <v>37</v>
      </c>
      <c r="G4" s="49" t="s">
        <v>37</v>
      </c>
      <c r="H4" s="49" t="s">
        <v>37</v>
      </c>
      <c r="K4" s="15"/>
    </row>
    <row r="5" spans="2:11" x14ac:dyDescent="0.3">
      <c r="B5" t="s">
        <v>218</v>
      </c>
      <c r="C5" s="73">
        <v>5000</v>
      </c>
      <c r="D5" s="73">
        <v>4500</v>
      </c>
      <c r="E5" s="73">
        <v>3000</v>
      </c>
      <c r="F5" s="73">
        <v>3500</v>
      </c>
      <c r="G5" s="73">
        <v>4000</v>
      </c>
      <c r="H5" s="73">
        <v>3500</v>
      </c>
      <c r="K5" s="15"/>
    </row>
    <row r="6" spans="2:11" x14ac:dyDescent="0.3">
      <c r="B6" t="s">
        <v>216</v>
      </c>
      <c r="C6" s="69">
        <v>3.1</v>
      </c>
      <c r="D6" s="69">
        <v>3.2</v>
      </c>
      <c r="E6" s="69">
        <v>3.45</v>
      </c>
      <c r="F6" s="69">
        <v>4.1500000000000004</v>
      </c>
      <c r="G6" s="69">
        <v>3.25</v>
      </c>
      <c r="H6" s="69">
        <v>2.75</v>
      </c>
    </row>
    <row r="7" spans="2:11" x14ac:dyDescent="0.3">
      <c r="B7" t="s">
        <v>215</v>
      </c>
      <c r="C7" s="3">
        <f>C3*C6</f>
        <v>9415.8878504672921</v>
      </c>
      <c r="D7" s="3">
        <f t="shared" ref="D7:H7" si="0">D3*D6</f>
        <v>14400</v>
      </c>
      <c r="E7" s="3">
        <f t="shared" si="0"/>
        <v>10350</v>
      </c>
      <c r="F7" s="3">
        <f t="shared" si="0"/>
        <v>0</v>
      </c>
      <c r="G7" s="3">
        <f t="shared" si="0"/>
        <v>13000</v>
      </c>
      <c r="H7" s="3">
        <f t="shared" si="0"/>
        <v>1272.1962616822411</v>
      </c>
      <c r="I7" s="39">
        <f>SUM(C7:H7)</f>
        <v>48438.084112149532</v>
      </c>
    </row>
    <row r="8" spans="2:11" x14ac:dyDescent="0.3">
      <c r="B8" t="s">
        <v>213</v>
      </c>
      <c r="C8" s="70">
        <v>0.125</v>
      </c>
      <c r="D8" s="70">
        <v>6.4000000000000001E-2</v>
      </c>
      <c r="E8" s="70">
        <v>0.14399999999999999</v>
      </c>
      <c r="F8" s="70">
        <v>0.44800000000000001</v>
      </c>
      <c r="G8" s="70">
        <v>4.8000000000000001E-2</v>
      </c>
      <c r="H8" s="70">
        <v>1.7999999999999999E-2</v>
      </c>
    </row>
    <row r="9" spans="2:11" x14ac:dyDescent="0.3">
      <c r="B9" t="s">
        <v>217</v>
      </c>
      <c r="C9">
        <f>C3*C8</f>
        <v>379.67289719626177</v>
      </c>
      <c r="D9">
        <f t="shared" ref="D9:H9" si="1">D3*D8</f>
        <v>288</v>
      </c>
      <c r="E9">
        <f t="shared" si="1"/>
        <v>431.99999999999994</v>
      </c>
      <c r="F9">
        <f t="shared" si="1"/>
        <v>0</v>
      </c>
      <c r="G9">
        <f t="shared" si="1"/>
        <v>192</v>
      </c>
      <c r="H9">
        <f t="shared" si="1"/>
        <v>8.3271028037383044</v>
      </c>
      <c r="I9" s="49">
        <f>SUM(C9:H9)</f>
        <v>1300.0000000000002</v>
      </c>
      <c r="J9" t="s">
        <v>37</v>
      </c>
      <c r="K9" s="15">
        <v>1300</v>
      </c>
    </row>
    <row r="10" spans="2:11" x14ac:dyDescent="0.3">
      <c r="F10" s="49"/>
      <c r="G10" s="49"/>
      <c r="H10" s="49"/>
      <c r="I10" s="49"/>
      <c r="J10" s="49"/>
    </row>
    <row r="11" spans="2:11" x14ac:dyDescent="0.3">
      <c r="I11" s="49"/>
      <c r="J11" s="49"/>
    </row>
    <row r="12" spans="2:11" x14ac:dyDescent="0.3">
      <c r="I12" s="49"/>
      <c r="J12" s="49"/>
    </row>
    <row r="13" spans="2:11" x14ac:dyDescent="0.3">
      <c r="C13" s="49"/>
      <c r="D13" s="49"/>
      <c r="E13" s="49"/>
      <c r="F13" s="49"/>
      <c r="G13" s="49"/>
      <c r="H13" s="49"/>
      <c r="I13" s="49"/>
      <c r="J13" s="49"/>
    </row>
    <row r="14" spans="2:11" x14ac:dyDescent="0.3">
      <c r="C14" s="49"/>
      <c r="D14" s="49"/>
      <c r="E14" s="49"/>
      <c r="F14" s="49"/>
      <c r="G14" s="49"/>
      <c r="H14" s="49"/>
      <c r="I14" s="49"/>
      <c r="J14" s="49"/>
    </row>
    <row r="15" spans="2:11" x14ac:dyDescent="0.3">
      <c r="C15" s="71"/>
      <c r="D15" s="71"/>
      <c r="E15" s="71"/>
      <c r="F15" s="71"/>
      <c r="G15" s="71"/>
      <c r="H15" s="71"/>
      <c r="I15" s="49"/>
      <c r="J15" s="49"/>
    </row>
    <row r="16" spans="2:11" x14ac:dyDescent="0.3">
      <c r="C16" s="49"/>
      <c r="D16" s="49"/>
      <c r="E16" s="49"/>
      <c r="F16" s="49"/>
      <c r="G16" s="49"/>
      <c r="H16" s="49"/>
      <c r="I16" s="49"/>
      <c r="J16" s="49"/>
    </row>
    <row r="17" spans="3:10" x14ac:dyDescent="0.3">
      <c r="C17" s="72"/>
      <c r="D17" s="72"/>
      <c r="E17" s="72"/>
      <c r="F17" s="72"/>
      <c r="G17" s="72"/>
      <c r="H17" s="72"/>
      <c r="I17" s="49"/>
      <c r="J17" s="49"/>
    </row>
    <row r="18" spans="3:10" x14ac:dyDescent="0.3">
      <c r="C18" s="49"/>
      <c r="D18" s="49"/>
      <c r="E18" s="49"/>
      <c r="F18" s="49"/>
      <c r="G18" s="49"/>
      <c r="H18" s="49"/>
      <c r="I18" s="49"/>
      <c r="J18" s="49"/>
    </row>
    <row r="19" spans="3:10" x14ac:dyDescent="0.3">
      <c r="C19" s="49"/>
      <c r="D19" s="49"/>
      <c r="E19" s="49"/>
      <c r="F19" s="49"/>
      <c r="G19" s="49"/>
      <c r="H19" s="49"/>
      <c r="I19" s="49"/>
      <c r="J19" s="49"/>
    </row>
    <row r="20" spans="3:10" x14ac:dyDescent="0.3">
      <c r="F20" s="49"/>
      <c r="G20" s="49"/>
      <c r="H20" s="49"/>
      <c r="I20" s="49"/>
      <c r="J20" s="49"/>
    </row>
    <row r="21" spans="3:10" x14ac:dyDescent="0.3">
      <c r="C21" s="49"/>
      <c r="D21" s="49"/>
      <c r="E21" s="49"/>
      <c r="F21" s="49"/>
      <c r="G21" s="49"/>
      <c r="H21" s="49"/>
      <c r="I21" s="49"/>
      <c r="J21" s="49"/>
    </row>
    <row r="22" spans="3:10" x14ac:dyDescent="0.3">
      <c r="C22" s="49"/>
      <c r="D22" s="49"/>
      <c r="E22" s="49"/>
      <c r="F22" s="49"/>
      <c r="G22" s="49"/>
      <c r="H22" s="49"/>
      <c r="I22" s="49"/>
      <c r="J22" s="49"/>
    </row>
    <row r="23" spans="3:10" x14ac:dyDescent="0.3">
      <c r="C23" s="49"/>
      <c r="D23" s="49"/>
      <c r="E23" s="49"/>
      <c r="F23" s="49"/>
      <c r="G23" s="49"/>
      <c r="H23" s="49"/>
      <c r="I23" s="49"/>
      <c r="J23" s="49"/>
    </row>
    <row r="24" spans="3:10" x14ac:dyDescent="0.3">
      <c r="C24" s="49"/>
      <c r="D24" s="49"/>
      <c r="E24" s="49"/>
      <c r="F24" s="49"/>
      <c r="G24" s="49"/>
      <c r="H24" s="49"/>
      <c r="I24" s="49"/>
      <c r="J24" s="49"/>
    </row>
    <row r="25" spans="3:10" x14ac:dyDescent="0.3">
      <c r="C25" s="49"/>
      <c r="D25" s="49"/>
      <c r="E25" s="49"/>
      <c r="F25" s="49"/>
      <c r="G25" s="49"/>
      <c r="H25" s="49"/>
      <c r="I25" s="49"/>
      <c r="J25" s="49"/>
    </row>
    <row r="26" spans="3:10" x14ac:dyDescent="0.3">
      <c r="C26" s="49"/>
      <c r="D26" s="49"/>
      <c r="E26" s="49"/>
      <c r="F26" s="49"/>
      <c r="G26" s="49"/>
      <c r="H26" s="49"/>
      <c r="I26" s="49"/>
      <c r="J26" s="49"/>
    </row>
    <row r="27" spans="3:10" x14ac:dyDescent="0.3">
      <c r="C27" s="49"/>
      <c r="D27" s="49"/>
      <c r="E27" s="49"/>
      <c r="F27" s="49"/>
      <c r="G27" s="49"/>
      <c r="H27" s="49"/>
      <c r="I27" s="49"/>
      <c r="J27" s="49"/>
    </row>
    <row r="28" spans="3:10" x14ac:dyDescent="0.3">
      <c r="C28" s="49"/>
      <c r="D28" s="49"/>
      <c r="E28" s="49"/>
      <c r="F28" s="49"/>
      <c r="G28" s="49"/>
      <c r="H28" s="49"/>
      <c r="I28" s="49"/>
      <c r="J28" s="49"/>
    </row>
    <row r="29" spans="3:10" x14ac:dyDescent="0.3">
      <c r="C29" s="49"/>
      <c r="D29" s="49"/>
      <c r="E29" s="49"/>
      <c r="F29" s="49"/>
      <c r="G29" s="49"/>
      <c r="H29" s="49"/>
      <c r="I29" s="49"/>
      <c r="J29" s="49"/>
    </row>
    <row r="30" spans="3:10" x14ac:dyDescent="0.3">
      <c r="C30" s="49"/>
      <c r="D30" s="49"/>
      <c r="E30" s="49"/>
      <c r="F30" s="49"/>
      <c r="G30" s="49"/>
      <c r="H30" s="49"/>
      <c r="I30" s="49"/>
      <c r="J30" s="49"/>
    </row>
    <row r="31" spans="3:10" x14ac:dyDescent="0.3">
      <c r="C31" s="49"/>
      <c r="D31" s="49"/>
      <c r="E31" s="49"/>
      <c r="F31" s="49"/>
      <c r="G31" s="49"/>
      <c r="H31" s="49"/>
      <c r="I31" s="49"/>
      <c r="J31" s="49"/>
    </row>
    <row r="32" spans="3:10" x14ac:dyDescent="0.3">
      <c r="C32" s="49"/>
      <c r="D32" s="49"/>
      <c r="E32" s="49"/>
      <c r="F32" s="49"/>
      <c r="G32" s="49"/>
      <c r="H32" s="49"/>
      <c r="I32" s="49"/>
      <c r="J32" s="49"/>
    </row>
    <row r="33" spans="3:10" x14ac:dyDescent="0.3">
      <c r="C33" s="49"/>
      <c r="D33" s="49"/>
      <c r="E33" s="49"/>
      <c r="F33" s="49"/>
      <c r="G33" s="49"/>
      <c r="H33" s="49"/>
      <c r="I33" s="49"/>
      <c r="J33" s="49"/>
    </row>
    <row r="34" spans="3:10" x14ac:dyDescent="0.3">
      <c r="C34" s="49"/>
      <c r="D34" s="49"/>
      <c r="E34" s="49"/>
      <c r="F34" s="49"/>
      <c r="G34" s="49"/>
      <c r="H34" s="49"/>
      <c r="I34" s="49"/>
      <c r="J34" s="49"/>
    </row>
  </sheetData>
  <phoneticPr fontId="4"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6964-3E5D-4AF4-9C0E-04C1DE3AAFB3}">
  <sheetPr>
    <tabColor rgb="FF92D050"/>
  </sheetPr>
  <dimension ref="B1:U40"/>
  <sheetViews>
    <sheetView workbookViewId="0">
      <selection activeCell="C11" sqref="C11"/>
    </sheetView>
  </sheetViews>
  <sheetFormatPr defaultRowHeight="14" x14ac:dyDescent="0.3"/>
  <cols>
    <col min="2" max="2" width="14.08203125" bestFit="1" customWidth="1"/>
    <col min="3" max="3" width="12.33203125" bestFit="1" customWidth="1"/>
    <col min="4" max="5" width="11.08203125" bestFit="1" customWidth="1"/>
    <col min="6" max="6" width="9.08203125" bestFit="1" customWidth="1"/>
    <col min="7" max="7" width="11.08203125" bestFit="1" customWidth="1"/>
    <col min="8" max="8" width="10" bestFit="1" customWidth="1"/>
    <col min="9" max="9" width="11.08203125" bestFit="1" customWidth="1"/>
    <col min="11" max="12" width="10" bestFit="1" customWidth="1"/>
    <col min="20" max="21" width="10" bestFit="1" customWidth="1"/>
  </cols>
  <sheetData>
    <row r="1" spans="2:21" x14ac:dyDescent="0.3">
      <c r="B1" s="9"/>
      <c r="C1" s="98" t="s">
        <v>219</v>
      </c>
      <c r="D1" s="98"/>
      <c r="E1" s="98"/>
      <c r="F1" s="98"/>
      <c r="G1" s="98"/>
      <c r="H1" s="98"/>
      <c r="I1" s="26"/>
      <c r="J1" s="26"/>
      <c r="K1" s="26"/>
      <c r="L1" s="9"/>
      <c r="M1" s="98" t="s">
        <v>220</v>
      </c>
      <c r="N1" s="98"/>
      <c r="O1" s="98"/>
      <c r="P1" s="98"/>
      <c r="Q1" s="98"/>
      <c r="R1" s="98"/>
      <c r="S1" s="26"/>
    </row>
    <row r="2" spans="2:21" x14ac:dyDescent="0.3">
      <c r="B2" s="9"/>
      <c r="C2" s="9">
        <v>1</v>
      </c>
      <c r="D2" s="9">
        <v>2</v>
      </c>
      <c r="E2" s="9">
        <v>3</v>
      </c>
      <c r="F2" s="9">
        <v>4</v>
      </c>
      <c r="G2" s="9">
        <v>5</v>
      </c>
      <c r="H2" s="9">
        <v>6</v>
      </c>
      <c r="I2" t="s">
        <v>110</v>
      </c>
      <c r="L2" s="9"/>
      <c r="M2" s="9">
        <v>1</v>
      </c>
      <c r="N2" s="9">
        <v>2</v>
      </c>
      <c r="O2" s="9">
        <v>3</v>
      </c>
      <c r="P2" s="9">
        <v>4</v>
      </c>
      <c r="Q2" s="9">
        <v>5</v>
      </c>
      <c r="R2" s="9">
        <v>6</v>
      </c>
      <c r="S2" t="s">
        <v>110</v>
      </c>
    </row>
    <row r="3" spans="2:21" x14ac:dyDescent="0.3">
      <c r="B3" s="9" t="s">
        <v>214</v>
      </c>
      <c r="C3" s="21">
        <v>205.60747663551444</v>
      </c>
      <c r="D3" s="21">
        <v>0</v>
      </c>
      <c r="E3" s="21">
        <v>3000</v>
      </c>
      <c r="F3" s="21">
        <v>465.1162790697673</v>
      </c>
      <c r="G3" s="21">
        <v>4000</v>
      </c>
      <c r="H3" s="21">
        <v>2329.2762442947183</v>
      </c>
      <c r="I3" s="49">
        <f>SUM(C3:H3)</f>
        <v>10000</v>
      </c>
      <c r="J3" s="49" t="s">
        <v>37</v>
      </c>
      <c r="K3" s="73">
        <v>10000</v>
      </c>
      <c r="L3" s="9"/>
      <c r="M3" s="21">
        <v>4794.3925233644859</v>
      </c>
      <c r="N3" s="21">
        <v>4500</v>
      </c>
      <c r="O3" s="21">
        <v>0</v>
      </c>
      <c r="P3" s="21">
        <v>0</v>
      </c>
      <c r="Q3" s="21">
        <v>0</v>
      </c>
      <c r="R3" s="21">
        <v>705.60747663551456</v>
      </c>
      <c r="S3">
        <f>SUM(M3:R3)</f>
        <v>10000</v>
      </c>
      <c r="T3" t="s">
        <v>37</v>
      </c>
      <c r="U3" s="73">
        <v>10000</v>
      </c>
    </row>
    <row r="4" spans="2:21" x14ac:dyDescent="0.3">
      <c r="B4" s="9" t="s">
        <v>213</v>
      </c>
      <c r="C4" s="35">
        <v>0.125</v>
      </c>
      <c r="D4" s="35">
        <v>6.4000000000000001E-2</v>
      </c>
      <c r="E4" s="35">
        <v>0.14399999999999999</v>
      </c>
      <c r="F4" s="35">
        <v>0.44800000000000001</v>
      </c>
      <c r="G4" s="35">
        <v>4.8000000000000001E-2</v>
      </c>
      <c r="H4" s="35">
        <v>1.7999999999999999E-2</v>
      </c>
      <c r="I4" s="49"/>
      <c r="J4" s="49"/>
      <c r="K4" s="49"/>
      <c r="L4" s="9" t="s">
        <v>213</v>
      </c>
      <c r="M4" s="35">
        <v>0.125</v>
      </c>
      <c r="N4" s="35">
        <v>6.4000000000000001E-2</v>
      </c>
      <c r="O4" s="35">
        <v>0.14399999999999999</v>
      </c>
      <c r="P4" s="35">
        <v>0.44800000000000001</v>
      </c>
      <c r="Q4" s="35">
        <v>4.8000000000000001E-2</v>
      </c>
      <c r="R4" s="35">
        <v>1.7999999999999999E-2</v>
      </c>
      <c r="S4" s="49"/>
      <c r="T4" s="49"/>
      <c r="U4" s="49"/>
    </row>
    <row r="5" spans="2:21" x14ac:dyDescent="0.3">
      <c r="B5" s="9" t="s">
        <v>217</v>
      </c>
      <c r="C5" s="9">
        <f t="shared" ref="C5:H5" si="0">C3*C4</f>
        <v>25.700934579439306</v>
      </c>
      <c r="D5" s="9">
        <f t="shared" si="0"/>
        <v>0</v>
      </c>
      <c r="E5" s="9">
        <f t="shared" si="0"/>
        <v>431.99999999999994</v>
      </c>
      <c r="F5" s="9">
        <f t="shared" si="0"/>
        <v>208.37209302325576</v>
      </c>
      <c r="G5" s="9">
        <f t="shared" si="0"/>
        <v>192</v>
      </c>
      <c r="H5" s="9">
        <f t="shared" si="0"/>
        <v>41.926972397304922</v>
      </c>
      <c r="I5" s="49">
        <f>SUM(C5:H5)</f>
        <v>899.99999999999989</v>
      </c>
      <c r="J5" t="s">
        <v>37</v>
      </c>
      <c r="K5" s="15">
        <v>900</v>
      </c>
      <c r="L5" s="9" t="s">
        <v>217</v>
      </c>
      <c r="M5" s="9">
        <f>M3*M4</f>
        <v>599.29906542056074</v>
      </c>
      <c r="N5" s="9">
        <f t="shared" ref="N5:R5" si="1">N3*N4</f>
        <v>288</v>
      </c>
      <c r="O5" s="9">
        <f t="shared" si="1"/>
        <v>0</v>
      </c>
      <c r="P5" s="9">
        <f t="shared" si="1"/>
        <v>0</v>
      </c>
      <c r="Q5" s="9">
        <f t="shared" si="1"/>
        <v>0</v>
      </c>
      <c r="R5" s="9">
        <f t="shared" si="1"/>
        <v>12.700934579439261</v>
      </c>
      <c r="S5" s="49">
        <f>SUM(M5:R5)</f>
        <v>900</v>
      </c>
      <c r="T5" t="s">
        <v>37</v>
      </c>
      <c r="U5" s="15">
        <v>900</v>
      </c>
    </row>
    <row r="6" spans="2:21" x14ac:dyDescent="0.3">
      <c r="I6" s="49"/>
      <c r="J6" s="49"/>
      <c r="K6" s="49"/>
      <c r="L6" s="49"/>
      <c r="M6" s="49"/>
      <c r="N6" s="49"/>
      <c r="O6" s="49"/>
      <c r="P6" s="49"/>
      <c r="Q6" s="49"/>
      <c r="R6" s="49"/>
    </row>
    <row r="7" spans="2:21" x14ac:dyDescent="0.3">
      <c r="I7" s="49"/>
      <c r="J7" s="49"/>
      <c r="K7" s="49"/>
      <c r="L7" t="s">
        <v>221</v>
      </c>
      <c r="M7" s="49"/>
      <c r="N7" s="49" t="s">
        <v>222</v>
      </c>
      <c r="O7" s="49"/>
      <c r="P7" s="49"/>
      <c r="Q7" s="49"/>
      <c r="R7" s="49"/>
    </row>
    <row r="8" spans="2:21" x14ac:dyDescent="0.3">
      <c r="C8">
        <v>1</v>
      </c>
      <c r="D8">
        <v>2</v>
      </c>
      <c r="E8">
        <v>3</v>
      </c>
      <c r="F8">
        <v>4</v>
      </c>
      <c r="G8">
        <v>5</v>
      </c>
      <c r="H8">
        <v>6</v>
      </c>
      <c r="L8" s="73">
        <f>I3</f>
        <v>10000</v>
      </c>
      <c r="M8" s="49" t="s">
        <v>14</v>
      </c>
      <c r="N8" s="73">
        <f>S3</f>
        <v>10000</v>
      </c>
      <c r="O8" s="49"/>
      <c r="P8" s="49"/>
      <c r="Q8" s="49"/>
      <c r="R8" s="49"/>
    </row>
    <row r="9" spans="2:21" x14ac:dyDescent="0.3">
      <c r="B9" t="s">
        <v>88</v>
      </c>
      <c r="C9" s="49">
        <f t="shared" ref="C9:H9" si="2">C3+M3</f>
        <v>5000</v>
      </c>
      <c r="D9" s="49">
        <f t="shared" si="2"/>
        <v>4500</v>
      </c>
      <c r="E9" s="49">
        <f t="shared" si="2"/>
        <v>3000</v>
      </c>
      <c r="F9" s="49">
        <f t="shared" si="2"/>
        <v>465.1162790697673</v>
      </c>
      <c r="G9" s="49">
        <f t="shared" si="2"/>
        <v>4000</v>
      </c>
      <c r="H9" s="49">
        <f t="shared" si="2"/>
        <v>3034.8837209302328</v>
      </c>
      <c r="L9" s="49"/>
      <c r="M9" s="49"/>
      <c r="N9" s="49"/>
      <c r="O9" s="49"/>
      <c r="P9" s="49"/>
      <c r="Q9" s="49"/>
      <c r="R9" s="49"/>
    </row>
    <row r="10" spans="2:21" x14ac:dyDescent="0.3">
      <c r="C10" s="49" t="s">
        <v>37</v>
      </c>
      <c r="D10" s="49" t="s">
        <v>37</v>
      </c>
      <c r="E10" s="49" t="s">
        <v>37</v>
      </c>
      <c r="F10" s="49" t="s">
        <v>37</v>
      </c>
      <c r="G10" s="49" t="s">
        <v>37</v>
      </c>
      <c r="H10" s="49" t="s">
        <v>37</v>
      </c>
      <c r="I10" s="49"/>
      <c r="J10" s="49"/>
      <c r="K10" s="49"/>
      <c r="L10" s="49"/>
      <c r="M10" s="49"/>
      <c r="N10" s="49"/>
      <c r="O10" s="49"/>
      <c r="P10" s="49"/>
      <c r="Q10" s="49"/>
      <c r="R10" s="49"/>
    </row>
    <row r="11" spans="2:21" x14ac:dyDescent="0.3">
      <c r="B11" t="s">
        <v>218</v>
      </c>
      <c r="C11" s="73">
        <v>5000</v>
      </c>
      <c r="D11" s="73">
        <v>4500</v>
      </c>
      <c r="E11" s="73">
        <v>3000</v>
      </c>
      <c r="F11" s="73">
        <v>3500</v>
      </c>
      <c r="G11" s="73">
        <v>4000</v>
      </c>
      <c r="H11" s="73">
        <v>3500</v>
      </c>
      <c r="I11" s="74"/>
      <c r="J11" s="74"/>
      <c r="K11" s="74"/>
      <c r="L11" s="74"/>
      <c r="M11" s="74"/>
      <c r="N11" s="74"/>
      <c r="O11" s="74"/>
      <c r="P11" s="74"/>
      <c r="Q11" s="74"/>
      <c r="R11" s="74"/>
    </row>
    <row r="12" spans="2:21" x14ac:dyDescent="0.3">
      <c r="B12" t="s">
        <v>216</v>
      </c>
      <c r="C12" s="75">
        <v>3.1</v>
      </c>
      <c r="D12" s="75">
        <v>3.2</v>
      </c>
      <c r="E12" s="75">
        <v>3.45</v>
      </c>
      <c r="F12" s="75">
        <v>4.1500000000000004</v>
      </c>
      <c r="G12" s="75">
        <v>3.25</v>
      </c>
      <c r="H12" s="75">
        <v>2.75</v>
      </c>
      <c r="I12" s="32"/>
      <c r="J12" s="32"/>
      <c r="K12" s="32"/>
      <c r="L12" s="32"/>
      <c r="M12" s="32"/>
      <c r="N12" s="32"/>
      <c r="O12" s="32"/>
      <c r="P12" s="32"/>
      <c r="Q12" s="32"/>
      <c r="R12" s="32"/>
    </row>
    <row r="13" spans="2:21" x14ac:dyDescent="0.3">
      <c r="B13" t="s">
        <v>215</v>
      </c>
      <c r="C13" s="76">
        <f>C9*C12</f>
        <v>15500</v>
      </c>
      <c r="D13" s="76">
        <f t="shared" ref="D13:H13" si="3">D9*D12</f>
        <v>14400</v>
      </c>
      <c r="E13" s="76">
        <f t="shared" si="3"/>
        <v>10350</v>
      </c>
      <c r="F13" s="76">
        <f t="shared" si="3"/>
        <v>1930.2325581395344</v>
      </c>
      <c r="G13" s="76">
        <f t="shared" si="3"/>
        <v>13000</v>
      </c>
      <c r="H13" s="76">
        <f t="shared" si="3"/>
        <v>8345.9302325581411</v>
      </c>
      <c r="I13" s="18">
        <f>SUM(C13:H13)</f>
        <v>63526.162790697679</v>
      </c>
      <c r="J13" s="3"/>
      <c r="K13" s="3"/>
      <c r="L13" s="3"/>
      <c r="M13" s="3"/>
      <c r="N13" s="3"/>
      <c r="O13" s="3"/>
      <c r="P13" s="3"/>
      <c r="Q13" s="3"/>
      <c r="R13" s="3"/>
    </row>
    <row r="14" spans="2:21" x14ac:dyDescent="0.3">
      <c r="H14" t="s">
        <v>223</v>
      </c>
      <c r="I14" s="18">
        <v>5000</v>
      </c>
    </row>
    <row r="15" spans="2:21" x14ac:dyDescent="0.3">
      <c r="H15" t="s">
        <v>81</v>
      </c>
      <c r="I15" s="18">
        <f>I13-I14</f>
        <v>58526.162790697679</v>
      </c>
    </row>
    <row r="16" spans="2:21" x14ac:dyDescent="0.3">
      <c r="F16" s="49"/>
      <c r="G16" s="49"/>
      <c r="H16" s="49"/>
      <c r="I16" s="74"/>
      <c r="J16" s="74"/>
      <c r="K16" s="74"/>
      <c r="L16" s="74"/>
      <c r="M16" s="74"/>
      <c r="N16" s="74"/>
      <c r="O16" s="74"/>
      <c r="P16" s="74"/>
      <c r="Q16" s="74"/>
      <c r="R16" s="74"/>
      <c r="S16" s="49"/>
      <c r="T16" s="49"/>
    </row>
    <row r="17" spans="3:20" x14ac:dyDescent="0.3">
      <c r="S17" s="49"/>
      <c r="T17" s="49"/>
    </row>
    <row r="18" spans="3:20" x14ac:dyDescent="0.3">
      <c r="S18" s="49"/>
      <c r="T18" s="49"/>
    </row>
    <row r="19" spans="3:20" x14ac:dyDescent="0.3">
      <c r="C19" s="49"/>
      <c r="D19" s="49"/>
      <c r="E19" s="49"/>
      <c r="F19" s="49"/>
      <c r="G19" s="49"/>
      <c r="H19" s="49"/>
      <c r="I19" s="49"/>
      <c r="J19" s="49"/>
      <c r="K19" s="49"/>
      <c r="L19" s="49"/>
      <c r="M19" s="49"/>
      <c r="N19" s="49"/>
      <c r="O19" s="49"/>
      <c r="P19" s="49"/>
      <c r="Q19" s="49"/>
      <c r="R19" s="49"/>
      <c r="S19" s="49"/>
      <c r="T19" s="49"/>
    </row>
    <row r="20" spans="3:20" x14ac:dyDescent="0.3">
      <c r="C20" s="49"/>
      <c r="D20" s="49"/>
      <c r="E20" s="49"/>
      <c r="F20" s="49"/>
      <c r="G20" s="49"/>
      <c r="H20" s="49"/>
      <c r="I20" s="49"/>
      <c r="J20" s="49"/>
      <c r="K20" s="49"/>
      <c r="L20" s="49"/>
      <c r="M20" s="49"/>
      <c r="N20" s="49"/>
      <c r="O20" s="49"/>
      <c r="P20" s="49"/>
      <c r="Q20" s="49"/>
      <c r="R20" s="49"/>
      <c r="S20" s="49"/>
      <c r="T20" s="49"/>
    </row>
    <row r="21" spans="3:20" x14ac:dyDescent="0.3">
      <c r="C21" s="71"/>
      <c r="D21" s="71"/>
      <c r="E21" s="71"/>
      <c r="F21" s="71"/>
      <c r="G21" s="71"/>
      <c r="H21" s="71"/>
      <c r="I21" s="71"/>
      <c r="J21" s="71"/>
      <c r="K21" s="71"/>
      <c r="L21" s="71"/>
      <c r="M21" s="71"/>
      <c r="N21" s="71"/>
      <c r="O21" s="71"/>
      <c r="P21" s="71"/>
      <c r="Q21" s="71"/>
      <c r="R21" s="71"/>
      <c r="S21" s="49"/>
      <c r="T21" s="49"/>
    </row>
    <row r="22" spans="3:20" x14ac:dyDescent="0.3">
      <c r="C22" s="49"/>
      <c r="D22" s="49"/>
      <c r="E22" s="49"/>
      <c r="F22" s="49"/>
      <c r="G22" s="49"/>
      <c r="H22" s="49"/>
      <c r="I22" s="49"/>
      <c r="J22" s="49"/>
      <c r="K22" s="49"/>
      <c r="L22" s="49"/>
      <c r="M22" s="49"/>
      <c r="N22" s="49"/>
      <c r="O22" s="49"/>
      <c r="P22" s="49"/>
      <c r="Q22" s="49"/>
      <c r="R22" s="49"/>
      <c r="S22" s="49"/>
      <c r="T22" s="49"/>
    </row>
    <row r="23" spans="3:20" x14ac:dyDescent="0.3">
      <c r="C23" s="72"/>
      <c r="D23" s="72"/>
      <c r="E23" s="72"/>
      <c r="F23" s="72"/>
      <c r="G23" s="72"/>
      <c r="H23" s="72"/>
      <c r="I23" s="72"/>
      <c r="J23" s="72"/>
      <c r="K23" s="72"/>
      <c r="L23" s="72"/>
      <c r="M23" s="72"/>
      <c r="N23" s="72"/>
      <c r="O23" s="72"/>
      <c r="P23" s="72"/>
      <c r="Q23" s="72"/>
      <c r="R23" s="72"/>
      <c r="S23" s="49"/>
      <c r="T23" s="49"/>
    </row>
    <row r="24" spans="3:20" x14ac:dyDescent="0.3">
      <c r="C24" s="49"/>
      <c r="D24" s="49"/>
      <c r="E24" s="49"/>
      <c r="F24" s="49"/>
      <c r="G24" s="49"/>
      <c r="H24" s="49"/>
      <c r="I24" s="49"/>
      <c r="J24" s="49"/>
      <c r="K24" s="49"/>
      <c r="L24" s="49"/>
      <c r="M24" s="49"/>
      <c r="N24" s="49"/>
      <c r="O24" s="49"/>
      <c r="P24" s="49"/>
      <c r="Q24" s="49"/>
      <c r="R24" s="49"/>
      <c r="S24" s="49"/>
      <c r="T24" s="49"/>
    </row>
    <row r="25" spans="3:20" x14ac:dyDescent="0.3">
      <c r="C25" s="49"/>
      <c r="D25" s="49"/>
      <c r="E25" s="49"/>
      <c r="F25" s="49"/>
      <c r="G25" s="49"/>
      <c r="H25" s="49"/>
      <c r="I25" s="49"/>
      <c r="J25" s="49"/>
      <c r="K25" s="49"/>
      <c r="L25" s="49"/>
      <c r="M25" s="49"/>
      <c r="N25" s="49"/>
      <c r="O25" s="49"/>
      <c r="P25" s="49"/>
      <c r="Q25" s="49"/>
      <c r="R25" s="49"/>
      <c r="S25" s="49"/>
      <c r="T25" s="49"/>
    </row>
    <row r="26" spans="3:20" x14ac:dyDescent="0.3">
      <c r="F26" s="49"/>
      <c r="G26" s="49"/>
      <c r="H26" s="49"/>
      <c r="I26" s="49"/>
      <c r="J26" s="49"/>
      <c r="K26" s="49"/>
      <c r="L26" s="49"/>
      <c r="M26" s="49"/>
      <c r="N26" s="49"/>
      <c r="O26" s="49"/>
      <c r="P26" s="49"/>
      <c r="Q26" s="49"/>
      <c r="R26" s="49"/>
      <c r="S26" s="49"/>
      <c r="T26" s="49"/>
    </row>
    <row r="27" spans="3:20" x14ac:dyDescent="0.3">
      <c r="C27" s="49"/>
      <c r="D27" s="49"/>
      <c r="E27" s="49"/>
      <c r="F27" s="49"/>
      <c r="G27" s="49"/>
      <c r="H27" s="49"/>
      <c r="I27" s="49"/>
      <c r="J27" s="49"/>
      <c r="K27" s="49"/>
      <c r="L27" s="49"/>
      <c r="M27" s="49"/>
      <c r="N27" s="49"/>
      <c r="O27" s="49"/>
      <c r="P27" s="49"/>
      <c r="Q27" s="49"/>
      <c r="R27" s="49"/>
      <c r="S27" s="49"/>
      <c r="T27" s="49"/>
    </row>
    <row r="28" spans="3:20" x14ac:dyDescent="0.3">
      <c r="C28" s="49"/>
      <c r="D28" s="49"/>
      <c r="E28" s="49"/>
      <c r="F28" s="49"/>
      <c r="G28" s="49"/>
      <c r="H28" s="49"/>
      <c r="I28" s="49"/>
      <c r="J28" s="49"/>
      <c r="K28" s="49"/>
      <c r="L28" s="49"/>
      <c r="M28" s="49"/>
      <c r="N28" s="49"/>
      <c r="O28" s="49"/>
      <c r="P28" s="49"/>
      <c r="Q28" s="49"/>
      <c r="R28" s="49"/>
      <c r="S28" s="49"/>
      <c r="T28" s="49"/>
    </row>
    <row r="29" spans="3:20" x14ac:dyDescent="0.3">
      <c r="C29" s="49"/>
      <c r="D29" s="49"/>
      <c r="E29" s="49"/>
      <c r="F29" s="49"/>
      <c r="G29" s="49"/>
      <c r="H29" s="49"/>
      <c r="I29" s="49"/>
      <c r="J29" s="49"/>
      <c r="K29" s="49"/>
      <c r="L29" s="49"/>
      <c r="M29" s="49"/>
      <c r="N29" s="49"/>
      <c r="O29" s="49"/>
      <c r="P29" s="49"/>
      <c r="Q29" s="49"/>
      <c r="R29" s="49"/>
      <c r="S29" s="49"/>
      <c r="T29" s="49"/>
    </row>
    <row r="30" spans="3:20" x14ac:dyDescent="0.3">
      <c r="C30" s="49"/>
      <c r="D30" s="49"/>
      <c r="E30" s="49"/>
      <c r="F30" s="49"/>
      <c r="G30" s="49"/>
      <c r="H30" s="49"/>
      <c r="I30" s="49"/>
      <c r="J30" s="49"/>
      <c r="K30" s="49"/>
      <c r="L30" s="49"/>
      <c r="M30" s="49"/>
      <c r="N30" s="49"/>
      <c r="O30" s="49"/>
      <c r="P30" s="49"/>
      <c r="Q30" s="49"/>
      <c r="R30" s="49"/>
      <c r="S30" s="49"/>
      <c r="T30" s="49"/>
    </row>
    <row r="31" spans="3:20" x14ac:dyDescent="0.3">
      <c r="C31" s="49"/>
      <c r="D31" s="49"/>
      <c r="E31" s="49"/>
      <c r="F31" s="49"/>
      <c r="G31" s="49"/>
      <c r="H31" s="49"/>
      <c r="I31" s="49"/>
      <c r="J31" s="49"/>
      <c r="K31" s="49"/>
      <c r="L31" s="49"/>
      <c r="M31" s="49"/>
      <c r="N31" s="49"/>
      <c r="O31" s="49"/>
      <c r="P31" s="49"/>
      <c r="Q31" s="49"/>
      <c r="R31" s="49"/>
      <c r="S31" s="49"/>
      <c r="T31" s="49"/>
    </row>
    <row r="32" spans="3:20" x14ac:dyDescent="0.3">
      <c r="C32" s="49"/>
      <c r="D32" s="49"/>
      <c r="E32" s="49"/>
      <c r="F32" s="49"/>
      <c r="G32" s="49"/>
      <c r="H32" s="49"/>
      <c r="I32" s="49"/>
      <c r="J32" s="49"/>
      <c r="K32" s="49"/>
      <c r="L32" s="49"/>
      <c r="M32" s="49"/>
      <c r="N32" s="49"/>
      <c r="O32" s="49"/>
      <c r="P32" s="49"/>
      <c r="Q32" s="49"/>
      <c r="R32" s="49"/>
      <c r="S32" s="49"/>
      <c r="T32" s="49"/>
    </row>
    <row r="33" spans="3:20" x14ac:dyDescent="0.3">
      <c r="C33" s="49"/>
      <c r="D33" s="49"/>
      <c r="E33" s="49"/>
      <c r="F33" s="49"/>
      <c r="G33" s="49"/>
      <c r="H33" s="49"/>
      <c r="I33" s="49"/>
      <c r="J33" s="49"/>
      <c r="K33" s="49"/>
      <c r="L33" s="49"/>
      <c r="M33" s="49"/>
      <c r="N33" s="49"/>
      <c r="O33" s="49"/>
      <c r="P33" s="49"/>
      <c r="Q33" s="49"/>
      <c r="R33" s="49"/>
      <c r="S33" s="49"/>
      <c r="T33" s="49"/>
    </row>
    <row r="34" spans="3:20" x14ac:dyDescent="0.3">
      <c r="C34" s="49"/>
      <c r="D34" s="49"/>
      <c r="E34" s="49"/>
      <c r="F34" s="49"/>
      <c r="G34" s="49"/>
      <c r="H34" s="49"/>
      <c r="I34" s="49"/>
      <c r="J34" s="49"/>
      <c r="K34" s="49"/>
      <c r="L34" s="49"/>
      <c r="M34" s="49"/>
      <c r="N34" s="49"/>
      <c r="O34" s="49"/>
      <c r="P34" s="49"/>
      <c r="Q34" s="49"/>
      <c r="R34" s="49"/>
      <c r="S34" s="49"/>
      <c r="T34" s="49"/>
    </row>
    <row r="35" spans="3:20" x14ac:dyDescent="0.3">
      <c r="C35" s="49"/>
      <c r="D35" s="49"/>
      <c r="E35" s="49"/>
      <c r="F35" s="49"/>
      <c r="G35" s="49"/>
      <c r="H35" s="49"/>
      <c r="I35" s="49"/>
      <c r="J35" s="49"/>
      <c r="K35" s="49"/>
      <c r="L35" s="49"/>
      <c r="M35" s="49"/>
      <c r="N35" s="49"/>
      <c r="O35" s="49"/>
      <c r="P35" s="49"/>
      <c r="Q35" s="49"/>
      <c r="R35" s="49"/>
      <c r="S35" s="49"/>
      <c r="T35" s="49"/>
    </row>
    <row r="36" spans="3:20" x14ac:dyDescent="0.3">
      <c r="C36" s="49"/>
      <c r="D36" s="49"/>
      <c r="E36" s="49"/>
      <c r="F36" s="49"/>
      <c r="G36" s="49"/>
      <c r="H36" s="49"/>
      <c r="I36" s="49"/>
      <c r="J36" s="49"/>
      <c r="K36" s="49"/>
      <c r="L36" s="49"/>
      <c r="M36" s="49"/>
      <c r="N36" s="49"/>
      <c r="O36" s="49"/>
      <c r="P36" s="49"/>
      <c r="Q36" s="49"/>
      <c r="R36" s="49"/>
      <c r="S36" s="49"/>
      <c r="T36" s="49"/>
    </row>
    <row r="37" spans="3:20" x14ac:dyDescent="0.3">
      <c r="C37" s="49"/>
      <c r="D37" s="49"/>
      <c r="E37" s="49"/>
      <c r="F37" s="49"/>
      <c r="G37" s="49"/>
      <c r="H37" s="49"/>
      <c r="I37" s="49"/>
      <c r="J37" s="49"/>
      <c r="K37" s="49"/>
      <c r="L37" s="49"/>
      <c r="M37" s="49"/>
      <c r="N37" s="49"/>
      <c r="O37" s="49"/>
      <c r="P37" s="49"/>
      <c r="Q37" s="49"/>
      <c r="R37" s="49"/>
      <c r="S37" s="49"/>
      <c r="T37" s="49"/>
    </row>
    <row r="38" spans="3:20" x14ac:dyDescent="0.3">
      <c r="C38" s="49"/>
      <c r="D38" s="49"/>
      <c r="E38" s="49"/>
      <c r="F38" s="49"/>
      <c r="G38" s="49"/>
      <c r="H38" s="49"/>
      <c r="I38" s="49"/>
      <c r="J38" s="49"/>
      <c r="K38" s="49"/>
      <c r="L38" s="49"/>
      <c r="M38" s="49"/>
      <c r="N38" s="49"/>
      <c r="O38" s="49"/>
      <c r="P38" s="49"/>
      <c r="Q38" s="49"/>
      <c r="R38" s="49"/>
      <c r="S38" s="49"/>
      <c r="T38" s="49"/>
    </row>
    <row r="39" spans="3:20" x14ac:dyDescent="0.3">
      <c r="C39" s="49"/>
      <c r="D39" s="49"/>
      <c r="E39" s="49"/>
      <c r="F39" s="49"/>
      <c r="G39" s="49"/>
      <c r="H39" s="49"/>
      <c r="I39" s="49"/>
      <c r="J39" s="49"/>
      <c r="K39" s="49"/>
      <c r="L39" s="49"/>
      <c r="M39" s="49"/>
      <c r="N39" s="49"/>
      <c r="O39" s="49"/>
      <c r="P39" s="49"/>
      <c r="Q39" s="49"/>
      <c r="R39" s="49"/>
      <c r="S39" s="49"/>
      <c r="T39" s="49"/>
    </row>
    <row r="40" spans="3:20" x14ac:dyDescent="0.3">
      <c r="C40" s="49"/>
      <c r="D40" s="49"/>
      <c r="E40" s="49"/>
      <c r="F40" s="49"/>
      <c r="G40" s="49"/>
      <c r="H40" s="49"/>
      <c r="I40" s="49"/>
      <c r="J40" s="49"/>
      <c r="K40" s="49"/>
      <c r="L40" s="49"/>
      <c r="M40" s="49"/>
      <c r="N40" s="49"/>
      <c r="O40" s="49"/>
      <c r="P40" s="49"/>
      <c r="Q40" s="49"/>
      <c r="R40" s="49"/>
      <c r="S40" s="49"/>
      <c r="T40" s="49"/>
    </row>
  </sheetData>
  <mergeCells count="2">
    <mergeCell ref="C1:H1"/>
    <mergeCell ref="M1:R1"/>
  </mergeCells>
  <phoneticPr fontId="4"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CC58-F921-4BFC-8284-83B0DAE95620}">
  <sheetPr>
    <tabColor rgb="FF92D050"/>
  </sheetPr>
  <dimension ref="A2:F20"/>
  <sheetViews>
    <sheetView workbookViewId="0">
      <selection activeCell="H8" sqref="H8"/>
    </sheetView>
  </sheetViews>
  <sheetFormatPr defaultRowHeight="14" x14ac:dyDescent="0.3"/>
  <cols>
    <col min="1" max="1" width="17.33203125" bestFit="1" customWidth="1"/>
  </cols>
  <sheetData>
    <row r="2" spans="1:6" x14ac:dyDescent="0.3">
      <c r="B2" t="s">
        <v>225</v>
      </c>
      <c r="C2" t="s">
        <v>226</v>
      </c>
    </row>
    <row r="3" spans="1:6" x14ac:dyDescent="0.3">
      <c r="A3" t="s">
        <v>227</v>
      </c>
      <c r="B3" s="33">
        <v>320</v>
      </c>
      <c r="C3" s="33">
        <v>360</v>
      </c>
    </row>
    <row r="4" spans="1:6" x14ac:dyDescent="0.3">
      <c r="A4" t="s">
        <v>228</v>
      </c>
      <c r="B4" s="55">
        <v>7</v>
      </c>
      <c r="C4" s="55">
        <v>5</v>
      </c>
      <c r="D4" s="17">
        <f>SUMPRODUCT($B$3:$C$3,B4:C4)</f>
        <v>4040</v>
      </c>
    </row>
    <row r="6" spans="1:6" x14ac:dyDescent="0.3">
      <c r="A6" t="s">
        <v>72</v>
      </c>
    </row>
    <row r="7" spans="1:6" x14ac:dyDescent="0.3">
      <c r="A7" t="s">
        <v>229</v>
      </c>
      <c r="B7">
        <v>3</v>
      </c>
      <c r="C7">
        <v>4</v>
      </c>
      <c r="D7">
        <f>SUMPRODUCT($B$3:$C$3,B7:C7)</f>
        <v>2400</v>
      </c>
      <c r="E7" t="s">
        <v>37</v>
      </c>
      <c r="F7" s="15">
        <v>2400</v>
      </c>
    </row>
    <row r="8" spans="1:6" x14ac:dyDescent="0.3">
      <c r="A8" t="s">
        <v>231</v>
      </c>
      <c r="B8">
        <v>2</v>
      </c>
      <c r="C8">
        <v>1</v>
      </c>
      <c r="D8">
        <f>SUMPRODUCT($B$3:$C$3,B8:C8)</f>
        <v>1000</v>
      </c>
      <c r="E8" t="s">
        <v>37</v>
      </c>
      <c r="F8" s="15">
        <v>1000</v>
      </c>
    </row>
    <row r="11" spans="1:6" x14ac:dyDescent="0.3">
      <c r="A11" t="s">
        <v>232</v>
      </c>
      <c r="B11">
        <f>C3</f>
        <v>360</v>
      </c>
      <c r="C11" t="s">
        <v>37</v>
      </c>
      <c r="D11" s="15">
        <v>450</v>
      </c>
    </row>
    <row r="12" spans="1:6" x14ac:dyDescent="0.3">
      <c r="A12" t="s">
        <v>233</v>
      </c>
      <c r="B12">
        <f>B3</f>
        <v>320</v>
      </c>
      <c r="C12" t="s">
        <v>80</v>
      </c>
      <c r="D12" s="15">
        <v>100</v>
      </c>
    </row>
    <row r="19" spans="1:1" x14ac:dyDescent="0.3">
      <c r="A19" s="24" t="s">
        <v>230</v>
      </c>
    </row>
    <row r="20" spans="1:1" x14ac:dyDescent="0.3">
      <c r="A20" s="24" t="s">
        <v>224</v>
      </c>
    </row>
  </sheetData>
  <phoneticPr fontId="4"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5E59-A41C-4E45-B428-23F712E4881B}">
  <sheetPr>
    <tabColor rgb="FF92D050"/>
  </sheetPr>
  <dimension ref="B1:M49"/>
  <sheetViews>
    <sheetView topLeftCell="A19" workbookViewId="0">
      <selection activeCell="C36" sqref="C36"/>
    </sheetView>
  </sheetViews>
  <sheetFormatPr defaultRowHeight="14" x14ac:dyDescent="0.3"/>
  <cols>
    <col min="2" max="2" width="17.5" bestFit="1" customWidth="1"/>
    <col min="3" max="3" width="13" bestFit="1" customWidth="1"/>
    <col min="4" max="4" width="14.08203125" bestFit="1" customWidth="1"/>
    <col min="5" max="5" width="18.33203125" bestFit="1" customWidth="1"/>
    <col min="6" max="6" width="10" bestFit="1" customWidth="1"/>
    <col min="7" max="8" width="14.6640625" bestFit="1" customWidth="1"/>
    <col min="10" max="10" width="10" bestFit="1" customWidth="1"/>
  </cols>
  <sheetData>
    <row r="1" spans="2:13" x14ac:dyDescent="0.3">
      <c r="B1" s="9" t="s">
        <v>234</v>
      </c>
      <c r="C1" s="9"/>
      <c r="D1" s="9"/>
      <c r="E1" s="9"/>
      <c r="G1" s="9" t="s">
        <v>245</v>
      </c>
      <c r="H1" s="9"/>
      <c r="I1" s="9"/>
      <c r="J1" s="9"/>
      <c r="K1" s="9"/>
      <c r="L1" s="9"/>
    </row>
    <row r="2" spans="2:13" x14ac:dyDescent="0.3">
      <c r="B2" s="9" t="s">
        <v>235</v>
      </c>
      <c r="C2" s="9" t="s">
        <v>236</v>
      </c>
      <c r="D2" s="9" t="s">
        <v>237</v>
      </c>
      <c r="E2" s="9" t="s">
        <v>238</v>
      </c>
      <c r="G2" s="9" t="s">
        <v>246</v>
      </c>
      <c r="H2" s="9" t="s">
        <v>247</v>
      </c>
      <c r="I2" s="9" t="s">
        <v>248</v>
      </c>
      <c r="J2" s="9" t="s">
        <v>249</v>
      </c>
      <c r="K2" s="9" t="s">
        <v>250</v>
      </c>
      <c r="L2" s="9" t="s">
        <v>251</v>
      </c>
    </row>
    <row r="3" spans="2:13" x14ac:dyDescent="0.3">
      <c r="B3" s="9" t="s">
        <v>239</v>
      </c>
      <c r="C3" s="40">
        <v>2.8</v>
      </c>
      <c r="D3" s="40">
        <v>14000</v>
      </c>
      <c r="E3" s="40">
        <v>6000</v>
      </c>
      <c r="G3" s="9" t="s">
        <v>252</v>
      </c>
      <c r="H3" s="9">
        <v>0.5</v>
      </c>
      <c r="I3" s="9">
        <v>0.44</v>
      </c>
      <c r="J3" s="9">
        <v>0.49</v>
      </c>
      <c r="K3" s="9">
        <v>0.46</v>
      </c>
      <c r="L3" s="9">
        <v>0.56000000000000005</v>
      </c>
    </row>
    <row r="4" spans="2:13" x14ac:dyDescent="0.3">
      <c r="B4" s="9" t="s">
        <v>240</v>
      </c>
      <c r="C4" s="40">
        <v>3.52</v>
      </c>
      <c r="D4" s="9"/>
      <c r="E4" s="9"/>
      <c r="G4" s="9" t="s">
        <v>253</v>
      </c>
      <c r="H4" s="9">
        <v>0.4</v>
      </c>
      <c r="I4" s="9">
        <v>0.52</v>
      </c>
      <c r="J4" s="9">
        <v>0.5</v>
      </c>
      <c r="K4" s="9">
        <v>0.56000000000000005</v>
      </c>
      <c r="L4" s="9">
        <v>0.56999999999999995</v>
      </c>
    </row>
    <row r="5" spans="2:13" x14ac:dyDescent="0.3">
      <c r="B5" s="9" t="s">
        <v>241</v>
      </c>
      <c r="C5" s="40">
        <v>2.78</v>
      </c>
      <c r="D5" s="40">
        <v>12000</v>
      </c>
      <c r="E5" s="40">
        <v>5000</v>
      </c>
      <c r="G5" s="9" t="s">
        <v>254</v>
      </c>
      <c r="H5" s="9">
        <v>0.56000000000000005</v>
      </c>
      <c r="I5" s="9">
        <v>0.53</v>
      </c>
      <c r="J5" s="9">
        <v>0.51</v>
      </c>
      <c r="K5" s="9">
        <v>0.54</v>
      </c>
      <c r="L5" s="9">
        <v>0.35</v>
      </c>
    </row>
    <row r="6" spans="2:13" x14ac:dyDescent="0.3">
      <c r="B6" s="9" t="s">
        <v>242</v>
      </c>
      <c r="C6" s="40">
        <v>3.48</v>
      </c>
      <c r="D6" s="9"/>
      <c r="E6" s="9"/>
    </row>
    <row r="7" spans="2:13" x14ac:dyDescent="0.3">
      <c r="B7" s="9" t="s">
        <v>243</v>
      </c>
      <c r="C7" s="40">
        <v>2.72</v>
      </c>
      <c r="D7" s="40">
        <v>15000</v>
      </c>
      <c r="E7" s="40">
        <v>7500</v>
      </c>
    </row>
    <row r="8" spans="2:13" x14ac:dyDescent="0.3">
      <c r="B8" s="9" t="s">
        <v>244</v>
      </c>
      <c r="C8" s="40">
        <v>3.42</v>
      </c>
      <c r="D8" s="9"/>
      <c r="E8" s="9"/>
    </row>
    <row r="9" spans="2:13" x14ac:dyDescent="0.3">
      <c r="L9" s="9" t="s">
        <v>261</v>
      </c>
      <c r="M9" s="9"/>
    </row>
    <row r="10" spans="2:13" x14ac:dyDescent="0.3">
      <c r="L10" s="9" t="s">
        <v>257</v>
      </c>
      <c r="M10" s="21">
        <v>1</v>
      </c>
    </row>
    <row r="11" spans="2:13" x14ac:dyDescent="0.3">
      <c r="B11" s="9" t="s">
        <v>246</v>
      </c>
      <c r="C11" s="9" t="s">
        <v>247</v>
      </c>
      <c r="D11" s="9" t="s">
        <v>248</v>
      </c>
      <c r="E11" s="9" t="s">
        <v>249</v>
      </c>
      <c r="F11" s="9" t="s">
        <v>250</v>
      </c>
      <c r="G11" s="9" t="s">
        <v>251</v>
      </c>
      <c r="H11" s="46" t="s">
        <v>103</v>
      </c>
      <c r="J11" s="49"/>
      <c r="L11" s="9" t="s">
        <v>253</v>
      </c>
      <c r="M11" s="21">
        <v>0</v>
      </c>
    </row>
    <row r="12" spans="2:13" x14ac:dyDescent="0.3">
      <c r="B12" s="9" t="s">
        <v>257</v>
      </c>
      <c r="C12" s="52">
        <v>0</v>
      </c>
      <c r="D12" s="52">
        <v>13000</v>
      </c>
      <c r="E12" s="52">
        <v>0</v>
      </c>
      <c r="F12" s="52">
        <v>14000.000000000002</v>
      </c>
      <c r="G12" s="52">
        <v>0</v>
      </c>
      <c r="H12" s="49">
        <f>SUM(C12:G12)</f>
        <v>27000</v>
      </c>
      <c r="I12" t="s">
        <v>37</v>
      </c>
      <c r="J12" s="73">
        <f>27000*M10</f>
        <v>27000</v>
      </c>
      <c r="L12" s="9" t="s">
        <v>254</v>
      </c>
      <c r="M12" s="21">
        <v>1</v>
      </c>
    </row>
    <row r="13" spans="2:13" x14ac:dyDescent="0.3">
      <c r="B13" s="9" t="s">
        <v>258</v>
      </c>
      <c r="C13" s="52">
        <v>0</v>
      </c>
      <c r="D13" s="52">
        <v>0</v>
      </c>
      <c r="E13" s="52">
        <v>0</v>
      </c>
      <c r="F13" s="52">
        <v>0</v>
      </c>
      <c r="G13" s="52">
        <v>0</v>
      </c>
      <c r="H13" s="49">
        <f t="shared" ref="H13:H17" si="0">SUM(C13:G13)</f>
        <v>0</v>
      </c>
      <c r="I13" t="s">
        <v>37</v>
      </c>
      <c r="J13" s="73">
        <f>7000*M10</f>
        <v>7000</v>
      </c>
    </row>
    <row r="14" spans="2:13" x14ac:dyDescent="0.3">
      <c r="B14" s="9" t="s">
        <v>259</v>
      </c>
      <c r="C14" s="52">
        <v>3.637978807091713E-12</v>
      </c>
      <c r="D14" s="52">
        <v>0</v>
      </c>
      <c r="E14" s="52">
        <v>0</v>
      </c>
      <c r="F14" s="52">
        <v>0</v>
      </c>
      <c r="G14" s="52">
        <v>0</v>
      </c>
      <c r="H14" s="49">
        <f t="shared" si="0"/>
        <v>3.637978807091713E-12</v>
      </c>
      <c r="I14" t="s">
        <v>37</v>
      </c>
      <c r="J14" s="73">
        <f>20000*M11</f>
        <v>0</v>
      </c>
    </row>
    <row r="15" spans="2:13" x14ac:dyDescent="0.3">
      <c r="B15" s="9" t="s">
        <v>260</v>
      </c>
      <c r="C15" s="52">
        <v>9.0949470177292824E-13</v>
      </c>
      <c r="D15" s="52">
        <v>0</v>
      </c>
      <c r="E15" s="52">
        <v>0</v>
      </c>
      <c r="F15" s="52">
        <v>0</v>
      </c>
      <c r="G15" s="52">
        <v>0</v>
      </c>
      <c r="H15" s="49">
        <f t="shared" si="0"/>
        <v>9.0949470177292824E-13</v>
      </c>
      <c r="I15" t="s">
        <v>37</v>
      </c>
      <c r="J15" s="73">
        <f>5000*M11</f>
        <v>0</v>
      </c>
    </row>
    <row r="16" spans="2:13" x14ac:dyDescent="0.3">
      <c r="B16" s="9" t="s">
        <v>254</v>
      </c>
      <c r="C16" s="52">
        <v>8999.9999999999964</v>
      </c>
      <c r="D16" s="52">
        <v>0</v>
      </c>
      <c r="E16" s="52">
        <v>8000.0000000000164</v>
      </c>
      <c r="F16" s="52">
        <v>0</v>
      </c>
      <c r="G16" s="52">
        <v>7999.9999999999982</v>
      </c>
      <c r="H16" s="49">
        <f t="shared" si="0"/>
        <v>25000.000000000015</v>
      </c>
      <c r="I16" t="s">
        <v>37</v>
      </c>
      <c r="J16" s="73">
        <f>M12*25000</f>
        <v>25000</v>
      </c>
    </row>
    <row r="17" spans="2:10" x14ac:dyDescent="0.3">
      <c r="B17" s="9" t="s">
        <v>256</v>
      </c>
      <c r="C17" s="52">
        <v>0</v>
      </c>
      <c r="D17" s="52">
        <v>0</v>
      </c>
      <c r="E17" s="52">
        <v>2999.9999999999832</v>
      </c>
      <c r="F17" s="52">
        <v>999.99999999999864</v>
      </c>
      <c r="G17" s="52">
        <v>0</v>
      </c>
      <c r="H17" s="49">
        <f t="shared" si="0"/>
        <v>3999.9999999999818</v>
      </c>
      <c r="I17" t="s">
        <v>37</v>
      </c>
      <c r="J17" s="73">
        <f>M12*6000</f>
        <v>6000</v>
      </c>
    </row>
    <row r="18" spans="2:10" x14ac:dyDescent="0.3">
      <c r="B18" t="s">
        <v>255</v>
      </c>
      <c r="C18" s="49">
        <f>SUM(C12:C17)</f>
        <v>9000</v>
      </c>
      <c r="D18" s="49">
        <f t="shared" ref="D18:G18" si="1">SUM(D12:D17)</f>
        <v>13000</v>
      </c>
      <c r="E18" s="49">
        <f t="shared" si="1"/>
        <v>11000</v>
      </c>
      <c r="F18" s="49">
        <f t="shared" si="1"/>
        <v>15000</v>
      </c>
      <c r="G18" s="49">
        <f t="shared" si="1"/>
        <v>7999.9999999999982</v>
      </c>
      <c r="H18" s="49"/>
      <c r="J18" s="49"/>
    </row>
    <row r="19" spans="2:10" x14ac:dyDescent="0.3">
      <c r="C19" s="49" t="s">
        <v>14</v>
      </c>
      <c r="D19" s="49" t="s">
        <v>14</v>
      </c>
      <c r="E19" s="49" t="s">
        <v>14</v>
      </c>
      <c r="F19" s="49" t="s">
        <v>14</v>
      </c>
      <c r="G19" s="49" t="s">
        <v>14</v>
      </c>
      <c r="H19" s="49"/>
      <c r="J19" s="49"/>
    </row>
    <row r="20" spans="2:10" x14ac:dyDescent="0.3">
      <c r="C20" s="73">
        <v>9000</v>
      </c>
      <c r="D20" s="73">
        <v>13000</v>
      </c>
      <c r="E20" s="73">
        <v>11000</v>
      </c>
      <c r="F20" s="73">
        <v>15000</v>
      </c>
      <c r="G20" s="73">
        <v>8000</v>
      </c>
      <c r="H20" s="49"/>
      <c r="J20" s="49"/>
    </row>
    <row r="21" spans="2:10" x14ac:dyDescent="0.3">
      <c r="C21" s="49"/>
      <c r="D21" s="49"/>
      <c r="E21" s="49"/>
      <c r="F21" s="49"/>
      <c r="G21" s="49"/>
      <c r="H21" s="49"/>
      <c r="J21" s="49"/>
    </row>
    <row r="22" spans="2:10" x14ac:dyDescent="0.3">
      <c r="B22" s="9" t="s">
        <v>185</v>
      </c>
      <c r="C22" s="51" t="s">
        <v>88</v>
      </c>
      <c r="D22" s="9" t="s">
        <v>236</v>
      </c>
      <c r="E22" s="51" t="s">
        <v>262</v>
      </c>
      <c r="F22" s="49"/>
      <c r="G22" s="49"/>
    </row>
    <row r="23" spans="2:10" x14ac:dyDescent="0.3">
      <c r="B23" s="9" t="s">
        <v>257</v>
      </c>
      <c r="C23" s="53">
        <f>H12</f>
        <v>27000</v>
      </c>
      <c r="D23" s="40">
        <v>2.8</v>
      </c>
      <c r="E23" s="47">
        <f>C23*D23</f>
        <v>75600</v>
      </c>
    </row>
    <row r="24" spans="2:10" x14ac:dyDescent="0.3">
      <c r="B24" s="9" t="s">
        <v>258</v>
      </c>
      <c r="C24" s="53">
        <f t="shared" ref="C24:C28" si="2">H13</f>
        <v>0</v>
      </c>
      <c r="D24" s="40">
        <v>3.52</v>
      </c>
      <c r="E24" s="47">
        <f t="shared" ref="E24:E28" si="3">C24*D24</f>
        <v>0</v>
      </c>
    </row>
    <row r="25" spans="2:10" x14ac:dyDescent="0.3">
      <c r="B25" s="9" t="s">
        <v>259</v>
      </c>
      <c r="C25" s="53">
        <f t="shared" si="2"/>
        <v>3.637978807091713E-12</v>
      </c>
      <c r="D25" s="40">
        <v>2.78</v>
      </c>
      <c r="E25" s="47">
        <f t="shared" si="3"/>
        <v>1.0113581083714961E-11</v>
      </c>
    </row>
    <row r="26" spans="2:10" x14ac:dyDescent="0.3">
      <c r="B26" s="9" t="s">
        <v>260</v>
      </c>
      <c r="C26" s="53">
        <f t="shared" si="2"/>
        <v>9.0949470177292824E-13</v>
      </c>
      <c r="D26" s="40">
        <v>3.48</v>
      </c>
      <c r="E26" s="47">
        <f t="shared" si="3"/>
        <v>3.1650415621697903E-12</v>
      </c>
    </row>
    <row r="27" spans="2:10" x14ac:dyDescent="0.3">
      <c r="B27" s="9" t="s">
        <v>254</v>
      </c>
      <c r="C27" s="53">
        <f t="shared" si="2"/>
        <v>25000.000000000015</v>
      </c>
      <c r="D27" s="40">
        <v>2.72</v>
      </c>
      <c r="E27" s="47">
        <f t="shared" si="3"/>
        <v>68000.000000000044</v>
      </c>
    </row>
    <row r="28" spans="2:10" x14ac:dyDescent="0.3">
      <c r="B28" s="9" t="s">
        <v>256</v>
      </c>
      <c r="C28" s="53">
        <f t="shared" si="2"/>
        <v>3999.9999999999818</v>
      </c>
      <c r="D28" s="40">
        <v>3.42</v>
      </c>
      <c r="E28" s="47">
        <f t="shared" si="3"/>
        <v>13679.999999999938</v>
      </c>
    </row>
    <row r="29" spans="2:10" x14ac:dyDescent="0.3">
      <c r="D29" s="9" t="s">
        <v>262</v>
      </c>
      <c r="E29" s="79">
        <f>SUM(E23:E28)</f>
        <v>157280</v>
      </c>
    </row>
    <row r="30" spans="2:10" x14ac:dyDescent="0.3">
      <c r="B30" t="s">
        <v>223</v>
      </c>
    </row>
    <row r="31" spans="2:10" x14ac:dyDescent="0.3">
      <c r="B31" s="9" t="s">
        <v>263</v>
      </c>
      <c r="C31" s="9"/>
    </row>
    <row r="32" spans="2:10" x14ac:dyDescent="0.3">
      <c r="B32" s="9" t="s">
        <v>257</v>
      </c>
      <c r="C32" s="40">
        <f>D3*M10</f>
        <v>14000</v>
      </c>
    </row>
    <row r="33" spans="2:8" x14ac:dyDescent="0.3">
      <c r="B33" s="9" t="s">
        <v>253</v>
      </c>
      <c r="C33" s="40">
        <f>D5*M11</f>
        <v>0</v>
      </c>
    </row>
    <row r="34" spans="2:8" x14ac:dyDescent="0.3">
      <c r="B34" s="9" t="s">
        <v>254</v>
      </c>
      <c r="C34" s="40">
        <f>D7*M12</f>
        <v>15000</v>
      </c>
    </row>
    <row r="35" spans="2:8" x14ac:dyDescent="0.3">
      <c r="B35" s="9" t="s">
        <v>264</v>
      </c>
      <c r="C35" s="9"/>
    </row>
    <row r="36" spans="2:8" x14ac:dyDescent="0.3">
      <c r="B36" s="9" t="s">
        <v>257</v>
      </c>
      <c r="C36" s="40">
        <f>E3*(1-M10)</f>
        <v>0</v>
      </c>
    </row>
    <row r="37" spans="2:8" x14ac:dyDescent="0.3">
      <c r="B37" s="9" t="s">
        <v>253</v>
      </c>
      <c r="C37" s="40">
        <f>E5*(1-M11)</f>
        <v>5000</v>
      </c>
    </row>
    <row r="38" spans="2:8" x14ac:dyDescent="0.3">
      <c r="B38" s="9" t="s">
        <v>254</v>
      </c>
      <c r="C38" s="40">
        <f>E7*(1-M12)</f>
        <v>0</v>
      </c>
    </row>
    <row r="39" spans="2:8" x14ac:dyDescent="0.3">
      <c r="B39" s="9" t="s">
        <v>265</v>
      </c>
      <c r="C39" s="77">
        <f>SUM(C32:C38)</f>
        <v>34000</v>
      </c>
    </row>
    <row r="41" spans="2:8" x14ac:dyDescent="0.3">
      <c r="B41" t="s">
        <v>266</v>
      </c>
    </row>
    <row r="42" spans="2:8" x14ac:dyDescent="0.3">
      <c r="B42" s="9" t="s">
        <v>246</v>
      </c>
      <c r="C42" s="9" t="s">
        <v>247</v>
      </c>
      <c r="D42" s="9" t="s">
        <v>248</v>
      </c>
      <c r="E42" s="9" t="s">
        <v>249</v>
      </c>
      <c r="F42" s="9" t="s">
        <v>250</v>
      </c>
      <c r="G42" s="9" t="s">
        <v>251</v>
      </c>
      <c r="H42" s="9" t="s">
        <v>110</v>
      </c>
    </row>
    <row r="43" spans="2:8" x14ac:dyDescent="0.3">
      <c r="B43" s="9" t="s">
        <v>252</v>
      </c>
      <c r="C43" s="47">
        <v>0.5</v>
      </c>
      <c r="D43" s="47">
        <v>0.44</v>
      </c>
      <c r="E43" s="47">
        <v>0.49</v>
      </c>
      <c r="F43" s="47">
        <v>0.46</v>
      </c>
      <c r="G43" s="47">
        <v>0.56000000000000005</v>
      </c>
      <c r="H43" s="47">
        <f>SUMPRODUCT($C$43:$G$43,C13:G13)+SUMPRODUCT($C$43:$G$43,C12:G12)</f>
        <v>12160</v>
      </c>
    </row>
    <row r="44" spans="2:8" x14ac:dyDescent="0.3">
      <c r="B44" s="9" t="s">
        <v>253</v>
      </c>
      <c r="C44" s="47">
        <v>0.4</v>
      </c>
      <c r="D44" s="47">
        <v>0.52</v>
      </c>
      <c r="E44" s="47">
        <v>0.5</v>
      </c>
      <c r="F44" s="47">
        <v>0.56000000000000005</v>
      </c>
      <c r="G44" s="47">
        <v>0.56999999999999995</v>
      </c>
      <c r="H44" s="47">
        <f>SUMPRODUCT($C$44:$G$44,C15:G15)+SUMPRODUCT($C$44:$G$44,C14:G14)</f>
        <v>1.8189894035458565E-12</v>
      </c>
    </row>
    <row r="45" spans="2:8" x14ac:dyDescent="0.3">
      <c r="B45" s="9" t="s">
        <v>254</v>
      </c>
      <c r="C45" s="47">
        <v>0.56000000000000005</v>
      </c>
      <c r="D45" s="47">
        <v>0.53</v>
      </c>
      <c r="E45" s="47">
        <v>0.51</v>
      </c>
      <c r="F45" s="47">
        <v>0.54</v>
      </c>
      <c r="G45" s="47">
        <v>0.35</v>
      </c>
      <c r="H45" s="47">
        <f>SUMPRODUCT($C$45:$G$45,C17:G17)+SUMPRODUCT($C$45:$G$45,C16:G16)</f>
        <v>13989.999999999998</v>
      </c>
    </row>
    <row r="46" spans="2:8" x14ac:dyDescent="0.3">
      <c r="G46" s="9" t="s">
        <v>267</v>
      </c>
      <c r="H46" s="79">
        <f>SUM(H43:H45)</f>
        <v>26150</v>
      </c>
    </row>
    <row r="49" spans="2:3" x14ac:dyDescent="0.3">
      <c r="B49" s="42" t="s">
        <v>36</v>
      </c>
      <c r="C49" s="78">
        <f>C39+E29+H46</f>
        <v>217430</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080D-28B5-4CB4-B721-24F55C21F0B5}">
  <sheetPr>
    <tabColor rgb="FF92D050"/>
  </sheetPr>
  <dimension ref="A1:R43"/>
  <sheetViews>
    <sheetView workbookViewId="0">
      <selection activeCell="A11" sqref="A11:E13"/>
    </sheetView>
  </sheetViews>
  <sheetFormatPr defaultRowHeight="14" x14ac:dyDescent="0.3"/>
  <cols>
    <col min="1" max="1" width="16.83203125" customWidth="1"/>
    <col min="2" max="2" width="22.33203125" bestFit="1" customWidth="1"/>
    <col min="3" max="3" width="18.6640625" bestFit="1" customWidth="1"/>
    <col min="4" max="4" width="13.75" bestFit="1" customWidth="1"/>
    <col min="5" max="5" width="22.33203125" bestFit="1" customWidth="1"/>
    <col min="6" max="6" width="14.25" bestFit="1" customWidth="1"/>
    <col min="7" max="7" width="10.83203125" bestFit="1" customWidth="1"/>
    <col min="8" max="8" width="13.33203125" bestFit="1" customWidth="1"/>
  </cols>
  <sheetData>
    <row r="1" spans="1:18" x14ac:dyDescent="0.3">
      <c r="A1" t="s">
        <v>268</v>
      </c>
      <c r="I1" t="s">
        <v>277</v>
      </c>
    </row>
    <row r="2" spans="1:18" x14ac:dyDescent="0.3">
      <c r="A2" t="s">
        <v>269</v>
      </c>
      <c r="B2" t="s">
        <v>65</v>
      </c>
      <c r="C2" t="s">
        <v>235</v>
      </c>
      <c r="D2" t="s">
        <v>270</v>
      </c>
      <c r="E2" t="s">
        <v>271</v>
      </c>
      <c r="J2" t="s">
        <v>271</v>
      </c>
      <c r="K2" t="s">
        <v>278</v>
      </c>
      <c r="N2" t="s">
        <v>141</v>
      </c>
      <c r="O2" t="s">
        <v>280</v>
      </c>
      <c r="P2" t="s">
        <v>281</v>
      </c>
      <c r="Q2" t="s">
        <v>282</v>
      </c>
      <c r="R2" t="s">
        <v>283</v>
      </c>
    </row>
    <row r="3" spans="1:18" x14ac:dyDescent="0.3">
      <c r="A3" t="s">
        <v>272</v>
      </c>
      <c r="B3" s="31">
        <v>10000</v>
      </c>
      <c r="C3" t="s">
        <v>273</v>
      </c>
      <c r="D3" s="31">
        <v>15000</v>
      </c>
      <c r="E3" s="3">
        <v>48</v>
      </c>
      <c r="F3" s="9" t="s">
        <v>284</v>
      </c>
      <c r="G3" s="9"/>
      <c r="I3" t="s">
        <v>47</v>
      </c>
      <c r="J3" s="3">
        <v>53</v>
      </c>
      <c r="K3" s="3">
        <v>400000</v>
      </c>
      <c r="N3" t="s">
        <v>273</v>
      </c>
      <c r="O3" s="3">
        <v>25</v>
      </c>
      <c r="P3" s="3">
        <v>55</v>
      </c>
      <c r="Q3" s="3">
        <v>40</v>
      </c>
      <c r="R3" s="3">
        <v>60</v>
      </c>
    </row>
    <row r="4" spans="1:18" x14ac:dyDescent="0.3">
      <c r="A4" t="s">
        <v>274</v>
      </c>
      <c r="B4" s="31">
        <v>12000</v>
      </c>
      <c r="C4" t="s">
        <v>275</v>
      </c>
      <c r="D4" s="31">
        <v>6000</v>
      </c>
      <c r="E4" s="3">
        <v>50</v>
      </c>
      <c r="F4" s="9" t="s">
        <v>47</v>
      </c>
      <c r="G4" s="52">
        <v>0</v>
      </c>
      <c r="I4" t="s">
        <v>279</v>
      </c>
      <c r="J4" s="3">
        <v>49</v>
      </c>
      <c r="K4" s="3">
        <v>325000</v>
      </c>
      <c r="N4" t="s">
        <v>275</v>
      </c>
      <c r="O4" s="3">
        <v>35</v>
      </c>
      <c r="P4" s="3">
        <v>30</v>
      </c>
      <c r="Q4" s="3">
        <v>50</v>
      </c>
      <c r="R4" s="3">
        <v>40</v>
      </c>
    </row>
    <row r="5" spans="1:18" x14ac:dyDescent="0.3">
      <c r="A5" t="s">
        <v>43</v>
      </c>
      <c r="B5" s="31">
        <v>15000</v>
      </c>
      <c r="C5" t="s">
        <v>45</v>
      </c>
      <c r="D5" s="31">
        <v>14000</v>
      </c>
      <c r="E5" s="3">
        <v>52</v>
      </c>
      <c r="F5" s="9" t="s">
        <v>279</v>
      </c>
      <c r="G5" s="52">
        <v>1</v>
      </c>
      <c r="N5" t="s">
        <v>45</v>
      </c>
      <c r="O5" s="3">
        <v>36</v>
      </c>
      <c r="P5" s="3">
        <v>45</v>
      </c>
      <c r="Q5" s="3">
        <v>26</v>
      </c>
      <c r="R5" s="3">
        <v>66</v>
      </c>
    </row>
    <row r="6" spans="1:18" x14ac:dyDescent="0.3">
      <c r="A6" t="s">
        <v>41</v>
      </c>
      <c r="B6" s="31">
        <v>9000</v>
      </c>
      <c r="F6" t="s">
        <v>182</v>
      </c>
      <c r="G6" s="14">
        <f>G4+G5</f>
        <v>1</v>
      </c>
      <c r="H6" t="s">
        <v>37</v>
      </c>
      <c r="I6" s="15">
        <v>1</v>
      </c>
      <c r="N6" t="s">
        <v>47</v>
      </c>
      <c r="O6" s="3">
        <v>60</v>
      </c>
      <c r="P6" s="3">
        <v>38</v>
      </c>
      <c r="Q6" s="3">
        <v>65</v>
      </c>
      <c r="R6" s="3">
        <v>27</v>
      </c>
    </row>
    <row r="7" spans="1:18" x14ac:dyDescent="0.3">
      <c r="A7" t="s">
        <v>109</v>
      </c>
      <c r="B7" s="31">
        <v>46000</v>
      </c>
      <c r="D7" s="31">
        <v>35000</v>
      </c>
      <c r="N7" t="s">
        <v>279</v>
      </c>
      <c r="O7" s="3">
        <v>35</v>
      </c>
      <c r="P7" s="3">
        <v>30</v>
      </c>
      <c r="Q7" s="3">
        <v>41</v>
      </c>
      <c r="R7" s="3">
        <v>50</v>
      </c>
    </row>
    <row r="8" spans="1:18" x14ac:dyDescent="0.3">
      <c r="A8" t="s">
        <v>276</v>
      </c>
    </row>
    <row r="10" spans="1:18" s="49" customFormat="1" x14ac:dyDescent="0.3">
      <c r="A10" s="51" t="s">
        <v>141</v>
      </c>
      <c r="B10" s="51" t="s">
        <v>280</v>
      </c>
      <c r="C10" s="51" t="s">
        <v>281</v>
      </c>
      <c r="D10" s="51" t="s">
        <v>282</v>
      </c>
      <c r="E10" s="51" t="s">
        <v>283</v>
      </c>
      <c r="H10" s="49" t="s">
        <v>286</v>
      </c>
    </row>
    <row r="11" spans="1:18" s="49" customFormat="1" x14ac:dyDescent="0.3">
      <c r="A11" s="51" t="s">
        <v>273</v>
      </c>
      <c r="B11" s="52">
        <v>10000</v>
      </c>
      <c r="C11" s="52">
        <v>0</v>
      </c>
      <c r="D11" s="52">
        <v>1000.0000000000032</v>
      </c>
      <c r="E11" s="52">
        <v>3999.9999999999968</v>
      </c>
      <c r="F11" s="49">
        <f>SUM(B11:E11)</f>
        <v>15000</v>
      </c>
      <c r="G11" s="49" t="s">
        <v>14</v>
      </c>
      <c r="H11" s="73">
        <v>15000</v>
      </c>
    </row>
    <row r="12" spans="1:18" s="49" customFormat="1" x14ac:dyDescent="0.3">
      <c r="A12" s="51" t="s">
        <v>275</v>
      </c>
      <c r="B12" s="52">
        <v>0</v>
      </c>
      <c r="C12" s="52">
        <v>1000.0000000000055</v>
      </c>
      <c r="D12" s="52">
        <v>0</v>
      </c>
      <c r="E12" s="52">
        <v>4999.9999999999945</v>
      </c>
      <c r="F12" s="49">
        <f>SUM(B12:E12)</f>
        <v>6000</v>
      </c>
      <c r="G12" s="49" t="s">
        <v>14</v>
      </c>
      <c r="H12" s="73">
        <v>6000</v>
      </c>
    </row>
    <row r="13" spans="1:18" s="49" customFormat="1" x14ac:dyDescent="0.3">
      <c r="A13" s="51" t="s">
        <v>45</v>
      </c>
      <c r="B13" s="52">
        <v>0</v>
      </c>
      <c r="C13" s="52">
        <v>0</v>
      </c>
      <c r="D13" s="52">
        <v>14000</v>
      </c>
      <c r="E13" s="52">
        <v>0</v>
      </c>
      <c r="F13" s="49">
        <f>SUM(B13:E13)</f>
        <v>14000</v>
      </c>
      <c r="G13" s="49" t="s">
        <v>14</v>
      </c>
      <c r="H13" s="73">
        <v>14000</v>
      </c>
    </row>
    <row r="14" spans="1:18" s="49" customFormat="1" x14ac:dyDescent="0.3">
      <c r="A14" s="51" t="s">
        <v>47</v>
      </c>
      <c r="B14" s="52">
        <v>0</v>
      </c>
      <c r="C14" s="52">
        <v>0</v>
      </c>
      <c r="D14" s="52">
        <v>0</v>
      </c>
      <c r="E14" s="52">
        <v>4.5474735088646412E-12</v>
      </c>
      <c r="F14" s="49">
        <f>SUM(B14:E14)</f>
        <v>4.5474735088646412E-12</v>
      </c>
      <c r="G14" s="49" t="s">
        <v>14</v>
      </c>
      <c r="H14" s="73">
        <f>G4*11000</f>
        <v>0</v>
      </c>
    </row>
    <row r="15" spans="1:18" s="49" customFormat="1" x14ac:dyDescent="0.3">
      <c r="A15" s="51" t="s">
        <v>279</v>
      </c>
      <c r="B15" s="52">
        <v>0</v>
      </c>
      <c r="C15" s="52">
        <v>10999.999999999995</v>
      </c>
      <c r="D15" s="52">
        <v>0</v>
      </c>
      <c r="E15" s="52">
        <v>0</v>
      </c>
      <c r="F15" s="49">
        <f>SUM(B15:E15)</f>
        <v>10999.999999999995</v>
      </c>
      <c r="G15" s="49" t="s">
        <v>14</v>
      </c>
      <c r="H15" s="73">
        <f>G5*11000</f>
        <v>11000</v>
      </c>
    </row>
    <row r="16" spans="1:18" s="49" customFormat="1" x14ac:dyDescent="0.3">
      <c r="B16" s="49">
        <f>SUM(B11:B15)</f>
        <v>10000</v>
      </c>
      <c r="C16" s="49">
        <f>SUM(C11:C15)</f>
        <v>12000</v>
      </c>
      <c r="D16" s="49">
        <f>SUM(D11:D15)</f>
        <v>15000.000000000004</v>
      </c>
      <c r="E16" s="49">
        <f>SUM(E11:E15)</f>
        <v>8999.9999999999964</v>
      </c>
    </row>
    <row r="17" spans="1:5" s="49" customFormat="1" x14ac:dyDescent="0.3">
      <c r="B17" s="49" t="s">
        <v>14</v>
      </c>
      <c r="C17" s="49" t="s">
        <v>14</v>
      </c>
      <c r="D17" s="49" t="s">
        <v>14</v>
      </c>
      <c r="E17" s="49" t="s">
        <v>14</v>
      </c>
    </row>
    <row r="18" spans="1:5" s="49" customFormat="1" x14ac:dyDescent="0.3">
      <c r="A18" s="49" t="s">
        <v>285</v>
      </c>
      <c r="B18" s="73">
        <v>10000</v>
      </c>
      <c r="C18" s="73">
        <v>12000</v>
      </c>
      <c r="D18" s="73">
        <v>15000</v>
      </c>
      <c r="E18" s="73">
        <v>9000</v>
      </c>
    </row>
    <row r="19" spans="1:5" s="49" customFormat="1" x14ac:dyDescent="0.3"/>
    <row r="21" spans="1:5" x14ac:dyDescent="0.3">
      <c r="A21" s="9" t="s">
        <v>185</v>
      </c>
      <c r="B21" s="80" t="s">
        <v>271</v>
      </c>
      <c r="C21" s="9" t="s">
        <v>287</v>
      </c>
    </row>
    <row r="22" spans="1:5" x14ac:dyDescent="0.3">
      <c r="A22" s="51" t="s">
        <v>273</v>
      </c>
      <c r="B22" s="81">
        <v>48</v>
      </c>
      <c r="C22" s="47">
        <f>B22*F11</f>
        <v>720000</v>
      </c>
    </row>
    <row r="23" spans="1:5" x14ac:dyDescent="0.3">
      <c r="A23" s="51" t="s">
        <v>275</v>
      </c>
      <c r="B23" s="81">
        <v>50</v>
      </c>
      <c r="C23" s="47">
        <f t="shared" ref="C23:C26" si="0">B23*F12</f>
        <v>300000</v>
      </c>
    </row>
    <row r="24" spans="1:5" x14ac:dyDescent="0.3">
      <c r="A24" s="51" t="s">
        <v>45</v>
      </c>
      <c r="B24" s="81">
        <v>52</v>
      </c>
      <c r="C24" s="47">
        <f t="shared" si="0"/>
        <v>728000</v>
      </c>
    </row>
    <row r="25" spans="1:5" x14ac:dyDescent="0.3">
      <c r="A25" s="51" t="s">
        <v>47</v>
      </c>
      <c r="B25" s="81">
        <v>53</v>
      </c>
      <c r="C25" s="47">
        <f t="shared" si="0"/>
        <v>2.4101609596982598E-10</v>
      </c>
    </row>
    <row r="26" spans="1:5" x14ac:dyDescent="0.3">
      <c r="A26" s="51" t="s">
        <v>279</v>
      </c>
      <c r="B26" s="81">
        <v>49</v>
      </c>
      <c r="C26" s="47">
        <f t="shared" si="0"/>
        <v>538999.99999999977</v>
      </c>
    </row>
    <row r="27" spans="1:5" x14ac:dyDescent="0.3">
      <c r="C27" s="79">
        <f>SUM(C22:C26)</f>
        <v>2287000</v>
      </c>
    </row>
    <row r="29" spans="1:5" x14ac:dyDescent="0.3">
      <c r="A29" s="82" t="s">
        <v>223</v>
      </c>
      <c r="B29" s="9" t="s">
        <v>265</v>
      </c>
    </row>
    <row r="30" spans="1:5" x14ac:dyDescent="0.3">
      <c r="A30" s="51" t="s">
        <v>47</v>
      </c>
      <c r="B30" s="34">
        <f>G4*400000</f>
        <v>0</v>
      </c>
    </row>
    <row r="31" spans="1:5" x14ac:dyDescent="0.3">
      <c r="A31" s="51" t="s">
        <v>279</v>
      </c>
      <c r="B31" s="34">
        <f>G5*325000</f>
        <v>325000</v>
      </c>
    </row>
    <row r="32" spans="1:5" x14ac:dyDescent="0.3">
      <c r="A32" s="9"/>
      <c r="B32" s="83">
        <f>SUM(B30:B31)</f>
        <v>325000</v>
      </c>
    </row>
    <row r="34" spans="1:7" x14ac:dyDescent="0.3">
      <c r="A34" s="82" t="s">
        <v>266</v>
      </c>
      <c r="B34" s="9"/>
      <c r="C34" s="9"/>
      <c r="D34" s="9"/>
      <c r="E34" s="9"/>
    </row>
    <row r="35" spans="1:7" x14ac:dyDescent="0.3">
      <c r="A35" s="9" t="s">
        <v>141</v>
      </c>
      <c r="B35" s="9" t="s">
        <v>280</v>
      </c>
      <c r="C35" s="9" t="s">
        <v>281</v>
      </c>
      <c r="D35" s="9" t="s">
        <v>282</v>
      </c>
      <c r="E35" s="9" t="s">
        <v>283</v>
      </c>
    </row>
    <row r="36" spans="1:7" x14ac:dyDescent="0.3">
      <c r="A36" s="9" t="s">
        <v>273</v>
      </c>
      <c r="B36" s="34">
        <v>25</v>
      </c>
      <c r="C36" s="34">
        <v>55</v>
      </c>
      <c r="D36" s="34">
        <v>40</v>
      </c>
      <c r="E36" s="34">
        <v>60</v>
      </c>
    </row>
    <row r="37" spans="1:7" x14ac:dyDescent="0.3">
      <c r="A37" s="9" t="s">
        <v>275</v>
      </c>
      <c r="B37" s="34">
        <v>35</v>
      </c>
      <c r="C37" s="34">
        <v>30</v>
      </c>
      <c r="D37" s="34">
        <v>50</v>
      </c>
      <c r="E37" s="34">
        <v>40</v>
      </c>
    </row>
    <row r="38" spans="1:7" x14ac:dyDescent="0.3">
      <c r="A38" s="9" t="s">
        <v>45</v>
      </c>
      <c r="B38" s="34">
        <v>36</v>
      </c>
      <c r="C38" s="34">
        <v>45</v>
      </c>
      <c r="D38" s="34">
        <v>26</v>
      </c>
      <c r="E38" s="34">
        <v>66</v>
      </c>
    </row>
    <row r="39" spans="1:7" x14ac:dyDescent="0.3">
      <c r="A39" s="9" t="s">
        <v>47</v>
      </c>
      <c r="B39" s="34">
        <v>60</v>
      </c>
      <c r="C39" s="34">
        <v>38</v>
      </c>
      <c r="D39" s="34">
        <v>65</v>
      </c>
      <c r="E39" s="34">
        <v>27</v>
      </c>
    </row>
    <row r="40" spans="1:7" x14ac:dyDescent="0.3">
      <c r="A40" s="9" t="s">
        <v>279</v>
      </c>
      <c r="B40" s="34">
        <v>35</v>
      </c>
      <c r="C40" s="34">
        <v>30</v>
      </c>
      <c r="D40" s="34">
        <v>41</v>
      </c>
      <c r="E40" s="34">
        <v>50</v>
      </c>
      <c r="F40" s="18">
        <f>SUMPRODUCT(B11:E15,B36:E40)</f>
        <v>1453999.9999999998</v>
      </c>
    </row>
    <row r="42" spans="1:7" x14ac:dyDescent="0.3">
      <c r="E42" s="9" t="s">
        <v>36</v>
      </c>
      <c r="F42" s="84">
        <f>C27+B32+F40</f>
        <v>4066000</v>
      </c>
    </row>
    <row r="43" spans="1:7" x14ac:dyDescent="0.3">
      <c r="G43" s="57"/>
    </row>
  </sheetData>
  <phoneticPr fontId="4"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B966-6B2E-4357-90CB-7FA9DAD752E1}">
  <sheetPr>
    <tabColor rgb="FFFF0000"/>
  </sheetPr>
  <dimension ref="B2:M30"/>
  <sheetViews>
    <sheetView zoomScale="85" zoomScaleNormal="85" workbookViewId="0">
      <selection activeCell="C24" sqref="C24"/>
    </sheetView>
  </sheetViews>
  <sheetFormatPr defaultRowHeight="14" x14ac:dyDescent="0.3"/>
  <cols>
    <col min="1" max="1" width="8.6640625" style="49"/>
    <col min="2" max="2" width="21.25" style="49" bestFit="1" customWidth="1"/>
    <col min="3" max="3" width="14.4140625" style="49" bestFit="1" customWidth="1"/>
    <col min="4" max="4" width="9.9140625" style="49" bestFit="1" customWidth="1"/>
    <col min="5" max="5" width="9.83203125" style="49" bestFit="1" customWidth="1"/>
    <col min="6" max="6" width="14.33203125" style="49" bestFit="1" customWidth="1"/>
    <col min="7" max="7" width="9.5" style="49" bestFit="1" customWidth="1"/>
    <col min="8" max="8" width="10" style="49" bestFit="1" customWidth="1"/>
    <col min="9" max="9" width="9" style="49" bestFit="1" customWidth="1"/>
    <col min="10" max="16384" width="8.6640625" style="49"/>
  </cols>
  <sheetData>
    <row r="2" spans="2:9" x14ac:dyDescent="0.3">
      <c r="C2" s="49" t="s">
        <v>288</v>
      </c>
      <c r="D2" s="49" t="s">
        <v>289</v>
      </c>
      <c r="E2" s="49" t="s">
        <v>290</v>
      </c>
      <c r="F2" s="49" t="s">
        <v>291</v>
      </c>
      <c r="G2" s="49" t="s">
        <v>300</v>
      </c>
    </row>
    <row r="4" spans="2:9" x14ac:dyDescent="0.3">
      <c r="B4" s="49" t="s">
        <v>292</v>
      </c>
      <c r="C4" s="49">
        <v>7000</v>
      </c>
      <c r="D4" s="49">
        <f>C10</f>
        <v>8200</v>
      </c>
      <c r="E4" s="49">
        <f t="shared" ref="E4:G4" si="0">D10</f>
        <v>6200</v>
      </c>
      <c r="F4" s="49">
        <f t="shared" si="0"/>
        <v>2400</v>
      </c>
      <c r="G4" s="49">
        <f t="shared" si="0"/>
        <v>2400</v>
      </c>
    </row>
    <row r="5" spans="2:9" x14ac:dyDescent="0.3">
      <c r="B5" s="49" t="s">
        <v>294</v>
      </c>
      <c r="C5" s="50">
        <v>6000</v>
      </c>
      <c r="D5" s="50">
        <v>0</v>
      </c>
      <c r="E5" s="50">
        <v>1500</v>
      </c>
      <c r="F5" s="50">
        <v>3100</v>
      </c>
      <c r="G5" s="50">
        <v>4600</v>
      </c>
    </row>
    <row r="6" spans="2:9" x14ac:dyDescent="0.3">
      <c r="B6" s="87" t="s">
        <v>306</v>
      </c>
      <c r="C6" s="88">
        <f>C4+C5</f>
        <v>13000</v>
      </c>
      <c r="D6" s="88">
        <f>D4+D5</f>
        <v>8200</v>
      </c>
      <c r="E6" s="88">
        <f>E4+E5</f>
        <v>7700</v>
      </c>
      <c r="F6" s="88">
        <f>F4+F5</f>
        <v>5500</v>
      </c>
      <c r="G6" s="88">
        <f>G4+G5</f>
        <v>7000</v>
      </c>
    </row>
    <row r="7" spans="2:9" x14ac:dyDescent="0.3">
      <c r="C7" s="74" t="s">
        <v>37</v>
      </c>
      <c r="D7" s="74" t="s">
        <v>37</v>
      </c>
      <c r="E7" s="74" t="s">
        <v>37</v>
      </c>
      <c r="F7" s="74" t="s">
        <v>37</v>
      </c>
      <c r="G7" s="74" t="s">
        <v>37</v>
      </c>
    </row>
    <row r="8" spans="2:9" x14ac:dyDescent="0.3">
      <c r="B8" s="49" t="s">
        <v>304</v>
      </c>
      <c r="C8" s="73">
        <v>13000</v>
      </c>
      <c r="D8" s="73">
        <v>13000</v>
      </c>
      <c r="E8" s="73">
        <v>13000</v>
      </c>
      <c r="F8" s="73">
        <v>13000</v>
      </c>
      <c r="G8" s="73">
        <v>13000</v>
      </c>
    </row>
    <row r="9" spans="2:9" x14ac:dyDescent="0.3">
      <c r="B9" s="49" t="s">
        <v>293</v>
      </c>
      <c r="C9" s="49">
        <v>4800</v>
      </c>
      <c r="D9" s="49">
        <v>2000</v>
      </c>
      <c r="E9" s="49">
        <v>5300</v>
      </c>
      <c r="F9" s="49">
        <v>3100</v>
      </c>
    </row>
    <row r="10" spans="2:9" x14ac:dyDescent="0.3">
      <c r="B10" s="87" t="s">
        <v>299</v>
      </c>
      <c r="C10" s="87">
        <f>C6-C9</f>
        <v>8200</v>
      </c>
      <c r="D10" s="87">
        <f>D6-D9</f>
        <v>6200</v>
      </c>
      <c r="E10" s="87">
        <f>E6-E9</f>
        <v>2400</v>
      </c>
      <c r="F10" s="87">
        <f>F6-F9</f>
        <v>2400</v>
      </c>
      <c r="G10" s="87">
        <f>G6-G9</f>
        <v>7000</v>
      </c>
    </row>
    <row r="11" spans="2:9" x14ac:dyDescent="0.3">
      <c r="C11" s="49" t="s">
        <v>80</v>
      </c>
      <c r="D11" s="49" t="s">
        <v>80</v>
      </c>
      <c r="E11" s="49" t="s">
        <v>80</v>
      </c>
      <c r="F11" s="49" t="s">
        <v>80</v>
      </c>
      <c r="G11" s="49" t="s">
        <v>14</v>
      </c>
    </row>
    <row r="12" spans="2:9" x14ac:dyDescent="0.3">
      <c r="B12" s="49" t="s">
        <v>301</v>
      </c>
      <c r="C12" s="73">
        <v>2400</v>
      </c>
      <c r="D12" s="73">
        <v>2400</v>
      </c>
      <c r="E12" s="73">
        <v>2400</v>
      </c>
      <c r="F12" s="73">
        <v>2400</v>
      </c>
      <c r="G12" s="73">
        <v>7000</v>
      </c>
      <c r="I12" s="74"/>
    </row>
    <row r="15" spans="2:9" x14ac:dyDescent="0.3">
      <c r="C15" s="49">
        <v>2</v>
      </c>
      <c r="D15" s="49">
        <v>4</v>
      </c>
      <c r="E15" s="49">
        <v>8</v>
      </c>
      <c r="F15" s="49">
        <v>8</v>
      </c>
    </row>
    <row r="16" spans="2:9" x14ac:dyDescent="0.3">
      <c r="B16" s="49" t="s">
        <v>298</v>
      </c>
      <c r="C16" s="49">
        <f>C15*200</f>
        <v>400</v>
      </c>
      <c r="D16" s="49">
        <f t="shared" ref="D16:F16" si="1">D15*200</f>
        <v>800</v>
      </c>
      <c r="E16" s="49">
        <f t="shared" si="1"/>
        <v>1600</v>
      </c>
      <c r="F16" s="49">
        <f t="shared" si="1"/>
        <v>1600</v>
      </c>
    </row>
    <row r="17" spans="2:13" x14ac:dyDescent="0.3">
      <c r="B17" s="49" t="s">
        <v>295</v>
      </c>
      <c r="C17" s="49">
        <v>22200</v>
      </c>
      <c r="D17" s="49">
        <v>22200</v>
      </c>
      <c r="E17" s="49">
        <v>22200</v>
      </c>
      <c r="F17" s="49">
        <v>22200</v>
      </c>
    </row>
    <row r="20" spans="2:13" x14ac:dyDescent="0.3">
      <c r="B20" s="49" t="s">
        <v>296</v>
      </c>
      <c r="C20" s="49">
        <f>C4+C5+C16+C17</f>
        <v>35600</v>
      </c>
      <c r="D20" s="49">
        <f>D4+D5+D16+D17</f>
        <v>31200</v>
      </c>
      <c r="E20" s="49">
        <f>E4+E5+E16+E17</f>
        <v>31500</v>
      </c>
      <c r="F20" s="49">
        <f>F4+F5+F16+F17</f>
        <v>29300</v>
      </c>
    </row>
    <row r="21" spans="2:13" x14ac:dyDescent="0.3">
      <c r="C21" s="49" t="s">
        <v>37</v>
      </c>
      <c r="D21" s="49" t="s">
        <v>37</v>
      </c>
      <c r="E21" s="49" t="s">
        <v>37</v>
      </c>
      <c r="F21" s="49" t="s">
        <v>37</v>
      </c>
    </row>
    <row r="22" spans="2:13" x14ac:dyDescent="0.3">
      <c r="B22" s="49" t="s">
        <v>302</v>
      </c>
      <c r="C22" s="85">
        <v>36400</v>
      </c>
      <c r="D22" s="85">
        <v>36400</v>
      </c>
      <c r="E22" s="85">
        <v>36400</v>
      </c>
      <c r="F22" s="85">
        <v>36400</v>
      </c>
    </row>
    <row r="24" spans="2:13" x14ac:dyDescent="0.3">
      <c r="B24" s="49" t="s">
        <v>297</v>
      </c>
      <c r="C24" s="49">
        <f>C10+C16+C17</f>
        <v>30800</v>
      </c>
      <c r="D24" s="49">
        <f>D10+D16+D17</f>
        <v>29200</v>
      </c>
      <c r="E24" s="49">
        <f>E10+E16+E17</f>
        <v>26200</v>
      </c>
      <c r="F24" s="49">
        <f>F10+F16+F17</f>
        <v>26200</v>
      </c>
    </row>
    <row r="25" spans="2:13" x14ac:dyDescent="0.3">
      <c r="C25" s="49" t="s">
        <v>37</v>
      </c>
      <c r="D25" s="49" t="s">
        <v>37</v>
      </c>
      <c r="E25" s="49" t="s">
        <v>37</v>
      </c>
      <c r="F25" s="49" t="s">
        <v>37</v>
      </c>
    </row>
    <row r="26" spans="2:13" x14ac:dyDescent="0.3">
      <c r="B26" s="49" t="s">
        <v>303</v>
      </c>
      <c r="C26" s="73">
        <v>31800</v>
      </c>
      <c r="D26" s="73">
        <v>31800</v>
      </c>
      <c r="E26" s="73">
        <v>31800</v>
      </c>
      <c r="F26" s="73">
        <v>31800</v>
      </c>
    </row>
    <row r="29" spans="2:13" x14ac:dyDescent="0.3">
      <c r="B29" s="51"/>
      <c r="C29" s="51" t="s">
        <v>288</v>
      </c>
      <c r="D29" s="51" t="s">
        <v>289</v>
      </c>
      <c r="E29" s="51" t="s">
        <v>290</v>
      </c>
      <c r="F29" s="51" t="s">
        <v>291</v>
      </c>
      <c r="G29" s="51" t="s">
        <v>300</v>
      </c>
      <c r="J29" s="23"/>
      <c r="K29" s="23"/>
      <c r="L29" s="23"/>
      <c r="M29" s="23"/>
    </row>
    <row r="30" spans="2:13" x14ac:dyDescent="0.3">
      <c r="B30" s="51" t="s">
        <v>305</v>
      </c>
      <c r="C30" s="86">
        <v>0.59</v>
      </c>
      <c r="D30" s="86">
        <v>1.25</v>
      </c>
      <c r="E30" s="86">
        <v>1.1100000000000001</v>
      </c>
      <c r="F30" s="86">
        <v>0.9</v>
      </c>
      <c r="G30" s="86">
        <v>0.59</v>
      </c>
      <c r="H30" s="56">
        <f>SUMPRODUCT(C5:G5,C30:G30)</f>
        <v>10709</v>
      </c>
      <c r="J30" s="86"/>
      <c r="K30" s="86"/>
      <c r="L30" s="86"/>
      <c r="M30" s="86"/>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7730-2226-4F42-BEAB-353CED25125F}">
  <sheetPr>
    <tabColor rgb="FFFF0000"/>
  </sheetPr>
  <dimension ref="B2:G27"/>
  <sheetViews>
    <sheetView workbookViewId="0">
      <selection activeCell="B4" sqref="B4"/>
    </sheetView>
  </sheetViews>
  <sheetFormatPr defaultRowHeight="14" x14ac:dyDescent="0.3"/>
  <cols>
    <col min="1" max="1" width="8.6640625" style="49"/>
    <col min="2" max="2" width="18.83203125" style="49" bestFit="1" customWidth="1"/>
    <col min="3" max="3" width="14.75" style="49" bestFit="1" customWidth="1"/>
    <col min="4" max="7" width="13.6640625" style="49" bestFit="1" customWidth="1"/>
    <col min="8" max="16384" width="8.6640625" style="49"/>
  </cols>
  <sheetData>
    <row r="2" spans="2:6" x14ac:dyDescent="0.3">
      <c r="B2" s="51" t="s">
        <v>307</v>
      </c>
      <c r="C2" s="51">
        <v>1</v>
      </c>
      <c r="D2" s="51">
        <v>2</v>
      </c>
      <c r="E2" s="51">
        <v>3</v>
      </c>
      <c r="F2" s="51">
        <v>4</v>
      </c>
    </row>
    <row r="3" spans="2:6" x14ac:dyDescent="0.3">
      <c r="B3" s="51" t="s">
        <v>148</v>
      </c>
      <c r="C3" s="51">
        <v>5000</v>
      </c>
      <c r="D3" s="51">
        <f>C11</f>
        <v>11000</v>
      </c>
      <c r="E3" s="51">
        <f t="shared" ref="E3:F3" si="0">D11</f>
        <v>9000</v>
      </c>
      <c r="F3" s="51">
        <f t="shared" si="0"/>
        <v>5000</v>
      </c>
    </row>
    <row r="4" spans="2:6" x14ac:dyDescent="0.3">
      <c r="B4" s="51" t="s">
        <v>82</v>
      </c>
      <c r="C4" s="52">
        <v>8000</v>
      </c>
      <c r="D4" s="52">
        <v>7000</v>
      </c>
      <c r="E4" s="52">
        <v>8000</v>
      </c>
      <c r="F4" s="52">
        <v>9000</v>
      </c>
    </row>
    <row r="5" spans="2:6" x14ac:dyDescent="0.3">
      <c r="B5" s="51"/>
      <c r="C5" s="82" t="s">
        <v>37</v>
      </c>
      <c r="D5" s="82" t="s">
        <v>37</v>
      </c>
      <c r="E5" s="82" t="s">
        <v>37</v>
      </c>
      <c r="F5" s="82" t="s">
        <v>37</v>
      </c>
    </row>
    <row r="6" spans="2:6" x14ac:dyDescent="0.3">
      <c r="B6" s="51" t="s">
        <v>309</v>
      </c>
      <c r="C6" s="89">
        <v>8000</v>
      </c>
      <c r="D6" s="89">
        <v>7000</v>
      </c>
      <c r="E6" s="89">
        <v>8000</v>
      </c>
      <c r="F6" s="89">
        <v>9000</v>
      </c>
    </row>
    <row r="7" spans="2:6" x14ac:dyDescent="0.3">
      <c r="B7" s="51"/>
      <c r="C7" s="82" t="s">
        <v>80</v>
      </c>
      <c r="D7" s="82" t="s">
        <v>80</v>
      </c>
      <c r="E7" s="82" t="s">
        <v>80</v>
      </c>
      <c r="F7" s="82" t="s">
        <v>80</v>
      </c>
    </row>
    <row r="8" spans="2:6" x14ac:dyDescent="0.3">
      <c r="B8" s="51" t="s">
        <v>314</v>
      </c>
      <c r="C8" s="89">
        <f>C6*0.5</f>
        <v>4000</v>
      </c>
      <c r="D8" s="89">
        <f t="shared" ref="D8:F8" si="1">D6*0.5</f>
        <v>3500</v>
      </c>
      <c r="E8" s="89">
        <f t="shared" si="1"/>
        <v>4000</v>
      </c>
      <c r="F8" s="89">
        <f t="shared" si="1"/>
        <v>4500</v>
      </c>
    </row>
    <row r="9" spans="2:6" x14ac:dyDescent="0.3">
      <c r="B9" s="51"/>
      <c r="C9" s="82"/>
      <c r="D9" s="82"/>
      <c r="E9" s="82"/>
      <c r="F9" s="82"/>
    </row>
    <row r="10" spans="2:6" x14ac:dyDescent="0.3">
      <c r="B10" s="51" t="s">
        <v>310</v>
      </c>
      <c r="C10" s="51">
        <v>2000</v>
      </c>
      <c r="D10" s="51">
        <v>9000</v>
      </c>
      <c r="E10" s="51">
        <v>12000</v>
      </c>
      <c r="F10" s="51">
        <v>11000</v>
      </c>
    </row>
    <row r="11" spans="2:6" x14ac:dyDescent="0.3">
      <c r="B11" s="51" t="s">
        <v>317</v>
      </c>
      <c r="C11" s="91">
        <f>C3+C4-C10</f>
        <v>11000</v>
      </c>
      <c r="D11" s="91">
        <f>D3+D4-D10</f>
        <v>9000</v>
      </c>
      <c r="E11" s="91">
        <f>E3+E4-E10</f>
        <v>5000</v>
      </c>
      <c r="F11" s="91">
        <f>F3+F4-F10</f>
        <v>3000</v>
      </c>
    </row>
    <row r="12" spans="2:6" x14ac:dyDescent="0.3">
      <c r="B12" s="51"/>
      <c r="C12" s="51" t="s">
        <v>80</v>
      </c>
      <c r="D12" s="51" t="s">
        <v>80</v>
      </c>
      <c r="E12" s="51" t="s">
        <v>80</v>
      </c>
      <c r="F12" s="51" t="s">
        <v>80</v>
      </c>
    </row>
    <row r="13" spans="2:6" x14ac:dyDescent="0.3">
      <c r="B13" s="51" t="s">
        <v>312</v>
      </c>
      <c r="C13" s="89">
        <v>3000</v>
      </c>
      <c r="D13" s="89">
        <v>3000</v>
      </c>
      <c r="E13" s="89">
        <v>3000</v>
      </c>
      <c r="F13" s="89">
        <v>3000</v>
      </c>
    </row>
    <row r="14" spans="2:6" x14ac:dyDescent="0.3">
      <c r="B14" s="51"/>
      <c r="C14" s="51" t="s">
        <v>37</v>
      </c>
      <c r="D14" s="51" t="s">
        <v>37</v>
      </c>
      <c r="E14" s="51" t="s">
        <v>37</v>
      </c>
      <c r="F14" s="51" t="s">
        <v>37</v>
      </c>
    </row>
    <row r="15" spans="2:6" x14ac:dyDescent="0.3">
      <c r="B15" s="51" t="s">
        <v>313</v>
      </c>
      <c r="C15" s="89">
        <v>12000</v>
      </c>
      <c r="D15" s="89">
        <v>12000</v>
      </c>
      <c r="E15" s="89">
        <v>12000</v>
      </c>
      <c r="F15" s="89">
        <v>12000</v>
      </c>
    </row>
    <row r="19" spans="2:7" x14ac:dyDescent="0.3">
      <c r="B19" s="51" t="s">
        <v>311</v>
      </c>
      <c r="C19" s="51"/>
      <c r="D19" s="51"/>
      <c r="E19" s="51"/>
      <c r="F19" s="51"/>
    </row>
    <row r="20" spans="2:7" x14ac:dyDescent="0.3">
      <c r="B20" s="51" t="s">
        <v>308</v>
      </c>
      <c r="C20" s="47">
        <v>300</v>
      </c>
      <c r="D20" s="47">
        <v>300</v>
      </c>
      <c r="E20" s="47">
        <v>300</v>
      </c>
      <c r="F20" s="47">
        <v>300</v>
      </c>
    </row>
    <row r="21" spans="2:7" x14ac:dyDescent="0.3">
      <c r="B21" s="51" t="s">
        <v>86</v>
      </c>
      <c r="C21" s="47">
        <f>C20*C4</f>
        <v>2400000</v>
      </c>
      <c r="D21" s="47">
        <f>D20*D4</f>
        <v>2100000</v>
      </c>
      <c r="E21" s="47">
        <f>E20*E4</f>
        <v>2400000</v>
      </c>
      <c r="F21" s="47">
        <f>F20*F4</f>
        <v>2700000</v>
      </c>
      <c r="G21" s="18">
        <f>SUM(C21:F21)</f>
        <v>9600000</v>
      </c>
    </row>
    <row r="22" spans="2:7" x14ac:dyDescent="0.3">
      <c r="B22" s="51"/>
      <c r="C22" s="51"/>
      <c r="D22" s="51"/>
      <c r="E22" s="51"/>
      <c r="F22" s="51"/>
    </row>
    <row r="23" spans="2:7" x14ac:dyDescent="0.3">
      <c r="B23" s="51" t="s">
        <v>153</v>
      </c>
      <c r="C23" s="51">
        <v>0.03</v>
      </c>
      <c r="D23" s="51">
        <v>0.03</v>
      </c>
      <c r="E23" s="51">
        <v>0.03</v>
      </c>
      <c r="F23" s="51">
        <v>0.03</v>
      </c>
    </row>
    <row r="24" spans="2:7" x14ac:dyDescent="0.3">
      <c r="B24" s="90" t="s">
        <v>316</v>
      </c>
      <c r="C24" s="90">
        <f>(C3+C11)/2</f>
        <v>8000</v>
      </c>
      <c r="D24" s="90">
        <f>(D3+D11)/2</f>
        <v>10000</v>
      </c>
      <c r="E24" s="90">
        <f>(E3+E11)/2</f>
        <v>7000</v>
      </c>
      <c r="F24" s="90">
        <f>(F3+F11)/2</f>
        <v>4000</v>
      </c>
    </row>
    <row r="25" spans="2:7" x14ac:dyDescent="0.3">
      <c r="B25" s="51" t="s">
        <v>153</v>
      </c>
      <c r="C25" s="51">
        <f>C24*C23*C20</f>
        <v>72000</v>
      </c>
      <c r="D25" s="51">
        <f t="shared" ref="D25:F25" si="2">D24*D23*D20</f>
        <v>90000</v>
      </c>
      <c r="E25" s="51">
        <f t="shared" si="2"/>
        <v>63000</v>
      </c>
      <c r="F25" s="51">
        <f t="shared" si="2"/>
        <v>36000</v>
      </c>
      <c r="G25" s="18">
        <f>SUM(C25:F25)</f>
        <v>261000</v>
      </c>
    </row>
    <row r="26" spans="2:7" x14ac:dyDescent="0.3">
      <c r="F26" s="93" t="s">
        <v>315</v>
      </c>
      <c r="G26" s="92">
        <f>G21+G25</f>
        <v>9861000</v>
      </c>
    </row>
    <row r="27" spans="2:7" x14ac:dyDescent="0.3">
      <c r="B27" s="49" t="s">
        <v>318</v>
      </c>
    </row>
  </sheetData>
  <phoneticPr fontId="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7EBD-A6A3-4BAB-8A82-2DFC0EC94A4A}">
  <sheetPr>
    <tabColor rgb="FF92D050"/>
  </sheetPr>
  <dimension ref="B1:J19"/>
  <sheetViews>
    <sheetView workbookViewId="0">
      <selection activeCell="H18" sqref="H18"/>
    </sheetView>
  </sheetViews>
  <sheetFormatPr defaultRowHeight="14" x14ac:dyDescent="0.3"/>
  <cols>
    <col min="2" max="2" width="27.25" bestFit="1" customWidth="1"/>
  </cols>
  <sheetData>
    <row r="1" spans="2:10" x14ac:dyDescent="0.3">
      <c r="J1" s="24" t="s">
        <v>319</v>
      </c>
    </row>
    <row r="2" spans="2:10" x14ac:dyDescent="0.3">
      <c r="B2" s="1"/>
      <c r="C2" s="1" t="s">
        <v>320</v>
      </c>
      <c r="D2" s="1" t="s">
        <v>321</v>
      </c>
      <c r="E2" s="1" t="s">
        <v>322</v>
      </c>
      <c r="F2" s="1"/>
    </row>
    <row r="3" spans="2:10" x14ac:dyDescent="0.3">
      <c r="B3" s="1" t="s">
        <v>329</v>
      </c>
      <c r="C3" s="95">
        <v>2.4999999999999592E-2</v>
      </c>
      <c r="D3" s="95">
        <v>5.0000000000000065E-2</v>
      </c>
      <c r="E3" s="95">
        <v>5.0000000000000343E-2</v>
      </c>
      <c r="F3" s="1">
        <f>SUM(C3:E3)</f>
        <v>0.125</v>
      </c>
      <c r="G3" t="s">
        <v>14</v>
      </c>
      <c r="H3" s="15">
        <v>0.125</v>
      </c>
    </row>
    <row r="4" spans="2:10" x14ac:dyDescent="0.3">
      <c r="B4" s="1"/>
      <c r="C4" s="1"/>
      <c r="D4" s="1"/>
      <c r="E4" s="1"/>
      <c r="F4" s="1"/>
    </row>
    <row r="5" spans="2:10" x14ac:dyDescent="0.3">
      <c r="B5" s="2" t="s">
        <v>325</v>
      </c>
      <c r="C5" s="1">
        <f>$C$3*C16</f>
        <v>0.54999999999999105</v>
      </c>
      <c r="D5" s="1">
        <f>$D$3*D16</f>
        <v>1.4000000000000019</v>
      </c>
      <c r="E5" s="1">
        <f>$E$3*E16</f>
        <v>1.0500000000000071</v>
      </c>
      <c r="F5" s="1">
        <f>SUM(C5:E5)</f>
        <v>3</v>
      </c>
      <c r="G5" t="s">
        <v>80</v>
      </c>
      <c r="H5" s="15">
        <v>3</v>
      </c>
    </row>
    <row r="6" spans="2:10" x14ac:dyDescent="0.3">
      <c r="B6" s="2" t="s">
        <v>326</v>
      </c>
      <c r="C6" s="1">
        <f t="shared" ref="C6:C8" si="0">$C$3*C17</f>
        <v>0.39999999999999347</v>
      </c>
      <c r="D6" s="1">
        <f t="shared" ref="D6:D8" si="1">$D$3*D17</f>
        <v>0.70000000000000095</v>
      </c>
      <c r="E6" s="1">
        <f t="shared" ref="E6:E8" si="2">$E$3*E17</f>
        <v>1.2500000000000087</v>
      </c>
      <c r="F6" s="1">
        <f t="shared" ref="F6:F8" si="3">SUM(C6:E6)</f>
        <v>2.3500000000000032</v>
      </c>
      <c r="G6" t="s">
        <v>80</v>
      </c>
      <c r="H6" s="15">
        <v>2</v>
      </c>
    </row>
    <row r="7" spans="2:10" x14ac:dyDescent="0.3">
      <c r="B7" s="2" t="s">
        <v>327</v>
      </c>
      <c r="C7" s="1">
        <f t="shared" si="0"/>
        <v>0.19999999999999674</v>
      </c>
      <c r="D7" s="1">
        <f t="shared" si="1"/>
        <v>0.35000000000000048</v>
      </c>
      <c r="E7" s="1">
        <f t="shared" si="2"/>
        <v>0.45000000000000306</v>
      </c>
      <c r="F7" s="1">
        <f t="shared" si="3"/>
        <v>1.0000000000000002</v>
      </c>
      <c r="G7" t="s">
        <v>80</v>
      </c>
      <c r="H7" s="15">
        <v>1</v>
      </c>
    </row>
    <row r="8" spans="2:10" x14ac:dyDescent="0.3">
      <c r="B8" s="2" t="s">
        <v>328</v>
      </c>
      <c r="C8" s="1">
        <f t="shared" si="0"/>
        <v>0.12499999999999796</v>
      </c>
      <c r="D8" s="1">
        <f t="shared" si="1"/>
        <v>0</v>
      </c>
      <c r="E8" s="1">
        <f t="shared" si="2"/>
        <v>0.30000000000000204</v>
      </c>
      <c r="F8" s="1">
        <f t="shared" si="3"/>
        <v>0.42499999999999999</v>
      </c>
      <c r="G8" t="s">
        <v>80</v>
      </c>
      <c r="H8" s="15">
        <v>0.42499999999999999</v>
      </c>
    </row>
    <row r="10" spans="2:10" x14ac:dyDescent="0.3">
      <c r="B10" s="2" t="s">
        <v>330</v>
      </c>
      <c r="C10" s="32">
        <f>C3*C15</f>
        <v>8.2499999999998651E-3</v>
      </c>
      <c r="D10" s="32">
        <f t="shared" ref="D10:E10" si="4">D3*D15</f>
        <v>2.3500000000000028E-2</v>
      </c>
      <c r="E10" s="32">
        <f t="shared" si="4"/>
        <v>1.9000000000000131E-2</v>
      </c>
      <c r="F10" s="41">
        <f>SUM(C10:E10)</f>
        <v>5.0750000000000017E-2</v>
      </c>
    </row>
    <row r="14" spans="2:10" ht="28" x14ac:dyDescent="0.3">
      <c r="B14" s="1"/>
      <c r="C14" s="1" t="s">
        <v>320</v>
      </c>
      <c r="D14" s="1" t="s">
        <v>321</v>
      </c>
      <c r="E14" s="1" t="s">
        <v>322</v>
      </c>
      <c r="F14" s="1" t="s">
        <v>323</v>
      </c>
    </row>
    <row r="15" spans="2:10" x14ac:dyDescent="0.3">
      <c r="B15" s="2" t="s">
        <v>324</v>
      </c>
      <c r="C15" s="94">
        <v>0.33</v>
      </c>
      <c r="D15" s="94">
        <v>0.47</v>
      </c>
      <c r="E15" s="94">
        <v>0.38</v>
      </c>
      <c r="F15" s="2"/>
    </row>
    <row r="16" spans="2:10" x14ac:dyDescent="0.3">
      <c r="B16" s="2" t="s">
        <v>325</v>
      </c>
      <c r="C16" s="2">
        <v>22</v>
      </c>
      <c r="D16" s="2">
        <v>28</v>
      </c>
      <c r="E16" s="2">
        <v>21</v>
      </c>
      <c r="F16" s="2">
        <v>3</v>
      </c>
    </row>
    <row r="17" spans="2:6" x14ac:dyDescent="0.3">
      <c r="B17" s="2" t="s">
        <v>326</v>
      </c>
      <c r="C17" s="2">
        <v>16</v>
      </c>
      <c r="D17" s="2">
        <v>14</v>
      </c>
      <c r="E17" s="2">
        <v>25</v>
      </c>
      <c r="F17" s="2">
        <v>2</v>
      </c>
    </row>
    <row r="18" spans="2:6" x14ac:dyDescent="0.3">
      <c r="B18" s="2" t="s">
        <v>327</v>
      </c>
      <c r="C18" s="2">
        <v>8</v>
      </c>
      <c r="D18" s="2">
        <v>7</v>
      </c>
      <c r="E18" s="2">
        <v>9</v>
      </c>
      <c r="F18" s="2">
        <v>1</v>
      </c>
    </row>
    <row r="19" spans="2:6" x14ac:dyDescent="0.3">
      <c r="B19" s="2" t="s">
        <v>328</v>
      </c>
      <c r="C19" s="2">
        <v>5</v>
      </c>
      <c r="D19" s="2">
        <v>0</v>
      </c>
      <c r="E19" s="2">
        <v>6</v>
      </c>
      <c r="F19" s="2">
        <v>0.42499999999999999</v>
      </c>
    </row>
  </sheetData>
  <phoneticPr fontId="4"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7100-9C53-43D9-86D6-FDFCB8CD91DE}">
  <sheetPr>
    <tabColor rgb="FF92D050"/>
  </sheetPr>
  <dimension ref="B1:O27"/>
  <sheetViews>
    <sheetView workbookViewId="0">
      <selection activeCell="C16" sqref="C16"/>
    </sheetView>
  </sheetViews>
  <sheetFormatPr defaultRowHeight="14" x14ac:dyDescent="0.3"/>
  <cols>
    <col min="1" max="1" width="8.6640625" style="49"/>
    <col min="2" max="2" width="10.4140625" style="49" bestFit="1" customWidth="1"/>
    <col min="3" max="3" width="13.9140625" style="49" bestFit="1" customWidth="1"/>
    <col min="4" max="6" width="11.33203125" style="49" bestFit="1" customWidth="1"/>
    <col min="7" max="7" width="14.75" style="49" bestFit="1" customWidth="1"/>
    <col min="8" max="8" width="13.6640625" style="49" customWidth="1"/>
    <col min="9" max="9" width="10" style="49" bestFit="1" customWidth="1"/>
    <col min="10" max="10" width="11.1640625" style="49" bestFit="1" customWidth="1"/>
    <col min="11" max="11" width="10" style="49" bestFit="1" customWidth="1"/>
    <col min="12" max="14" width="8.6640625" style="49"/>
    <col min="15" max="15" width="11.33203125" style="49" bestFit="1" customWidth="1"/>
    <col min="16" max="16384" width="8.6640625" style="49"/>
  </cols>
  <sheetData>
    <row r="1" spans="2:15" ht="14.5" thickBot="1" x14ac:dyDescent="0.35"/>
    <row r="2" spans="2:15" ht="14.5" thickBot="1" x14ac:dyDescent="0.35">
      <c r="B2" s="106" t="s">
        <v>331</v>
      </c>
      <c r="C2" s="106" t="s">
        <v>261</v>
      </c>
      <c r="D2" s="106" t="s">
        <v>332</v>
      </c>
      <c r="E2" s="106" t="s">
        <v>333</v>
      </c>
      <c r="F2" s="106" t="s">
        <v>334</v>
      </c>
      <c r="G2" s="106" t="s">
        <v>335</v>
      </c>
      <c r="H2" s="115"/>
    </row>
    <row r="3" spans="2:15" ht="14.5" thickBot="1" x14ac:dyDescent="0.35">
      <c r="B3" s="107" t="s">
        <v>43</v>
      </c>
      <c r="C3" s="108">
        <v>1</v>
      </c>
      <c r="D3" s="108">
        <v>100000</v>
      </c>
      <c r="E3" s="108">
        <v>3.637978807091713E-11</v>
      </c>
      <c r="F3" s="108">
        <v>50000</v>
      </c>
      <c r="G3" s="108">
        <v>0</v>
      </c>
      <c r="H3" s="116">
        <f>SUM(D3:G3)</f>
        <v>150000.00000000003</v>
      </c>
      <c r="I3" s="49" t="s">
        <v>37</v>
      </c>
      <c r="J3" s="73">
        <f>C3*150000</f>
        <v>150000</v>
      </c>
      <c r="N3" s="106" t="s">
        <v>337</v>
      </c>
      <c r="O3" s="106" t="s">
        <v>338</v>
      </c>
    </row>
    <row r="4" spans="2:15" ht="14.5" thickBot="1" x14ac:dyDescent="0.35">
      <c r="B4" s="107" t="s">
        <v>336</v>
      </c>
      <c r="C4" s="108">
        <v>1</v>
      </c>
      <c r="D4" s="108">
        <v>0</v>
      </c>
      <c r="E4" s="108">
        <v>99999.999999999985</v>
      </c>
      <c r="F4" s="108">
        <v>50000</v>
      </c>
      <c r="G4" s="108">
        <v>0</v>
      </c>
      <c r="H4" s="116">
        <f>SUM(D4:G4)</f>
        <v>150000</v>
      </c>
      <c r="I4" s="49" t="s">
        <v>37</v>
      </c>
      <c r="J4" s="73">
        <f>C4*150000</f>
        <v>150000</v>
      </c>
      <c r="N4" s="107" t="s">
        <v>332</v>
      </c>
      <c r="O4" s="107">
        <v>100000</v>
      </c>
    </row>
    <row r="5" spans="2:15" ht="14.5" thickBot="1" x14ac:dyDescent="0.35">
      <c r="B5" s="107" t="s">
        <v>38</v>
      </c>
      <c r="C5" s="108">
        <v>0</v>
      </c>
      <c r="D5" s="108">
        <v>0</v>
      </c>
      <c r="E5" s="108">
        <v>0</v>
      </c>
      <c r="F5" s="108">
        <v>7.2759576141834259E-12</v>
      </c>
      <c r="G5" s="108">
        <v>0</v>
      </c>
      <c r="H5" s="116">
        <f>SUM(D5:G5)</f>
        <v>7.2759576141834259E-12</v>
      </c>
      <c r="I5" s="49" t="s">
        <v>37</v>
      </c>
      <c r="J5" s="73">
        <f>C5*150000</f>
        <v>0</v>
      </c>
      <c r="N5" s="107" t="s">
        <v>333</v>
      </c>
      <c r="O5" s="107">
        <v>150000</v>
      </c>
    </row>
    <row r="6" spans="2:15" ht="28.5" thickBot="1" x14ac:dyDescent="0.35">
      <c r="B6" s="107" t="s">
        <v>41</v>
      </c>
      <c r="C6" s="108">
        <v>1</v>
      </c>
      <c r="D6" s="108">
        <v>0</v>
      </c>
      <c r="E6" s="108">
        <v>49999.999999999993</v>
      </c>
      <c r="F6" s="108">
        <v>9999.9999999999927</v>
      </c>
      <c r="G6" s="108">
        <v>90000</v>
      </c>
      <c r="H6" s="116">
        <f>SUM(D6:G6)</f>
        <v>150000</v>
      </c>
      <c r="I6" s="49" t="s">
        <v>37</v>
      </c>
      <c r="J6" s="73">
        <f>C6*150000</f>
        <v>150000</v>
      </c>
      <c r="N6" s="107" t="s">
        <v>334</v>
      </c>
      <c r="O6" s="107">
        <v>110000</v>
      </c>
    </row>
    <row r="7" spans="2:15" ht="14.5" thickBot="1" x14ac:dyDescent="0.35">
      <c r="B7" s="117"/>
      <c r="C7" s="116"/>
      <c r="D7" s="116">
        <f>SUM(D3:D6)</f>
        <v>100000</v>
      </c>
      <c r="E7" s="116">
        <f>SUM(E3:E6)</f>
        <v>150000.00000000003</v>
      </c>
      <c r="F7" s="116">
        <f>SUM(F3:F6)</f>
        <v>110000</v>
      </c>
      <c r="G7" s="116">
        <f>SUM(G3:G6)</f>
        <v>90000</v>
      </c>
      <c r="H7" s="116"/>
      <c r="J7" s="74"/>
      <c r="N7" s="107" t="s">
        <v>335</v>
      </c>
      <c r="O7" s="107">
        <v>90000</v>
      </c>
    </row>
    <row r="8" spans="2:15" ht="14.5" thickBot="1" x14ac:dyDescent="0.35">
      <c r="D8" s="49" t="s">
        <v>14</v>
      </c>
      <c r="E8" s="49" t="s">
        <v>14</v>
      </c>
      <c r="F8" s="49" t="s">
        <v>14</v>
      </c>
      <c r="G8" s="49" t="s">
        <v>14</v>
      </c>
    </row>
    <row r="9" spans="2:15" ht="14.5" thickBot="1" x14ac:dyDescent="0.35">
      <c r="D9" s="109">
        <v>100000</v>
      </c>
      <c r="E9" s="109">
        <v>150000</v>
      </c>
      <c r="F9" s="109">
        <v>110000</v>
      </c>
      <c r="G9" s="109">
        <v>90000</v>
      </c>
      <c r="H9" s="116"/>
    </row>
    <row r="12" spans="2:15" ht="14.5" thickBot="1" x14ac:dyDescent="0.35">
      <c r="B12" s="49" t="s">
        <v>339</v>
      </c>
    </row>
    <row r="13" spans="2:15" ht="28.5" thickBot="1" x14ac:dyDescent="0.35">
      <c r="B13" s="106" t="s">
        <v>331</v>
      </c>
      <c r="C13" s="106" t="s">
        <v>340</v>
      </c>
    </row>
    <row r="14" spans="2:15" ht="14.5" thickBot="1" x14ac:dyDescent="0.35">
      <c r="B14" s="107" t="s">
        <v>341</v>
      </c>
      <c r="C14" s="110">
        <f>C3*6000000</f>
        <v>6000000</v>
      </c>
      <c r="H14" s="49" t="s">
        <v>491</v>
      </c>
      <c r="I14" s="49">
        <f>F3</f>
        <v>50000</v>
      </c>
      <c r="J14" s="49" t="s">
        <v>80</v>
      </c>
      <c r="K14" s="73">
        <v>50000</v>
      </c>
    </row>
    <row r="15" spans="2:15" ht="14.5" thickBot="1" x14ac:dyDescent="0.35">
      <c r="B15" s="107" t="s">
        <v>336</v>
      </c>
      <c r="C15" s="110">
        <f>C4*5500000</f>
        <v>5500000</v>
      </c>
      <c r="H15" s="49" t="s">
        <v>492</v>
      </c>
      <c r="I15" s="49">
        <f>F4</f>
        <v>50000</v>
      </c>
      <c r="J15" s="49" t="s">
        <v>80</v>
      </c>
      <c r="K15" s="73">
        <v>50000</v>
      </c>
    </row>
    <row r="16" spans="2:15" x14ac:dyDescent="0.3">
      <c r="B16" s="111" t="s">
        <v>38</v>
      </c>
      <c r="C16" s="112">
        <f>C5*5800000</f>
        <v>0</v>
      </c>
    </row>
    <row r="17" spans="2:8" x14ac:dyDescent="0.3">
      <c r="B17" s="113" t="s">
        <v>342</v>
      </c>
      <c r="C17" s="114">
        <f>C6*6200000</f>
        <v>6200000</v>
      </c>
    </row>
    <row r="18" spans="2:8" x14ac:dyDescent="0.3">
      <c r="B18" s="51" t="s">
        <v>343</v>
      </c>
      <c r="C18" s="92">
        <f>SUM(C14:C17)</f>
        <v>17700000</v>
      </c>
    </row>
    <row r="21" spans="2:8" ht="14.5" thickBot="1" x14ac:dyDescent="0.35">
      <c r="B21" s="49" t="s">
        <v>344</v>
      </c>
    </row>
    <row r="22" spans="2:8" ht="14.5" thickBot="1" x14ac:dyDescent="0.35">
      <c r="B22" s="103" t="s">
        <v>331</v>
      </c>
      <c r="C22" s="103" t="s">
        <v>332</v>
      </c>
      <c r="D22" s="103" t="s">
        <v>333</v>
      </c>
      <c r="E22" s="103" t="s">
        <v>334</v>
      </c>
      <c r="F22" s="103" t="s">
        <v>335</v>
      </c>
    </row>
    <row r="23" spans="2:8" ht="14.5" thickBot="1" x14ac:dyDescent="0.35">
      <c r="B23" s="104" t="s">
        <v>43</v>
      </c>
      <c r="C23" s="104">
        <v>206</v>
      </c>
      <c r="D23" s="104">
        <v>225</v>
      </c>
      <c r="E23" s="104">
        <v>230</v>
      </c>
      <c r="F23" s="104">
        <v>290</v>
      </c>
    </row>
    <row r="24" spans="2:8" ht="14.5" thickBot="1" x14ac:dyDescent="0.35">
      <c r="B24" s="104" t="s">
        <v>336</v>
      </c>
      <c r="C24" s="104">
        <v>225</v>
      </c>
      <c r="D24" s="104">
        <v>206</v>
      </c>
      <c r="E24" s="104">
        <v>221</v>
      </c>
      <c r="F24" s="104">
        <v>270</v>
      </c>
    </row>
    <row r="25" spans="2:8" ht="14.5" thickBot="1" x14ac:dyDescent="0.35">
      <c r="B25" s="104" t="s">
        <v>38</v>
      </c>
      <c r="C25" s="104">
        <v>230</v>
      </c>
      <c r="D25" s="104">
        <v>221</v>
      </c>
      <c r="E25" s="104">
        <v>208</v>
      </c>
      <c r="F25" s="104">
        <v>262</v>
      </c>
    </row>
    <row r="26" spans="2:8" ht="28.5" thickBot="1" x14ac:dyDescent="0.35">
      <c r="B26" s="104" t="s">
        <v>41</v>
      </c>
      <c r="C26" s="104">
        <v>290</v>
      </c>
      <c r="D26" s="104">
        <v>270</v>
      </c>
      <c r="E26" s="104">
        <v>262</v>
      </c>
      <c r="F26" s="104">
        <v>215</v>
      </c>
      <c r="G26" s="56">
        <f>SUMPRODUCT(D3:G6,C23:F26)</f>
        <v>99220000</v>
      </c>
      <c r="H26" s="74"/>
    </row>
    <row r="27" spans="2:8" x14ac:dyDescent="0.3">
      <c r="G27" s="56">
        <f>G26+C18</f>
        <v>116920000</v>
      </c>
    </row>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FEF4-C8CB-400F-AC94-E4585F0536DC}">
  <dimension ref="B1:H26"/>
  <sheetViews>
    <sheetView topLeftCell="A4" workbookViewId="0">
      <selection activeCell="G18" sqref="G18"/>
    </sheetView>
  </sheetViews>
  <sheetFormatPr defaultRowHeight="14" x14ac:dyDescent="0.3"/>
  <cols>
    <col min="1" max="1" width="8.6640625" style="49"/>
    <col min="2" max="2" width="13.6640625" style="49" bestFit="1" customWidth="1"/>
    <col min="3" max="3" width="11.5" style="49" bestFit="1" customWidth="1"/>
    <col min="4" max="5" width="8.6640625" style="49"/>
    <col min="6" max="6" width="13.75" style="49" bestFit="1" customWidth="1"/>
    <col min="7" max="16384" width="8.6640625" style="49"/>
  </cols>
  <sheetData>
    <row r="1" spans="2:8" ht="14.5" thickBot="1" x14ac:dyDescent="0.35"/>
    <row r="2" spans="2:8" ht="42.5" thickBot="1" x14ac:dyDescent="0.35">
      <c r="B2" s="106" t="s">
        <v>0</v>
      </c>
      <c r="C2" s="106" t="s">
        <v>345</v>
      </c>
      <c r="D2" s="106" t="s">
        <v>136</v>
      </c>
      <c r="E2" s="106" t="s">
        <v>137</v>
      </c>
    </row>
    <row r="3" spans="2:8" ht="14.5" thickBot="1" x14ac:dyDescent="0.35">
      <c r="B3" s="107" t="s">
        <v>138</v>
      </c>
      <c r="C3" s="108">
        <v>33.333333333333329</v>
      </c>
      <c r="D3" s="108">
        <v>33.333333333333343</v>
      </c>
      <c r="E3" s="108">
        <v>33.333333333333329</v>
      </c>
      <c r="F3" s="49">
        <f>SUM(C3:E3)</f>
        <v>100</v>
      </c>
      <c r="G3" s="49" t="s">
        <v>14</v>
      </c>
      <c r="H3" s="73">
        <v>100</v>
      </c>
    </row>
    <row r="4" spans="2:8" ht="14.5" thickBot="1" x14ac:dyDescent="0.35">
      <c r="B4" s="107" t="s">
        <v>139</v>
      </c>
      <c r="C4" s="108">
        <v>233.33333333333334</v>
      </c>
      <c r="D4" s="108">
        <v>33.333333333333329</v>
      </c>
      <c r="E4" s="108">
        <v>33.333333333333329</v>
      </c>
      <c r="F4" s="49">
        <f>SUM(C4:E4)</f>
        <v>300</v>
      </c>
      <c r="G4" s="49" t="s">
        <v>14</v>
      </c>
      <c r="H4" s="73">
        <v>300</v>
      </c>
    </row>
    <row r="5" spans="2:8" ht="14.5" thickBot="1" x14ac:dyDescent="0.35">
      <c r="B5" s="107" t="s">
        <v>140</v>
      </c>
      <c r="C5" s="108">
        <v>33.333333333333329</v>
      </c>
      <c r="D5" s="108">
        <v>133.33333333333331</v>
      </c>
      <c r="E5" s="108">
        <v>133.33333333333334</v>
      </c>
      <c r="F5" s="49">
        <f>SUM(C5:E5)</f>
        <v>300</v>
      </c>
      <c r="G5" s="49" t="s">
        <v>14</v>
      </c>
      <c r="H5" s="73">
        <v>300</v>
      </c>
    </row>
    <row r="6" spans="2:8" x14ac:dyDescent="0.3">
      <c r="C6" s="49">
        <f>SUM(C3:C5)</f>
        <v>300</v>
      </c>
      <c r="D6" s="49">
        <f>SUM(D3:D5)</f>
        <v>200</v>
      </c>
      <c r="E6" s="49">
        <f>SUM(E3:E5)</f>
        <v>200</v>
      </c>
    </row>
    <row r="7" spans="2:8" x14ac:dyDescent="0.3">
      <c r="C7" s="49" t="s">
        <v>14</v>
      </c>
      <c r="D7" s="49" t="s">
        <v>14</v>
      </c>
      <c r="E7" s="49" t="s">
        <v>14</v>
      </c>
    </row>
    <row r="8" spans="2:8" x14ac:dyDescent="0.3">
      <c r="C8" s="73">
        <v>300</v>
      </c>
      <c r="D8" s="73">
        <v>200</v>
      </c>
      <c r="E8" s="73">
        <v>200</v>
      </c>
    </row>
    <row r="10" spans="2:8" ht="28.5" thickBot="1" x14ac:dyDescent="0.35">
      <c r="B10" s="116" t="s">
        <v>344</v>
      </c>
    </row>
    <row r="11" spans="2:8" ht="42.5" thickBot="1" x14ac:dyDescent="0.35">
      <c r="B11" s="106" t="s">
        <v>0</v>
      </c>
      <c r="C11" s="106" t="s">
        <v>135</v>
      </c>
      <c r="D11" s="106" t="s">
        <v>136</v>
      </c>
      <c r="E11" s="106" t="s">
        <v>137</v>
      </c>
    </row>
    <row r="12" spans="2:8" ht="14.5" thickBot="1" x14ac:dyDescent="0.35">
      <c r="B12" s="107" t="s">
        <v>138</v>
      </c>
      <c r="C12" s="107">
        <v>5</v>
      </c>
      <c r="D12" s="107">
        <v>4</v>
      </c>
      <c r="E12" s="107">
        <v>3</v>
      </c>
    </row>
    <row r="13" spans="2:8" ht="14.5" thickBot="1" x14ac:dyDescent="0.35">
      <c r="B13" s="107" t="s">
        <v>139</v>
      </c>
      <c r="C13" s="107">
        <v>8</v>
      </c>
      <c r="D13" s="107">
        <v>4</v>
      </c>
      <c r="E13" s="107">
        <v>3</v>
      </c>
    </row>
    <row r="14" spans="2:8" ht="28.5" thickBot="1" x14ac:dyDescent="0.35">
      <c r="B14" s="107" t="s">
        <v>140</v>
      </c>
      <c r="C14" s="107">
        <v>9</v>
      </c>
      <c r="D14" s="107">
        <v>7</v>
      </c>
      <c r="E14" s="107">
        <v>5</v>
      </c>
      <c r="F14" s="56">
        <f>SUMPRODUCT(C3:E5,C12:E14)</f>
        <v>4400.0000000000009</v>
      </c>
    </row>
    <row r="17" spans="2:8" x14ac:dyDescent="0.3">
      <c r="B17" t="s">
        <v>346</v>
      </c>
      <c r="C17" t="s">
        <v>347</v>
      </c>
      <c r="F17" s="49" t="s">
        <v>354</v>
      </c>
    </row>
    <row r="18" spans="2:8" x14ac:dyDescent="0.3">
      <c r="B18" s="9" t="s">
        <v>348</v>
      </c>
      <c r="C18" s="9" t="s">
        <v>349</v>
      </c>
      <c r="D18" s="49">
        <f>C3</f>
        <v>33.333333333333329</v>
      </c>
      <c r="E18" s="49" t="s">
        <v>80</v>
      </c>
      <c r="F18" s="49">
        <f>$G$18</f>
        <v>33.333333333333329</v>
      </c>
      <c r="G18" s="50">
        <v>33.333333333333329</v>
      </c>
      <c r="H18" s="49" t="s">
        <v>355</v>
      </c>
    </row>
    <row r="19" spans="2:8" x14ac:dyDescent="0.3">
      <c r="B19" s="9" t="s">
        <v>348</v>
      </c>
      <c r="C19" s="9" t="s">
        <v>350</v>
      </c>
      <c r="D19" s="49">
        <f>D3</f>
        <v>33.333333333333343</v>
      </c>
      <c r="E19" s="49" t="s">
        <v>80</v>
      </c>
      <c r="F19" s="49">
        <f t="shared" ref="F19:F26" si="0">$G$18</f>
        <v>33.333333333333329</v>
      </c>
    </row>
    <row r="20" spans="2:8" x14ac:dyDescent="0.3">
      <c r="B20" s="9" t="s">
        <v>348</v>
      </c>
      <c r="C20" s="9" t="s">
        <v>351</v>
      </c>
      <c r="D20" s="49">
        <f>E3</f>
        <v>33.333333333333329</v>
      </c>
      <c r="E20" s="49" t="s">
        <v>80</v>
      </c>
      <c r="F20" s="49">
        <f t="shared" si="0"/>
        <v>33.333333333333329</v>
      </c>
    </row>
    <row r="21" spans="2:8" x14ac:dyDescent="0.3">
      <c r="B21" s="9" t="s">
        <v>352</v>
      </c>
      <c r="C21" s="9" t="s">
        <v>349</v>
      </c>
      <c r="D21" s="49">
        <f>C4</f>
        <v>233.33333333333334</v>
      </c>
      <c r="E21" s="49" t="s">
        <v>80</v>
      </c>
      <c r="F21" s="49">
        <f t="shared" si="0"/>
        <v>33.333333333333329</v>
      </c>
    </row>
    <row r="22" spans="2:8" x14ac:dyDescent="0.3">
      <c r="B22" s="9" t="s">
        <v>352</v>
      </c>
      <c r="C22" s="9" t="s">
        <v>350</v>
      </c>
      <c r="D22" s="49">
        <f>D4</f>
        <v>33.333333333333329</v>
      </c>
      <c r="E22" s="49" t="s">
        <v>80</v>
      </c>
      <c r="F22" s="49">
        <f t="shared" si="0"/>
        <v>33.333333333333329</v>
      </c>
    </row>
    <row r="23" spans="2:8" x14ac:dyDescent="0.3">
      <c r="B23" s="9" t="s">
        <v>352</v>
      </c>
      <c r="C23" s="9" t="s">
        <v>351</v>
      </c>
      <c r="D23" s="49">
        <f>E4</f>
        <v>33.333333333333329</v>
      </c>
      <c r="E23" s="49" t="s">
        <v>80</v>
      </c>
      <c r="F23" s="49">
        <f t="shared" si="0"/>
        <v>33.333333333333329</v>
      </c>
    </row>
    <row r="24" spans="2:8" x14ac:dyDescent="0.3">
      <c r="B24" s="9" t="s">
        <v>353</v>
      </c>
      <c r="C24" s="9" t="s">
        <v>349</v>
      </c>
      <c r="D24" s="49">
        <f>C5</f>
        <v>33.333333333333329</v>
      </c>
      <c r="E24" s="49" t="s">
        <v>80</v>
      </c>
      <c r="F24" s="49">
        <f t="shared" si="0"/>
        <v>33.333333333333329</v>
      </c>
    </row>
    <row r="25" spans="2:8" x14ac:dyDescent="0.3">
      <c r="B25" s="9" t="s">
        <v>353</v>
      </c>
      <c r="C25" s="9" t="s">
        <v>350</v>
      </c>
      <c r="D25" s="49">
        <f>D5</f>
        <v>133.33333333333331</v>
      </c>
      <c r="E25" s="49" t="s">
        <v>80</v>
      </c>
      <c r="F25" s="49">
        <f t="shared" si="0"/>
        <v>33.333333333333329</v>
      </c>
    </row>
    <row r="26" spans="2:8" x14ac:dyDescent="0.3">
      <c r="B26" s="9" t="s">
        <v>353</v>
      </c>
      <c r="C26" s="9" t="s">
        <v>351</v>
      </c>
      <c r="D26" s="49">
        <f>E5</f>
        <v>133.33333333333334</v>
      </c>
      <c r="E26" s="49" t="s">
        <v>80</v>
      </c>
      <c r="F26" s="49">
        <f t="shared" si="0"/>
        <v>33.333333333333329</v>
      </c>
    </row>
  </sheetData>
  <phoneticPr fontId="4"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8702-6E1D-4AF9-B1CB-B9D591130170}">
  <dimension ref="B1:H26"/>
  <sheetViews>
    <sheetView workbookViewId="0">
      <selection activeCell="E21" sqref="E21"/>
    </sheetView>
  </sheetViews>
  <sheetFormatPr defaultRowHeight="14" x14ac:dyDescent="0.3"/>
  <cols>
    <col min="1" max="1" width="8.6640625" style="49"/>
    <col min="2" max="2" width="13.6640625" style="49" bestFit="1" customWidth="1"/>
    <col min="3" max="3" width="11.5" style="49" bestFit="1" customWidth="1"/>
    <col min="4" max="5" width="8.6640625" style="49"/>
    <col min="6" max="6" width="13.75" style="49" bestFit="1" customWidth="1"/>
    <col min="7" max="16384" width="8.6640625" style="49"/>
  </cols>
  <sheetData>
    <row r="1" spans="2:8" ht="14.5" thickBot="1" x14ac:dyDescent="0.35"/>
    <row r="2" spans="2:8" ht="42.5" thickBot="1" x14ac:dyDescent="0.35">
      <c r="B2" s="106" t="s">
        <v>0</v>
      </c>
      <c r="C2" s="106" t="s">
        <v>345</v>
      </c>
      <c r="D2" s="106" t="s">
        <v>136</v>
      </c>
      <c r="E2" s="106" t="s">
        <v>137</v>
      </c>
    </row>
    <row r="3" spans="2:8" ht="14.5" thickBot="1" x14ac:dyDescent="0.35">
      <c r="B3" s="107" t="s">
        <v>138</v>
      </c>
      <c r="C3" s="108">
        <v>100</v>
      </c>
      <c r="D3" s="108">
        <v>0</v>
      </c>
      <c r="E3" s="108">
        <v>0</v>
      </c>
      <c r="F3" s="49">
        <f>SUM(C3:E3)</f>
        <v>100</v>
      </c>
      <c r="G3" s="49" t="s">
        <v>14</v>
      </c>
      <c r="H3" s="73">
        <v>100</v>
      </c>
    </row>
    <row r="4" spans="2:8" ht="14.5" thickBot="1" x14ac:dyDescent="0.35">
      <c r="B4" s="107" t="s">
        <v>139</v>
      </c>
      <c r="C4" s="108">
        <v>100</v>
      </c>
      <c r="D4" s="108">
        <v>100</v>
      </c>
      <c r="E4" s="108">
        <v>100</v>
      </c>
      <c r="F4" s="49">
        <f>SUM(C4:E4)</f>
        <v>300</v>
      </c>
      <c r="G4" s="49" t="s">
        <v>14</v>
      </c>
      <c r="H4" s="73">
        <v>300</v>
      </c>
    </row>
    <row r="5" spans="2:8" ht="14.5" thickBot="1" x14ac:dyDescent="0.35">
      <c r="B5" s="107" t="s">
        <v>140</v>
      </c>
      <c r="C5" s="108">
        <v>100</v>
      </c>
      <c r="D5" s="108">
        <v>100</v>
      </c>
      <c r="E5" s="108">
        <v>100</v>
      </c>
      <c r="F5" s="49">
        <f>SUM(C5:E5)</f>
        <v>300</v>
      </c>
      <c r="G5" s="49" t="s">
        <v>14</v>
      </c>
      <c r="H5" s="73">
        <v>300</v>
      </c>
    </row>
    <row r="6" spans="2:8" x14ac:dyDescent="0.3">
      <c r="C6" s="49">
        <f>SUM(C3:C5)</f>
        <v>300</v>
      </c>
      <c r="D6" s="49">
        <f>SUM(D3:D5)</f>
        <v>200</v>
      </c>
      <c r="E6" s="49">
        <f>SUM(E3:E5)</f>
        <v>200</v>
      </c>
    </row>
    <row r="7" spans="2:8" x14ac:dyDescent="0.3">
      <c r="C7" s="49" t="s">
        <v>14</v>
      </c>
      <c r="D7" s="49" t="s">
        <v>14</v>
      </c>
      <c r="E7" s="49" t="s">
        <v>14</v>
      </c>
    </row>
    <row r="8" spans="2:8" x14ac:dyDescent="0.3">
      <c r="C8" s="73">
        <v>300</v>
      </c>
      <c r="D8" s="73">
        <v>200</v>
      </c>
      <c r="E8" s="73">
        <v>200</v>
      </c>
    </row>
    <row r="10" spans="2:8" ht="14.5" thickBot="1" x14ac:dyDescent="0.35">
      <c r="B10" s="116" t="s">
        <v>344</v>
      </c>
    </row>
    <row r="11" spans="2:8" ht="42.5" thickBot="1" x14ac:dyDescent="0.35">
      <c r="B11" s="106" t="s">
        <v>0</v>
      </c>
      <c r="C11" s="106" t="s">
        <v>135</v>
      </c>
      <c r="D11" s="106" t="s">
        <v>136</v>
      </c>
      <c r="E11" s="106" t="s">
        <v>137</v>
      </c>
    </row>
    <row r="12" spans="2:8" ht="14.5" thickBot="1" x14ac:dyDescent="0.35">
      <c r="B12" s="107" t="s">
        <v>138</v>
      </c>
      <c r="C12" s="107">
        <v>5</v>
      </c>
      <c r="D12" s="107">
        <v>4</v>
      </c>
      <c r="E12" s="107">
        <v>3</v>
      </c>
    </row>
    <row r="13" spans="2:8" ht="14.5" thickBot="1" x14ac:dyDescent="0.35">
      <c r="B13" s="107" t="s">
        <v>139</v>
      </c>
      <c r="C13" s="107">
        <v>8</v>
      </c>
      <c r="D13" s="107">
        <v>4</v>
      </c>
      <c r="E13" s="107">
        <v>3</v>
      </c>
    </row>
    <row r="14" spans="2:8" ht="14.5" thickBot="1" x14ac:dyDescent="0.35">
      <c r="B14" s="107" t="s">
        <v>140</v>
      </c>
      <c r="C14" s="107">
        <v>9</v>
      </c>
      <c r="D14" s="107">
        <v>7</v>
      </c>
      <c r="E14" s="107">
        <v>5</v>
      </c>
      <c r="F14" s="56">
        <f>SUMPRODUCT(C3:E5,C12:E14)</f>
        <v>4100</v>
      </c>
    </row>
    <row r="17" spans="2:8" x14ac:dyDescent="0.3">
      <c r="B17" t="s">
        <v>346</v>
      </c>
      <c r="C17" t="s">
        <v>347</v>
      </c>
      <c r="F17" s="49" t="s">
        <v>354</v>
      </c>
    </row>
    <row r="18" spans="2:8" x14ac:dyDescent="0.3">
      <c r="B18" s="9" t="s">
        <v>348</v>
      </c>
      <c r="C18" s="9" t="s">
        <v>349</v>
      </c>
      <c r="D18" s="49">
        <f>C3</f>
        <v>100</v>
      </c>
      <c r="E18" s="49" t="s">
        <v>37</v>
      </c>
      <c r="F18" s="49">
        <f>$G$18</f>
        <v>100</v>
      </c>
      <c r="G18" s="50">
        <v>100</v>
      </c>
      <c r="H18" s="49" t="s">
        <v>355</v>
      </c>
    </row>
    <row r="19" spans="2:8" x14ac:dyDescent="0.3">
      <c r="B19" s="9" t="s">
        <v>348</v>
      </c>
      <c r="C19" s="9" t="s">
        <v>350</v>
      </c>
      <c r="D19" s="49">
        <f>D3</f>
        <v>0</v>
      </c>
      <c r="E19" s="49" t="s">
        <v>37</v>
      </c>
      <c r="F19" s="49">
        <f t="shared" ref="F19:F26" si="0">$G$18</f>
        <v>100</v>
      </c>
    </row>
    <row r="20" spans="2:8" x14ac:dyDescent="0.3">
      <c r="B20" s="9" t="s">
        <v>348</v>
      </c>
      <c r="C20" s="9" t="s">
        <v>351</v>
      </c>
      <c r="D20" s="49">
        <f>E3</f>
        <v>0</v>
      </c>
      <c r="E20" s="49" t="s">
        <v>37</v>
      </c>
      <c r="F20" s="49">
        <f t="shared" si="0"/>
        <v>100</v>
      </c>
    </row>
    <row r="21" spans="2:8" x14ac:dyDescent="0.3">
      <c r="B21" s="9" t="s">
        <v>352</v>
      </c>
      <c r="C21" s="9" t="s">
        <v>349</v>
      </c>
      <c r="D21" s="49">
        <f>C4</f>
        <v>100</v>
      </c>
      <c r="E21" s="49" t="s">
        <v>37</v>
      </c>
      <c r="F21" s="49">
        <f t="shared" si="0"/>
        <v>100</v>
      </c>
    </row>
    <row r="22" spans="2:8" x14ac:dyDescent="0.3">
      <c r="B22" s="9" t="s">
        <v>352</v>
      </c>
      <c r="C22" s="9" t="s">
        <v>350</v>
      </c>
      <c r="D22" s="49">
        <f>D4</f>
        <v>100</v>
      </c>
      <c r="E22" s="49" t="s">
        <v>37</v>
      </c>
      <c r="F22" s="49">
        <f t="shared" si="0"/>
        <v>100</v>
      </c>
    </row>
    <row r="23" spans="2:8" x14ac:dyDescent="0.3">
      <c r="B23" s="9" t="s">
        <v>352</v>
      </c>
      <c r="C23" s="9" t="s">
        <v>351</v>
      </c>
      <c r="D23" s="49">
        <f>E4</f>
        <v>100</v>
      </c>
      <c r="E23" s="49" t="s">
        <v>37</v>
      </c>
      <c r="F23" s="49">
        <f t="shared" si="0"/>
        <v>100</v>
      </c>
    </row>
    <row r="24" spans="2:8" x14ac:dyDescent="0.3">
      <c r="B24" s="9" t="s">
        <v>353</v>
      </c>
      <c r="C24" s="9" t="s">
        <v>349</v>
      </c>
      <c r="D24" s="49">
        <f>C5</f>
        <v>100</v>
      </c>
      <c r="E24" s="49" t="s">
        <v>37</v>
      </c>
      <c r="F24" s="49">
        <f t="shared" si="0"/>
        <v>100</v>
      </c>
    </row>
    <row r="25" spans="2:8" x14ac:dyDescent="0.3">
      <c r="B25" s="9" t="s">
        <v>353</v>
      </c>
      <c r="C25" s="9" t="s">
        <v>350</v>
      </c>
      <c r="D25" s="49">
        <f>D5</f>
        <v>100</v>
      </c>
      <c r="E25" s="49" t="s">
        <v>37</v>
      </c>
      <c r="F25" s="49">
        <f t="shared" si="0"/>
        <v>100</v>
      </c>
    </row>
    <row r="26" spans="2:8" x14ac:dyDescent="0.3">
      <c r="B26" s="9" t="s">
        <v>353</v>
      </c>
      <c r="C26" s="9" t="s">
        <v>351</v>
      </c>
      <c r="D26" s="49">
        <f>E5</f>
        <v>100</v>
      </c>
      <c r="E26" s="49" t="s">
        <v>37</v>
      </c>
      <c r="F26" s="49">
        <f t="shared" si="0"/>
        <v>100</v>
      </c>
    </row>
  </sheetData>
  <phoneticPr fontId="4"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226B-F91C-4ED4-B950-4EABA74DD3D0}">
  <sheetPr>
    <tabColor rgb="FF92D050"/>
  </sheetPr>
  <dimension ref="B1:M40"/>
  <sheetViews>
    <sheetView workbookViewId="0">
      <selection activeCell="J11" sqref="J11"/>
    </sheetView>
  </sheetViews>
  <sheetFormatPr defaultRowHeight="14" x14ac:dyDescent="0.3"/>
  <cols>
    <col min="1" max="1" width="8.6640625" style="49"/>
    <col min="2" max="2" width="14.9140625" style="49" bestFit="1" customWidth="1"/>
    <col min="3" max="3" width="10" style="49" bestFit="1" customWidth="1"/>
    <col min="4" max="4" width="16.9140625" style="49" bestFit="1" customWidth="1"/>
    <col min="5" max="6" width="10" style="49" bestFit="1" customWidth="1"/>
    <col min="7" max="7" width="11.25" style="49" bestFit="1" customWidth="1"/>
    <col min="8" max="8" width="10" style="49" bestFit="1" customWidth="1"/>
    <col min="9" max="9" width="8.75" style="49" bestFit="1" customWidth="1"/>
    <col min="10" max="10" width="10" style="49" bestFit="1" customWidth="1"/>
    <col min="11" max="13" width="8.75" style="49" bestFit="1" customWidth="1"/>
    <col min="14" max="16384" width="8.6640625" style="49"/>
  </cols>
  <sheetData>
    <row r="1" spans="2:13" ht="14.5" thickBot="1" x14ac:dyDescent="0.35"/>
    <row r="2" spans="2:13" ht="42.5" thickBot="1" x14ac:dyDescent="0.35">
      <c r="B2" s="106" t="s">
        <v>235</v>
      </c>
      <c r="C2" s="106" t="s">
        <v>236</v>
      </c>
      <c r="D2" s="106" t="s">
        <v>237</v>
      </c>
      <c r="E2" s="106" t="s">
        <v>238</v>
      </c>
      <c r="H2" s="106" t="s">
        <v>246</v>
      </c>
      <c r="I2" s="106" t="s">
        <v>247</v>
      </c>
      <c r="J2" s="106" t="s">
        <v>248</v>
      </c>
      <c r="K2" s="106" t="s">
        <v>249</v>
      </c>
      <c r="L2" s="106" t="s">
        <v>250</v>
      </c>
      <c r="M2" s="106" t="s">
        <v>251</v>
      </c>
    </row>
    <row r="3" spans="2:13" ht="28.5" thickBot="1" x14ac:dyDescent="0.35">
      <c r="B3" s="107" t="s">
        <v>239</v>
      </c>
      <c r="C3" s="120">
        <v>2.8</v>
      </c>
      <c r="D3" s="120">
        <v>14000</v>
      </c>
      <c r="E3" s="120">
        <v>6000</v>
      </c>
      <c r="H3" s="107" t="s">
        <v>252</v>
      </c>
      <c r="I3" s="120">
        <v>0.5</v>
      </c>
      <c r="J3" s="120">
        <v>0.44</v>
      </c>
      <c r="K3" s="120">
        <v>0.49</v>
      </c>
      <c r="L3" s="120">
        <v>0.46</v>
      </c>
      <c r="M3" s="120">
        <v>0.56000000000000005</v>
      </c>
    </row>
    <row r="4" spans="2:13" ht="28.5" thickBot="1" x14ac:dyDescent="0.35">
      <c r="B4" s="107" t="s">
        <v>240</v>
      </c>
      <c r="C4" s="120">
        <v>3.52</v>
      </c>
      <c r="D4" s="120"/>
      <c r="E4" s="120"/>
      <c r="H4" s="107" t="s">
        <v>253</v>
      </c>
      <c r="I4" s="120">
        <v>0.4</v>
      </c>
      <c r="J4" s="120">
        <v>0.52</v>
      </c>
      <c r="K4" s="120">
        <v>0.5</v>
      </c>
      <c r="L4" s="120">
        <v>0.56000000000000005</v>
      </c>
      <c r="M4" s="120">
        <v>0.56999999999999995</v>
      </c>
    </row>
    <row r="5" spans="2:13" ht="28.5" thickBot="1" x14ac:dyDescent="0.35">
      <c r="B5" s="107" t="s">
        <v>241</v>
      </c>
      <c r="C5" s="120">
        <v>2.78</v>
      </c>
      <c r="D5" s="120">
        <v>12000</v>
      </c>
      <c r="E5" s="120">
        <v>5000</v>
      </c>
      <c r="H5" s="107" t="s">
        <v>254</v>
      </c>
      <c r="I5" s="120">
        <v>0.56000000000000005</v>
      </c>
      <c r="J5" s="120">
        <v>0.53</v>
      </c>
      <c r="K5" s="120">
        <v>0.51</v>
      </c>
      <c r="L5" s="120">
        <v>0.54</v>
      </c>
      <c r="M5" s="120">
        <v>0.35</v>
      </c>
    </row>
    <row r="6" spans="2:13" ht="28.5" thickBot="1" x14ac:dyDescent="0.35">
      <c r="B6" s="107" t="s">
        <v>242</v>
      </c>
      <c r="C6" s="120">
        <v>3.48</v>
      </c>
      <c r="D6" s="120"/>
      <c r="E6" s="120"/>
    </row>
    <row r="7" spans="2:13" ht="28.5" thickBot="1" x14ac:dyDescent="0.35">
      <c r="B7" s="107" t="s">
        <v>243</v>
      </c>
      <c r="C7" s="120">
        <v>2.72</v>
      </c>
      <c r="D7" s="120">
        <v>15000</v>
      </c>
      <c r="E7" s="120">
        <v>7500</v>
      </c>
    </row>
    <row r="8" spans="2:13" ht="28.5" thickBot="1" x14ac:dyDescent="0.35">
      <c r="B8" s="107" t="s">
        <v>244</v>
      </c>
      <c r="C8" s="120">
        <v>3.42</v>
      </c>
      <c r="D8" s="120"/>
      <c r="E8" s="120"/>
    </row>
    <row r="10" spans="2:13" ht="14.5" thickBot="1" x14ac:dyDescent="0.35"/>
    <row r="11" spans="2:13" ht="28.5" thickBot="1" x14ac:dyDescent="0.35">
      <c r="B11" s="106" t="s">
        <v>246</v>
      </c>
      <c r="C11" s="106" t="s">
        <v>247</v>
      </c>
      <c r="D11" s="106" t="s">
        <v>248</v>
      </c>
      <c r="E11" s="106" t="s">
        <v>249</v>
      </c>
      <c r="F11" s="106" t="s">
        <v>250</v>
      </c>
      <c r="G11" s="106" t="s">
        <v>251</v>
      </c>
      <c r="L11" s="51" t="s">
        <v>261</v>
      </c>
      <c r="M11" s="51"/>
    </row>
    <row r="12" spans="2:13" ht="14.5" thickBot="1" x14ac:dyDescent="0.35">
      <c r="B12" s="107" t="s">
        <v>252</v>
      </c>
      <c r="C12" s="108">
        <v>0</v>
      </c>
      <c r="D12" s="108">
        <v>13000</v>
      </c>
      <c r="E12" s="108">
        <v>0</v>
      </c>
      <c r="F12" s="108">
        <v>13999.999999999996</v>
      </c>
      <c r="G12" s="108">
        <v>0</v>
      </c>
      <c r="H12" s="49">
        <f>SUM(C12:G12)</f>
        <v>26999.999999999996</v>
      </c>
      <c r="I12" s="49" t="s">
        <v>37</v>
      </c>
      <c r="J12" s="73">
        <f>M12*27000</f>
        <v>27000</v>
      </c>
      <c r="L12" s="51" t="s">
        <v>252</v>
      </c>
      <c r="M12" s="52">
        <v>1</v>
      </c>
    </row>
    <row r="13" spans="2:13" ht="14.5" thickBot="1" x14ac:dyDescent="0.35">
      <c r="B13" s="107" t="s">
        <v>356</v>
      </c>
      <c r="C13" s="108">
        <v>0</v>
      </c>
      <c r="D13" s="108">
        <v>0</v>
      </c>
      <c r="E13" s="108">
        <v>0</v>
      </c>
      <c r="F13" s="108">
        <v>0</v>
      </c>
      <c r="G13" s="108">
        <v>0</v>
      </c>
      <c r="H13" s="49">
        <f t="shared" ref="H13:H17" si="0">SUM(C13:G13)</f>
        <v>0</v>
      </c>
      <c r="I13" s="49" t="s">
        <v>37</v>
      </c>
      <c r="J13" s="73">
        <f>M12*7000</f>
        <v>7000</v>
      </c>
      <c r="L13" s="51" t="s">
        <v>253</v>
      </c>
      <c r="M13" s="52">
        <v>0</v>
      </c>
    </row>
    <row r="14" spans="2:13" ht="14.5" thickBot="1" x14ac:dyDescent="0.35">
      <c r="B14" s="107" t="s">
        <v>253</v>
      </c>
      <c r="C14" s="108">
        <v>0</v>
      </c>
      <c r="D14" s="108">
        <v>0</v>
      </c>
      <c r="E14" s="108">
        <v>0</v>
      </c>
      <c r="F14" s="108">
        <v>0</v>
      </c>
      <c r="G14" s="108">
        <v>0</v>
      </c>
      <c r="H14" s="49">
        <f t="shared" si="0"/>
        <v>0</v>
      </c>
      <c r="I14" s="49" t="s">
        <v>37</v>
      </c>
      <c r="J14" s="73">
        <f>M13*20000</f>
        <v>0</v>
      </c>
      <c r="L14" s="51" t="s">
        <v>254</v>
      </c>
      <c r="M14" s="52">
        <v>1</v>
      </c>
    </row>
    <row r="15" spans="2:13" ht="14.5" thickBot="1" x14ac:dyDescent="0.35">
      <c r="B15" s="107" t="s">
        <v>357</v>
      </c>
      <c r="C15" s="108">
        <v>0</v>
      </c>
      <c r="D15" s="108">
        <v>0</v>
      </c>
      <c r="E15" s="108">
        <v>0</v>
      </c>
      <c r="F15" s="108">
        <v>0</v>
      </c>
      <c r="G15" s="108">
        <v>0</v>
      </c>
      <c r="H15" s="49">
        <f t="shared" si="0"/>
        <v>0</v>
      </c>
      <c r="I15" s="49" t="s">
        <v>37</v>
      </c>
      <c r="J15" s="73">
        <f>M13*5000</f>
        <v>0</v>
      </c>
    </row>
    <row r="16" spans="2:13" ht="14.5" thickBot="1" x14ac:dyDescent="0.35">
      <c r="B16" s="107" t="s">
        <v>254</v>
      </c>
      <c r="C16" s="108">
        <v>9000.0000000041146</v>
      </c>
      <c r="D16" s="108">
        <v>0</v>
      </c>
      <c r="E16" s="108">
        <v>7999.9999999958964</v>
      </c>
      <c r="F16" s="108">
        <v>0</v>
      </c>
      <c r="G16" s="108">
        <v>7999.9999999999964</v>
      </c>
      <c r="H16" s="49">
        <f t="shared" si="0"/>
        <v>25000.000000000007</v>
      </c>
      <c r="I16" s="49" t="s">
        <v>37</v>
      </c>
      <c r="J16" s="73">
        <f>M14*25000</f>
        <v>25000</v>
      </c>
    </row>
    <row r="17" spans="2:11" ht="14.5" thickBot="1" x14ac:dyDescent="0.35">
      <c r="B17" s="107" t="s">
        <v>358</v>
      </c>
      <c r="C17" s="108">
        <v>0</v>
      </c>
      <c r="D17" s="108">
        <v>0</v>
      </c>
      <c r="E17" s="108">
        <v>3000.0000000041</v>
      </c>
      <c r="F17" s="108">
        <v>1000.0000000000036</v>
      </c>
      <c r="G17" s="108">
        <v>0</v>
      </c>
      <c r="H17" s="49">
        <f t="shared" si="0"/>
        <v>4000.0000000041036</v>
      </c>
      <c r="I17" s="49" t="s">
        <v>37</v>
      </c>
      <c r="J17" s="73">
        <f>M14*6000</f>
        <v>6000</v>
      </c>
    </row>
    <row r="18" spans="2:11" x14ac:dyDescent="0.3">
      <c r="C18" s="49">
        <f>SUM(C12:C17)</f>
        <v>9000.0000000041146</v>
      </c>
      <c r="D18" s="49">
        <f t="shared" ref="D18:G18" si="1">SUM(D12:D17)</f>
        <v>13000</v>
      </c>
      <c r="E18" s="49">
        <f t="shared" si="1"/>
        <v>10999.999999999996</v>
      </c>
      <c r="F18" s="49">
        <f t="shared" si="1"/>
        <v>15000</v>
      </c>
      <c r="G18" s="49">
        <f t="shared" si="1"/>
        <v>7999.9999999999964</v>
      </c>
    </row>
    <row r="19" spans="2:11" x14ac:dyDescent="0.3">
      <c r="C19" s="49" t="s">
        <v>14</v>
      </c>
      <c r="D19" s="49" t="s">
        <v>14</v>
      </c>
      <c r="E19" s="49" t="s">
        <v>14</v>
      </c>
      <c r="F19" s="49" t="s">
        <v>14</v>
      </c>
      <c r="G19" s="49" t="s">
        <v>14</v>
      </c>
    </row>
    <row r="20" spans="2:11" x14ac:dyDescent="0.3">
      <c r="C20" s="73">
        <v>9000</v>
      </c>
      <c r="D20" s="73">
        <v>13000</v>
      </c>
      <c r="E20" s="73">
        <v>11000</v>
      </c>
      <c r="F20" s="73">
        <v>15000</v>
      </c>
      <c r="G20" s="73">
        <v>8000</v>
      </c>
    </row>
    <row r="22" spans="2:11" x14ac:dyDescent="0.3">
      <c r="B22" s="49" t="s">
        <v>185</v>
      </c>
    </row>
    <row r="23" spans="2:11" ht="28" x14ac:dyDescent="0.3">
      <c r="B23" s="121" t="s">
        <v>235</v>
      </c>
      <c r="C23" s="121" t="s">
        <v>236</v>
      </c>
      <c r="D23" s="51" t="s">
        <v>262</v>
      </c>
    </row>
    <row r="24" spans="2:11" ht="28" x14ac:dyDescent="0.3">
      <c r="B24" s="113" t="s">
        <v>239</v>
      </c>
      <c r="C24" s="122">
        <v>2.8</v>
      </c>
      <c r="D24" s="51">
        <f>C24*H12</f>
        <v>75599.999999999985</v>
      </c>
    </row>
    <row r="25" spans="2:11" x14ac:dyDescent="0.3">
      <c r="B25" s="113" t="s">
        <v>240</v>
      </c>
      <c r="C25" s="122">
        <v>3.52</v>
      </c>
      <c r="D25" s="51">
        <f t="shared" ref="D25:D29" si="2">C25*H13</f>
        <v>0</v>
      </c>
    </row>
    <row r="26" spans="2:11" ht="28" x14ac:dyDescent="0.3">
      <c r="B26" s="113" t="s">
        <v>241</v>
      </c>
      <c r="C26" s="122">
        <v>2.78</v>
      </c>
      <c r="D26" s="51">
        <f t="shared" si="2"/>
        <v>0</v>
      </c>
    </row>
    <row r="27" spans="2:11" x14ac:dyDescent="0.3">
      <c r="B27" s="113" t="s">
        <v>242</v>
      </c>
      <c r="C27" s="122">
        <v>3.48</v>
      </c>
      <c r="D27" s="51">
        <f t="shared" si="2"/>
        <v>0</v>
      </c>
    </row>
    <row r="28" spans="2:11" ht="28" x14ac:dyDescent="0.3">
      <c r="B28" s="113" t="s">
        <v>243</v>
      </c>
      <c r="C28" s="122">
        <v>2.72</v>
      </c>
      <c r="D28" s="51">
        <f t="shared" si="2"/>
        <v>68000.000000000029</v>
      </c>
    </row>
    <row r="29" spans="2:11" x14ac:dyDescent="0.3">
      <c r="B29" s="113" t="s">
        <v>244</v>
      </c>
      <c r="C29" s="122">
        <v>3.42</v>
      </c>
      <c r="D29" s="51">
        <f t="shared" si="2"/>
        <v>13680.000000014034</v>
      </c>
      <c r="E29" s="56">
        <f>SUM(D24:D29)</f>
        <v>157280.00000001403</v>
      </c>
    </row>
    <row r="31" spans="2:11" ht="14.5" thickBot="1" x14ac:dyDescent="0.35">
      <c r="F31" s="49" t="s">
        <v>266</v>
      </c>
    </row>
    <row r="32" spans="2:11" ht="28.5" thickBot="1" x14ac:dyDescent="0.35">
      <c r="B32" s="51" t="s">
        <v>223</v>
      </c>
      <c r="C32" s="51"/>
      <c r="F32" s="106" t="s">
        <v>246</v>
      </c>
      <c r="G32" s="106" t="s">
        <v>247</v>
      </c>
      <c r="H32" s="106" t="s">
        <v>248</v>
      </c>
      <c r="I32" s="106" t="s">
        <v>249</v>
      </c>
      <c r="J32" s="106" t="s">
        <v>250</v>
      </c>
      <c r="K32" s="106" t="s">
        <v>251</v>
      </c>
    </row>
    <row r="33" spans="2:13" ht="14.5" thickBot="1" x14ac:dyDescent="0.35">
      <c r="B33" s="51" t="s">
        <v>263</v>
      </c>
      <c r="C33" s="51"/>
      <c r="F33" s="107" t="s">
        <v>252</v>
      </c>
      <c r="G33" s="120">
        <v>0.5</v>
      </c>
      <c r="H33" s="120">
        <v>0.44</v>
      </c>
      <c r="I33" s="120">
        <v>0.49</v>
      </c>
      <c r="J33" s="120">
        <v>0.46</v>
      </c>
      <c r="K33" s="120">
        <v>0.56000000000000005</v>
      </c>
      <c r="L33" s="49">
        <f>SUMPRODUCT(C12:G12,G33:K33)+SUMPRODUCT(C13:G13,G33:K33)</f>
        <v>12159.999999999998</v>
      </c>
    </row>
    <row r="34" spans="2:13" ht="14.5" thickBot="1" x14ac:dyDescent="0.35">
      <c r="B34" s="51" t="s">
        <v>252</v>
      </c>
      <c r="C34" s="51">
        <f>M12*D3</f>
        <v>14000</v>
      </c>
      <c r="F34" s="107" t="s">
        <v>253</v>
      </c>
      <c r="G34" s="120">
        <v>0.4</v>
      </c>
      <c r="H34" s="120">
        <v>0.52</v>
      </c>
      <c r="I34" s="120">
        <v>0.5</v>
      </c>
      <c r="J34" s="120">
        <v>0.56000000000000005</v>
      </c>
      <c r="K34" s="120">
        <v>0.56999999999999995</v>
      </c>
      <c r="L34" s="49">
        <f>SUMPRODUCT(C14:G14,G34:K34)+SUMPRODUCT(C15:G15,G34:K34)</f>
        <v>0</v>
      </c>
    </row>
    <row r="35" spans="2:13" ht="14.5" thickBot="1" x14ac:dyDescent="0.35">
      <c r="B35" s="51" t="s">
        <v>253</v>
      </c>
      <c r="C35" s="51">
        <f>M13*D5</f>
        <v>0</v>
      </c>
      <c r="F35" s="107" t="s">
        <v>254</v>
      </c>
      <c r="G35" s="120">
        <v>0.56000000000000005</v>
      </c>
      <c r="H35" s="120">
        <v>0.53</v>
      </c>
      <c r="I35" s="120">
        <v>0.51</v>
      </c>
      <c r="J35" s="120">
        <v>0.54</v>
      </c>
      <c r="K35" s="120">
        <v>0.35</v>
      </c>
      <c r="L35" s="49">
        <f>SUMPRODUCT(C16:G16,G35:K35)+SUMPRODUCT(C17:G17,G35:K35)</f>
        <v>13990.000000002303</v>
      </c>
      <c r="M35" s="56">
        <f>SUM(L33:L35)</f>
        <v>26150.000000002299</v>
      </c>
    </row>
    <row r="36" spans="2:13" x14ac:dyDescent="0.3">
      <c r="B36" s="51" t="s">
        <v>254</v>
      </c>
      <c r="C36" s="51">
        <f>M14*D7</f>
        <v>15000</v>
      </c>
    </row>
    <row r="37" spans="2:13" x14ac:dyDescent="0.3">
      <c r="B37" s="51" t="s">
        <v>264</v>
      </c>
      <c r="C37" s="51"/>
    </row>
    <row r="38" spans="2:13" x14ac:dyDescent="0.3">
      <c r="B38" s="51" t="s">
        <v>252</v>
      </c>
      <c r="C38" s="51">
        <f>E3*(1-M12)</f>
        <v>0</v>
      </c>
    </row>
    <row r="39" spans="2:13" x14ac:dyDescent="0.3">
      <c r="B39" s="51" t="s">
        <v>253</v>
      </c>
      <c r="C39" s="51">
        <f>E5*(1-M13)</f>
        <v>5000</v>
      </c>
    </row>
    <row r="40" spans="2:13" x14ac:dyDescent="0.3">
      <c r="B40" s="51" t="s">
        <v>254</v>
      </c>
      <c r="C40" s="51">
        <f>E7*(1-M14)</f>
        <v>0</v>
      </c>
      <c r="D40" s="56">
        <f>SUM(C34:C40)</f>
        <v>34000</v>
      </c>
      <c r="F40" s="90" t="s">
        <v>36</v>
      </c>
      <c r="G40" s="123">
        <f>D40+E29+M35</f>
        <v>217430.00000001633</v>
      </c>
    </row>
  </sheetData>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5529-94F5-4E67-B3AC-282AA3715B8C}">
  <sheetPr>
    <tabColor rgb="FFFF0000"/>
  </sheetPr>
  <dimension ref="B2:M28"/>
  <sheetViews>
    <sheetView workbookViewId="0">
      <selection activeCell="G5" sqref="G5"/>
    </sheetView>
  </sheetViews>
  <sheetFormatPr defaultRowHeight="14" x14ac:dyDescent="0.3"/>
  <cols>
    <col min="1" max="1" width="8.6640625" style="49"/>
    <col min="2" max="2" width="14.5" style="49" customWidth="1"/>
    <col min="3" max="4" width="10.1640625" style="49" bestFit="1" customWidth="1"/>
    <col min="5" max="5" width="11.4140625" style="49" customWidth="1"/>
    <col min="6" max="6" width="12.1640625" style="49" bestFit="1" customWidth="1"/>
    <col min="7" max="8" width="11.08203125" style="49" bestFit="1" customWidth="1"/>
    <col min="9" max="10" width="8.6640625" style="49"/>
    <col min="11" max="11" width="16" style="49" bestFit="1" customWidth="1"/>
    <col min="12" max="16384" width="8.6640625" style="49"/>
  </cols>
  <sheetData>
    <row r="2" spans="2:13" ht="28" x14ac:dyDescent="0.3">
      <c r="B2" s="121" t="s">
        <v>359</v>
      </c>
      <c r="C2" s="121" t="s">
        <v>360</v>
      </c>
      <c r="D2" s="121" t="s">
        <v>361</v>
      </c>
      <c r="E2" s="186" t="s">
        <v>369</v>
      </c>
      <c r="F2" s="187" t="s">
        <v>371</v>
      </c>
      <c r="G2" s="187" t="s">
        <v>374</v>
      </c>
      <c r="H2" s="187" t="s">
        <v>375</v>
      </c>
      <c r="I2" s="51" t="s">
        <v>378</v>
      </c>
      <c r="J2" s="51" t="s">
        <v>379</v>
      </c>
      <c r="K2" s="51" t="s">
        <v>380</v>
      </c>
    </row>
    <row r="3" spans="2:13" x14ac:dyDescent="0.3">
      <c r="B3" s="51" t="s">
        <v>372</v>
      </c>
      <c r="C3" s="52">
        <v>4.2329020332717207</v>
      </c>
      <c r="D3" s="52">
        <v>2.8835489833641388</v>
      </c>
      <c r="E3" s="51"/>
      <c r="F3" s="51"/>
      <c r="G3" s="51"/>
      <c r="H3" s="51"/>
      <c r="I3" s="51"/>
      <c r="J3" s="51"/>
      <c r="K3" s="51"/>
      <c r="M3" s="49" t="s">
        <v>382</v>
      </c>
    </row>
    <row r="4" spans="2:13" x14ac:dyDescent="0.3">
      <c r="B4" s="113" t="s">
        <v>365</v>
      </c>
      <c r="C4" s="113">
        <v>40000</v>
      </c>
      <c r="D4" s="113">
        <v>32000</v>
      </c>
      <c r="E4" s="51" t="s">
        <v>368</v>
      </c>
      <c r="F4" s="92">
        <f>SUMPRODUCT($C$3:$D$3,C4:D4)</f>
        <v>261589.64879852126</v>
      </c>
      <c r="G4" s="51">
        <v>244000</v>
      </c>
      <c r="H4" s="51">
        <f>F4-G4</f>
        <v>17589.648798521259</v>
      </c>
      <c r="I4" s="51">
        <f>H4/G4</f>
        <v>7.2088724584103522E-2</v>
      </c>
      <c r="J4" s="51">
        <v>1</v>
      </c>
      <c r="K4" s="51">
        <f>I4*J4</f>
        <v>7.2088724584103522E-2</v>
      </c>
      <c r="L4" s="49" t="s">
        <v>37</v>
      </c>
      <c r="M4" s="130">
        <f>$K$7</f>
        <v>7.2088724584103619E-2</v>
      </c>
    </row>
    <row r="5" spans="2:13" ht="28" x14ac:dyDescent="0.3">
      <c r="B5" s="113" t="s">
        <v>366</v>
      </c>
      <c r="C5" s="113">
        <v>800</v>
      </c>
      <c r="D5" s="113">
        <v>1250</v>
      </c>
      <c r="E5" s="51" t="s">
        <v>368</v>
      </c>
      <c r="F5" s="92">
        <f>SUMPRODUCT($C$3:$D$3,C5:D5)</f>
        <v>6990.7578558225505</v>
      </c>
      <c r="G5" s="51">
        <v>6950</v>
      </c>
      <c r="H5" s="51">
        <f t="shared" ref="H5:H6" si="0">F5-G5</f>
        <v>40.757855822550482</v>
      </c>
      <c r="I5" s="51">
        <f t="shared" ref="I5:I6" si="1">H5/G5</f>
        <v>5.8644396866979111E-3</v>
      </c>
      <c r="J5" s="51">
        <v>1</v>
      </c>
      <c r="K5" s="51">
        <f t="shared" ref="K5:K6" si="2">I5*J5</f>
        <v>5.8644396866979111E-3</v>
      </c>
      <c r="L5" s="49" t="s">
        <v>37</v>
      </c>
      <c r="M5" s="130">
        <f>$K$7</f>
        <v>7.2088724584103619E-2</v>
      </c>
    </row>
    <row r="6" spans="2:13" ht="28" x14ac:dyDescent="0.3">
      <c r="B6" s="113" t="s">
        <v>367</v>
      </c>
      <c r="C6" s="113">
        <v>0.2</v>
      </c>
      <c r="D6" s="113">
        <v>0.45</v>
      </c>
      <c r="E6" s="51" t="s">
        <v>368</v>
      </c>
      <c r="F6" s="92">
        <f>SUMPRODUCT($C$3:$D$3,C6:D6)</f>
        <v>2.1441774491682066</v>
      </c>
      <c r="G6" s="51">
        <v>1.9999999999999998</v>
      </c>
      <c r="H6" s="51">
        <f t="shared" si="0"/>
        <v>0.14417744916820685</v>
      </c>
      <c r="I6" s="51">
        <f t="shared" si="1"/>
        <v>7.2088724584103439E-2</v>
      </c>
      <c r="J6" s="51">
        <v>1</v>
      </c>
      <c r="K6" s="51">
        <f t="shared" si="2"/>
        <v>7.2088724584103439E-2</v>
      </c>
      <c r="L6" s="49" t="s">
        <v>37</v>
      </c>
      <c r="M6" s="130">
        <f>$K$7</f>
        <v>7.2088724584103619E-2</v>
      </c>
    </row>
    <row r="7" spans="2:13" x14ac:dyDescent="0.3">
      <c r="K7" s="129">
        <v>7.2088724584103619E-2</v>
      </c>
      <c r="L7" s="49" t="s">
        <v>381</v>
      </c>
    </row>
    <row r="8" spans="2:13" x14ac:dyDescent="0.3">
      <c r="B8" s="49" t="s">
        <v>493</v>
      </c>
    </row>
    <row r="9" spans="2:13" x14ac:dyDescent="0.3">
      <c r="B9" s="49" t="s">
        <v>370</v>
      </c>
    </row>
    <row r="12" spans="2:13" ht="28" x14ac:dyDescent="0.3">
      <c r="B12" s="121" t="s">
        <v>359</v>
      </c>
      <c r="C12" s="121" t="s">
        <v>360</v>
      </c>
      <c r="D12" s="121" t="s">
        <v>361</v>
      </c>
      <c r="E12" s="126" t="s">
        <v>373</v>
      </c>
    </row>
    <row r="13" spans="2:13" x14ac:dyDescent="0.3">
      <c r="B13" s="113" t="s">
        <v>362</v>
      </c>
      <c r="C13" s="113">
        <v>12</v>
      </c>
      <c r="D13" s="113">
        <v>4</v>
      </c>
      <c r="E13" s="49">
        <f>SUMPRODUCT(C3:D3,C13:D13)</f>
        <v>62.329020332717207</v>
      </c>
      <c r="F13" s="116" t="s">
        <v>80</v>
      </c>
      <c r="G13" s="127">
        <v>48</v>
      </c>
    </row>
    <row r="14" spans="2:13" x14ac:dyDescent="0.3">
      <c r="B14" s="113" t="s">
        <v>363</v>
      </c>
      <c r="C14" s="113">
        <v>4</v>
      </c>
      <c r="D14" s="113">
        <v>4</v>
      </c>
      <c r="E14" s="49">
        <f>SUMPRODUCT(C3:D3,C14:D14)</f>
        <v>28.465804066543438</v>
      </c>
      <c r="F14" s="116" t="s">
        <v>80</v>
      </c>
      <c r="G14" s="127">
        <v>28</v>
      </c>
    </row>
    <row r="15" spans="2:13" x14ac:dyDescent="0.3">
      <c r="B15" s="113" t="s">
        <v>364</v>
      </c>
      <c r="C15" s="113">
        <v>10</v>
      </c>
      <c r="D15" s="113">
        <v>20</v>
      </c>
      <c r="E15" s="49">
        <f>SUMPRODUCT(C3:D3,C15:D15)</f>
        <v>99.999999999999986</v>
      </c>
      <c r="F15" s="116" t="s">
        <v>80</v>
      </c>
      <c r="G15" s="127">
        <v>100</v>
      </c>
    </row>
    <row r="23" spans="2:6" x14ac:dyDescent="0.3">
      <c r="B23" s="128" t="s">
        <v>376</v>
      </c>
    </row>
    <row r="24" spans="2:6" x14ac:dyDescent="0.3">
      <c r="B24" s="128" t="s">
        <v>377</v>
      </c>
    </row>
    <row r="25" spans="2:6" x14ac:dyDescent="0.3">
      <c r="B25" t="s">
        <v>383</v>
      </c>
      <c r="F25" s="49" t="s">
        <v>80</v>
      </c>
    </row>
    <row r="26" spans="2:6" x14ac:dyDescent="0.3">
      <c r="B26" s="49" t="s">
        <v>384</v>
      </c>
      <c r="F26" s="49" t="s">
        <v>37</v>
      </c>
    </row>
    <row r="27" spans="2:6" x14ac:dyDescent="0.3">
      <c r="B27" s="49" t="s">
        <v>494</v>
      </c>
    </row>
    <row r="28" spans="2:6" x14ac:dyDescent="0.3">
      <c r="B28" s="49" t="s">
        <v>495</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1D0A-8CCC-444A-8C74-EEA309213911}">
  <sheetPr>
    <tabColor rgb="FFFF0000"/>
  </sheetPr>
  <dimension ref="A1:H26"/>
  <sheetViews>
    <sheetView workbookViewId="0">
      <selection activeCell="H26" sqref="H26"/>
    </sheetView>
  </sheetViews>
  <sheetFormatPr defaultRowHeight="14" x14ac:dyDescent="0.3"/>
  <cols>
    <col min="2" max="2" width="15.1640625" bestFit="1" customWidth="1"/>
    <col min="3" max="3" width="11.33203125" customWidth="1"/>
    <col min="4" max="4" width="11.25" bestFit="1" customWidth="1"/>
    <col min="5" max="5" width="8.75" bestFit="1" customWidth="1"/>
    <col min="6" max="6" width="10" bestFit="1" customWidth="1"/>
    <col min="7" max="7" width="13.6640625" bestFit="1" customWidth="1"/>
  </cols>
  <sheetData>
    <row r="1" spans="1:7" ht="14.5" thickBot="1" x14ac:dyDescent="0.35">
      <c r="A1" s="49"/>
      <c r="B1" s="49"/>
      <c r="C1" s="49"/>
      <c r="D1" s="49"/>
      <c r="E1" s="49"/>
      <c r="F1" s="49"/>
    </row>
    <row r="2" spans="1:7" ht="28.5" thickBot="1" x14ac:dyDescent="0.35">
      <c r="A2" s="49"/>
      <c r="B2" s="106"/>
      <c r="C2" s="106" t="s">
        <v>385</v>
      </c>
      <c r="D2" s="106" t="s">
        <v>386</v>
      </c>
      <c r="E2" s="49"/>
      <c r="F2" s="49"/>
    </row>
    <row r="3" spans="1:7" ht="14.5" thickBot="1" x14ac:dyDescent="0.35">
      <c r="A3" s="49"/>
      <c r="B3" s="107" t="s">
        <v>387</v>
      </c>
      <c r="C3" s="107">
        <v>400</v>
      </c>
      <c r="D3" s="110">
        <v>18000</v>
      </c>
      <c r="E3" s="49"/>
      <c r="F3" s="49"/>
    </row>
    <row r="4" spans="1:7" ht="14.5" thickBot="1" x14ac:dyDescent="0.35">
      <c r="A4" s="49"/>
      <c r="B4" s="107" t="s">
        <v>388</v>
      </c>
      <c r="C4" s="107">
        <v>750</v>
      </c>
      <c r="D4" s="110">
        <v>33000</v>
      </c>
      <c r="E4" s="49"/>
      <c r="F4" s="49"/>
    </row>
    <row r="5" spans="1:7" ht="14.5" thickBot="1" x14ac:dyDescent="0.35">
      <c r="A5" s="49"/>
      <c r="B5" s="107" t="s">
        <v>389</v>
      </c>
      <c r="C5" s="107">
        <v>1050</v>
      </c>
      <c r="D5" s="110">
        <v>45150</v>
      </c>
      <c r="E5" s="49"/>
      <c r="F5" s="49"/>
    </row>
    <row r="6" spans="1:7" x14ac:dyDescent="0.3">
      <c r="A6" s="49"/>
      <c r="B6" s="49"/>
      <c r="C6" s="49"/>
      <c r="D6" s="49"/>
      <c r="E6" s="49"/>
      <c r="F6" s="49"/>
    </row>
    <row r="7" spans="1:7" ht="14.5" thickBot="1" x14ac:dyDescent="0.35">
      <c r="A7" s="49"/>
      <c r="B7" s="49"/>
      <c r="C7" s="49"/>
      <c r="D7" s="49"/>
      <c r="E7" s="49"/>
      <c r="F7" s="49"/>
    </row>
    <row r="8" spans="1:7" ht="14.5" thickBot="1" x14ac:dyDescent="0.35">
      <c r="A8" s="49"/>
      <c r="B8" s="49"/>
      <c r="C8" s="107" t="s">
        <v>387</v>
      </c>
      <c r="D8" s="107" t="s">
        <v>388</v>
      </c>
      <c r="E8" s="107" t="s">
        <v>389</v>
      </c>
      <c r="F8" s="116" t="s">
        <v>391</v>
      </c>
      <c r="G8" s="118" t="s">
        <v>74</v>
      </c>
    </row>
    <row r="9" spans="1:7" x14ac:dyDescent="0.3">
      <c r="A9" s="49"/>
      <c r="B9" s="49" t="s">
        <v>390</v>
      </c>
      <c r="C9" s="50">
        <v>5</v>
      </c>
      <c r="D9" s="50">
        <v>18</v>
      </c>
      <c r="E9" s="50">
        <v>7</v>
      </c>
      <c r="F9" s="49">
        <f>(C9*C3)+(C4*D9)+(C5*E9)</f>
        <v>22850</v>
      </c>
      <c r="G9" s="3">
        <f>(C9*D3)+(D4*D9)+(D5*E9)</f>
        <v>1000050</v>
      </c>
    </row>
    <row r="10" spans="1:7" x14ac:dyDescent="0.3">
      <c r="B10" s="59" t="s">
        <v>206</v>
      </c>
      <c r="C10" s="33">
        <v>0</v>
      </c>
      <c r="D10" s="33">
        <v>0</v>
      </c>
      <c r="E10" s="33">
        <v>8</v>
      </c>
      <c r="F10" s="33">
        <v>2150.0000000000005</v>
      </c>
      <c r="G10" s="33">
        <v>0</v>
      </c>
    </row>
    <row r="11" spans="1:7" x14ac:dyDescent="0.3">
      <c r="B11" s="59" t="s">
        <v>207</v>
      </c>
      <c r="C11" s="33">
        <v>0</v>
      </c>
      <c r="D11" s="33">
        <v>8</v>
      </c>
      <c r="E11" s="33">
        <v>0</v>
      </c>
      <c r="F11" s="33">
        <v>0</v>
      </c>
      <c r="G11" s="33">
        <v>49.999999999988631</v>
      </c>
    </row>
    <row r="12" spans="1:7" x14ac:dyDescent="0.3">
      <c r="A12" s="49"/>
      <c r="B12" s="49" t="s">
        <v>392</v>
      </c>
      <c r="C12" s="49">
        <f>C9+C10-C11</f>
        <v>5</v>
      </c>
      <c r="D12" s="49">
        <f t="shared" ref="D12:G12" si="0">D9+D10-D11</f>
        <v>10</v>
      </c>
      <c r="E12" s="49">
        <f t="shared" si="0"/>
        <v>15</v>
      </c>
      <c r="F12" s="49">
        <f t="shared" si="0"/>
        <v>25000</v>
      </c>
      <c r="G12" s="49">
        <f t="shared" si="0"/>
        <v>1000000</v>
      </c>
    </row>
    <row r="13" spans="1:7" x14ac:dyDescent="0.3">
      <c r="A13" s="49"/>
      <c r="C13" t="s">
        <v>14</v>
      </c>
      <c r="D13" t="s">
        <v>14</v>
      </c>
      <c r="E13" t="s">
        <v>14</v>
      </c>
      <c r="F13" t="s">
        <v>14</v>
      </c>
      <c r="G13" t="s">
        <v>14</v>
      </c>
    </row>
    <row r="14" spans="1:7" x14ac:dyDescent="0.3">
      <c r="B14" s="49" t="s">
        <v>374</v>
      </c>
      <c r="C14" s="73">
        <v>5</v>
      </c>
      <c r="D14" s="73">
        <v>10</v>
      </c>
      <c r="E14" s="73">
        <v>15</v>
      </c>
      <c r="F14" s="73">
        <v>25000</v>
      </c>
      <c r="G14" s="131">
        <v>1000000</v>
      </c>
    </row>
    <row r="16" spans="1:7" x14ac:dyDescent="0.3">
      <c r="B16" t="s">
        <v>496</v>
      </c>
    </row>
    <row r="17" spans="2:8" x14ac:dyDescent="0.3">
      <c r="B17">
        <f>SUM(C10:G11)</f>
        <v>2215.9999999999891</v>
      </c>
    </row>
    <row r="19" spans="2:8" x14ac:dyDescent="0.3">
      <c r="B19" t="s">
        <v>212</v>
      </c>
    </row>
    <row r="20" spans="2:8" x14ac:dyDescent="0.3">
      <c r="B20" s="59" t="s">
        <v>206</v>
      </c>
      <c r="C20">
        <v>1</v>
      </c>
      <c r="D20">
        <v>1</v>
      </c>
      <c r="E20">
        <v>1</v>
      </c>
      <c r="F20">
        <v>1</v>
      </c>
      <c r="G20">
        <v>0</v>
      </c>
    </row>
    <row r="21" spans="2:8" x14ac:dyDescent="0.3">
      <c r="B21" s="59" t="s">
        <v>207</v>
      </c>
      <c r="C21">
        <v>1</v>
      </c>
      <c r="D21">
        <v>1</v>
      </c>
      <c r="E21">
        <v>1</v>
      </c>
      <c r="F21">
        <v>0</v>
      </c>
      <c r="G21">
        <v>1</v>
      </c>
    </row>
    <row r="23" spans="2:8" x14ac:dyDescent="0.3">
      <c r="B23" t="s">
        <v>210</v>
      </c>
    </row>
    <row r="24" spans="2:8" x14ac:dyDescent="0.3">
      <c r="B24" t="s">
        <v>211</v>
      </c>
    </row>
    <row r="25" spans="2:8" x14ac:dyDescent="0.3">
      <c r="B25" s="59" t="s">
        <v>206</v>
      </c>
      <c r="C25" s="14">
        <f>C10/C14</f>
        <v>0</v>
      </c>
      <c r="D25" s="14">
        <f t="shared" ref="D25:G25" si="1">D10/D14</f>
        <v>0</v>
      </c>
      <c r="E25" s="14">
        <f t="shared" si="1"/>
        <v>0.53333333333333333</v>
      </c>
      <c r="F25" s="14">
        <f t="shared" si="1"/>
        <v>8.6000000000000021E-2</v>
      </c>
      <c r="G25" s="14">
        <f t="shared" si="1"/>
        <v>0</v>
      </c>
    </row>
    <row r="26" spans="2:8" x14ac:dyDescent="0.3">
      <c r="B26" s="59" t="s">
        <v>207</v>
      </c>
      <c r="C26" s="14">
        <f>C11/C14</f>
        <v>0</v>
      </c>
      <c r="D26" s="14">
        <f t="shared" ref="D26:G26" si="2">D11/D14</f>
        <v>0.8</v>
      </c>
      <c r="E26" s="14">
        <f t="shared" si="2"/>
        <v>0</v>
      </c>
      <c r="F26" s="14">
        <f t="shared" si="2"/>
        <v>0</v>
      </c>
      <c r="G26" s="14">
        <f t="shared" si="2"/>
        <v>4.9999999999988632E-5</v>
      </c>
      <c r="H26" s="17">
        <f>SUMPRODUCT(C20:G21,C25:G26)</f>
        <v>1.4193833333333332</v>
      </c>
    </row>
  </sheetData>
  <phoneticPr fontId="4"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1A3E-D80D-4583-9DC5-4F1F8B388B35}">
  <sheetPr>
    <tabColor rgb="FFFF0000"/>
  </sheetPr>
  <dimension ref="B1:J35"/>
  <sheetViews>
    <sheetView topLeftCell="A11" workbookViewId="0">
      <selection activeCell="I33" sqref="I33"/>
    </sheetView>
  </sheetViews>
  <sheetFormatPr defaultRowHeight="14" x14ac:dyDescent="0.3"/>
  <cols>
    <col min="2" max="2" width="13.83203125" bestFit="1" customWidth="1"/>
    <col min="3" max="3" width="18.75" bestFit="1" customWidth="1"/>
    <col min="4" max="4" width="11.75" bestFit="1" customWidth="1"/>
    <col min="5" max="6" width="10.25" bestFit="1" customWidth="1"/>
    <col min="7" max="7" width="12.58203125" bestFit="1" customWidth="1"/>
    <col min="9" max="10" width="12.58203125" bestFit="1" customWidth="1"/>
  </cols>
  <sheetData>
    <row r="1" spans="2:7" ht="14.5" thickBot="1" x14ac:dyDescent="0.35"/>
    <row r="2" spans="2:7" ht="16" thickBot="1" x14ac:dyDescent="0.35">
      <c r="B2" s="132" t="s">
        <v>234</v>
      </c>
      <c r="C2" s="133" t="s">
        <v>393</v>
      </c>
      <c r="D2" s="133" t="s">
        <v>394</v>
      </c>
      <c r="E2" s="133" t="s">
        <v>395</v>
      </c>
      <c r="F2" s="133" t="s">
        <v>396</v>
      </c>
      <c r="G2" s="133" t="s">
        <v>397</v>
      </c>
    </row>
    <row r="3" spans="2:7" ht="16" thickBot="1" x14ac:dyDescent="0.35">
      <c r="B3" s="134" t="s">
        <v>252</v>
      </c>
      <c r="C3" s="135">
        <v>131</v>
      </c>
      <c r="D3" s="135">
        <v>218</v>
      </c>
      <c r="E3" s="135">
        <v>266</v>
      </c>
      <c r="F3" s="135">
        <v>120</v>
      </c>
      <c r="G3" s="136">
        <v>450</v>
      </c>
    </row>
    <row r="4" spans="2:7" ht="16" thickBot="1" x14ac:dyDescent="0.35">
      <c r="B4" s="134" t="s">
        <v>253</v>
      </c>
      <c r="C4" s="135">
        <v>250</v>
      </c>
      <c r="D4" s="135">
        <v>116</v>
      </c>
      <c r="E4" s="135">
        <v>263</v>
      </c>
      <c r="F4" s="135">
        <v>278</v>
      </c>
      <c r="G4" s="136">
        <v>600</v>
      </c>
    </row>
    <row r="5" spans="2:7" ht="16" thickBot="1" x14ac:dyDescent="0.35">
      <c r="B5" s="134" t="s">
        <v>254</v>
      </c>
      <c r="C5" s="135">
        <v>178</v>
      </c>
      <c r="D5" s="135">
        <v>132</v>
      </c>
      <c r="E5" s="135">
        <v>122</v>
      </c>
      <c r="F5" s="135">
        <v>180</v>
      </c>
      <c r="G5" s="136">
        <v>500</v>
      </c>
    </row>
    <row r="6" spans="2:7" ht="16" thickBot="1" x14ac:dyDescent="0.35">
      <c r="B6" s="134" t="s">
        <v>338</v>
      </c>
      <c r="C6" s="136">
        <v>450</v>
      </c>
      <c r="D6" s="136">
        <v>200</v>
      </c>
      <c r="E6" s="136">
        <v>300</v>
      </c>
      <c r="F6" s="136">
        <v>300</v>
      </c>
      <c r="G6" s="138"/>
    </row>
    <row r="7" spans="2:7" ht="16" thickBot="1" x14ac:dyDescent="0.35">
      <c r="B7" s="137"/>
    </row>
    <row r="8" spans="2:7" ht="15.5" x14ac:dyDescent="0.3">
      <c r="B8" s="139" t="s">
        <v>245</v>
      </c>
      <c r="C8" s="143" t="s">
        <v>308</v>
      </c>
      <c r="D8" s="143" t="s">
        <v>398</v>
      </c>
    </row>
    <row r="9" spans="2:7" ht="15.5" x14ac:dyDescent="0.3">
      <c r="B9" s="140"/>
      <c r="C9" s="144"/>
      <c r="D9" s="144"/>
    </row>
    <row r="10" spans="2:7" ht="16" thickBot="1" x14ac:dyDescent="0.35">
      <c r="B10" s="134" t="s">
        <v>235</v>
      </c>
      <c r="C10" s="145"/>
      <c r="D10" s="145"/>
    </row>
    <row r="11" spans="2:7" ht="16" thickBot="1" x14ac:dyDescent="0.35">
      <c r="B11" s="134">
        <v>1</v>
      </c>
      <c r="C11" s="141">
        <v>14350</v>
      </c>
      <c r="D11" s="142">
        <v>0.3</v>
      </c>
    </row>
    <row r="12" spans="2:7" ht="16" thickBot="1" x14ac:dyDescent="0.35">
      <c r="B12" s="134">
        <v>2</v>
      </c>
      <c r="C12" s="141">
        <v>16270</v>
      </c>
      <c r="D12" s="142">
        <v>0.35</v>
      </c>
    </row>
    <row r="13" spans="2:7" ht="16" thickBot="1" x14ac:dyDescent="0.35">
      <c r="B13" s="134">
        <v>3</v>
      </c>
      <c r="C13" s="141">
        <v>16940</v>
      </c>
      <c r="D13" s="142">
        <v>0.22</v>
      </c>
    </row>
    <row r="14" spans="2:7" ht="16" thickBot="1" x14ac:dyDescent="0.35">
      <c r="B14" s="137"/>
    </row>
    <row r="15" spans="2:7" ht="47" thickBot="1" x14ac:dyDescent="0.35">
      <c r="B15" s="132" t="s">
        <v>399</v>
      </c>
      <c r="C15" s="133" t="s">
        <v>400</v>
      </c>
    </row>
    <row r="16" spans="2:7" ht="16" thickBot="1" x14ac:dyDescent="0.35">
      <c r="B16" s="134" t="s">
        <v>393</v>
      </c>
      <c r="C16" s="141">
        <v>19920</v>
      </c>
    </row>
    <row r="17" spans="2:9" ht="16" thickBot="1" x14ac:dyDescent="0.35">
      <c r="B17" s="134" t="s">
        <v>394</v>
      </c>
      <c r="C17" s="141">
        <v>20520</v>
      </c>
    </row>
    <row r="18" spans="2:9" ht="16" thickBot="1" x14ac:dyDescent="0.35">
      <c r="B18" s="134" t="s">
        <v>395</v>
      </c>
      <c r="C18" s="141">
        <v>17570</v>
      </c>
    </row>
    <row r="19" spans="2:9" ht="16" thickBot="1" x14ac:dyDescent="0.35">
      <c r="B19" s="134" t="s">
        <v>396</v>
      </c>
      <c r="C19" s="141">
        <v>18320</v>
      </c>
    </row>
    <row r="21" spans="2:9" ht="15.5" x14ac:dyDescent="0.3">
      <c r="B21" s="150" t="s">
        <v>234</v>
      </c>
      <c r="C21" s="150" t="s">
        <v>393</v>
      </c>
      <c r="D21" s="150" t="s">
        <v>394</v>
      </c>
      <c r="E21" s="150" t="s">
        <v>395</v>
      </c>
      <c r="F21" s="150" t="s">
        <v>396</v>
      </c>
      <c r="I21" s="146" t="s">
        <v>397</v>
      </c>
    </row>
    <row r="22" spans="2:9" ht="15.5" x14ac:dyDescent="0.3">
      <c r="B22" s="150" t="s">
        <v>252</v>
      </c>
      <c r="C22" s="151">
        <v>450</v>
      </c>
      <c r="D22" s="151">
        <v>0</v>
      </c>
      <c r="E22" s="151">
        <v>0</v>
      </c>
      <c r="F22" s="151">
        <v>0</v>
      </c>
      <c r="G22" s="14">
        <f>SUM(C22:F22)</f>
        <v>450</v>
      </c>
      <c r="H22" t="s">
        <v>37</v>
      </c>
      <c r="I22" s="155">
        <v>450</v>
      </c>
    </row>
    <row r="23" spans="2:9" ht="15.5" x14ac:dyDescent="0.3">
      <c r="B23" s="150" t="s">
        <v>253</v>
      </c>
      <c r="C23" s="151">
        <v>0</v>
      </c>
      <c r="D23" s="151">
        <v>0</v>
      </c>
      <c r="E23" s="151">
        <v>300</v>
      </c>
      <c r="F23" s="151">
        <v>300</v>
      </c>
      <c r="G23" s="14">
        <f>SUM(C23:F23)</f>
        <v>600</v>
      </c>
      <c r="H23" t="s">
        <v>21</v>
      </c>
      <c r="I23" s="155">
        <v>600</v>
      </c>
    </row>
    <row r="24" spans="2:9" ht="15.5" x14ac:dyDescent="0.3">
      <c r="B24" s="150" t="s">
        <v>254</v>
      </c>
      <c r="C24" s="151">
        <v>0</v>
      </c>
      <c r="D24" s="151">
        <v>500</v>
      </c>
      <c r="E24" s="151">
        <v>0</v>
      </c>
      <c r="F24" s="151">
        <v>0</v>
      </c>
      <c r="G24" s="14">
        <f>SUM(C24:F24)</f>
        <v>500</v>
      </c>
      <c r="H24" t="s">
        <v>21</v>
      </c>
      <c r="I24" s="155">
        <v>500</v>
      </c>
    </row>
    <row r="25" spans="2:9" s="147" customFormat="1" ht="15.5" x14ac:dyDescent="0.3">
      <c r="B25" s="148"/>
      <c r="C25" s="149">
        <f>SUM(C22:C24)</f>
        <v>450</v>
      </c>
      <c r="D25" s="149">
        <f>SUM(D22:D24)</f>
        <v>500</v>
      </c>
      <c r="E25" s="149">
        <f>SUM(E22:E24)</f>
        <v>300</v>
      </c>
      <c r="F25" s="149">
        <f>SUM(F22:F24)</f>
        <v>300</v>
      </c>
    </row>
    <row r="26" spans="2:9" s="147" customFormat="1" ht="15.5" x14ac:dyDescent="0.3">
      <c r="B26" s="148"/>
      <c r="C26" s="149" t="s">
        <v>80</v>
      </c>
      <c r="D26" s="149" t="s">
        <v>80</v>
      </c>
      <c r="E26" s="149" t="s">
        <v>80</v>
      </c>
      <c r="F26" s="149" t="s">
        <v>80</v>
      </c>
    </row>
    <row r="27" spans="2:9" ht="15.5" x14ac:dyDescent="0.3">
      <c r="B27" s="146" t="s">
        <v>338</v>
      </c>
      <c r="C27" s="155">
        <v>450</v>
      </c>
      <c r="D27" s="155">
        <v>200</v>
      </c>
      <c r="E27" s="155">
        <v>300</v>
      </c>
      <c r="F27" s="155">
        <v>300</v>
      </c>
      <c r="G27" s="152"/>
    </row>
    <row r="28" spans="2:9" x14ac:dyDescent="0.3">
      <c r="B28" s="152"/>
      <c r="C28" s="152"/>
      <c r="D28" s="152"/>
      <c r="E28" s="152"/>
      <c r="F28" s="152"/>
      <c r="G28" s="152"/>
    </row>
    <row r="32" spans="2:9" ht="15.5" x14ac:dyDescent="0.3">
      <c r="B32" s="150" t="s">
        <v>401</v>
      </c>
      <c r="C32" s="150" t="s">
        <v>393</v>
      </c>
      <c r="D32" s="150" t="s">
        <v>394</v>
      </c>
      <c r="E32" s="150" t="s">
        <v>395</v>
      </c>
      <c r="F32" s="150" t="s">
        <v>396</v>
      </c>
      <c r="G32" s="154" t="s">
        <v>104</v>
      </c>
      <c r="H32" s="154" t="s">
        <v>402</v>
      </c>
      <c r="I32" s="154" t="s">
        <v>403</v>
      </c>
    </row>
    <row r="33" spans="2:10" ht="15.5" x14ac:dyDescent="0.3">
      <c r="B33" s="150" t="s">
        <v>252</v>
      </c>
      <c r="C33" s="153">
        <f>(C22*C16)-(C11*C22)-(C22*C3)</f>
        <v>2447550</v>
      </c>
      <c r="D33" s="153">
        <f>(D22*C17)-(C11*D22)-(D22*D3)</f>
        <v>0</v>
      </c>
      <c r="E33" s="153">
        <f>(E22*C18)-(C11*E22)-(E22*E3)</f>
        <v>0</v>
      </c>
      <c r="F33" s="153">
        <f>(F22*C19)-(C11*F22)-(F22*F3)</f>
        <v>0</v>
      </c>
      <c r="G33" s="53">
        <f>SUM(C33:F33)</f>
        <v>2447550</v>
      </c>
      <c r="H33" s="9">
        <v>0.3</v>
      </c>
      <c r="I33" s="53">
        <f>G33*(1-H33)</f>
        <v>1713285</v>
      </c>
    </row>
    <row r="34" spans="2:10" ht="15.5" x14ac:dyDescent="0.3">
      <c r="B34" s="150" t="s">
        <v>253</v>
      </c>
      <c r="C34" s="153">
        <f>(C23*C16)-(C12*C23)-(C23*C4)</f>
        <v>0</v>
      </c>
      <c r="D34" s="153">
        <f>(D23*C17)-(C12*D23)-(D23*D4)</f>
        <v>0</v>
      </c>
      <c r="E34" s="153">
        <f>(E23*C18)-(C12*E23)-(E23*E4)</f>
        <v>311100</v>
      </c>
      <c r="F34" s="153">
        <f>(F23*C19)-(C12*F23)-(F23*F4)</f>
        <v>531600</v>
      </c>
      <c r="G34" s="53">
        <f>SUM(C34:F34)</f>
        <v>842700</v>
      </c>
      <c r="H34" s="9">
        <v>0.35</v>
      </c>
      <c r="I34" s="53">
        <f t="shared" ref="I34:I35" si="0">G34*(1-H34)</f>
        <v>547755</v>
      </c>
    </row>
    <row r="35" spans="2:10" ht="15.5" x14ac:dyDescent="0.3">
      <c r="B35" s="150" t="s">
        <v>254</v>
      </c>
      <c r="C35" s="153">
        <f>(C24*C16)-(C13*C24)-(C24*C5)</f>
        <v>0</v>
      </c>
      <c r="D35" s="153">
        <f>(D24*C17)-(C13*D24)-(D24*D5)</f>
        <v>1724000</v>
      </c>
      <c r="E35" s="153">
        <f>(E24*C18)-(C13*E24)-(E24*E5)</f>
        <v>0</v>
      </c>
      <c r="F35" s="153">
        <f>(F24*C19)-(C13*F24)-(F24*F5)</f>
        <v>0</v>
      </c>
      <c r="G35" s="53">
        <f>SUM(C35:F35)</f>
        <v>1724000</v>
      </c>
      <c r="H35" s="9">
        <v>0.22</v>
      </c>
      <c r="I35" s="53">
        <f t="shared" si="0"/>
        <v>1344720</v>
      </c>
      <c r="J35" s="29">
        <f>SUM(I33:I35)</f>
        <v>3605760</v>
      </c>
    </row>
  </sheetData>
  <mergeCells count="2">
    <mergeCell ref="C8:C10"/>
    <mergeCell ref="D8:D10"/>
  </mergeCells>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3003-3A97-4752-A407-D0C4F8E8B060}">
  <sheetPr>
    <tabColor rgb="FF92D050"/>
  </sheetPr>
  <dimension ref="B1:H28"/>
  <sheetViews>
    <sheetView workbookViewId="0">
      <selection activeCell="J11" sqref="J11"/>
    </sheetView>
  </sheetViews>
  <sheetFormatPr defaultRowHeight="14" x14ac:dyDescent="0.3"/>
  <cols>
    <col min="2" max="2" width="9.25" bestFit="1" customWidth="1"/>
    <col min="3" max="3" width="10" bestFit="1" customWidth="1"/>
    <col min="5" max="5" width="10.58203125" customWidth="1"/>
    <col min="7" max="7" width="10.58203125" bestFit="1" customWidth="1"/>
  </cols>
  <sheetData>
    <row r="1" spans="2:8" ht="14.5" thickBot="1" x14ac:dyDescent="0.35"/>
    <row r="2" spans="2:8" ht="42.5" thickBot="1" x14ac:dyDescent="0.35">
      <c r="B2" s="103" t="s">
        <v>404</v>
      </c>
      <c r="C2" s="103" t="s">
        <v>405</v>
      </c>
      <c r="D2" s="103" t="s">
        <v>406</v>
      </c>
      <c r="E2" s="103" t="s">
        <v>407</v>
      </c>
      <c r="F2" s="103" t="s">
        <v>408</v>
      </c>
    </row>
    <row r="3" spans="2:8" ht="14.5" thickBot="1" x14ac:dyDescent="0.35">
      <c r="B3" s="104" t="s">
        <v>409</v>
      </c>
      <c r="C3" s="119">
        <v>2</v>
      </c>
      <c r="D3" s="119">
        <v>3</v>
      </c>
      <c r="E3" s="119">
        <v>6</v>
      </c>
      <c r="F3" s="119">
        <v>600</v>
      </c>
    </row>
    <row r="4" spans="2:8" ht="14.5" thickBot="1" x14ac:dyDescent="0.35">
      <c r="B4" s="104" t="s">
        <v>410</v>
      </c>
      <c r="C4" s="119">
        <v>6</v>
      </c>
      <c r="D4" s="119">
        <v>3</v>
      </c>
      <c r="E4" s="119">
        <v>4</v>
      </c>
      <c r="F4" s="119">
        <v>300</v>
      </c>
    </row>
    <row r="5" spans="2:8" ht="14.5" thickBot="1" x14ac:dyDescent="0.35">
      <c r="B5" s="104" t="s">
        <v>411</v>
      </c>
      <c r="C5" s="119">
        <v>5</v>
      </c>
      <c r="D5" s="119">
        <v>6</v>
      </c>
      <c r="E5" s="119">
        <v>2</v>
      </c>
      <c r="F5" s="119">
        <v>400</v>
      </c>
    </row>
    <row r="7" spans="2:8" ht="14.5" thickBot="1" x14ac:dyDescent="0.35"/>
    <row r="8" spans="2:8" ht="28.5" thickBot="1" x14ac:dyDescent="0.35">
      <c r="B8" s="103" t="s">
        <v>404</v>
      </c>
      <c r="C8" s="103" t="s">
        <v>405</v>
      </c>
      <c r="D8" s="103" t="s">
        <v>406</v>
      </c>
      <c r="E8" s="103" t="s">
        <v>407</v>
      </c>
    </row>
    <row r="9" spans="2:8" ht="14.5" thickBot="1" x14ac:dyDescent="0.35">
      <c r="B9" s="103" t="s">
        <v>413</v>
      </c>
      <c r="C9" s="156">
        <v>0</v>
      </c>
      <c r="D9" s="156">
        <v>1</v>
      </c>
      <c r="E9" s="156">
        <v>1</v>
      </c>
    </row>
    <row r="10" spans="2:8" ht="28.5" thickBot="1" x14ac:dyDescent="0.35">
      <c r="B10" s="103" t="s">
        <v>412</v>
      </c>
      <c r="C10" s="156">
        <v>0</v>
      </c>
      <c r="D10" s="156">
        <v>56</v>
      </c>
      <c r="E10" s="156">
        <v>32</v>
      </c>
    </row>
    <row r="11" spans="2:8" ht="14.5" thickBot="1" x14ac:dyDescent="0.35">
      <c r="B11" s="160"/>
      <c r="C11" s="160" t="s">
        <v>37</v>
      </c>
      <c r="D11" s="160" t="s">
        <v>37</v>
      </c>
      <c r="E11" s="160" t="s">
        <v>37</v>
      </c>
    </row>
    <row r="12" spans="2:8" ht="14.5" thickBot="1" x14ac:dyDescent="0.35">
      <c r="B12" s="160"/>
      <c r="C12" s="161">
        <f>C9*50000</f>
        <v>0</v>
      </c>
      <c r="D12" s="161">
        <f t="shared" ref="D12:E12" si="0">D9*50000</f>
        <v>50000</v>
      </c>
      <c r="E12" s="161">
        <f t="shared" si="0"/>
        <v>50000</v>
      </c>
    </row>
    <row r="13" spans="2:8" ht="14.5" thickBot="1" x14ac:dyDescent="0.35">
      <c r="B13" s="160"/>
      <c r="C13" s="160"/>
      <c r="D13" s="160"/>
      <c r="E13" s="160"/>
    </row>
    <row r="14" spans="2:8" ht="14.5" thickBot="1" x14ac:dyDescent="0.35">
      <c r="B14" s="103"/>
      <c r="C14" s="103"/>
      <c r="D14" s="103"/>
      <c r="E14" s="103"/>
    </row>
    <row r="15" spans="2:8" ht="14.5" thickBot="1" x14ac:dyDescent="0.35">
      <c r="B15" s="104" t="s">
        <v>409</v>
      </c>
      <c r="C15" s="104">
        <f>C3*$C$10</f>
        <v>0</v>
      </c>
      <c r="D15" s="104">
        <f>D3*$D$10</f>
        <v>168</v>
      </c>
      <c r="E15" s="104">
        <f>E3*$E$10</f>
        <v>192</v>
      </c>
      <c r="F15">
        <f>SUM(C15:E15)</f>
        <v>360</v>
      </c>
      <c r="G15" t="s">
        <v>37</v>
      </c>
      <c r="H15" s="157">
        <v>600</v>
      </c>
    </row>
    <row r="16" spans="2:8" ht="14.5" thickBot="1" x14ac:dyDescent="0.35">
      <c r="B16" s="104" t="s">
        <v>410</v>
      </c>
      <c r="C16" s="104">
        <f t="shared" ref="C16:C17" si="1">C4*$C$10</f>
        <v>0</v>
      </c>
      <c r="D16" s="104">
        <f t="shared" ref="D16:D17" si="2">D4*$D$10</f>
        <v>168</v>
      </c>
      <c r="E16" s="104">
        <f t="shared" ref="E16:E17" si="3">E4*$E$10</f>
        <v>128</v>
      </c>
      <c r="F16">
        <f>SUM(C16:E16)</f>
        <v>296</v>
      </c>
      <c r="G16" t="s">
        <v>37</v>
      </c>
      <c r="H16" s="157">
        <v>300</v>
      </c>
    </row>
    <row r="17" spans="2:8" ht="14.5" thickBot="1" x14ac:dyDescent="0.35">
      <c r="B17" s="104" t="s">
        <v>411</v>
      </c>
      <c r="C17" s="104">
        <f t="shared" si="1"/>
        <v>0</v>
      </c>
      <c r="D17" s="104">
        <f t="shared" si="2"/>
        <v>336</v>
      </c>
      <c r="E17" s="104">
        <f t="shared" si="3"/>
        <v>64</v>
      </c>
      <c r="F17">
        <f>SUM(C17:E17)</f>
        <v>400</v>
      </c>
      <c r="G17" t="s">
        <v>37</v>
      </c>
      <c r="H17" s="157">
        <v>400</v>
      </c>
    </row>
    <row r="23" spans="2:8" x14ac:dyDescent="0.3">
      <c r="B23" s="158" t="s">
        <v>223</v>
      </c>
      <c r="C23" s="9"/>
      <c r="E23" s="47" t="s">
        <v>104</v>
      </c>
      <c r="F23" s="47"/>
      <c r="G23" s="47"/>
    </row>
    <row r="24" spans="2:8" x14ac:dyDescent="0.3">
      <c r="B24" s="124" t="s">
        <v>405</v>
      </c>
      <c r="C24" s="47">
        <f>C9*1000</f>
        <v>0</v>
      </c>
      <c r="E24" s="159" t="s">
        <v>405</v>
      </c>
      <c r="F24" s="47">
        <v>48</v>
      </c>
      <c r="G24" s="47">
        <f>F24*C10</f>
        <v>0</v>
      </c>
    </row>
    <row r="25" spans="2:8" x14ac:dyDescent="0.3">
      <c r="B25" s="124" t="s">
        <v>406</v>
      </c>
      <c r="C25" s="47">
        <f>D9*800</f>
        <v>800</v>
      </c>
      <c r="E25" s="159" t="s">
        <v>406</v>
      </c>
      <c r="F25" s="47">
        <v>55</v>
      </c>
      <c r="G25" s="47">
        <f>F25*D10</f>
        <v>3080</v>
      </c>
    </row>
    <row r="26" spans="2:8" x14ac:dyDescent="0.3">
      <c r="B26" s="124" t="s">
        <v>407</v>
      </c>
      <c r="C26" s="47">
        <f>E9*900</f>
        <v>900</v>
      </c>
      <c r="E26" s="159" t="s">
        <v>407</v>
      </c>
      <c r="F26" s="47">
        <v>50</v>
      </c>
      <c r="G26" s="47">
        <f>F26*E10</f>
        <v>1600</v>
      </c>
    </row>
    <row r="27" spans="2:8" x14ac:dyDescent="0.3">
      <c r="C27" s="57">
        <f>SUM(C24:C26)</f>
        <v>1700</v>
      </c>
      <c r="G27" s="57">
        <f>SUM(G24:G26)</f>
        <v>4680</v>
      </c>
    </row>
    <row r="28" spans="2:8" x14ac:dyDescent="0.3">
      <c r="F28" t="s">
        <v>81</v>
      </c>
      <c r="G28" s="162">
        <f>G27-C27</f>
        <v>2980</v>
      </c>
    </row>
  </sheetData>
  <phoneticPr fontId="4"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598F-A3AD-4C8E-BFA4-83D445B354D0}">
  <sheetPr>
    <tabColor rgb="FF92D050"/>
  </sheetPr>
  <dimension ref="A1:T59"/>
  <sheetViews>
    <sheetView workbookViewId="0">
      <selection activeCell="D10" sqref="D10"/>
    </sheetView>
  </sheetViews>
  <sheetFormatPr defaultRowHeight="14" x14ac:dyDescent="0.3"/>
  <cols>
    <col min="1" max="1" width="13.83203125" bestFit="1" customWidth="1"/>
    <col min="2" max="2" width="12.1640625" bestFit="1" customWidth="1"/>
    <col min="3" max="3" width="11.08203125" bestFit="1" customWidth="1"/>
    <col min="4" max="4" width="12.6640625" bestFit="1" customWidth="1"/>
    <col min="5" max="5" width="12.1640625" bestFit="1" customWidth="1"/>
    <col min="9" max="9" width="11.5" bestFit="1" customWidth="1"/>
    <col min="10" max="10" width="12.1640625" bestFit="1" customWidth="1"/>
    <col min="12" max="13" width="12.1640625" bestFit="1" customWidth="1"/>
    <col min="15" max="15" width="11.08203125" customWidth="1"/>
    <col min="16" max="16" width="9.75" customWidth="1"/>
    <col min="17" max="17" width="9.83203125" customWidth="1"/>
  </cols>
  <sheetData>
    <row r="1" spans="2:20" ht="14.5" thickBot="1" x14ac:dyDescent="0.35"/>
    <row r="2" spans="2:20" ht="56.5" thickBot="1" x14ac:dyDescent="0.35">
      <c r="B2" s="103" t="s">
        <v>235</v>
      </c>
      <c r="C2" s="103" t="s">
        <v>414</v>
      </c>
      <c r="D2" s="103" t="s">
        <v>415</v>
      </c>
      <c r="E2" s="103" t="s">
        <v>416</v>
      </c>
      <c r="F2" s="103" t="s">
        <v>417</v>
      </c>
      <c r="G2" s="103" t="s">
        <v>418</v>
      </c>
      <c r="H2" s="103" t="s">
        <v>419</v>
      </c>
      <c r="K2" s="103" t="s">
        <v>338</v>
      </c>
      <c r="L2" s="103" t="s">
        <v>424</v>
      </c>
      <c r="M2" s="103" t="s">
        <v>38</v>
      </c>
      <c r="N2" s="103" t="s">
        <v>47</v>
      </c>
      <c r="Q2" s="103" t="s">
        <v>427</v>
      </c>
      <c r="R2" s="103" t="s">
        <v>424</v>
      </c>
      <c r="S2" s="103" t="s">
        <v>38</v>
      </c>
      <c r="T2" s="103" t="s">
        <v>47</v>
      </c>
    </row>
    <row r="3" spans="2:20" ht="28.5" thickBot="1" x14ac:dyDescent="0.35">
      <c r="B3" s="104" t="s">
        <v>420</v>
      </c>
      <c r="C3" s="163">
        <v>53000</v>
      </c>
      <c r="D3" s="119">
        <v>1100</v>
      </c>
      <c r="E3" s="119">
        <v>1300</v>
      </c>
      <c r="F3" s="119">
        <v>6</v>
      </c>
      <c r="G3" s="119">
        <v>6</v>
      </c>
      <c r="H3" s="119">
        <v>720</v>
      </c>
      <c r="K3" s="104" t="s">
        <v>425</v>
      </c>
      <c r="L3" s="119">
        <v>2200</v>
      </c>
      <c r="M3" s="119">
        <v>3100</v>
      </c>
      <c r="N3" s="119">
        <v>4000</v>
      </c>
      <c r="Q3" s="104" t="s">
        <v>420</v>
      </c>
      <c r="R3" s="119">
        <v>200</v>
      </c>
      <c r="S3" s="119">
        <v>270</v>
      </c>
      <c r="T3" s="119">
        <v>450</v>
      </c>
    </row>
    <row r="4" spans="2:20" ht="14.5" thickBot="1" x14ac:dyDescent="0.35">
      <c r="B4" s="104" t="s">
        <v>421</v>
      </c>
      <c r="C4" s="163">
        <v>38000</v>
      </c>
      <c r="D4" s="119">
        <v>1100</v>
      </c>
      <c r="E4" s="119">
        <v>1250</v>
      </c>
      <c r="F4" s="119">
        <v>7</v>
      </c>
      <c r="G4" s="119">
        <v>8</v>
      </c>
      <c r="H4" s="119">
        <v>780</v>
      </c>
      <c r="K4" s="104" t="s">
        <v>426</v>
      </c>
      <c r="L4" s="119">
        <v>4500</v>
      </c>
      <c r="M4" s="119">
        <v>5800</v>
      </c>
      <c r="N4" s="119">
        <v>6000</v>
      </c>
      <c r="Q4" s="104" t="s">
        <v>421</v>
      </c>
      <c r="R4" s="119">
        <v>100</v>
      </c>
      <c r="S4" s="119">
        <v>200</v>
      </c>
      <c r="T4" s="119">
        <v>700</v>
      </c>
    </row>
    <row r="5" spans="2:20" ht="28.5" thickBot="1" x14ac:dyDescent="0.35">
      <c r="B5" s="104" t="s">
        <v>422</v>
      </c>
      <c r="C5" s="163">
        <v>25000</v>
      </c>
      <c r="D5" s="119">
        <v>1000</v>
      </c>
      <c r="E5" s="119">
        <v>1000</v>
      </c>
      <c r="F5" s="119">
        <v>5</v>
      </c>
      <c r="G5" s="119">
        <v>5</v>
      </c>
      <c r="H5" s="119">
        <v>530</v>
      </c>
      <c r="Q5" s="104" t="s">
        <v>422</v>
      </c>
      <c r="R5" s="119">
        <v>250</v>
      </c>
      <c r="S5" s="119">
        <v>240</v>
      </c>
      <c r="T5" s="119">
        <v>300</v>
      </c>
    </row>
    <row r="6" spans="2:20" ht="14.5" thickBot="1" x14ac:dyDescent="0.35">
      <c r="B6" s="104" t="s">
        <v>423</v>
      </c>
      <c r="C6" s="163">
        <v>28000</v>
      </c>
      <c r="D6" s="119">
        <v>1200</v>
      </c>
      <c r="E6" s="119">
        <v>1500</v>
      </c>
      <c r="F6" s="119">
        <v>5</v>
      </c>
      <c r="G6" s="119">
        <v>9</v>
      </c>
      <c r="H6" s="119">
        <v>680</v>
      </c>
      <c r="Q6" s="104" t="s">
        <v>423</v>
      </c>
      <c r="R6" s="119">
        <v>180</v>
      </c>
      <c r="S6" s="119">
        <v>220</v>
      </c>
      <c r="T6" s="119">
        <v>350</v>
      </c>
    </row>
    <row r="7" spans="2:20" ht="14.5" thickBot="1" x14ac:dyDescent="0.35"/>
    <row r="8" spans="2:20" ht="56.5" thickBot="1" x14ac:dyDescent="0.35">
      <c r="B8" s="103" t="s">
        <v>235</v>
      </c>
      <c r="C8" s="103" t="s">
        <v>414</v>
      </c>
      <c r="D8" s="103" t="s">
        <v>428</v>
      </c>
      <c r="E8" s="103" t="s">
        <v>429</v>
      </c>
      <c r="F8" s="103" t="s">
        <v>430</v>
      </c>
      <c r="G8" s="103" t="s">
        <v>431</v>
      </c>
      <c r="H8" s="103" t="s">
        <v>419</v>
      </c>
      <c r="Q8" s="103" t="s">
        <v>433</v>
      </c>
      <c r="R8" s="103" t="s">
        <v>424</v>
      </c>
      <c r="S8" s="103" t="s">
        <v>38</v>
      </c>
      <c r="T8" s="103" t="s">
        <v>47</v>
      </c>
    </row>
    <row r="9" spans="2:20" ht="14.5" thickBot="1" x14ac:dyDescent="0.35">
      <c r="B9" s="104" t="s">
        <v>420</v>
      </c>
      <c r="C9" s="163">
        <v>53000</v>
      </c>
      <c r="D9" s="119">
        <f>D3/100</f>
        <v>11</v>
      </c>
      <c r="E9" s="119">
        <f t="shared" ref="E9:G9" si="0">E3/100</f>
        <v>13</v>
      </c>
      <c r="F9" s="119">
        <f t="shared" si="0"/>
        <v>0.06</v>
      </c>
      <c r="G9" s="119">
        <f t="shared" si="0"/>
        <v>0.06</v>
      </c>
      <c r="H9" s="119">
        <v>720</v>
      </c>
      <c r="Q9" s="104" t="s">
        <v>420</v>
      </c>
      <c r="R9" s="119">
        <f>R3/100</f>
        <v>2</v>
      </c>
      <c r="S9" s="119">
        <f t="shared" ref="S9:T9" si="1">S3/100</f>
        <v>2.7</v>
      </c>
      <c r="T9" s="119">
        <f t="shared" si="1"/>
        <v>4.5</v>
      </c>
    </row>
    <row r="10" spans="2:20" ht="14.5" thickBot="1" x14ac:dyDescent="0.35">
      <c r="B10" s="104" t="s">
        <v>421</v>
      </c>
      <c r="C10" s="163">
        <v>38000</v>
      </c>
      <c r="D10" s="119">
        <f t="shared" ref="D10:G10" si="2">D4/100</f>
        <v>11</v>
      </c>
      <c r="E10" s="119">
        <f t="shared" si="2"/>
        <v>12.5</v>
      </c>
      <c r="F10" s="119">
        <f t="shared" si="2"/>
        <v>7.0000000000000007E-2</v>
      </c>
      <c r="G10" s="119">
        <f t="shared" si="2"/>
        <v>0.08</v>
      </c>
      <c r="H10" s="119">
        <v>780</v>
      </c>
      <c r="Q10" s="104" t="s">
        <v>421</v>
      </c>
      <c r="R10" s="119">
        <f t="shared" ref="R10:T10" si="3">R4/100</f>
        <v>1</v>
      </c>
      <c r="S10" s="119">
        <f t="shared" si="3"/>
        <v>2</v>
      </c>
      <c r="T10" s="119">
        <f t="shared" si="3"/>
        <v>7</v>
      </c>
    </row>
    <row r="11" spans="2:20" ht="28.5" thickBot="1" x14ac:dyDescent="0.35">
      <c r="B11" s="104" t="s">
        <v>422</v>
      </c>
      <c r="C11" s="163">
        <v>25000</v>
      </c>
      <c r="D11" s="119">
        <f t="shared" ref="D11:G11" si="4">D5/100</f>
        <v>10</v>
      </c>
      <c r="E11" s="119">
        <f t="shared" si="4"/>
        <v>10</v>
      </c>
      <c r="F11" s="119">
        <f t="shared" si="4"/>
        <v>0.05</v>
      </c>
      <c r="G11" s="119">
        <f t="shared" si="4"/>
        <v>0.05</v>
      </c>
      <c r="H11" s="119">
        <v>530</v>
      </c>
      <c r="Q11" s="104" t="s">
        <v>422</v>
      </c>
      <c r="R11" s="119">
        <f t="shared" ref="R11:T11" si="5">R5/100</f>
        <v>2.5</v>
      </c>
      <c r="S11" s="119">
        <f t="shared" si="5"/>
        <v>2.4</v>
      </c>
      <c r="T11" s="119">
        <f t="shared" si="5"/>
        <v>3</v>
      </c>
    </row>
    <row r="12" spans="2:20" ht="14.5" thickBot="1" x14ac:dyDescent="0.35">
      <c r="B12" s="104" t="s">
        <v>423</v>
      </c>
      <c r="C12" s="163">
        <v>28000</v>
      </c>
      <c r="D12" s="119">
        <f t="shared" ref="D12:G12" si="6">D6/100</f>
        <v>12</v>
      </c>
      <c r="E12" s="119">
        <f t="shared" si="6"/>
        <v>15</v>
      </c>
      <c r="F12" s="119">
        <f t="shared" si="6"/>
        <v>0.05</v>
      </c>
      <c r="G12" s="119">
        <f t="shared" si="6"/>
        <v>0.09</v>
      </c>
      <c r="H12" s="119">
        <v>680</v>
      </c>
      <c r="Q12" s="104" t="s">
        <v>423</v>
      </c>
      <c r="R12" s="119">
        <f t="shared" ref="R12:T12" si="7">R6/100</f>
        <v>1.8</v>
      </c>
      <c r="S12" s="119">
        <f t="shared" si="7"/>
        <v>2.2000000000000002</v>
      </c>
      <c r="T12" s="119">
        <f t="shared" si="7"/>
        <v>3.5</v>
      </c>
    </row>
    <row r="16" spans="2:20" ht="14.5" thickBot="1" x14ac:dyDescent="0.35">
      <c r="B16" t="s">
        <v>425</v>
      </c>
      <c r="J16" t="s">
        <v>432</v>
      </c>
    </row>
    <row r="17" spans="1:18" ht="14.5" thickBot="1" x14ac:dyDescent="0.35">
      <c r="B17" s="103" t="s">
        <v>15</v>
      </c>
      <c r="C17" s="103" t="s">
        <v>424</v>
      </c>
      <c r="D17" s="103" t="s">
        <v>38</v>
      </c>
      <c r="E17" s="103" t="s">
        <v>47</v>
      </c>
      <c r="J17" s="103" t="s">
        <v>15</v>
      </c>
      <c r="K17" s="103" t="s">
        <v>424</v>
      </c>
      <c r="L17" s="103" t="s">
        <v>38</v>
      </c>
      <c r="M17" s="103" t="s">
        <v>47</v>
      </c>
      <c r="Q17" s="164" t="s">
        <v>261</v>
      </c>
      <c r="R17" s="9"/>
    </row>
    <row r="18" spans="1:18" ht="14.5" thickBot="1" x14ac:dyDescent="0.35">
      <c r="B18" s="104" t="s">
        <v>420</v>
      </c>
      <c r="C18" s="105">
        <v>0</v>
      </c>
      <c r="D18" s="105">
        <v>0</v>
      </c>
      <c r="E18" s="105">
        <v>0</v>
      </c>
      <c r="F18">
        <f>SUM(C18:E18)</f>
        <v>0</v>
      </c>
      <c r="G18" t="s">
        <v>37</v>
      </c>
      <c r="H18" s="15">
        <f>50000*R18</f>
        <v>0</v>
      </c>
      <c r="J18" s="104" t="s">
        <v>420</v>
      </c>
      <c r="K18" s="105">
        <v>0</v>
      </c>
      <c r="L18" s="105">
        <v>0</v>
      </c>
      <c r="M18" s="105">
        <v>0</v>
      </c>
      <c r="N18">
        <f>SUM(K18:M18)</f>
        <v>0</v>
      </c>
      <c r="O18" t="s">
        <v>37</v>
      </c>
      <c r="P18" s="15">
        <f>50000*R18</f>
        <v>0</v>
      </c>
      <c r="Q18" s="125" t="s">
        <v>420</v>
      </c>
      <c r="R18" s="21">
        <v>0</v>
      </c>
    </row>
    <row r="19" spans="1:18" ht="14.5" thickBot="1" x14ac:dyDescent="0.35">
      <c r="B19" s="104" t="s">
        <v>421</v>
      </c>
      <c r="C19" s="105">
        <v>2200</v>
      </c>
      <c r="D19" s="105">
        <v>2428.5714285714421</v>
      </c>
      <c r="E19" s="105">
        <v>0</v>
      </c>
      <c r="F19">
        <f t="shared" ref="F19:F21" si="8">SUM(C19:E19)</f>
        <v>4628.5714285714421</v>
      </c>
      <c r="G19" t="s">
        <v>37</v>
      </c>
      <c r="H19" s="15">
        <f t="shared" ref="H19:H21" si="9">50000*R19</f>
        <v>50000</v>
      </c>
      <c r="J19" s="104" t="s">
        <v>421</v>
      </c>
      <c r="K19" s="105">
        <v>4500</v>
      </c>
      <c r="L19" s="105">
        <v>1200.0000000000209</v>
      </c>
      <c r="M19" s="105">
        <v>0</v>
      </c>
      <c r="N19">
        <f t="shared" ref="N19:N21" si="10">SUM(K19:M19)</f>
        <v>5700.0000000000209</v>
      </c>
      <c r="O19" t="s">
        <v>37</v>
      </c>
      <c r="P19" s="15">
        <f t="shared" ref="P19:P21" si="11">50000*R19</f>
        <v>50000</v>
      </c>
      <c r="Q19" s="125" t="s">
        <v>421</v>
      </c>
      <c r="R19" s="21">
        <v>1</v>
      </c>
    </row>
    <row r="20" spans="1:18" ht="28.5" thickBot="1" x14ac:dyDescent="0.35">
      <c r="B20" s="104" t="s">
        <v>422</v>
      </c>
      <c r="C20" s="105">
        <v>0</v>
      </c>
      <c r="D20" s="105">
        <v>0</v>
      </c>
      <c r="E20" s="105">
        <v>0</v>
      </c>
      <c r="F20">
        <f t="shared" si="8"/>
        <v>0</v>
      </c>
      <c r="G20" t="s">
        <v>37</v>
      </c>
      <c r="H20" s="15">
        <f t="shared" si="9"/>
        <v>50000</v>
      </c>
      <c r="J20" s="104" t="s">
        <v>422</v>
      </c>
      <c r="K20" s="105">
        <v>0</v>
      </c>
      <c r="L20" s="105">
        <v>4599.9999999999945</v>
      </c>
      <c r="M20" s="105">
        <v>6000.0000000000009</v>
      </c>
      <c r="N20">
        <f t="shared" si="10"/>
        <v>10599.999999999996</v>
      </c>
      <c r="O20" t="s">
        <v>37</v>
      </c>
      <c r="P20" s="15">
        <f t="shared" si="11"/>
        <v>50000</v>
      </c>
      <c r="Q20" s="125" t="s">
        <v>422</v>
      </c>
      <c r="R20" s="21">
        <v>1</v>
      </c>
    </row>
    <row r="21" spans="1:18" ht="14.5" thickBot="1" x14ac:dyDescent="0.35">
      <c r="B21" s="104" t="s">
        <v>423</v>
      </c>
      <c r="C21" s="105">
        <v>0</v>
      </c>
      <c r="D21" s="105">
        <v>671.4285714285943</v>
      </c>
      <c r="E21" s="105">
        <v>4000</v>
      </c>
      <c r="F21">
        <f t="shared" si="8"/>
        <v>4671.4285714285943</v>
      </c>
      <c r="G21" t="s">
        <v>37</v>
      </c>
      <c r="H21" s="15">
        <f t="shared" si="9"/>
        <v>50000</v>
      </c>
      <c r="J21" s="104" t="s">
        <v>423</v>
      </c>
      <c r="K21" s="105">
        <v>0</v>
      </c>
      <c r="L21" s="105">
        <v>0</v>
      </c>
      <c r="M21" s="105">
        <v>0</v>
      </c>
      <c r="N21">
        <f t="shared" si="10"/>
        <v>0</v>
      </c>
      <c r="O21" t="s">
        <v>37</v>
      </c>
      <c r="P21" s="15">
        <f t="shared" si="11"/>
        <v>50000</v>
      </c>
      <c r="Q21" s="125" t="s">
        <v>423</v>
      </c>
      <c r="R21" s="21">
        <v>1</v>
      </c>
    </row>
    <row r="22" spans="1:18" x14ac:dyDescent="0.3">
      <c r="C22">
        <f>SUM(C18:C21)</f>
        <v>2200</v>
      </c>
      <c r="D22">
        <f t="shared" ref="D22:E22" si="12">SUM(D18:D21)</f>
        <v>3100.0000000000364</v>
      </c>
      <c r="E22">
        <f t="shared" si="12"/>
        <v>4000</v>
      </c>
      <c r="K22">
        <f>SUM(K18:K21)</f>
        <v>4500</v>
      </c>
      <c r="L22">
        <f t="shared" ref="L22" si="13">SUM(L18:L21)</f>
        <v>5800.0000000000155</v>
      </c>
      <c r="M22">
        <f t="shared" ref="M22" si="14">SUM(M18:M21)</f>
        <v>6000.0000000000009</v>
      </c>
    </row>
    <row r="23" spans="1:18" ht="14.5" thickBot="1" x14ac:dyDescent="0.35">
      <c r="C23" t="s">
        <v>14</v>
      </c>
      <c r="D23" t="s">
        <v>14</v>
      </c>
      <c r="E23" t="s">
        <v>14</v>
      </c>
      <c r="K23" t="s">
        <v>14</v>
      </c>
      <c r="L23" t="s">
        <v>14</v>
      </c>
      <c r="M23" t="s">
        <v>14</v>
      </c>
    </row>
    <row r="24" spans="1:18" ht="14.5" thickBot="1" x14ac:dyDescent="0.35">
      <c r="C24" s="15">
        <v>2200</v>
      </c>
      <c r="D24" s="15">
        <v>3100</v>
      </c>
      <c r="E24" s="15">
        <v>4000</v>
      </c>
      <c r="K24" s="157">
        <v>4500</v>
      </c>
      <c r="L24" s="157">
        <v>5800</v>
      </c>
      <c r="M24" s="157">
        <v>6000</v>
      </c>
    </row>
    <row r="26" spans="1:18" x14ac:dyDescent="0.3">
      <c r="A26" t="s">
        <v>434</v>
      </c>
      <c r="B26" s="18">
        <f>24*SUM(C18:E21)</f>
        <v>223200.00000000087</v>
      </c>
      <c r="I26" t="s">
        <v>435</v>
      </c>
      <c r="J26" s="18">
        <f>30*SUM(K18:M21)</f>
        <v>489000.00000000047</v>
      </c>
    </row>
    <row r="29" spans="1:18" x14ac:dyDescent="0.3">
      <c r="A29" t="s">
        <v>185</v>
      </c>
      <c r="B29" s="124" t="s">
        <v>235</v>
      </c>
      <c r="C29" s="9" t="s">
        <v>436</v>
      </c>
      <c r="D29" s="9"/>
      <c r="J29" s="124" t="s">
        <v>235</v>
      </c>
      <c r="K29" s="9" t="s">
        <v>436</v>
      </c>
      <c r="L29" s="9"/>
    </row>
    <row r="30" spans="1:18" x14ac:dyDescent="0.3">
      <c r="B30" s="125" t="s">
        <v>420</v>
      </c>
      <c r="C30" s="47">
        <v>11</v>
      </c>
      <c r="D30" s="47">
        <f>F18*C30</f>
        <v>0</v>
      </c>
      <c r="E30" s="55"/>
      <c r="J30" s="125" t="s">
        <v>420</v>
      </c>
      <c r="K30" s="47">
        <f>E9</f>
        <v>13</v>
      </c>
      <c r="L30" s="47">
        <f>N18*K30</f>
        <v>0</v>
      </c>
      <c r="M30" s="55"/>
    </row>
    <row r="31" spans="1:18" x14ac:dyDescent="0.3">
      <c r="B31" s="125" t="s">
        <v>421</v>
      </c>
      <c r="C31" s="47">
        <v>11</v>
      </c>
      <c r="D31" s="47">
        <f t="shared" ref="D31:D33" si="15">F19*C31</f>
        <v>50914.285714285863</v>
      </c>
      <c r="E31" s="55"/>
      <c r="J31" s="125" t="s">
        <v>421</v>
      </c>
      <c r="K31" s="47">
        <f t="shared" ref="K31:K33" si="16">E10</f>
        <v>12.5</v>
      </c>
      <c r="L31" s="47">
        <f>N19*K31</f>
        <v>71250.000000000262</v>
      </c>
      <c r="M31" s="55"/>
    </row>
    <row r="32" spans="1:18" ht="28" x14ac:dyDescent="0.3">
      <c r="B32" s="125" t="s">
        <v>422</v>
      </c>
      <c r="C32" s="47">
        <v>10</v>
      </c>
      <c r="D32" s="47">
        <f t="shared" si="15"/>
        <v>0</v>
      </c>
      <c r="E32" s="55"/>
      <c r="J32" s="125" t="s">
        <v>422</v>
      </c>
      <c r="K32" s="47">
        <f t="shared" si="16"/>
        <v>10</v>
      </c>
      <c r="L32" s="47">
        <f>N20*K32</f>
        <v>105999.99999999997</v>
      </c>
      <c r="M32" s="55"/>
    </row>
    <row r="33" spans="1:18" x14ac:dyDescent="0.3">
      <c r="B33" s="125" t="s">
        <v>423</v>
      </c>
      <c r="C33" s="47">
        <v>12</v>
      </c>
      <c r="D33" s="47">
        <f t="shared" si="15"/>
        <v>56057.142857143132</v>
      </c>
      <c r="E33" s="18">
        <f>SUM(D30:D33)</f>
        <v>106971.42857142899</v>
      </c>
      <c r="J33" s="125" t="s">
        <v>423</v>
      </c>
      <c r="K33" s="47">
        <f t="shared" si="16"/>
        <v>15</v>
      </c>
      <c r="L33" s="47">
        <f>N21*K33</f>
        <v>0</v>
      </c>
      <c r="M33" s="18">
        <f>SUM(L30:L33)</f>
        <v>177250.00000000023</v>
      </c>
    </row>
    <row r="36" spans="1:18" x14ac:dyDescent="0.3">
      <c r="A36" t="s">
        <v>223</v>
      </c>
      <c r="B36" s="124" t="s">
        <v>235</v>
      </c>
      <c r="C36" s="9"/>
    </row>
    <row r="37" spans="1:18" x14ac:dyDescent="0.3">
      <c r="B37" s="125" t="s">
        <v>420</v>
      </c>
      <c r="C37" s="47">
        <f>R18*53000</f>
        <v>0</v>
      </c>
      <c r="D37" s="55"/>
    </row>
    <row r="38" spans="1:18" x14ac:dyDescent="0.3">
      <c r="B38" s="125" t="s">
        <v>421</v>
      </c>
      <c r="C38" s="47">
        <f>R19*38000</f>
        <v>38000</v>
      </c>
      <c r="D38" s="55"/>
    </row>
    <row r="39" spans="1:18" ht="28" x14ac:dyDescent="0.3">
      <c r="B39" s="125" t="s">
        <v>422</v>
      </c>
      <c r="C39" s="47">
        <f>R20*25000</f>
        <v>25000</v>
      </c>
      <c r="D39" s="55"/>
    </row>
    <row r="40" spans="1:18" x14ac:dyDescent="0.3">
      <c r="B40" s="125" t="s">
        <v>423</v>
      </c>
      <c r="C40" s="47">
        <f>R21*28000</f>
        <v>28000</v>
      </c>
      <c r="D40" s="18">
        <f>SUM(C37:C40)</f>
        <v>91000</v>
      </c>
    </row>
    <row r="42" spans="1:18" x14ac:dyDescent="0.3">
      <c r="O42" t="s">
        <v>437</v>
      </c>
    </row>
    <row r="43" spans="1:18" x14ac:dyDescent="0.3">
      <c r="A43" t="s">
        <v>72</v>
      </c>
      <c r="B43" s="124" t="s">
        <v>235</v>
      </c>
      <c r="C43" s="9" t="s">
        <v>436</v>
      </c>
      <c r="D43" s="9"/>
      <c r="J43" s="124" t="s">
        <v>235</v>
      </c>
      <c r="K43" s="9" t="s">
        <v>436</v>
      </c>
      <c r="L43" s="9"/>
      <c r="O43" s="124" t="s">
        <v>235</v>
      </c>
      <c r="P43" s="9"/>
      <c r="Q43" s="9"/>
      <c r="R43" s="9"/>
    </row>
    <row r="44" spans="1:18" x14ac:dyDescent="0.3">
      <c r="B44" s="125" t="s">
        <v>420</v>
      </c>
      <c r="C44" s="51">
        <f>F9</f>
        <v>0.06</v>
      </c>
      <c r="D44" s="51">
        <f>F18*C44</f>
        <v>0</v>
      </c>
      <c r="E44" s="49"/>
      <c r="F44" s="49"/>
      <c r="G44" s="49"/>
      <c r="H44" s="49"/>
      <c r="I44" s="49"/>
      <c r="J44" s="113" t="s">
        <v>420</v>
      </c>
      <c r="K44" s="51">
        <f>G9</f>
        <v>0.06</v>
      </c>
      <c r="L44" s="51">
        <f>N18*K44</f>
        <v>0</v>
      </c>
      <c r="M44" s="49"/>
      <c r="O44" s="113" t="s">
        <v>420</v>
      </c>
      <c r="P44" s="53">
        <f>D44+L44</f>
        <v>0</v>
      </c>
      <c r="Q44" s="9" t="s">
        <v>37</v>
      </c>
      <c r="R44" s="54">
        <v>720</v>
      </c>
    </row>
    <row r="45" spans="1:18" x14ac:dyDescent="0.3">
      <c r="B45" s="125" t="s">
        <v>421</v>
      </c>
      <c r="C45" s="51">
        <f t="shared" ref="C45:C47" si="17">F10</f>
        <v>7.0000000000000007E-2</v>
      </c>
      <c r="D45" s="51">
        <f t="shared" ref="D45:D47" si="18">F19*C45</f>
        <v>324.00000000000097</v>
      </c>
      <c r="E45" s="49"/>
      <c r="F45" s="49"/>
      <c r="G45" s="49"/>
      <c r="H45" s="49"/>
      <c r="I45" s="49"/>
      <c r="J45" s="113" t="s">
        <v>421</v>
      </c>
      <c r="K45" s="51">
        <f t="shared" ref="K45:K47" si="19">G10</f>
        <v>0.08</v>
      </c>
      <c r="L45" s="51">
        <f t="shared" ref="L45:L47" si="20">N19*K45</f>
        <v>456.00000000000171</v>
      </c>
      <c r="M45" s="49"/>
      <c r="O45" s="113" t="s">
        <v>421</v>
      </c>
      <c r="P45" s="53">
        <f t="shared" ref="P45:P47" si="21">D45+L45</f>
        <v>780.00000000000273</v>
      </c>
      <c r="Q45" s="9" t="s">
        <v>37</v>
      </c>
      <c r="R45" s="54">
        <v>780</v>
      </c>
    </row>
    <row r="46" spans="1:18" ht="28" x14ac:dyDescent="0.3">
      <c r="B46" s="125" t="s">
        <v>422</v>
      </c>
      <c r="C46" s="51">
        <f t="shared" si="17"/>
        <v>0.05</v>
      </c>
      <c r="D46" s="51">
        <f t="shared" si="18"/>
        <v>0</v>
      </c>
      <c r="E46" s="49"/>
      <c r="F46" s="49"/>
      <c r="G46" s="49"/>
      <c r="H46" s="49"/>
      <c r="I46" s="49"/>
      <c r="J46" s="113" t="s">
        <v>422</v>
      </c>
      <c r="K46" s="51">
        <f t="shared" si="19"/>
        <v>0.05</v>
      </c>
      <c r="L46" s="51">
        <f t="shared" si="20"/>
        <v>529.99999999999989</v>
      </c>
      <c r="M46" s="49"/>
      <c r="O46" s="113" t="s">
        <v>422</v>
      </c>
      <c r="P46" s="53">
        <f t="shared" si="21"/>
        <v>529.99999999999989</v>
      </c>
      <c r="Q46" s="9" t="s">
        <v>37</v>
      </c>
      <c r="R46" s="54">
        <v>530</v>
      </c>
    </row>
    <row r="47" spans="1:18" x14ac:dyDescent="0.3">
      <c r="B47" s="125" t="s">
        <v>423</v>
      </c>
      <c r="C47" s="51">
        <f t="shared" si="17"/>
        <v>0.05</v>
      </c>
      <c r="D47" s="51">
        <f t="shared" si="18"/>
        <v>233.57142857142972</v>
      </c>
      <c r="E47" s="74"/>
      <c r="F47" s="49"/>
      <c r="G47" s="49"/>
      <c r="H47" s="49"/>
      <c r="I47" s="49"/>
      <c r="J47" s="113" t="s">
        <v>423</v>
      </c>
      <c r="K47" s="51">
        <f t="shared" si="19"/>
        <v>0.09</v>
      </c>
      <c r="L47" s="51">
        <f t="shared" si="20"/>
        <v>0</v>
      </c>
      <c r="M47" s="74"/>
      <c r="O47" s="113" t="s">
        <v>423</v>
      </c>
      <c r="P47" s="53">
        <f t="shared" si="21"/>
        <v>233.57142857142972</v>
      </c>
      <c r="Q47" s="9" t="s">
        <v>37</v>
      </c>
      <c r="R47" s="54">
        <v>680</v>
      </c>
    </row>
    <row r="50" spans="1:4" x14ac:dyDescent="0.3">
      <c r="A50" t="s">
        <v>266</v>
      </c>
      <c r="B50" s="158" t="s">
        <v>438</v>
      </c>
      <c r="C50" s="47">
        <f>SUMPRODUCT(C18:E21,$R$9:$T$12)</f>
        <v>22534.28571428579</v>
      </c>
      <c r="D50" s="55"/>
    </row>
    <row r="51" spans="1:4" x14ac:dyDescent="0.3">
      <c r="B51" s="158" t="s">
        <v>432</v>
      </c>
      <c r="C51" s="47">
        <f>SUMPRODUCT(K18:M21,$R$9:$T$12)</f>
        <v>35940.000000000029</v>
      </c>
      <c r="D51" s="18">
        <f>C50+C51</f>
        <v>58474.285714285819</v>
      </c>
    </row>
    <row r="54" spans="1:4" x14ac:dyDescent="0.3">
      <c r="C54" s="42" t="s">
        <v>439</v>
      </c>
      <c r="D54" s="42"/>
    </row>
    <row r="55" spans="1:4" x14ac:dyDescent="0.3">
      <c r="C55" s="42" t="s">
        <v>104</v>
      </c>
      <c r="D55" s="166">
        <f>B26+J26</f>
        <v>712200.0000000014</v>
      </c>
    </row>
    <row r="56" spans="1:4" x14ac:dyDescent="0.3">
      <c r="C56" s="42" t="s">
        <v>223</v>
      </c>
      <c r="D56" s="166">
        <f>D40</f>
        <v>91000</v>
      </c>
    </row>
    <row r="57" spans="1:4" x14ac:dyDescent="0.3">
      <c r="C57" s="42" t="s">
        <v>440</v>
      </c>
      <c r="D57" s="166">
        <f>E33+M33</f>
        <v>284221.42857142922</v>
      </c>
    </row>
    <row r="58" spans="1:4" x14ac:dyDescent="0.3">
      <c r="C58" s="42" t="s">
        <v>441</v>
      </c>
      <c r="D58" s="166">
        <f>D51</f>
        <v>58474.285714285819</v>
      </c>
    </row>
    <row r="59" spans="1:4" x14ac:dyDescent="0.3">
      <c r="C59" s="42"/>
      <c r="D59" s="58">
        <f>D55-D56-D57-D58</f>
        <v>278504.28571428638</v>
      </c>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C24C-C7D9-4C50-A8F8-FAB628E0A152}">
  <sheetPr>
    <tabColor rgb="FF92D050"/>
  </sheetPr>
  <dimension ref="B2:U61"/>
  <sheetViews>
    <sheetView topLeftCell="A18" workbookViewId="0">
      <selection activeCell="U24" sqref="U24"/>
    </sheetView>
  </sheetViews>
  <sheetFormatPr defaultRowHeight="14" x14ac:dyDescent="0.3"/>
  <cols>
    <col min="2" max="2" width="19.08203125" bestFit="1" customWidth="1"/>
    <col min="5" max="5" width="10" bestFit="1" customWidth="1"/>
    <col min="8" max="8" width="10" bestFit="1" customWidth="1"/>
    <col min="9" max="9" width="16" bestFit="1" customWidth="1"/>
    <col min="12" max="12" width="14.75" bestFit="1" customWidth="1"/>
    <col min="14" max="14" width="16.33203125" customWidth="1"/>
    <col min="15" max="15" width="10.58203125" bestFit="1" customWidth="1"/>
    <col min="17" max="17" width="12.33203125" bestFit="1" customWidth="1"/>
  </cols>
  <sheetData>
    <row r="2" spans="2:19" ht="42" x14ac:dyDescent="0.3">
      <c r="B2" s="23" t="s">
        <v>444</v>
      </c>
      <c r="C2" s="23" t="s">
        <v>447</v>
      </c>
      <c r="D2" s="23" t="s">
        <v>448</v>
      </c>
      <c r="E2" s="23" t="s">
        <v>449</v>
      </c>
      <c r="F2" s="23" t="s">
        <v>450</v>
      </c>
      <c r="G2" s="23" t="s">
        <v>451</v>
      </c>
      <c r="H2" s="23" t="s">
        <v>453</v>
      </c>
      <c r="I2" s="23" t="s">
        <v>454</v>
      </c>
      <c r="J2" s="23" t="s">
        <v>456</v>
      </c>
      <c r="M2" s="23"/>
      <c r="N2" s="23"/>
      <c r="O2" s="168" t="s">
        <v>457</v>
      </c>
      <c r="P2" s="169"/>
      <c r="Q2" s="169"/>
      <c r="R2" s="169"/>
      <c r="S2" s="170"/>
    </row>
    <row r="3" spans="2:19" ht="28" x14ac:dyDescent="0.3">
      <c r="B3" s="23">
        <v>1</v>
      </c>
      <c r="C3" s="23">
        <v>50</v>
      </c>
      <c r="D3" s="23"/>
      <c r="E3" s="23">
        <v>75</v>
      </c>
      <c r="F3" s="23">
        <v>50</v>
      </c>
      <c r="G3" s="23" t="s">
        <v>445</v>
      </c>
      <c r="H3" s="86">
        <v>145</v>
      </c>
      <c r="I3" s="86">
        <v>11.98</v>
      </c>
      <c r="J3" s="23">
        <v>1</v>
      </c>
      <c r="M3" s="171" t="s">
        <v>443</v>
      </c>
      <c r="N3" s="171" t="s">
        <v>459</v>
      </c>
      <c r="O3" s="171" t="s">
        <v>461</v>
      </c>
      <c r="P3" s="171" t="s">
        <v>442</v>
      </c>
      <c r="Q3" s="171" t="s">
        <v>463</v>
      </c>
      <c r="R3" s="171" t="s">
        <v>464</v>
      </c>
      <c r="S3" s="171" t="s">
        <v>465</v>
      </c>
    </row>
    <row r="4" spans="2:19" ht="28" x14ac:dyDescent="0.3">
      <c r="B4" s="23">
        <v>2</v>
      </c>
      <c r="C4" s="23">
        <v>40</v>
      </c>
      <c r="D4" s="23"/>
      <c r="E4" s="23">
        <v>75</v>
      </c>
      <c r="F4" s="23">
        <v>60</v>
      </c>
      <c r="G4" s="23" t="s">
        <v>445</v>
      </c>
      <c r="H4" s="86">
        <v>146</v>
      </c>
      <c r="I4" s="86">
        <v>12.03</v>
      </c>
      <c r="J4" s="23">
        <v>2</v>
      </c>
      <c r="M4" s="172" t="s">
        <v>458</v>
      </c>
      <c r="N4" s="172" t="s">
        <v>460</v>
      </c>
      <c r="O4" s="172" t="s">
        <v>462</v>
      </c>
      <c r="P4" s="172" t="s">
        <v>462</v>
      </c>
      <c r="Q4" s="172" t="s">
        <v>462</v>
      </c>
      <c r="R4" s="172" t="s">
        <v>462</v>
      </c>
      <c r="S4" s="172" t="s">
        <v>462</v>
      </c>
    </row>
    <row r="5" spans="2:19" x14ac:dyDescent="0.3">
      <c r="B5" s="23">
        <v>3</v>
      </c>
      <c r="C5" s="23"/>
      <c r="D5" s="23">
        <v>70</v>
      </c>
      <c r="E5" s="23">
        <v>75</v>
      </c>
      <c r="F5" s="23">
        <v>30</v>
      </c>
      <c r="G5" s="23" t="s">
        <v>445</v>
      </c>
      <c r="H5" s="86">
        <v>139.5</v>
      </c>
      <c r="I5" s="86">
        <v>11.71</v>
      </c>
      <c r="J5" s="23">
        <v>2</v>
      </c>
      <c r="M5" s="23" t="s">
        <v>466</v>
      </c>
      <c r="N5" s="173">
        <v>16000</v>
      </c>
      <c r="O5" s="23" t="s">
        <v>467</v>
      </c>
      <c r="P5" s="23"/>
      <c r="Q5" s="23"/>
      <c r="R5" s="23"/>
      <c r="S5" s="23"/>
    </row>
    <row r="6" spans="2:19" ht="28" x14ac:dyDescent="0.3">
      <c r="B6" s="23">
        <v>4</v>
      </c>
      <c r="C6" s="23">
        <v>75</v>
      </c>
      <c r="D6" s="23">
        <v>40</v>
      </c>
      <c r="E6" s="23"/>
      <c r="F6" s="23">
        <v>30</v>
      </c>
      <c r="G6" s="23" t="s">
        <v>445</v>
      </c>
      <c r="H6" s="86">
        <v>136.5</v>
      </c>
      <c r="I6" s="86">
        <v>11.56</v>
      </c>
      <c r="J6" s="23">
        <v>1</v>
      </c>
      <c r="M6" s="23" t="s">
        <v>468</v>
      </c>
      <c r="N6" s="173">
        <v>25000</v>
      </c>
      <c r="O6" s="174">
        <v>3.3340277777777776</v>
      </c>
      <c r="P6" s="23"/>
      <c r="Q6" s="23"/>
      <c r="R6" s="23"/>
      <c r="S6" s="23"/>
    </row>
    <row r="7" spans="2:19" x14ac:dyDescent="0.3">
      <c r="B7" s="23">
        <v>5</v>
      </c>
      <c r="C7" s="23">
        <v>50</v>
      </c>
      <c r="D7" s="23"/>
      <c r="E7" s="23"/>
      <c r="F7" s="23">
        <v>75</v>
      </c>
      <c r="G7" s="23" t="s">
        <v>446</v>
      </c>
      <c r="H7" s="86">
        <v>125</v>
      </c>
      <c r="I7" s="86">
        <v>26.98</v>
      </c>
      <c r="J7" s="23">
        <v>1</v>
      </c>
      <c r="M7" s="23" t="s">
        <v>469</v>
      </c>
      <c r="N7" s="173">
        <v>13000</v>
      </c>
      <c r="O7" s="23"/>
      <c r="P7" s="175">
        <v>0.12569444444444444</v>
      </c>
      <c r="Q7" s="175">
        <v>0.25069444444444444</v>
      </c>
      <c r="R7" s="175">
        <v>0.62569444444444444</v>
      </c>
      <c r="S7" s="175">
        <v>0.29236111111111113</v>
      </c>
    </row>
    <row r="8" spans="2:19" ht="28" x14ac:dyDescent="0.3">
      <c r="B8" s="23">
        <v>6</v>
      </c>
      <c r="C8" s="23"/>
      <c r="D8" s="23">
        <v>90</v>
      </c>
      <c r="E8" s="23"/>
      <c r="F8" s="23">
        <v>75</v>
      </c>
      <c r="G8" s="23" t="s">
        <v>446</v>
      </c>
      <c r="H8" s="86">
        <v>156.5</v>
      </c>
      <c r="I8" s="86">
        <v>60.56</v>
      </c>
      <c r="J8" s="23">
        <v>3</v>
      </c>
      <c r="M8" s="23" t="s">
        <v>470</v>
      </c>
      <c r="N8" s="173">
        <v>21000</v>
      </c>
      <c r="O8" s="23"/>
      <c r="P8" s="23"/>
      <c r="Q8" s="23"/>
      <c r="R8" s="23"/>
      <c r="S8" s="23"/>
    </row>
    <row r="9" spans="2:19" ht="14" customHeight="1" x14ac:dyDescent="0.3">
      <c r="B9" s="23">
        <v>7</v>
      </c>
      <c r="C9" s="23">
        <v>25</v>
      </c>
      <c r="D9" s="23"/>
      <c r="E9" s="23">
        <v>80</v>
      </c>
      <c r="F9" s="23">
        <v>40</v>
      </c>
      <c r="G9" s="23" t="s">
        <v>446</v>
      </c>
      <c r="H9" s="86">
        <v>115.5</v>
      </c>
      <c r="I9" s="86">
        <v>42.51</v>
      </c>
      <c r="J9" s="23">
        <v>2</v>
      </c>
      <c r="M9" s="168" t="s">
        <v>471</v>
      </c>
      <c r="N9" s="169"/>
      <c r="O9" s="169"/>
      <c r="P9" s="169"/>
      <c r="Q9" s="169"/>
      <c r="R9" s="169"/>
      <c r="S9" s="170"/>
    </row>
    <row r="10" spans="2:19" x14ac:dyDescent="0.3">
      <c r="B10" s="23">
        <v>8</v>
      </c>
      <c r="C10" s="23"/>
      <c r="D10" s="23">
        <v>85</v>
      </c>
      <c r="E10" s="23">
        <v>100</v>
      </c>
      <c r="F10" s="23"/>
      <c r="G10" s="23" t="s">
        <v>445</v>
      </c>
      <c r="H10" s="86">
        <v>137.25</v>
      </c>
      <c r="I10" s="86">
        <v>11.59</v>
      </c>
      <c r="J10" s="23">
        <v>2</v>
      </c>
      <c r="M10" s="176" t="s">
        <v>472</v>
      </c>
    </row>
    <row r="11" spans="2:19" x14ac:dyDescent="0.3">
      <c r="B11" s="23">
        <v>9</v>
      </c>
      <c r="C11" s="23">
        <v>85</v>
      </c>
      <c r="D11" s="23">
        <v>50</v>
      </c>
      <c r="E11" s="23">
        <v>75</v>
      </c>
      <c r="F11" s="23"/>
      <c r="G11" s="23" t="s">
        <v>446</v>
      </c>
      <c r="H11" s="86">
        <v>169</v>
      </c>
      <c r="I11" s="86">
        <v>61.18</v>
      </c>
      <c r="J11" s="23">
        <v>3</v>
      </c>
    </row>
    <row r="12" spans="2:19" x14ac:dyDescent="0.3">
      <c r="B12" s="23">
        <v>10</v>
      </c>
      <c r="C12" s="23">
        <v>100</v>
      </c>
      <c r="D12" s="23">
        <v>75</v>
      </c>
      <c r="E12" s="23">
        <v>75</v>
      </c>
      <c r="F12" s="23"/>
      <c r="G12" s="23" t="s">
        <v>446</v>
      </c>
      <c r="H12" s="86">
        <v>203.75</v>
      </c>
      <c r="I12" s="86">
        <v>30.92</v>
      </c>
      <c r="J12" s="23">
        <v>1</v>
      </c>
    </row>
    <row r="13" spans="2:19" ht="28" x14ac:dyDescent="0.3">
      <c r="B13" s="23">
        <v>11</v>
      </c>
      <c r="C13" s="23">
        <v>60</v>
      </c>
      <c r="D13" s="23"/>
      <c r="E13" s="23"/>
      <c r="F13" s="23">
        <v>75</v>
      </c>
      <c r="G13" s="23" t="s">
        <v>445</v>
      </c>
      <c r="H13" s="86">
        <v>134</v>
      </c>
      <c r="I13" s="86">
        <v>11.43</v>
      </c>
      <c r="J13" s="23">
        <v>3</v>
      </c>
      <c r="M13" s="23" t="s">
        <v>473</v>
      </c>
      <c r="N13" s="23" t="s">
        <v>474</v>
      </c>
    </row>
    <row r="14" spans="2:19" ht="28" x14ac:dyDescent="0.3">
      <c r="B14" s="23">
        <v>12</v>
      </c>
      <c r="C14" s="23">
        <v>40</v>
      </c>
      <c r="D14" s="23">
        <v>40</v>
      </c>
      <c r="E14" s="23">
        <v>40</v>
      </c>
      <c r="F14" s="23">
        <v>40</v>
      </c>
      <c r="G14" s="23" t="s">
        <v>445</v>
      </c>
      <c r="H14" s="86">
        <v>139</v>
      </c>
      <c r="I14" s="86">
        <v>11.68</v>
      </c>
      <c r="J14" s="23">
        <v>2</v>
      </c>
      <c r="M14" s="23" t="s">
        <v>475</v>
      </c>
      <c r="N14" s="23">
        <v>200</v>
      </c>
    </row>
    <row r="15" spans="2:19" ht="42" x14ac:dyDescent="0.3">
      <c r="B15" s="23">
        <v>13</v>
      </c>
      <c r="C15" s="23"/>
      <c r="D15" s="23">
        <v>85</v>
      </c>
      <c r="E15" s="23"/>
      <c r="F15" s="23">
        <v>65</v>
      </c>
      <c r="G15" s="23" t="s">
        <v>446</v>
      </c>
      <c r="H15" s="86">
        <v>142.25</v>
      </c>
      <c r="I15" s="86">
        <v>43.84</v>
      </c>
      <c r="J15" s="23">
        <v>2</v>
      </c>
      <c r="M15" s="23" t="s">
        <v>476</v>
      </c>
      <c r="N15" s="23">
        <v>250</v>
      </c>
    </row>
    <row r="16" spans="2:19" ht="42" x14ac:dyDescent="0.3">
      <c r="B16" s="23">
        <v>14</v>
      </c>
      <c r="C16" s="23">
        <v>75</v>
      </c>
      <c r="D16" s="23">
        <v>85</v>
      </c>
      <c r="E16" s="23">
        <v>75</v>
      </c>
      <c r="F16" s="23"/>
      <c r="G16" s="23" t="s">
        <v>446</v>
      </c>
      <c r="H16" s="86">
        <v>189.75</v>
      </c>
      <c r="I16" s="86">
        <v>30.22</v>
      </c>
      <c r="J16" s="23">
        <v>1</v>
      </c>
      <c r="M16" s="23" t="s">
        <v>477</v>
      </c>
      <c r="N16" s="23">
        <v>325</v>
      </c>
    </row>
    <row r="17" spans="2:21" ht="28" x14ac:dyDescent="0.3">
      <c r="B17" s="23">
        <v>15</v>
      </c>
      <c r="C17" s="23">
        <v>65</v>
      </c>
      <c r="D17" s="23"/>
      <c r="E17" s="23">
        <v>75</v>
      </c>
      <c r="F17" s="23">
        <v>30</v>
      </c>
      <c r="G17" s="23" t="s">
        <v>446</v>
      </c>
      <c r="H17" s="86">
        <v>138.5</v>
      </c>
      <c r="I17" s="86">
        <v>43.66</v>
      </c>
      <c r="J17" s="23">
        <v>2</v>
      </c>
      <c r="M17" s="23" t="s">
        <v>478</v>
      </c>
      <c r="N17" s="23">
        <v>150</v>
      </c>
    </row>
    <row r="18" spans="2:21" ht="42" customHeight="1" x14ac:dyDescent="0.3">
      <c r="M18" s="168" t="s">
        <v>479</v>
      </c>
      <c r="N18" s="170"/>
    </row>
    <row r="19" spans="2:21" x14ac:dyDescent="0.3">
      <c r="O19" s="9"/>
      <c r="P19" s="9"/>
      <c r="Q19" s="98" t="s">
        <v>484</v>
      </c>
      <c r="R19" s="98"/>
      <c r="S19" s="98"/>
      <c r="T19" s="98"/>
      <c r="U19" s="9"/>
    </row>
    <row r="20" spans="2:21" ht="42" x14ac:dyDescent="0.3">
      <c r="B20" s="23" t="s">
        <v>444</v>
      </c>
      <c r="C20" s="23" t="s">
        <v>447</v>
      </c>
      <c r="D20" s="23" t="s">
        <v>448</v>
      </c>
      <c r="E20" s="23" t="s">
        <v>449</v>
      </c>
      <c r="F20" s="23" t="s">
        <v>450</v>
      </c>
      <c r="G20" s="23" t="s">
        <v>451</v>
      </c>
      <c r="H20" s="23" t="s">
        <v>453</v>
      </c>
      <c r="I20" s="23" t="s">
        <v>454</v>
      </c>
      <c r="J20" s="167" t="s">
        <v>456</v>
      </c>
      <c r="K20" s="177" t="s">
        <v>480</v>
      </c>
      <c r="O20" s="177" t="s">
        <v>466</v>
      </c>
      <c r="P20" s="177" t="s">
        <v>468</v>
      </c>
      <c r="Q20" s="177" t="s">
        <v>447</v>
      </c>
      <c r="R20" s="177" t="s">
        <v>448</v>
      </c>
      <c r="S20" s="177" t="s">
        <v>449</v>
      </c>
      <c r="T20" s="177" t="s">
        <v>450</v>
      </c>
      <c r="U20" s="177" t="s">
        <v>470</v>
      </c>
    </row>
    <row r="21" spans="2:21" x14ac:dyDescent="0.3">
      <c r="B21" s="23">
        <v>1</v>
      </c>
      <c r="C21" s="23">
        <f>C3*$K$21</f>
        <v>0</v>
      </c>
      <c r="D21" s="23">
        <f t="shared" ref="D21:J21" si="0">D3*$K$21</f>
        <v>0</v>
      </c>
      <c r="E21" s="23">
        <f t="shared" si="0"/>
        <v>0</v>
      </c>
      <c r="F21" s="23">
        <f t="shared" si="0"/>
        <v>0</v>
      </c>
      <c r="G21" s="23" t="s">
        <v>445</v>
      </c>
      <c r="H21" s="179">
        <f t="shared" si="0"/>
        <v>0</v>
      </c>
      <c r="I21" s="179">
        <f t="shared" si="0"/>
        <v>0</v>
      </c>
      <c r="J21" s="23">
        <f t="shared" si="0"/>
        <v>0</v>
      </c>
      <c r="K21" s="178">
        <v>0</v>
      </c>
      <c r="O21" s="9">
        <f>SUM(C21:F21)/40</f>
        <v>0</v>
      </c>
      <c r="P21" s="9">
        <f>SUM(C21:F21)/80</f>
        <v>0</v>
      </c>
      <c r="Q21" s="9">
        <f>C21/3</f>
        <v>0</v>
      </c>
      <c r="R21" s="9">
        <f>D21/6</f>
        <v>0</v>
      </c>
      <c r="S21" s="9">
        <f>E21/15</f>
        <v>0</v>
      </c>
      <c r="T21" s="9">
        <f>F21/7</f>
        <v>0</v>
      </c>
      <c r="U21" s="9">
        <f>1*K21</f>
        <v>0</v>
      </c>
    </row>
    <row r="22" spans="2:21" x14ac:dyDescent="0.3">
      <c r="B22" s="23">
        <v>2</v>
      </c>
      <c r="C22" s="23">
        <f>C4*$K$22</f>
        <v>0</v>
      </c>
      <c r="D22" s="23">
        <f t="shared" ref="D22:J22" si="1">D4*$K$22</f>
        <v>0</v>
      </c>
      <c r="E22" s="23">
        <f t="shared" si="1"/>
        <v>0</v>
      </c>
      <c r="F22" s="23">
        <f t="shared" si="1"/>
        <v>0</v>
      </c>
      <c r="G22" s="23" t="s">
        <v>445</v>
      </c>
      <c r="H22" s="179">
        <f t="shared" si="1"/>
        <v>0</v>
      </c>
      <c r="I22" s="179">
        <f t="shared" si="1"/>
        <v>0</v>
      </c>
      <c r="J22" s="23">
        <f t="shared" si="1"/>
        <v>0</v>
      </c>
      <c r="K22" s="178">
        <v>0</v>
      </c>
      <c r="O22" s="9">
        <f t="shared" ref="O22:O35" si="2">SUM(C22:F22)/40</f>
        <v>0</v>
      </c>
      <c r="P22" s="9">
        <f t="shared" ref="P22:P35" si="3">SUM(C22:F22)/80</f>
        <v>0</v>
      </c>
      <c r="Q22" s="9">
        <f t="shared" ref="Q22:Q35" si="4">C22/3</f>
        <v>0</v>
      </c>
      <c r="R22" s="9">
        <f t="shared" ref="R22:R35" si="5">D22/6</f>
        <v>0</v>
      </c>
      <c r="S22" s="9">
        <f t="shared" ref="S22:S35" si="6">E22/15</f>
        <v>0</v>
      </c>
      <c r="T22" s="9">
        <f t="shared" ref="T22:T35" si="7">F22/7</f>
        <v>0</v>
      </c>
      <c r="U22" s="9">
        <f t="shared" ref="U22:U35" si="8">1*K22</f>
        <v>0</v>
      </c>
    </row>
    <row r="23" spans="2:21" x14ac:dyDescent="0.3">
      <c r="B23" s="23">
        <v>3</v>
      </c>
      <c r="C23" s="23">
        <f>C5*$K$23</f>
        <v>0</v>
      </c>
      <c r="D23" s="23">
        <f t="shared" ref="D23:J23" si="9">D5*$K$23</f>
        <v>0</v>
      </c>
      <c r="E23" s="23">
        <f t="shared" si="9"/>
        <v>0</v>
      </c>
      <c r="F23" s="23">
        <f t="shared" si="9"/>
        <v>0</v>
      </c>
      <c r="G23" s="23" t="s">
        <v>445</v>
      </c>
      <c r="H23" s="179">
        <f t="shared" si="9"/>
        <v>0</v>
      </c>
      <c r="I23" s="179">
        <f t="shared" si="9"/>
        <v>0</v>
      </c>
      <c r="J23" s="23">
        <f t="shared" si="9"/>
        <v>0</v>
      </c>
      <c r="K23" s="178">
        <v>0</v>
      </c>
      <c r="O23" s="9">
        <f t="shared" si="2"/>
        <v>0</v>
      </c>
      <c r="P23" s="9">
        <f t="shared" si="3"/>
        <v>0</v>
      </c>
      <c r="Q23" s="9">
        <f t="shared" si="4"/>
        <v>0</v>
      </c>
      <c r="R23" s="9">
        <f t="shared" si="5"/>
        <v>0</v>
      </c>
      <c r="S23" s="9">
        <f t="shared" si="6"/>
        <v>0</v>
      </c>
      <c r="T23" s="9">
        <f t="shared" si="7"/>
        <v>0</v>
      </c>
      <c r="U23" s="9">
        <f t="shared" si="8"/>
        <v>0</v>
      </c>
    </row>
    <row r="24" spans="2:21" x14ac:dyDescent="0.3">
      <c r="B24" s="23">
        <v>4</v>
      </c>
      <c r="C24" s="23">
        <f>C6*$K$24</f>
        <v>0</v>
      </c>
      <c r="D24" s="23">
        <f t="shared" ref="D24:J24" si="10">D6*$K$24</f>
        <v>0</v>
      </c>
      <c r="E24" s="23">
        <f t="shared" si="10"/>
        <v>0</v>
      </c>
      <c r="F24" s="23">
        <f t="shared" si="10"/>
        <v>0</v>
      </c>
      <c r="G24" s="23" t="s">
        <v>445</v>
      </c>
      <c r="H24" s="179">
        <f t="shared" si="10"/>
        <v>0</v>
      </c>
      <c r="I24" s="179">
        <f t="shared" si="10"/>
        <v>0</v>
      </c>
      <c r="J24" s="23">
        <f t="shared" si="10"/>
        <v>0</v>
      </c>
      <c r="K24" s="178">
        <v>0</v>
      </c>
      <c r="O24" s="9">
        <f t="shared" si="2"/>
        <v>0</v>
      </c>
      <c r="P24" s="9">
        <f t="shared" si="3"/>
        <v>0</v>
      </c>
      <c r="Q24" s="9">
        <f t="shared" si="4"/>
        <v>0</v>
      </c>
      <c r="R24" s="9">
        <f t="shared" si="5"/>
        <v>0</v>
      </c>
      <c r="S24" s="9">
        <f t="shared" si="6"/>
        <v>0</v>
      </c>
      <c r="T24" s="9">
        <f t="shared" si="7"/>
        <v>0</v>
      </c>
      <c r="U24" s="9">
        <f t="shared" si="8"/>
        <v>0</v>
      </c>
    </row>
    <row r="25" spans="2:21" x14ac:dyDescent="0.3">
      <c r="B25" s="23">
        <v>5</v>
      </c>
      <c r="C25" s="23">
        <f>C7*$K$25</f>
        <v>50</v>
      </c>
      <c r="D25" s="23">
        <f t="shared" ref="D25:J25" si="11">D7*$K$25</f>
        <v>0</v>
      </c>
      <c r="E25" s="23">
        <f t="shared" si="11"/>
        <v>0</v>
      </c>
      <c r="F25" s="23">
        <f t="shared" si="11"/>
        <v>75</v>
      </c>
      <c r="G25" s="23" t="s">
        <v>446</v>
      </c>
      <c r="H25" s="179">
        <f t="shared" si="11"/>
        <v>125</v>
      </c>
      <c r="I25" s="179">
        <f t="shared" si="11"/>
        <v>26.98</v>
      </c>
      <c r="J25" s="23">
        <f t="shared" si="11"/>
        <v>1</v>
      </c>
      <c r="K25" s="178">
        <v>1</v>
      </c>
      <c r="O25" s="9">
        <f t="shared" si="2"/>
        <v>3.125</v>
      </c>
      <c r="P25" s="9">
        <f t="shared" si="3"/>
        <v>1.5625</v>
      </c>
      <c r="Q25" s="9">
        <f t="shared" si="4"/>
        <v>16.666666666666668</v>
      </c>
      <c r="R25" s="9">
        <f t="shared" si="5"/>
        <v>0</v>
      </c>
      <c r="S25" s="9">
        <f t="shared" si="6"/>
        <v>0</v>
      </c>
      <c r="T25" s="9">
        <f t="shared" si="7"/>
        <v>10.714285714285714</v>
      </c>
      <c r="U25" s="9">
        <f t="shared" si="8"/>
        <v>1</v>
      </c>
    </row>
    <row r="26" spans="2:21" x14ac:dyDescent="0.3">
      <c r="B26" s="23">
        <v>6</v>
      </c>
      <c r="C26" s="23">
        <f>C8*$K$26</f>
        <v>0</v>
      </c>
      <c r="D26" s="23">
        <f t="shared" ref="D26:J26" si="12">D8*$K$26</f>
        <v>0</v>
      </c>
      <c r="E26" s="23">
        <f t="shared" si="12"/>
        <v>0</v>
      </c>
      <c r="F26" s="23">
        <f t="shared" si="12"/>
        <v>0</v>
      </c>
      <c r="G26" s="23" t="s">
        <v>446</v>
      </c>
      <c r="H26" s="179">
        <f t="shared" si="12"/>
        <v>0</v>
      </c>
      <c r="I26" s="179">
        <f t="shared" si="12"/>
        <v>0</v>
      </c>
      <c r="J26" s="23">
        <f t="shared" si="12"/>
        <v>0</v>
      </c>
      <c r="K26" s="178">
        <v>0</v>
      </c>
      <c r="O26" s="9">
        <f t="shared" si="2"/>
        <v>0</v>
      </c>
      <c r="P26" s="9">
        <f t="shared" si="3"/>
        <v>0</v>
      </c>
      <c r="Q26" s="9">
        <f t="shared" si="4"/>
        <v>0</v>
      </c>
      <c r="R26" s="9">
        <f t="shared" si="5"/>
        <v>0</v>
      </c>
      <c r="S26" s="9">
        <f t="shared" si="6"/>
        <v>0</v>
      </c>
      <c r="T26" s="9">
        <f t="shared" si="7"/>
        <v>0</v>
      </c>
      <c r="U26" s="9">
        <f t="shared" si="8"/>
        <v>0</v>
      </c>
    </row>
    <row r="27" spans="2:21" x14ac:dyDescent="0.3">
      <c r="B27" s="23">
        <v>7</v>
      </c>
      <c r="C27" s="23">
        <f>C9*$K$27</f>
        <v>25</v>
      </c>
      <c r="D27" s="23">
        <f t="shared" ref="D27:J27" si="13">D9*$K$27</f>
        <v>0</v>
      </c>
      <c r="E27" s="23">
        <f t="shared" si="13"/>
        <v>80</v>
      </c>
      <c r="F27" s="23">
        <f t="shared" si="13"/>
        <v>40</v>
      </c>
      <c r="G27" s="23" t="s">
        <v>446</v>
      </c>
      <c r="H27" s="179">
        <f t="shared" si="13"/>
        <v>115.5</v>
      </c>
      <c r="I27" s="179">
        <f t="shared" si="13"/>
        <v>42.51</v>
      </c>
      <c r="J27" s="23">
        <f t="shared" si="13"/>
        <v>2</v>
      </c>
      <c r="K27" s="178">
        <v>1</v>
      </c>
      <c r="O27" s="9">
        <f t="shared" si="2"/>
        <v>3.625</v>
      </c>
      <c r="P27" s="9">
        <f t="shared" si="3"/>
        <v>1.8125</v>
      </c>
      <c r="Q27" s="9">
        <f t="shared" si="4"/>
        <v>8.3333333333333339</v>
      </c>
      <c r="R27" s="9">
        <f t="shared" si="5"/>
        <v>0</v>
      </c>
      <c r="S27" s="9">
        <f t="shared" si="6"/>
        <v>5.333333333333333</v>
      </c>
      <c r="T27" s="9">
        <f t="shared" si="7"/>
        <v>5.7142857142857144</v>
      </c>
      <c r="U27" s="9">
        <f t="shared" si="8"/>
        <v>1</v>
      </c>
    </row>
    <row r="28" spans="2:21" x14ac:dyDescent="0.3">
      <c r="B28" s="23">
        <v>8</v>
      </c>
      <c r="C28" s="23">
        <f>C10*$K$28</f>
        <v>0</v>
      </c>
      <c r="D28" s="23">
        <f t="shared" ref="D28:J28" si="14">D10*$K$28</f>
        <v>85</v>
      </c>
      <c r="E28" s="23">
        <f t="shared" si="14"/>
        <v>100</v>
      </c>
      <c r="F28" s="23">
        <f t="shared" si="14"/>
        <v>0</v>
      </c>
      <c r="G28" s="23" t="s">
        <v>445</v>
      </c>
      <c r="H28" s="179">
        <f t="shared" si="14"/>
        <v>137.25</v>
      </c>
      <c r="I28" s="179">
        <f t="shared" si="14"/>
        <v>11.59</v>
      </c>
      <c r="J28" s="23">
        <f t="shared" si="14"/>
        <v>2</v>
      </c>
      <c r="K28" s="178">
        <v>1</v>
      </c>
      <c r="O28" s="9">
        <f t="shared" si="2"/>
        <v>4.625</v>
      </c>
      <c r="P28" s="9">
        <f t="shared" si="3"/>
        <v>2.3125</v>
      </c>
      <c r="Q28" s="9">
        <f t="shared" si="4"/>
        <v>0</v>
      </c>
      <c r="R28" s="9">
        <f t="shared" si="5"/>
        <v>14.166666666666666</v>
      </c>
      <c r="S28" s="9">
        <f t="shared" si="6"/>
        <v>6.666666666666667</v>
      </c>
      <c r="T28" s="9">
        <f t="shared" si="7"/>
        <v>0</v>
      </c>
      <c r="U28" s="9">
        <f t="shared" si="8"/>
        <v>1</v>
      </c>
    </row>
    <row r="29" spans="2:21" x14ac:dyDescent="0.3">
      <c r="B29" s="23">
        <v>9</v>
      </c>
      <c r="C29" s="23">
        <f>C11*$K$29</f>
        <v>0</v>
      </c>
      <c r="D29" s="23">
        <f t="shared" ref="D29:J29" si="15">D11*$K$29</f>
        <v>0</v>
      </c>
      <c r="E29" s="23">
        <f t="shared" si="15"/>
        <v>0</v>
      </c>
      <c r="F29" s="23">
        <f t="shared" si="15"/>
        <v>0</v>
      </c>
      <c r="G29" s="23" t="s">
        <v>446</v>
      </c>
      <c r="H29" s="179">
        <f t="shared" si="15"/>
        <v>0</v>
      </c>
      <c r="I29" s="179">
        <f t="shared" si="15"/>
        <v>0</v>
      </c>
      <c r="J29" s="23">
        <f t="shared" si="15"/>
        <v>0</v>
      </c>
      <c r="K29" s="178">
        <v>0</v>
      </c>
      <c r="O29" s="9">
        <f t="shared" si="2"/>
        <v>0</v>
      </c>
      <c r="P29" s="9">
        <f t="shared" si="3"/>
        <v>0</v>
      </c>
      <c r="Q29" s="9">
        <f t="shared" si="4"/>
        <v>0</v>
      </c>
      <c r="R29" s="9">
        <f t="shared" si="5"/>
        <v>0</v>
      </c>
      <c r="S29" s="9">
        <f t="shared" si="6"/>
        <v>0</v>
      </c>
      <c r="T29" s="9">
        <f t="shared" si="7"/>
        <v>0</v>
      </c>
      <c r="U29" s="9">
        <f t="shared" si="8"/>
        <v>0</v>
      </c>
    </row>
    <row r="30" spans="2:21" x14ac:dyDescent="0.3">
      <c r="B30" s="23">
        <v>10</v>
      </c>
      <c r="C30" s="23">
        <f>C12*$K$30</f>
        <v>0</v>
      </c>
      <c r="D30" s="23">
        <f t="shared" ref="D30:J30" si="16">D12*$K$30</f>
        <v>0</v>
      </c>
      <c r="E30" s="23">
        <f t="shared" si="16"/>
        <v>0</v>
      </c>
      <c r="F30" s="23">
        <f t="shared" si="16"/>
        <v>0</v>
      </c>
      <c r="G30" s="23" t="s">
        <v>446</v>
      </c>
      <c r="H30" s="179">
        <f t="shared" si="16"/>
        <v>0</v>
      </c>
      <c r="I30" s="179">
        <f t="shared" si="16"/>
        <v>0</v>
      </c>
      <c r="J30" s="23">
        <f t="shared" si="16"/>
        <v>0</v>
      </c>
      <c r="K30" s="178">
        <v>0</v>
      </c>
      <c r="O30" s="9">
        <f t="shared" si="2"/>
        <v>0</v>
      </c>
      <c r="P30" s="9">
        <f t="shared" si="3"/>
        <v>0</v>
      </c>
      <c r="Q30" s="9">
        <f t="shared" si="4"/>
        <v>0</v>
      </c>
      <c r="R30" s="9">
        <f t="shared" si="5"/>
        <v>0</v>
      </c>
      <c r="S30" s="9">
        <f t="shared" si="6"/>
        <v>0</v>
      </c>
      <c r="T30" s="9">
        <f t="shared" si="7"/>
        <v>0</v>
      </c>
      <c r="U30" s="9">
        <f t="shared" si="8"/>
        <v>0</v>
      </c>
    </row>
    <row r="31" spans="2:21" x14ac:dyDescent="0.3">
      <c r="B31" s="23">
        <v>11</v>
      </c>
      <c r="C31" s="23">
        <f>C13*$K$31</f>
        <v>0</v>
      </c>
      <c r="D31" s="23">
        <f t="shared" ref="D31:J31" si="17">D13*$K$31</f>
        <v>0</v>
      </c>
      <c r="E31" s="23">
        <f t="shared" si="17"/>
        <v>0</v>
      </c>
      <c r="F31" s="23">
        <f t="shared" si="17"/>
        <v>0</v>
      </c>
      <c r="G31" s="23" t="s">
        <v>445</v>
      </c>
      <c r="H31" s="179">
        <f t="shared" si="17"/>
        <v>0</v>
      </c>
      <c r="I31" s="179">
        <f t="shared" si="17"/>
        <v>0</v>
      </c>
      <c r="J31" s="23">
        <f t="shared" si="17"/>
        <v>0</v>
      </c>
      <c r="K31" s="178">
        <v>0</v>
      </c>
      <c r="O31" s="9">
        <f t="shared" si="2"/>
        <v>0</v>
      </c>
      <c r="P31" s="9">
        <f t="shared" si="3"/>
        <v>0</v>
      </c>
      <c r="Q31" s="9">
        <f t="shared" si="4"/>
        <v>0</v>
      </c>
      <c r="R31" s="9">
        <f t="shared" si="5"/>
        <v>0</v>
      </c>
      <c r="S31" s="9">
        <f t="shared" si="6"/>
        <v>0</v>
      </c>
      <c r="T31" s="9">
        <f t="shared" si="7"/>
        <v>0</v>
      </c>
      <c r="U31" s="9">
        <f t="shared" si="8"/>
        <v>0</v>
      </c>
    </row>
    <row r="32" spans="2:21" x14ac:dyDescent="0.3">
      <c r="B32" s="23">
        <v>12</v>
      </c>
      <c r="C32" s="23">
        <f>C14*$K$32</f>
        <v>0</v>
      </c>
      <c r="D32" s="23">
        <f t="shared" ref="D32:J32" si="18">D14*$K$32</f>
        <v>0</v>
      </c>
      <c r="E32" s="23">
        <f t="shared" si="18"/>
        <v>0</v>
      </c>
      <c r="F32" s="23">
        <f t="shared" si="18"/>
        <v>0</v>
      </c>
      <c r="G32" s="23" t="s">
        <v>445</v>
      </c>
      <c r="H32" s="179">
        <f t="shared" si="18"/>
        <v>0</v>
      </c>
      <c r="I32" s="179">
        <f t="shared" si="18"/>
        <v>0</v>
      </c>
      <c r="J32" s="23">
        <f t="shared" si="18"/>
        <v>0</v>
      </c>
      <c r="K32" s="178">
        <v>0</v>
      </c>
      <c r="O32" s="9">
        <f t="shared" si="2"/>
        <v>0</v>
      </c>
      <c r="P32" s="9">
        <f t="shared" si="3"/>
        <v>0</v>
      </c>
      <c r="Q32" s="9">
        <f t="shared" si="4"/>
        <v>0</v>
      </c>
      <c r="R32" s="9">
        <f t="shared" si="5"/>
        <v>0</v>
      </c>
      <c r="S32" s="9">
        <f t="shared" si="6"/>
        <v>0</v>
      </c>
      <c r="T32" s="9">
        <f t="shared" si="7"/>
        <v>0</v>
      </c>
      <c r="U32" s="9">
        <f t="shared" si="8"/>
        <v>0</v>
      </c>
    </row>
    <row r="33" spans="2:21" x14ac:dyDescent="0.3">
      <c r="B33" s="23">
        <v>13</v>
      </c>
      <c r="C33" s="23">
        <f>C15*$K$33</f>
        <v>0</v>
      </c>
      <c r="D33" s="23">
        <f t="shared" ref="D33:J33" si="19">D15*$K$33</f>
        <v>85</v>
      </c>
      <c r="E33" s="23">
        <f t="shared" si="19"/>
        <v>0</v>
      </c>
      <c r="F33" s="23">
        <f t="shared" si="19"/>
        <v>65</v>
      </c>
      <c r="G33" s="23" t="s">
        <v>446</v>
      </c>
      <c r="H33" s="179">
        <f t="shared" si="19"/>
        <v>142.25</v>
      </c>
      <c r="I33" s="179">
        <f t="shared" si="19"/>
        <v>43.84</v>
      </c>
      <c r="J33" s="23">
        <f t="shared" si="19"/>
        <v>2</v>
      </c>
      <c r="K33" s="178">
        <v>1</v>
      </c>
      <c r="O33" s="9">
        <f t="shared" si="2"/>
        <v>3.75</v>
      </c>
      <c r="P33" s="9">
        <f t="shared" si="3"/>
        <v>1.875</v>
      </c>
      <c r="Q33" s="9">
        <f t="shared" si="4"/>
        <v>0</v>
      </c>
      <c r="R33" s="9">
        <f t="shared" si="5"/>
        <v>14.166666666666666</v>
      </c>
      <c r="S33" s="9">
        <f t="shared" si="6"/>
        <v>0</v>
      </c>
      <c r="T33" s="9">
        <f t="shared" si="7"/>
        <v>9.2857142857142865</v>
      </c>
      <c r="U33" s="9">
        <f t="shared" si="8"/>
        <v>1</v>
      </c>
    </row>
    <row r="34" spans="2:21" x14ac:dyDescent="0.3">
      <c r="B34" s="23">
        <v>14</v>
      </c>
      <c r="C34" s="23">
        <f>C16*$K$34</f>
        <v>75</v>
      </c>
      <c r="D34" s="23">
        <f t="shared" ref="D34:J34" si="20">D16*$K$34</f>
        <v>85</v>
      </c>
      <c r="E34" s="23">
        <f t="shared" si="20"/>
        <v>75</v>
      </c>
      <c r="F34" s="23">
        <f t="shared" si="20"/>
        <v>0</v>
      </c>
      <c r="G34" s="23" t="s">
        <v>446</v>
      </c>
      <c r="H34" s="179">
        <f t="shared" si="20"/>
        <v>189.75</v>
      </c>
      <c r="I34" s="179">
        <f t="shared" si="20"/>
        <v>30.22</v>
      </c>
      <c r="J34" s="23">
        <f t="shared" si="20"/>
        <v>1</v>
      </c>
      <c r="K34" s="178">
        <v>1</v>
      </c>
      <c r="O34" s="9">
        <f t="shared" si="2"/>
        <v>5.875</v>
      </c>
      <c r="P34" s="9">
        <f t="shared" si="3"/>
        <v>2.9375</v>
      </c>
      <c r="Q34" s="9">
        <f t="shared" si="4"/>
        <v>25</v>
      </c>
      <c r="R34" s="9">
        <f t="shared" si="5"/>
        <v>14.166666666666666</v>
      </c>
      <c r="S34" s="9">
        <f t="shared" si="6"/>
        <v>5</v>
      </c>
      <c r="T34" s="9">
        <f t="shared" si="7"/>
        <v>0</v>
      </c>
      <c r="U34" s="9">
        <f t="shared" si="8"/>
        <v>1</v>
      </c>
    </row>
    <row r="35" spans="2:21" x14ac:dyDescent="0.3">
      <c r="B35" s="171">
        <v>15</v>
      </c>
      <c r="C35" s="171">
        <f>C17*$K$35</f>
        <v>65</v>
      </c>
      <c r="D35" s="171">
        <f t="shared" ref="D35:J35" si="21">D17*$K$35</f>
        <v>0</v>
      </c>
      <c r="E35" s="171">
        <f t="shared" si="21"/>
        <v>75</v>
      </c>
      <c r="F35" s="171">
        <f t="shared" si="21"/>
        <v>30</v>
      </c>
      <c r="G35" s="171" t="s">
        <v>446</v>
      </c>
      <c r="H35" s="180">
        <f t="shared" si="21"/>
        <v>138.5</v>
      </c>
      <c r="I35" s="180">
        <f t="shared" si="21"/>
        <v>43.66</v>
      </c>
      <c r="J35" s="171">
        <f t="shared" si="21"/>
        <v>2</v>
      </c>
      <c r="K35" s="181">
        <v>1</v>
      </c>
      <c r="O35" s="9">
        <f t="shared" si="2"/>
        <v>4.25</v>
      </c>
      <c r="P35" s="9">
        <f t="shared" si="3"/>
        <v>2.125</v>
      </c>
      <c r="Q35" s="9">
        <f t="shared" si="4"/>
        <v>21.666666666666668</v>
      </c>
      <c r="R35" s="9">
        <f t="shared" si="5"/>
        <v>0</v>
      </c>
      <c r="S35" s="9">
        <f t="shared" si="6"/>
        <v>5</v>
      </c>
      <c r="T35" s="9">
        <f t="shared" si="7"/>
        <v>4.2857142857142856</v>
      </c>
      <c r="U35" s="9">
        <f t="shared" si="8"/>
        <v>1</v>
      </c>
    </row>
    <row r="36" spans="2:21" x14ac:dyDescent="0.3">
      <c r="B36" s="42" t="s">
        <v>481</v>
      </c>
      <c r="C36" s="42">
        <f>SUM(C21:C35)</f>
        <v>215</v>
      </c>
      <c r="D36" s="42">
        <f t="shared" ref="D36:I36" si="22">SUM(D21:D35)</f>
        <v>255</v>
      </c>
      <c r="E36" s="42">
        <f t="shared" si="22"/>
        <v>330</v>
      </c>
      <c r="F36" s="42">
        <f t="shared" si="22"/>
        <v>210</v>
      </c>
      <c r="G36" s="42"/>
      <c r="H36" s="182">
        <f t="shared" si="22"/>
        <v>848.25</v>
      </c>
      <c r="I36" s="182">
        <f t="shared" si="22"/>
        <v>198.79999999999998</v>
      </c>
      <c r="J36" s="42">
        <f>SUM(J21:J35)</f>
        <v>10</v>
      </c>
      <c r="K36" s="42"/>
      <c r="O36" s="184">
        <f>SUM(O21:O35)</f>
        <v>25.25</v>
      </c>
      <c r="P36" s="184">
        <f t="shared" ref="P36:U36" si="23">SUM(P21:P35)</f>
        <v>12.625</v>
      </c>
      <c r="Q36" s="184">
        <f t="shared" si="23"/>
        <v>71.666666666666671</v>
      </c>
      <c r="R36" s="184">
        <f t="shared" si="23"/>
        <v>42.5</v>
      </c>
      <c r="S36" s="184">
        <f t="shared" si="23"/>
        <v>22</v>
      </c>
      <c r="T36" s="184">
        <f t="shared" si="23"/>
        <v>30</v>
      </c>
      <c r="U36" s="184">
        <f t="shared" si="23"/>
        <v>6</v>
      </c>
    </row>
    <row r="37" spans="2:21" x14ac:dyDescent="0.3">
      <c r="N37" s="42" t="s">
        <v>485</v>
      </c>
      <c r="O37" s="185">
        <f>N5/1000</f>
        <v>16</v>
      </c>
      <c r="P37" s="185">
        <f>N6/1000</f>
        <v>25</v>
      </c>
      <c r="Q37" s="185">
        <f>$N$7/1000</f>
        <v>13</v>
      </c>
      <c r="R37" s="185">
        <f t="shared" ref="R37:T37" si="24">$N$7/1000</f>
        <v>13</v>
      </c>
      <c r="S37" s="185">
        <f t="shared" si="24"/>
        <v>13</v>
      </c>
      <c r="T37" s="185">
        <f t="shared" si="24"/>
        <v>13</v>
      </c>
      <c r="U37" s="185">
        <f>N8/1000</f>
        <v>21</v>
      </c>
    </row>
    <row r="38" spans="2:21" x14ac:dyDescent="0.3">
      <c r="B38" t="s">
        <v>475</v>
      </c>
      <c r="C38">
        <f>C36</f>
        <v>215</v>
      </c>
      <c r="D38" t="s">
        <v>80</v>
      </c>
      <c r="E38" s="15">
        <v>200</v>
      </c>
      <c r="G38" s="183" t="s">
        <v>187</v>
      </c>
      <c r="H38" s="57">
        <f>H36</f>
        <v>848.25</v>
      </c>
      <c r="I38" t="s">
        <v>37</v>
      </c>
      <c r="J38" s="15">
        <v>850</v>
      </c>
      <c r="N38" s="42" t="s">
        <v>486</v>
      </c>
      <c r="O38" s="185">
        <f>O36*O37</f>
        <v>404</v>
      </c>
      <c r="P38" s="185">
        <f t="shared" ref="P38:U38" si="25">P36*P37</f>
        <v>315.625</v>
      </c>
      <c r="Q38" s="185">
        <f t="shared" si="25"/>
        <v>931.66666666666674</v>
      </c>
      <c r="R38" s="185">
        <f t="shared" si="25"/>
        <v>552.5</v>
      </c>
      <c r="S38" s="185">
        <f t="shared" si="25"/>
        <v>286</v>
      </c>
      <c r="T38" s="185">
        <f t="shared" si="25"/>
        <v>390</v>
      </c>
      <c r="U38" s="185">
        <f t="shared" si="25"/>
        <v>126</v>
      </c>
    </row>
    <row r="39" spans="2:21" x14ac:dyDescent="0.3">
      <c r="B39" t="s">
        <v>476</v>
      </c>
      <c r="C39">
        <f>D36</f>
        <v>255</v>
      </c>
      <c r="D39" t="s">
        <v>80</v>
      </c>
      <c r="E39" s="15">
        <v>250</v>
      </c>
      <c r="N39" s="42" t="s">
        <v>486</v>
      </c>
      <c r="O39" s="185">
        <f>SUM(O38:U38)</f>
        <v>3005.791666666667</v>
      </c>
    </row>
    <row r="40" spans="2:21" x14ac:dyDescent="0.3">
      <c r="B40" t="s">
        <v>477</v>
      </c>
      <c r="C40">
        <f>E36</f>
        <v>330</v>
      </c>
      <c r="D40" t="s">
        <v>80</v>
      </c>
      <c r="E40" s="15">
        <v>325</v>
      </c>
    </row>
    <row r="41" spans="2:21" x14ac:dyDescent="0.3">
      <c r="B41" t="s">
        <v>478</v>
      </c>
      <c r="C41">
        <f>F36</f>
        <v>210</v>
      </c>
      <c r="D41" t="s">
        <v>80</v>
      </c>
      <c r="E41" s="15">
        <v>150</v>
      </c>
    </row>
    <row r="44" spans="2:21" x14ac:dyDescent="0.3">
      <c r="L44" s="49"/>
      <c r="M44" s="49"/>
    </row>
    <row r="45" spans="2:21" ht="28" x14ac:dyDescent="0.3">
      <c r="B45" s="9"/>
      <c r="C45" s="186" t="s">
        <v>369</v>
      </c>
      <c r="D45" s="187" t="s">
        <v>371</v>
      </c>
      <c r="E45" s="187" t="s">
        <v>374</v>
      </c>
      <c r="F45" s="187" t="s">
        <v>375</v>
      </c>
      <c r="G45" s="51" t="s">
        <v>378</v>
      </c>
      <c r="H45" s="51" t="s">
        <v>379</v>
      </c>
      <c r="I45" s="51" t="s">
        <v>380</v>
      </c>
      <c r="J45" s="51"/>
      <c r="K45" s="51"/>
      <c r="L45" s="51" t="s">
        <v>382</v>
      </c>
    </row>
    <row r="46" spans="2:21" x14ac:dyDescent="0.3">
      <c r="B46" s="9" t="s">
        <v>475</v>
      </c>
      <c r="C46" s="51" t="s">
        <v>482</v>
      </c>
      <c r="D46" s="165">
        <f>C36</f>
        <v>215</v>
      </c>
      <c r="E46" s="9">
        <v>250</v>
      </c>
      <c r="F46" s="9">
        <f>E46-D46</f>
        <v>35</v>
      </c>
      <c r="G46" s="82">
        <f>F46/E46</f>
        <v>0.14000000000000001</v>
      </c>
      <c r="H46" s="51">
        <v>1</v>
      </c>
      <c r="I46" s="51">
        <f>G46*H46</f>
        <v>0.14000000000000001</v>
      </c>
      <c r="J46" s="51" t="s">
        <v>487</v>
      </c>
      <c r="K46" s="51" t="s">
        <v>80</v>
      </c>
      <c r="L46" s="51">
        <f>$N$46</f>
        <v>0</v>
      </c>
      <c r="N46" s="33">
        <v>0</v>
      </c>
    </row>
    <row r="47" spans="2:21" x14ac:dyDescent="0.3">
      <c r="B47" s="9" t="s">
        <v>476</v>
      </c>
      <c r="C47" s="51" t="s">
        <v>482</v>
      </c>
      <c r="D47" s="165">
        <f>D36</f>
        <v>255</v>
      </c>
      <c r="E47" s="9">
        <v>280</v>
      </c>
      <c r="F47" s="9">
        <f t="shared" ref="F47:F49" si="26">E47-D47</f>
        <v>25</v>
      </c>
      <c r="G47" s="82">
        <f t="shared" ref="G47:G53" si="27">F47/E47</f>
        <v>8.9285714285714288E-2</v>
      </c>
      <c r="H47" s="51">
        <v>1</v>
      </c>
      <c r="I47" s="51">
        <f t="shared" ref="I47:I53" si="28">G47*H47</f>
        <v>8.9285714285714288E-2</v>
      </c>
      <c r="J47" s="51" t="s">
        <v>487</v>
      </c>
      <c r="K47" s="51" t="s">
        <v>80</v>
      </c>
      <c r="L47" s="51">
        <f>$N$46</f>
        <v>0</v>
      </c>
    </row>
    <row r="48" spans="2:21" x14ac:dyDescent="0.3">
      <c r="B48" s="9" t="s">
        <v>477</v>
      </c>
      <c r="C48" s="51" t="s">
        <v>482</v>
      </c>
      <c r="D48" s="165">
        <f>E36</f>
        <v>330</v>
      </c>
      <c r="E48" s="9">
        <v>370</v>
      </c>
      <c r="F48" s="9">
        <f t="shared" si="26"/>
        <v>40</v>
      </c>
      <c r="G48" s="82">
        <f t="shared" si="27"/>
        <v>0.10810810810810811</v>
      </c>
      <c r="H48" s="51">
        <v>1</v>
      </c>
      <c r="I48" s="51">
        <f t="shared" si="28"/>
        <v>0.10810810810810811</v>
      </c>
      <c r="J48" s="51" t="s">
        <v>487</v>
      </c>
      <c r="K48" s="51" t="s">
        <v>80</v>
      </c>
      <c r="L48" s="51">
        <f>$N$46</f>
        <v>0</v>
      </c>
    </row>
    <row r="49" spans="2:12" x14ac:dyDescent="0.3">
      <c r="B49" s="9" t="s">
        <v>478</v>
      </c>
      <c r="C49" s="51" t="s">
        <v>482</v>
      </c>
      <c r="D49" s="165">
        <f>F36</f>
        <v>210</v>
      </c>
      <c r="E49" s="9">
        <v>210</v>
      </c>
      <c r="F49" s="9">
        <f t="shared" si="26"/>
        <v>0</v>
      </c>
      <c r="G49" s="82">
        <f t="shared" si="27"/>
        <v>0</v>
      </c>
      <c r="H49" s="51">
        <v>1</v>
      </c>
      <c r="I49" s="51">
        <f t="shared" si="28"/>
        <v>0</v>
      </c>
      <c r="J49" s="51" t="s">
        <v>487</v>
      </c>
      <c r="K49" s="51" t="s">
        <v>80</v>
      </c>
      <c r="L49" s="51">
        <f>$N$46</f>
        <v>0</v>
      </c>
    </row>
    <row r="50" spans="2:12" x14ac:dyDescent="0.3">
      <c r="B50" s="9" t="s">
        <v>452</v>
      </c>
      <c r="C50" s="82" t="s">
        <v>368</v>
      </c>
      <c r="D50" s="84">
        <f>H36</f>
        <v>848.25</v>
      </c>
      <c r="E50" s="47">
        <v>781</v>
      </c>
      <c r="F50" s="188">
        <f>D50-E50</f>
        <v>67.25</v>
      </c>
      <c r="G50" s="82">
        <f t="shared" si="27"/>
        <v>8.6107554417413579E-2</v>
      </c>
      <c r="H50" s="51">
        <v>1</v>
      </c>
      <c r="I50" s="51">
        <f t="shared" si="28"/>
        <v>8.6107554417413579E-2</v>
      </c>
      <c r="J50" s="9" t="s">
        <v>490</v>
      </c>
      <c r="K50" s="9" t="s">
        <v>37</v>
      </c>
      <c r="L50" s="9"/>
    </row>
    <row r="51" spans="2:12" x14ac:dyDescent="0.3">
      <c r="B51" s="177" t="s">
        <v>483</v>
      </c>
      <c r="C51" s="82" t="s">
        <v>368</v>
      </c>
      <c r="D51" s="83">
        <f>O39</f>
        <v>3005.791666666667</v>
      </c>
      <c r="E51" s="47">
        <v>2796.4077380952381</v>
      </c>
      <c r="F51" s="188">
        <f t="shared" ref="F51:F53" si="29">D51-E51</f>
        <v>209.3839285714289</v>
      </c>
      <c r="G51" s="82">
        <f t="shared" si="27"/>
        <v>7.4876036752083194E-2</v>
      </c>
      <c r="H51" s="51">
        <v>1</v>
      </c>
      <c r="I51" s="51">
        <f t="shared" si="28"/>
        <v>7.4876036752083194E-2</v>
      </c>
      <c r="J51" s="9" t="s">
        <v>490</v>
      </c>
      <c r="K51" s="9" t="s">
        <v>37</v>
      </c>
      <c r="L51" s="9"/>
    </row>
    <row r="52" spans="2:12" x14ac:dyDescent="0.3">
      <c r="B52" s="9" t="s">
        <v>455</v>
      </c>
      <c r="C52" s="82" t="s">
        <v>368</v>
      </c>
      <c r="D52" s="165">
        <f>J36</f>
        <v>10</v>
      </c>
      <c r="E52" s="9">
        <v>9</v>
      </c>
      <c r="F52" s="188">
        <f t="shared" si="29"/>
        <v>1</v>
      </c>
      <c r="G52" s="82">
        <f t="shared" si="27"/>
        <v>0.1111111111111111</v>
      </c>
      <c r="H52" s="51">
        <v>2</v>
      </c>
      <c r="I52" s="51">
        <f t="shared" si="28"/>
        <v>0.22222222222222221</v>
      </c>
      <c r="J52" s="9" t="s">
        <v>490</v>
      </c>
      <c r="K52" s="9" t="s">
        <v>37</v>
      </c>
      <c r="L52" s="9"/>
    </row>
    <row r="53" spans="2:12" x14ac:dyDescent="0.3">
      <c r="B53" s="177" t="s">
        <v>454</v>
      </c>
      <c r="C53" s="82" t="s">
        <v>368</v>
      </c>
      <c r="D53" s="84">
        <f>I36</f>
        <v>198.79999999999998</v>
      </c>
      <c r="E53" s="9">
        <v>134.57</v>
      </c>
      <c r="F53" s="188">
        <f t="shared" si="29"/>
        <v>64.22999999999999</v>
      </c>
      <c r="G53" s="82">
        <f t="shared" si="27"/>
        <v>0.47729806048896478</v>
      </c>
      <c r="H53" s="51">
        <v>1</v>
      </c>
      <c r="I53" s="51">
        <f t="shared" si="28"/>
        <v>0.47729806048896478</v>
      </c>
      <c r="J53" s="9" t="s">
        <v>490</v>
      </c>
      <c r="K53" s="9" t="s">
        <v>37</v>
      </c>
      <c r="L53" s="9"/>
    </row>
    <row r="54" spans="2:12" x14ac:dyDescent="0.3">
      <c r="I54" s="14">
        <f>SUM(I46:I53)</f>
        <v>1.1978976962745063</v>
      </c>
    </row>
    <row r="58" spans="2:12" x14ac:dyDescent="0.3">
      <c r="B58" s="128" t="s">
        <v>376</v>
      </c>
    </row>
    <row r="59" spans="2:12" x14ac:dyDescent="0.3">
      <c r="B59" s="128" t="s">
        <v>377</v>
      </c>
    </row>
    <row r="60" spans="2:12" x14ac:dyDescent="0.3">
      <c r="B60" t="s">
        <v>488</v>
      </c>
      <c r="E60" s="49"/>
    </row>
    <row r="61" spans="2:12" x14ac:dyDescent="0.3">
      <c r="B61" s="49" t="s">
        <v>489</v>
      </c>
      <c r="E61" s="49"/>
    </row>
  </sheetData>
  <mergeCells count="4">
    <mergeCell ref="O2:S2"/>
    <mergeCell ref="M9:S9"/>
    <mergeCell ref="M18:N18"/>
    <mergeCell ref="Q19:T19"/>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Transshipment</vt:lpstr>
      <vt:lpstr>School bus</vt:lpstr>
      <vt:lpstr>Assignemnt 4</vt:lpstr>
      <vt:lpstr>Fifth Avenue</vt:lpstr>
      <vt:lpstr>Fifth Avenue (2)</vt:lpstr>
      <vt:lpstr>Golf club Assign 2</vt:lpstr>
      <vt:lpstr>Hong Kong bank</vt:lpstr>
      <vt:lpstr>Executive furniture</vt:lpstr>
      <vt:lpstr>Luffy</vt:lpstr>
      <vt:lpstr>Movies</vt:lpstr>
      <vt:lpstr>Simple goal</vt:lpstr>
      <vt:lpstr>Goodman</vt:lpstr>
      <vt:lpstr>Goodman (2)</vt:lpstr>
      <vt:lpstr>Frair</vt:lpstr>
      <vt:lpstr>Andrew Carter</vt:lpstr>
      <vt:lpstr>Hardgrave</vt:lpstr>
      <vt:lpstr>Monkey air</vt:lpstr>
      <vt:lpstr>Multiperiod easy</vt:lpstr>
      <vt:lpstr>Blending problem</vt:lpstr>
      <vt:lpstr>GatorAir</vt:lpstr>
      <vt:lpstr>Executive furniture max-min</vt:lpstr>
      <vt:lpstr>Executive furniture min-max</vt:lpstr>
      <vt:lpstr>Assignment 1</vt:lpstr>
      <vt:lpstr>MOL mine</vt:lpstr>
      <vt:lpstr>Hotel</vt:lpstr>
      <vt:lpstr>Grand prix</vt:lpstr>
      <vt:lpstr>quiz 1</vt:lpstr>
      <vt:lpstr>Quiz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Sikai Yang</dc:creator>
  <cp:lastModifiedBy>Sikai Yang</cp:lastModifiedBy>
  <dcterms:created xsi:type="dcterms:W3CDTF">2026-06-13T16:25:10Z</dcterms:created>
  <dcterms:modified xsi:type="dcterms:W3CDTF">2026-06-17T11:47:58Z</dcterms:modified>
</cp:coreProperties>
</file>