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fc542d4b5500977/0001.维保部工作/20241106_软件开发/20241219_软件开发 表格/"/>
    </mc:Choice>
  </mc:AlternateContent>
  <xr:revisionPtr revIDLastSave="170" documentId="8_{540C07B0-A89A-4E10-92B0-78A49ECEA55A}" xr6:coauthVersionLast="47" xr6:coauthVersionMax="47" xr10:uidLastSave="{56AF8D2E-64DE-4D04-97A9-D0BD7D6C3CF1}"/>
  <bookViews>
    <workbookView xWindow="-120" yWindow="-120" windowWidth="38640" windowHeight="21240" tabRatio="737" xr2:uid="{00000000-000D-0000-FFFF-FFFF00000000}"/>
  </bookViews>
  <sheets>
    <sheet name="地铁隧道_报价物资清单" sheetId="9" r:id="rId1"/>
    <sheet name="物流运输清单" sheetId="10" r:id="rId2"/>
    <sheet name="基础物流价格信息" sheetId="12" r:id="rId3"/>
    <sheet name="基行车物流运输表" sheetId="15" r:id="rId4"/>
    <sheet name="基础行车租赁信息表" sheetId="13" r:id="rId5"/>
    <sheet name="基础电机车信息表" sheetId="14" r:id="rId6"/>
    <sheet name="Sheet4" sheetId="4" state="hidden" r:id="rId7"/>
  </sheets>
  <definedNames>
    <definedName name="_xlnm._FilterDatabase" localSheetId="0" hidden="1">地铁隧道_报价物资清单!$A$15:$S$50</definedName>
    <definedName name="_xlnm._FilterDatabase" localSheetId="1" hidden="1">物流运输清单!$B$3:$Q$28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F29" i="9"/>
  <c r="F28" i="9"/>
  <c r="F26" i="9"/>
  <c r="F24" i="9"/>
  <c r="F22" i="9"/>
  <c r="N35" i="9" l="1"/>
  <c r="N34" i="9"/>
  <c r="N33" i="9"/>
  <c r="F16" i="9"/>
  <c r="A13" i="9"/>
  <c r="C17" i="9" l="1"/>
  <c r="C16" i="9"/>
  <c r="D2" i="15"/>
  <c r="A25" i="9"/>
  <c r="A26" i="9"/>
  <c r="A27" i="9"/>
  <c r="A28" i="9"/>
  <c r="A29" i="9"/>
  <c r="A30" i="9"/>
  <c r="A31" i="9"/>
  <c r="A32" i="9"/>
  <c r="A33" i="9"/>
  <c r="A34" i="9"/>
  <c r="A35" i="9"/>
  <c r="A24" i="9"/>
  <c r="H16" i="9" l="1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45" i="15"/>
  <c r="F42" i="15"/>
  <c r="F43" i="15"/>
  <c r="F44" i="15"/>
  <c r="F41" i="15"/>
  <c r="D76" i="15" l="1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A11" i="10"/>
  <c r="A10" i="10"/>
  <c r="B32" i="10"/>
  <c r="N32" i="10" s="1"/>
  <c r="F20" i="9"/>
  <c r="F18" i="9"/>
  <c r="F17" i="9"/>
  <c r="C18" i="9"/>
  <c r="H18" i="9" s="1"/>
  <c r="J17" i="9" l="1"/>
  <c r="Q17" i="9" s="1"/>
  <c r="J16" i="9"/>
  <c r="Q16" i="9" s="1"/>
  <c r="S11" i="10"/>
  <c r="S10" i="10"/>
  <c r="O32" i="10"/>
  <c r="L32" i="10"/>
  <c r="M32" i="10"/>
  <c r="F42" i="9"/>
  <c r="G42" i="9" s="1"/>
  <c r="D27" i="10" s="1"/>
  <c r="F36" i="9"/>
  <c r="L17" i="9"/>
  <c r="L18" i="9"/>
  <c r="L19" i="9"/>
  <c r="N19" i="9" s="1"/>
  <c r="L20" i="9"/>
  <c r="N20" i="9" s="1"/>
  <c r="L21" i="9"/>
  <c r="N21" i="9" s="1"/>
  <c r="L22" i="9"/>
  <c r="N22" i="9" s="1"/>
  <c r="L23" i="9"/>
  <c r="N23" i="9" s="1"/>
  <c r="L24" i="9"/>
  <c r="N24" i="9" s="1"/>
  <c r="L25" i="9"/>
  <c r="N25" i="9" s="1"/>
  <c r="L26" i="9"/>
  <c r="L27" i="9"/>
  <c r="N27" i="9" s="1"/>
  <c r="L28" i="9"/>
  <c r="L29" i="9"/>
  <c r="L30" i="9"/>
  <c r="N30" i="9" s="1"/>
  <c r="L31" i="9"/>
  <c r="N31" i="9" s="1"/>
  <c r="L32" i="9"/>
  <c r="N32" i="9" s="1"/>
  <c r="L36" i="9"/>
  <c r="N36" i="9" s="1"/>
  <c r="L37" i="9"/>
  <c r="L38" i="9"/>
  <c r="L39" i="9"/>
  <c r="L40" i="9"/>
  <c r="N40" i="9" s="1"/>
  <c r="L41" i="9"/>
  <c r="N41" i="9" s="1"/>
  <c r="L42" i="9"/>
  <c r="L43" i="9"/>
  <c r="N43" i="9" s="1"/>
  <c r="L44" i="9"/>
  <c r="N44" i="9" s="1"/>
  <c r="L45" i="9"/>
  <c r="N45" i="9" s="1"/>
  <c r="L16" i="9"/>
  <c r="I42" i="9"/>
  <c r="G19" i="9"/>
  <c r="G21" i="9"/>
  <c r="O21" i="9" s="1"/>
  <c r="G23" i="9"/>
  <c r="O23" i="9" s="1"/>
  <c r="G25" i="9"/>
  <c r="O25" i="9" s="1"/>
  <c r="G27" i="9"/>
  <c r="G30" i="9"/>
  <c r="O30" i="9" s="1"/>
  <c r="G31" i="9"/>
  <c r="O31" i="9" s="1"/>
  <c r="G32" i="9"/>
  <c r="G33" i="9"/>
  <c r="O33" i="9" s="1"/>
  <c r="G34" i="9"/>
  <c r="D15" i="10" s="1"/>
  <c r="G35" i="9"/>
  <c r="O35" i="9" s="1"/>
  <c r="G43" i="9"/>
  <c r="G44" i="9"/>
  <c r="G45" i="9"/>
  <c r="O45" i="9" s="1"/>
  <c r="H17" i="9"/>
  <c r="G24" i="9"/>
  <c r="O24" i="9" s="1"/>
  <c r="G22" i="9"/>
  <c r="O22" i="9" s="1"/>
  <c r="G20" i="9"/>
  <c r="N42" i="9" l="1"/>
  <c r="O27" i="9"/>
  <c r="D24" i="10"/>
  <c r="N24" i="10" s="1"/>
  <c r="O34" i="9"/>
  <c r="O32" i="9"/>
  <c r="D14" i="10"/>
  <c r="O19" i="9"/>
  <c r="D19" i="10"/>
  <c r="N19" i="10" s="1"/>
  <c r="O44" i="9"/>
  <c r="D17" i="10"/>
  <c r="O43" i="9"/>
  <c r="D16" i="10"/>
  <c r="D4" i="10"/>
  <c r="O20" i="9"/>
  <c r="D9" i="10"/>
  <c r="J9" i="10" s="1"/>
  <c r="D5" i="10"/>
  <c r="D7" i="10"/>
  <c r="L7" i="10" s="1"/>
  <c r="P7" i="10" s="1"/>
  <c r="O42" i="9"/>
  <c r="K35" i="9"/>
  <c r="O27" i="10"/>
  <c r="R26" i="10"/>
  <c r="P46" i="9" s="1"/>
  <c r="R46" i="9" s="1"/>
  <c r="P26" i="10"/>
  <c r="I26" i="10"/>
  <c r="J26" i="10" s="1"/>
  <c r="G26" i="10"/>
  <c r="R25" i="10"/>
  <c r="P25" i="10"/>
  <c r="I25" i="10"/>
  <c r="J25" i="10" s="1"/>
  <c r="G25" i="10"/>
  <c r="I24" i="10"/>
  <c r="F24" i="10"/>
  <c r="A24" i="10"/>
  <c r="R23" i="10"/>
  <c r="P23" i="10"/>
  <c r="I23" i="10"/>
  <c r="J23" i="10" s="1"/>
  <c r="G23" i="10"/>
  <c r="L22" i="10"/>
  <c r="I22" i="10"/>
  <c r="J22" i="10" s="1"/>
  <c r="G22" i="10"/>
  <c r="N21" i="10"/>
  <c r="I21" i="10"/>
  <c r="J21" i="10" s="1"/>
  <c r="G21" i="10"/>
  <c r="A21" i="10"/>
  <c r="I20" i="10"/>
  <c r="A20" i="10"/>
  <c r="I19" i="10"/>
  <c r="A19" i="10"/>
  <c r="I18" i="10"/>
  <c r="A18" i="10"/>
  <c r="I17" i="10"/>
  <c r="I16" i="10"/>
  <c r="I15" i="10"/>
  <c r="A15" i="10"/>
  <c r="I14" i="10"/>
  <c r="A14" i="10"/>
  <c r="R13" i="10"/>
  <c r="J13" i="10"/>
  <c r="G13" i="10"/>
  <c r="R12" i="10"/>
  <c r="P12" i="10"/>
  <c r="J12" i="10"/>
  <c r="G12" i="10"/>
  <c r="I11" i="10"/>
  <c r="I10" i="10"/>
  <c r="A9" i="10"/>
  <c r="M8" i="10"/>
  <c r="I8" i="10"/>
  <c r="J8" i="10" s="1"/>
  <c r="G8" i="10"/>
  <c r="A8" i="10"/>
  <c r="I7" i="10"/>
  <c r="A7" i="10"/>
  <c r="I6" i="10"/>
  <c r="A6" i="10"/>
  <c r="I5" i="10"/>
  <c r="A5" i="10"/>
  <c r="I4" i="10"/>
  <c r="A4" i="10"/>
  <c r="F40" i="9"/>
  <c r="G7" i="10" l="1"/>
  <c r="J7" i="10"/>
  <c r="G26" i="9"/>
  <c r="N26" i="9" s="1"/>
  <c r="K44" i="9"/>
  <c r="K27" i="9"/>
  <c r="K43" i="9"/>
  <c r="K20" i="9"/>
  <c r="G28" i="9"/>
  <c r="G17" i="9"/>
  <c r="N17" i="9" s="1"/>
  <c r="R21" i="9"/>
  <c r="G18" i="9"/>
  <c r="N18" i="9" s="1"/>
  <c r="G29" i="9"/>
  <c r="R31" i="9"/>
  <c r="K19" i="9"/>
  <c r="K32" i="9"/>
  <c r="R30" i="9"/>
  <c r="G36" i="9"/>
  <c r="F41" i="9"/>
  <c r="G40" i="9"/>
  <c r="G16" i="9"/>
  <c r="N16" i="9" s="1"/>
  <c r="R25" i="9"/>
  <c r="R23" i="9"/>
  <c r="R33" i="9"/>
  <c r="R35" i="9"/>
  <c r="J24" i="10"/>
  <c r="K33" i="9"/>
  <c r="G24" i="10"/>
  <c r="J15" i="10"/>
  <c r="J19" i="10"/>
  <c r="J16" i="10"/>
  <c r="J14" i="10"/>
  <c r="P27" i="10"/>
  <c r="R27" i="10"/>
  <c r="P42" i="9" s="1"/>
  <c r="R42" i="9" s="1"/>
  <c r="P24" i="10"/>
  <c r="R24" i="10"/>
  <c r="P27" i="9" s="1"/>
  <c r="R27" i="9" s="1"/>
  <c r="P22" i="10"/>
  <c r="R22" i="10"/>
  <c r="P21" i="10"/>
  <c r="R21" i="10"/>
  <c r="P19" i="10"/>
  <c r="R19" i="10"/>
  <c r="P19" i="9" s="1"/>
  <c r="L17" i="10"/>
  <c r="G17" i="10"/>
  <c r="J17" i="10"/>
  <c r="L16" i="10"/>
  <c r="G16" i="10"/>
  <c r="G15" i="10"/>
  <c r="N15" i="10"/>
  <c r="G14" i="10"/>
  <c r="O14" i="10"/>
  <c r="N9" i="10"/>
  <c r="G9" i="10"/>
  <c r="R8" i="10"/>
  <c r="P8" i="10"/>
  <c r="R7" i="10"/>
  <c r="P26" i="9" s="1"/>
  <c r="K42" i="9"/>
  <c r="K47" i="9" s="1"/>
  <c r="F37" i="9"/>
  <c r="F38" i="9"/>
  <c r="K34" i="9"/>
  <c r="D18" i="10" l="1"/>
  <c r="N29" i="9"/>
  <c r="D6" i="10"/>
  <c r="J6" i="10" s="1"/>
  <c r="N28" i="9"/>
  <c r="K21" i="9"/>
  <c r="K31" i="9"/>
  <c r="D10" i="10"/>
  <c r="J10" i="10" s="1"/>
  <c r="O18" i="9"/>
  <c r="D20" i="10"/>
  <c r="L20" i="10" s="1"/>
  <c r="D11" i="10"/>
  <c r="O11" i="10" s="1"/>
  <c r="P11" i="10" s="1"/>
  <c r="O40" i="9"/>
  <c r="O36" i="9"/>
  <c r="K36" i="9"/>
  <c r="K30" i="9"/>
  <c r="K29" i="9"/>
  <c r="O29" i="9"/>
  <c r="K17" i="9"/>
  <c r="O17" i="9"/>
  <c r="O28" i="9"/>
  <c r="R19" i="9"/>
  <c r="O16" i="9"/>
  <c r="K25" i="9"/>
  <c r="K18" i="9"/>
  <c r="K26" i="9"/>
  <c r="O26" i="9"/>
  <c r="R45" i="9"/>
  <c r="K45" i="9"/>
  <c r="G37" i="9"/>
  <c r="N37" i="9" s="1"/>
  <c r="K23" i="9"/>
  <c r="F39" i="9"/>
  <c r="G38" i="9"/>
  <c r="N38" i="9" s="1"/>
  <c r="G41" i="9"/>
  <c r="Q47" i="9"/>
  <c r="G11" i="10"/>
  <c r="P17" i="10"/>
  <c r="R17" i="10"/>
  <c r="P44" i="9" s="1"/>
  <c r="R44" i="9" s="1"/>
  <c r="P16" i="10"/>
  <c r="R16" i="10"/>
  <c r="P43" i="9" s="1"/>
  <c r="R43" i="9" s="1"/>
  <c r="P15" i="10"/>
  <c r="R15" i="10"/>
  <c r="P34" i="9" s="1"/>
  <c r="R34" i="9" s="1"/>
  <c r="P14" i="10"/>
  <c r="R14" i="10"/>
  <c r="P32" i="9" s="1"/>
  <c r="R32" i="9" s="1"/>
  <c r="P9" i="10"/>
  <c r="R9" i="10"/>
  <c r="P20" i="9" s="1"/>
  <c r="R20" i="9" s="1"/>
  <c r="K40" i="9"/>
  <c r="J18" i="10"/>
  <c r="G18" i="10"/>
  <c r="M18" i="10"/>
  <c r="J5" i="10"/>
  <c r="G5" i="10"/>
  <c r="N5" i="10"/>
  <c r="K24" i="9"/>
  <c r="J4" i="10"/>
  <c r="G4" i="10"/>
  <c r="N4" i="10"/>
  <c r="K22" i="9"/>
  <c r="G6" i="10" l="1"/>
  <c r="N6" i="10"/>
  <c r="R6" i="10" s="1"/>
  <c r="P28" i="9" s="1"/>
  <c r="R28" i="9" s="1"/>
  <c r="K16" i="9"/>
  <c r="R40" i="9"/>
  <c r="J11" i="10"/>
  <c r="R11" i="10"/>
  <c r="P17" i="9" s="1"/>
  <c r="R17" i="9" s="1"/>
  <c r="O10" i="10"/>
  <c r="P10" i="10" s="1"/>
  <c r="R10" i="10"/>
  <c r="P16" i="9" s="1"/>
  <c r="R16" i="9" s="1"/>
  <c r="G20" i="10"/>
  <c r="M20" i="10"/>
  <c r="O20" i="10"/>
  <c r="J20" i="10"/>
  <c r="G10" i="10"/>
  <c r="O38" i="9"/>
  <c r="K38" i="9"/>
  <c r="R36" i="9"/>
  <c r="O37" i="9"/>
  <c r="R26" i="9"/>
  <c r="O41" i="9"/>
  <c r="R41" i="9" s="1"/>
  <c r="G39" i="9"/>
  <c r="N39" i="9" s="1"/>
  <c r="J28" i="10"/>
  <c r="P18" i="10"/>
  <c r="R18" i="10"/>
  <c r="P29" i="9" s="1"/>
  <c r="R29" i="9" s="1"/>
  <c r="P6" i="10"/>
  <c r="P5" i="10"/>
  <c r="R5" i="10"/>
  <c r="P24" i="9" s="1"/>
  <c r="R24" i="9" s="1"/>
  <c r="R4" i="10"/>
  <c r="P4" i="10"/>
  <c r="K28" i="9"/>
  <c r="N28" i="10" l="1"/>
  <c r="G28" i="10"/>
  <c r="U20" i="10"/>
  <c r="R20" i="10"/>
  <c r="P18" i="9" s="1"/>
  <c r="M28" i="10"/>
  <c r="R38" i="9"/>
  <c r="P20" i="10"/>
  <c r="L28" i="10"/>
  <c r="O28" i="10"/>
  <c r="O39" i="9"/>
  <c r="R39" i="9" s="1"/>
  <c r="R37" i="9"/>
  <c r="N47" i="9"/>
  <c r="P22" i="9"/>
  <c r="K37" i="9"/>
  <c r="O47" i="9" l="1"/>
  <c r="P47" i="9"/>
  <c r="R18" i="9"/>
  <c r="P28" i="10"/>
  <c r="R28" i="10"/>
  <c r="P48" i="9" s="1"/>
  <c r="R22" i="9"/>
  <c r="R50" i="9" l="1"/>
  <c r="R47" i="9"/>
  <c r="P49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guohua tong</author>
  </authors>
  <commentList>
    <comment ref="L20" authorId="0" shapeId="0" xr:uid="{F7A930FC-2A8F-4929-A19F-DEB3266A0E5D}">
      <text>
        <r>
          <rPr>
            <b/>
            <sz val="9"/>
            <color indexed="81"/>
            <rFont val="宋体"/>
            <family val="3"/>
            <charset val="134"/>
          </rPr>
          <t>guohua tong:</t>
        </r>
        <r>
          <rPr>
            <sz val="9"/>
            <color indexed="81"/>
            <rFont val="宋体"/>
            <family val="3"/>
            <charset val="134"/>
          </rPr>
          <t xml:space="preserve">
电池和充电桩</t>
        </r>
      </text>
    </comment>
    <comment ref="M20" authorId="0" shapeId="0" xr:uid="{90D70B39-C4D5-4311-9CF2-326080BF0B55}">
      <text>
        <r>
          <rPr>
            <b/>
            <sz val="9"/>
            <color indexed="81"/>
            <rFont val="宋体"/>
            <family val="3"/>
            <charset val="134"/>
          </rPr>
          <t>guohua tong:</t>
        </r>
        <r>
          <rPr>
            <sz val="9"/>
            <color indexed="81"/>
            <rFont val="宋体"/>
            <family val="3"/>
            <charset val="134"/>
          </rPr>
          <t xml:space="preserve">
土渣车1*4 浆车*1 管片车2/2</t>
        </r>
      </text>
    </comment>
    <comment ref="O20" authorId="0" shapeId="0" xr:uid="{16887974-5157-4DB3-9A1F-DF5D6B187A4D}">
      <text>
        <r>
          <rPr>
            <b/>
            <sz val="9"/>
            <color indexed="81"/>
            <rFont val="宋体"/>
            <family val="3"/>
            <charset val="134"/>
          </rPr>
          <t>guohua tong:</t>
        </r>
        <r>
          <rPr>
            <sz val="9"/>
            <color indexed="81"/>
            <rFont val="宋体"/>
            <family val="3"/>
            <charset val="134"/>
          </rPr>
          <t xml:space="preserve">
机车</t>
        </r>
      </text>
    </comment>
  </commentList>
</comments>
</file>

<file path=xl/sharedStrings.xml><?xml version="1.0" encoding="utf-8"?>
<sst xmlns="http://schemas.openxmlformats.org/spreadsheetml/2006/main" count="1099" uniqueCount="525">
  <si>
    <t>总目录1</t>
  </si>
  <si>
    <t>总目录2</t>
  </si>
  <si>
    <t>总目录3</t>
  </si>
  <si>
    <t>计量单位</t>
  </si>
  <si>
    <t>存放</t>
  </si>
  <si>
    <t>在用</t>
  </si>
  <si>
    <t>自用</t>
  </si>
  <si>
    <t>待报废</t>
  </si>
  <si>
    <t>总计</t>
  </si>
  <si>
    <t>可配置盾构</t>
  </si>
  <si>
    <t>可配置里程</t>
  </si>
  <si>
    <t>备注</t>
  </si>
  <si>
    <t>台</t>
  </si>
  <si>
    <t>行车32吨</t>
  </si>
  <si>
    <t>电机车</t>
  </si>
  <si>
    <t>块</t>
  </si>
  <si>
    <t>其他设备</t>
  </si>
  <si>
    <t>隧道通风机</t>
  </si>
  <si>
    <t>隧道通风机-国产-1.2M4X75kw</t>
  </si>
  <si>
    <t>只</t>
  </si>
  <si>
    <t>大型工具</t>
  </si>
  <si>
    <t>盾构基座</t>
  </si>
  <si>
    <t>片</t>
  </si>
  <si>
    <t>平板车</t>
  </si>
  <si>
    <t>土箱</t>
  </si>
  <si>
    <t>道岔</t>
  </si>
  <si>
    <t>周转材料</t>
  </si>
  <si>
    <t>高压电缆</t>
  </si>
  <si>
    <t>米</t>
  </si>
  <si>
    <t>轨枕</t>
  </si>
  <si>
    <t>根</t>
  </si>
  <si>
    <t>轨道</t>
  </si>
  <si>
    <t>轨道43kg</t>
  </si>
  <si>
    <t>轨道60kg</t>
  </si>
  <si>
    <t>直缝管</t>
  </si>
  <si>
    <t>旧-周转材料-卡箍</t>
  </si>
  <si>
    <t>套</t>
  </si>
  <si>
    <t>旧-周转材料-夹板</t>
  </si>
  <si>
    <t>旧料-夹板43kg</t>
  </si>
  <si>
    <t>旧料-夹板60kg</t>
  </si>
  <si>
    <t>地铁隧道物资清单</t>
  </si>
  <si>
    <t>行车50吨</t>
  </si>
  <si>
    <t>送浆泵</t>
  </si>
  <si>
    <t>道岔43Kg-900普通地铁型4片每套</t>
  </si>
  <si>
    <t>盾构基座6340普通型2片每套</t>
  </si>
  <si>
    <t>后靠和八字撑</t>
  </si>
  <si>
    <t>后靠地铁型-6860型2根每套</t>
  </si>
  <si>
    <t>上八字地铁型</t>
  </si>
  <si>
    <t>高压电缆35平方</t>
  </si>
  <si>
    <t>高压电缆50平方</t>
  </si>
  <si>
    <t>高压电缆70平方</t>
  </si>
  <si>
    <t>轨枕-900型普通型-14#槽钢</t>
  </si>
  <si>
    <t>路基板</t>
  </si>
  <si>
    <t>路基板行车</t>
  </si>
  <si>
    <t>镀锌管89型3寸</t>
  </si>
  <si>
    <t>低压电缆</t>
  </si>
  <si>
    <t>3X25+2X16</t>
  </si>
  <si>
    <t>3X35+2X16</t>
  </si>
  <si>
    <t>3X50+2X25</t>
  </si>
  <si>
    <t>旧-周转材料-弹条</t>
  </si>
  <si>
    <t>旧料-弹条-60KG</t>
  </si>
  <si>
    <t>旧料-弹条-地铁</t>
  </si>
  <si>
    <t>是否核心</t>
  </si>
  <si>
    <t>核心</t>
  </si>
  <si>
    <t>平板车8轮900型送浆5米级平</t>
  </si>
  <si>
    <t>平板车8轮900型送浆6米级凹</t>
  </si>
  <si>
    <t>平板车8轮762型土箱4.3M10方</t>
  </si>
  <si>
    <t>平板车8轮900型特殊4.3米土箱</t>
  </si>
  <si>
    <t>平板车8轮900型特殊土箱</t>
  </si>
  <si>
    <t>土箱13.5立方</t>
  </si>
  <si>
    <t>深圳管廊使用</t>
  </si>
  <si>
    <t>土箱15立方</t>
  </si>
  <si>
    <r>
      <rPr>
        <sz val="11"/>
        <rFont val="宋体"/>
        <family val="3"/>
        <charset val="134"/>
      </rPr>
      <t>原</t>
    </r>
    <r>
      <rPr>
        <sz val="11"/>
        <rFont val="Calibri"/>
        <family val="2"/>
      </rPr>
      <t>15-9</t>
    </r>
    <r>
      <rPr>
        <sz val="11"/>
        <rFont val="宋体"/>
        <family val="3"/>
        <charset val="134"/>
      </rPr>
      <t>标上海南站使用</t>
    </r>
  </si>
  <si>
    <t>土箱20立方</t>
  </si>
  <si>
    <t>做水箱</t>
  </si>
  <si>
    <t>轨道100kg</t>
  </si>
  <si>
    <t>轨道24kg</t>
  </si>
  <si>
    <t>轨道30kg</t>
  </si>
  <si>
    <t>轨道50kg</t>
  </si>
  <si>
    <t>轨道80kg</t>
  </si>
  <si>
    <t>轨枕-762型普通型-18#工字钢</t>
  </si>
  <si>
    <t>轨枕-762型普通型-弧形钢板</t>
  </si>
  <si>
    <t>轨枕-900型普通型-12#槽钢</t>
  </si>
  <si>
    <t>轨枕-900型普通型-14#槽钢反扣</t>
  </si>
  <si>
    <t>走道板</t>
  </si>
  <si>
    <t>走道板钢制</t>
  </si>
  <si>
    <t>平方</t>
  </si>
  <si>
    <t>非核心</t>
  </si>
  <si>
    <t>行车设备</t>
  </si>
  <si>
    <t>行车10吨</t>
  </si>
  <si>
    <t>多年未使用</t>
  </si>
  <si>
    <t>行车15吨</t>
  </si>
  <si>
    <t>行车20吨</t>
  </si>
  <si>
    <t>行车25吨</t>
  </si>
  <si>
    <t>行车5吨</t>
  </si>
  <si>
    <t>电缆盘线机</t>
  </si>
  <si>
    <t>盾构冷却清水泵</t>
  </si>
  <si>
    <t>工业水泵</t>
  </si>
  <si>
    <t>取水泵-自吸泵</t>
  </si>
  <si>
    <t>浆机</t>
  </si>
  <si>
    <t>浆机1.5方</t>
  </si>
  <si>
    <t>浆机10方</t>
  </si>
  <si>
    <t>浆机15方</t>
  </si>
  <si>
    <t>浆机2方</t>
  </si>
  <si>
    <t>浆机3.5方</t>
  </si>
  <si>
    <t>浆机9方</t>
  </si>
  <si>
    <r>
      <rPr>
        <sz val="11"/>
        <rFont val="宋体"/>
        <family val="3"/>
        <charset val="134"/>
      </rPr>
      <t>按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台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方浆机可配套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台盾构</t>
    </r>
  </si>
  <si>
    <t>浆机9方立式</t>
  </si>
  <si>
    <t>吊具</t>
  </si>
  <si>
    <t>个</t>
  </si>
  <si>
    <t>扁担10立方单钩</t>
  </si>
  <si>
    <t>扁担10立方双滑轮</t>
  </si>
  <si>
    <t>扁担12立方</t>
  </si>
  <si>
    <t>扁担16立方带称重</t>
  </si>
  <si>
    <t>扁担16立方单钩式</t>
  </si>
  <si>
    <t>扁担16立方双滑轮</t>
  </si>
  <si>
    <t>扁担5立方</t>
  </si>
  <si>
    <t>扁担6400型</t>
  </si>
  <si>
    <t>电瓶框吊具</t>
  </si>
  <si>
    <t>钢管片</t>
  </si>
  <si>
    <t>钢管片地铁</t>
  </si>
  <si>
    <t>钢套筒</t>
  </si>
  <si>
    <t>电柜</t>
  </si>
  <si>
    <t>电柜1000A</t>
  </si>
  <si>
    <t>电柜630A</t>
  </si>
  <si>
    <t>电箱</t>
  </si>
  <si>
    <t>电箱400A</t>
  </si>
  <si>
    <t>土箱10立方</t>
  </si>
  <si>
    <r>
      <rPr>
        <sz val="11"/>
        <rFont val="宋体"/>
        <family val="3"/>
        <charset val="134"/>
      </rPr>
      <t>按土渣车可配套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台小配置盾构。</t>
    </r>
  </si>
  <si>
    <t>土箱2立方</t>
  </si>
  <si>
    <t>土箱5立方</t>
  </si>
  <si>
    <t>土箱8立方</t>
  </si>
  <si>
    <t>土箱特殊型-顶管</t>
  </si>
  <si>
    <t>周转箱</t>
  </si>
  <si>
    <t>比重铁</t>
  </si>
  <si>
    <t>比重钢板20MMX3.4MX5块</t>
  </si>
  <si>
    <t>kg</t>
  </si>
  <si>
    <t>比重钢板20MMX4.5MX5块</t>
  </si>
  <si>
    <t>比重钢板20MMX5.5MX5块</t>
  </si>
  <si>
    <t>比重铁20kg</t>
  </si>
  <si>
    <t>比重铁50kg</t>
  </si>
  <si>
    <t>3X120+2X70</t>
  </si>
  <si>
    <t>3X150+2X95</t>
  </si>
  <si>
    <t>3X16+1X10</t>
  </si>
  <si>
    <t>3X16+2X10</t>
  </si>
  <si>
    <t>3X185+2X95</t>
  </si>
  <si>
    <t>3X240+2X120</t>
  </si>
  <si>
    <t>3X25+1X10</t>
  </si>
  <si>
    <t>3X300+2X150</t>
  </si>
  <si>
    <t>3X35+1X16</t>
  </si>
  <si>
    <t>3X50+1X25</t>
  </si>
  <si>
    <t>3X70+1X35</t>
  </si>
  <si>
    <t>3X70+2X35</t>
  </si>
  <si>
    <t>3X95+2X50</t>
  </si>
  <si>
    <t>低压电缆单芯120平方</t>
  </si>
  <si>
    <t>低压电缆单芯150平方</t>
  </si>
  <si>
    <t>低压电缆单芯185平方</t>
  </si>
  <si>
    <t>低压电缆单芯240平方</t>
  </si>
  <si>
    <t>低压电缆单芯95平方</t>
  </si>
  <si>
    <t>钢板平移</t>
  </si>
  <si>
    <t>平移钢板25mm</t>
  </si>
  <si>
    <t>型钢</t>
  </si>
  <si>
    <t>H钢70#</t>
  </si>
  <si>
    <t>H型80#</t>
  </si>
  <si>
    <t>工字钢50#</t>
  </si>
  <si>
    <t>工字钢56#</t>
  </si>
  <si>
    <t>工字钢70#</t>
  </si>
  <si>
    <t>走道板玻璃钢</t>
  </si>
  <si>
    <t>走道板镀锌钢跳板</t>
  </si>
  <si>
    <t>旧料利用</t>
  </si>
  <si>
    <t>旧-大型工具-土箱畚箕式</t>
  </si>
  <si>
    <t>旧-周转材料-车架牛腿</t>
  </si>
  <si>
    <t>旧-周转材料-电缆盘</t>
  </si>
  <si>
    <t>旧料-电缆盘-钢结构φ1米</t>
  </si>
  <si>
    <t>旧料-电缆盘-钢结构φ2米</t>
  </si>
  <si>
    <t>旧料-电缆盘-木制</t>
  </si>
  <si>
    <t>旧-周转材料-电箱</t>
  </si>
  <si>
    <t>旧料-电箱-100A</t>
  </si>
  <si>
    <t>地铁隧道使用</t>
  </si>
  <si>
    <t>旧料-电箱-20A</t>
  </si>
  <si>
    <t>旧料-电箱-220V20AX1</t>
  </si>
  <si>
    <t>旧料-电箱-250A</t>
  </si>
  <si>
    <t>旧料-电箱-32A×1</t>
  </si>
  <si>
    <t>旧料-电箱-400A</t>
  </si>
  <si>
    <t>旧料-电箱-浮球-32A</t>
  </si>
  <si>
    <t>旧料-电箱-浮球-40A</t>
  </si>
  <si>
    <t>旧料-电箱双电源切换-100A</t>
  </si>
  <si>
    <t>旧料-分段照明电箱-100A 63AX1+20Ax2</t>
  </si>
  <si>
    <t>旧料-分段照明电箱-160A 63AX1+40AX1+20Ax2</t>
  </si>
  <si>
    <t>旧料-分段照明电箱-63A</t>
  </si>
  <si>
    <t>旧料-控制柜</t>
  </si>
  <si>
    <t>旧-周转材料-各类支架</t>
  </si>
  <si>
    <t>旧料-电缆钩</t>
  </si>
  <si>
    <t>旧料-电缆托架</t>
  </si>
  <si>
    <t>旧料-管路89型3寸支架</t>
  </si>
  <si>
    <t>旧料-走道板支架-地铁</t>
  </si>
  <si>
    <t>旧-周转材料-角铁</t>
  </si>
  <si>
    <t>旧料-角钢4×40</t>
  </si>
  <si>
    <t>旧料-角钢5×50</t>
  </si>
  <si>
    <t>旧料-周转材料-角铁其他</t>
  </si>
  <si>
    <t>旧料-卡箍3寸</t>
  </si>
  <si>
    <t>旧-周转材料-型钢</t>
  </si>
  <si>
    <t>旧-周转材料-直缝管</t>
  </si>
  <si>
    <t>旧料-镀锌管38型1.5寸</t>
  </si>
  <si>
    <t>旧料-三一泵管</t>
  </si>
  <si>
    <t>旧料-直缝管25型1寸</t>
  </si>
  <si>
    <t>旧料-直缝管25型1寸护栏立杆1米1根</t>
  </si>
  <si>
    <t>旧料-直缝管39型1.2寸</t>
  </si>
  <si>
    <t>旧料-直缝管6分型3|4型</t>
  </si>
  <si>
    <t>旧-大型工具-管片坐墩</t>
  </si>
  <si>
    <t>应急物资</t>
  </si>
  <si>
    <t>发电机柴油</t>
  </si>
  <si>
    <t>发电机柴油-进口</t>
  </si>
  <si>
    <t>应急冲洗</t>
  </si>
  <si>
    <t>高压清洗机</t>
  </si>
  <si>
    <t>应急动力</t>
  </si>
  <si>
    <t>动力台</t>
  </si>
  <si>
    <t>千斤顶</t>
  </si>
  <si>
    <t>应急集装箱</t>
  </si>
  <si>
    <t>应急解冻</t>
  </si>
  <si>
    <t>蒸汽发生器</t>
  </si>
  <si>
    <t>应急水泵</t>
  </si>
  <si>
    <t>应急便携式排水单元159型</t>
  </si>
  <si>
    <t>应急便携式排水单元219型</t>
  </si>
  <si>
    <t>应急国产水泵100型</t>
  </si>
  <si>
    <t>应急国产水泵100型-老式</t>
  </si>
  <si>
    <t>应急国产水泵159型</t>
  </si>
  <si>
    <t>应急国产水泵60型-老式</t>
  </si>
  <si>
    <t>应急国产水泵65型</t>
  </si>
  <si>
    <t>应急国产水泵80型</t>
  </si>
  <si>
    <t>应急水泵自藕启动柜</t>
  </si>
  <si>
    <t>应急照明</t>
  </si>
  <si>
    <t>照明柴油</t>
  </si>
  <si>
    <t>照明锂电</t>
  </si>
  <si>
    <t>照明外供电</t>
  </si>
  <si>
    <t>应急支撑</t>
  </si>
  <si>
    <t>应急支撑地铁型3寸5200型</t>
  </si>
  <si>
    <t>应急支撑地铁型3寸5300型</t>
  </si>
  <si>
    <t>应急支撑地铁型3寸5500型</t>
  </si>
  <si>
    <t>应急支撑地铁型4寸5200型</t>
  </si>
  <si>
    <t>应急支撑地铁型5寸5200型</t>
  </si>
  <si>
    <t>应急支撑地铁型-支撑脚</t>
  </si>
  <si>
    <t>应急周转箱</t>
  </si>
  <si>
    <t>行车160吨</t>
  </si>
  <si>
    <t>维保部</t>
  </si>
  <si>
    <t>行车80吨</t>
  </si>
  <si>
    <t>机车设备</t>
  </si>
  <si>
    <t>电机车12吨</t>
  </si>
  <si>
    <t>90年代设备</t>
  </si>
  <si>
    <t>电机车5吨</t>
  </si>
  <si>
    <t>80年代设备</t>
  </si>
  <si>
    <t>铅酸充电桩</t>
  </si>
  <si>
    <t>铅酸充电器220V</t>
  </si>
  <si>
    <t>不符合环保要求</t>
  </si>
  <si>
    <t>铅酸充电器230V</t>
  </si>
  <si>
    <t>铅酸充电器275V</t>
  </si>
  <si>
    <t>铅酸充电器275V一充三</t>
  </si>
  <si>
    <t>铅酸充电器300V</t>
  </si>
  <si>
    <t>卷扬机电动</t>
  </si>
  <si>
    <t>螺旋机-出土</t>
  </si>
  <si>
    <t>活塞泵</t>
  </si>
  <si>
    <t>基本无法修复</t>
  </si>
  <si>
    <t>小型设备</t>
  </si>
  <si>
    <t>高压水枪</t>
  </si>
  <si>
    <t>变压器</t>
  </si>
  <si>
    <t>变压器2KAV_220V转36V</t>
  </si>
  <si>
    <t>地秤</t>
  </si>
  <si>
    <t>地秤-100T</t>
  </si>
  <si>
    <t>节</t>
  </si>
  <si>
    <t>地秤-60T</t>
  </si>
  <si>
    <t>地秤-80T</t>
  </si>
  <si>
    <t>地秤-斜坡板</t>
  </si>
  <si>
    <t>梯笼</t>
  </si>
  <si>
    <t>梯笼标准</t>
  </si>
  <si>
    <t>梯笼非标</t>
  </si>
  <si>
    <t>标准化电瓶吊笼 4700X2800X1500MM</t>
  </si>
  <si>
    <t>标准化轨枕周转箱1.7MX2.2MX0.7M</t>
  </si>
  <si>
    <t>标准化轨枕周转箱老式1.4X1.4X0.8M</t>
  </si>
  <si>
    <t>标准化压铁周转箱</t>
  </si>
  <si>
    <t>旧-大型工具-变压器</t>
  </si>
  <si>
    <t>旧料-变压器2KW220V转36V</t>
  </si>
  <si>
    <t>旧-大型工具-灯塔</t>
  </si>
  <si>
    <t>旧-大型工具-电箱电柜护罩</t>
  </si>
  <si>
    <t>旧-大型工具-电箱电柜护罩二级</t>
  </si>
  <si>
    <t>旧-大型工具-电箱电柜护罩一级</t>
  </si>
  <si>
    <t>旧-大型工具-岗亭</t>
  </si>
  <si>
    <t>旧-大型工具-管片大棚</t>
  </si>
  <si>
    <t>旧-大型工具-地铁管片坐墩</t>
  </si>
  <si>
    <t>旧-大型工具-集装箱</t>
  </si>
  <si>
    <t>旧-大型工具-集装箱3M-21至23-3米</t>
  </si>
  <si>
    <t>旧-大型工具-集装箱标养箱-6米</t>
  </si>
  <si>
    <t>旧-大型工具-集装箱仓库箱-12米</t>
  </si>
  <si>
    <t>旧-大型工具-集装箱仓库箱-4米</t>
  </si>
  <si>
    <t>旧-大型工具-集装箱仓库箱-6米</t>
  </si>
  <si>
    <t>旧-大型工具-集装箱仓库箱-8米</t>
  </si>
  <si>
    <t>旧-大型工具-集装箱仓库箱-9米</t>
  </si>
  <si>
    <t>旧-大型工具-集装箱厕所箱-6米</t>
  </si>
  <si>
    <t>旧-大型工具-集装箱厨房箱-6米</t>
  </si>
  <si>
    <t>旧-大型工具-集装箱宿舍箱-12米</t>
  </si>
  <si>
    <t>旧-大型工具-集装箱宿舍箱-6米</t>
  </si>
  <si>
    <t>旧-大型工具-集装箱宿舍箱-9米</t>
  </si>
  <si>
    <t>旧-大型工具-集装箱休息箱-6米</t>
  </si>
  <si>
    <t>旧-大型工具-集装箱岩棉箱-3米</t>
  </si>
  <si>
    <t>旧-大型工具-集装箱岩棉箱-6米</t>
  </si>
  <si>
    <t>旧-大型工具-集装箱主机箱-6米</t>
  </si>
  <si>
    <t>旧-大型工具-漏斗</t>
  </si>
  <si>
    <t>旧-大型工具-洗车槽</t>
  </si>
  <si>
    <t>旧-大型工具-周转箱</t>
  </si>
  <si>
    <t>旧-大型工具-标准化仓库箱-2米</t>
  </si>
  <si>
    <t>旧-大型工具-标准化仓库箱-3米</t>
  </si>
  <si>
    <t>旧-大型工具-轴流风扇</t>
  </si>
  <si>
    <t>旧-其他设备-三轮车</t>
  </si>
  <si>
    <t>旧-周转材料-标准化料架</t>
  </si>
  <si>
    <t>旧-周转材料-标准化氧气乙炔吊笼</t>
  </si>
  <si>
    <t>旧-周转材料-槽钢</t>
  </si>
  <si>
    <t>旧-周转材料-灯带</t>
  </si>
  <si>
    <t>旧-周转材料-风管</t>
  </si>
  <si>
    <t>旧-周转材料-钢板</t>
  </si>
  <si>
    <t>旧料-钢板-10mm</t>
  </si>
  <si>
    <t>旧料-钢板-15mm</t>
  </si>
  <si>
    <t>旧料-钢板-16mm</t>
  </si>
  <si>
    <t>旧料-钢板-20mm</t>
  </si>
  <si>
    <t>旧料-钢板-30mm</t>
  </si>
  <si>
    <t>旧料-钢板-40mm</t>
  </si>
  <si>
    <t>旧料-花纹钢板-3至5mm</t>
  </si>
  <si>
    <t>旧-周转材料-钢梯</t>
  </si>
  <si>
    <t>旧-周转材料-管片螺栓</t>
  </si>
  <si>
    <t>旧-周转材料-护栏</t>
  </si>
  <si>
    <t>旧料-护栏矩形</t>
  </si>
  <si>
    <t>旧料-护栏立杆</t>
  </si>
  <si>
    <t>旧料-护栏网片</t>
  </si>
  <si>
    <t>旧料-水泥路障</t>
  </si>
  <si>
    <t>旧-周转材料-其他</t>
  </si>
  <si>
    <t>旧-周转材料-其他-镀锌扁铁</t>
  </si>
  <si>
    <t>旧-周转材料-小型电缆</t>
  </si>
  <si>
    <t>旧-周转材料-枕木</t>
  </si>
  <si>
    <t>行政物资</t>
  </si>
  <si>
    <t>储物柜</t>
  </si>
  <si>
    <t>床</t>
  </si>
  <si>
    <t>床板</t>
  </si>
  <si>
    <t>床架</t>
  </si>
  <si>
    <t>复印机</t>
  </si>
  <si>
    <t>空调</t>
  </si>
  <si>
    <t>空调内机挂式</t>
  </si>
  <si>
    <t>空调内机柜式</t>
  </si>
  <si>
    <t>空调外机挂式</t>
  </si>
  <si>
    <t>空调外机柜式</t>
  </si>
  <si>
    <t>迈博数据狗</t>
  </si>
  <si>
    <t>轨道08kg</t>
  </si>
  <si>
    <t>需求数量</t>
    <phoneticPr fontId="6" type="noConversion"/>
  </si>
  <si>
    <t>小计</t>
    <phoneticPr fontId="6" type="noConversion"/>
  </si>
  <si>
    <t>套</t>
    <phoneticPr fontId="6" type="noConversion"/>
  </si>
  <si>
    <t>序号</t>
    <phoneticPr fontId="9" type="noConversion"/>
  </si>
  <si>
    <t>商品</t>
    <phoneticPr fontId="9" type="noConversion"/>
  </si>
  <si>
    <t>数量</t>
    <phoneticPr fontId="9" type="noConversion"/>
  </si>
  <si>
    <t>计量单位</t>
    <phoneticPr fontId="9" type="noConversion"/>
  </si>
  <si>
    <t>单位重量（kg）</t>
    <phoneticPr fontId="9" type="noConversion"/>
  </si>
  <si>
    <t>小计重量（kg）</t>
    <phoneticPr fontId="9" type="noConversion"/>
  </si>
  <si>
    <t>单件外形尺寸（米）</t>
    <phoneticPr fontId="9" type="noConversion"/>
  </si>
  <si>
    <t>单位体积</t>
    <phoneticPr fontId="9" type="noConversion"/>
  </si>
  <si>
    <t>小计（立方）</t>
    <phoneticPr fontId="9" type="noConversion"/>
  </si>
  <si>
    <t>备注</t>
    <phoneticPr fontId="9" type="noConversion"/>
  </si>
  <si>
    <t>单次车辆选用</t>
    <phoneticPr fontId="9" type="noConversion"/>
  </si>
  <si>
    <t>6.8米/8T
13.6平方</t>
    <phoneticPr fontId="6" type="noConversion"/>
  </si>
  <si>
    <t>9.6米/15吨
19.2平方</t>
    <phoneticPr fontId="6" type="noConversion"/>
  </si>
  <si>
    <t>13m/25T
30平方</t>
    <phoneticPr fontId="9" type="noConversion"/>
  </si>
  <si>
    <t>17.5M/30T
42平方</t>
    <phoneticPr fontId="9" type="noConversion"/>
  </si>
  <si>
    <t>2*2*1.6</t>
  </si>
  <si>
    <t>轨道43kg</t>
    <phoneticPr fontId="6" type="noConversion"/>
  </si>
  <si>
    <t>6.25*0.15*0.15</t>
    <phoneticPr fontId="6" type="noConversion"/>
  </si>
  <si>
    <t>冷却水管</t>
    <phoneticPr fontId="6" type="noConversion"/>
  </si>
  <si>
    <t>6*0.089*0.089</t>
    <phoneticPr fontId="6" type="noConversion"/>
  </si>
  <si>
    <t>轨枕</t>
    <phoneticPr fontId="6" type="noConversion"/>
  </si>
  <si>
    <t>1.2*0.2*0.1</t>
    <phoneticPr fontId="9" type="noConversion"/>
  </si>
  <si>
    <t>走道板2米</t>
  </si>
  <si>
    <t>1*0.5*0.05</t>
    <phoneticPr fontId="6" type="noConversion"/>
  </si>
  <si>
    <t>道岔</t>
    <phoneticPr fontId="6" type="noConversion"/>
  </si>
  <si>
    <t>付</t>
    <phoneticPr fontId="6" type="noConversion"/>
  </si>
  <si>
    <t>21.5*4*0.02</t>
    <phoneticPr fontId="6" type="noConversion"/>
  </si>
  <si>
    <t>行车32T</t>
    <phoneticPr fontId="9" type="noConversion"/>
  </si>
  <si>
    <t>台</t>
    <phoneticPr fontId="9" type="noConversion"/>
  </si>
  <si>
    <t>17.5*5*2.4*5辆</t>
    <phoneticPr fontId="9" type="noConversion"/>
  </si>
  <si>
    <t>行车50T</t>
    <phoneticPr fontId="9" type="noConversion"/>
  </si>
  <si>
    <t>17.5*5*2.4*6辆</t>
    <phoneticPr fontId="9" type="noConversion"/>
  </si>
  <si>
    <t>一级箱800A或600A</t>
  </si>
  <si>
    <t>二级箱</t>
  </si>
  <si>
    <t>盾构基座</t>
    <phoneticPr fontId="6" type="noConversion"/>
  </si>
  <si>
    <t>9*1.4*4</t>
    <phoneticPr fontId="6" type="noConversion"/>
  </si>
  <si>
    <t>反力架</t>
    <phoneticPr fontId="6" type="noConversion"/>
  </si>
  <si>
    <t>6*10*0.7</t>
    <phoneticPr fontId="6" type="noConversion"/>
  </si>
  <si>
    <t>6.76*1.481</t>
  </si>
  <si>
    <t>8*2.3*2.4</t>
  </si>
  <si>
    <t>7*2.4*2.4</t>
    <phoneticPr fontId="6" type="noConversion"/>
  </si>
  <si>
    <t>各类仓库</t>
    <phoneticPr fontId="9" type="noConversion"/>
  </si>
  <si>
    <t>个</t>
    <phoneticPr fontId="9" type="noConversion"/>
  </si>
  <si>
    <t>6*2.4*2.4</t>
    <phoneticPr fontId="9" type="noConversion"/>
  </si>
  <si>
    <t>地磅100吨</t>
    <phoneticPr fontId="9" type="noConversion"/>
  </si>
  <si>
    <t>16*3*0.5</t>
    <phoneticPr fontId="9" type="noConversion"/>
  </si>
  <si>
    <t>行车轨道和路基板</t>
    <phoneticPr fontId="9" type="noConversion"/>
  </si>
  <si>
    <t>米</t>
    <phoneticPr fontId="9" type="noConversion"/>
  </si>
  <si>
    <t>0.25*1*1</t>
    <phoneticPr fontId="9" type="noConversion"/>
  </si>
  <si>
    <t>护栏</t>
    <phoneticPr fontId="9" type="noConversion"/>
  </si>
  <si>
    <t>块</t>
    <phoneticPr fontId="9" type="noConversion"/>
  </si>
  <si>
    <t>1.5*0.2*1.5</t>
    <phoneticPr fontId="9" type="noConversion"/>
  </si>
  <si>
    <t>其他物资</t>
    <phoneticPr fontId="9" type="noConversion"/>
  </si>
  <si>
    <t>批</t>
    <phoneticPr fontId="9" type="noConversion"/>
  </si>
  <si>
    <t>合计</t>
    <phoneticPr fontId="9" type="noConversion"/>
  </si>
  <si>
    <t>来回单价信息表（不含税）</t>
    <phoneticPr fontId="6" type="noConversion"/>
  </si>
  <si>
    <t>地区</t>
    <phoneticPr fontId="6" type="noConversion"/>
  </si>
  <si>
    <t>类别</t>
    <phoneticPr fontId="6" type="noConversion"/>
  </si>
  <si>
    <t>上海地区</t>
    <phoneticPr fontId="9" type="noConversion"/>
  </si>
  <si>
    <t>单价</t>
  </si>
  <si>
    <t>高压电缆</t>
    <phoneticPr fontId="6" type="noConversion"/>
  </si>
  <si>
    <t>送浆车15立方</t>
    <phoneticPr fontId="6" type="noConversion"/>
  </si>
  <si>
    <t>备注</t>
    <phoneticPr fontId="6" type="noConversion"/>
  </si>
  <si>
    <t>块</t>
    <phoneticPr fontId="6" type="noConversion"/>
  </si>
  <si>
    <t>低压电缆120-185平方</t>
    <phoneticPr fontId="9" type="noConversion"/>
  </si>
  <si>
    <t>低压电缆50-95平方</t>
    <phoneticPr fontId="9" type="noConversion"/>
  </si>
  <si>
    <t>低压电缆16-35平方</t>
    <phoneticPr fontId="9" type="noConversion"/>
  </si>
  <si>
    <t>一次性单价</t>
    <phoneticPr fontId="6" type="noConversion"/>
  </si>
  <si>
    <t>月租费合价</t>
    <phoneticPr fontId="6" type="noConversion"/>
  </si>
  <si>
    <t>租费合价</t>
    <phoneticPr fontId="6" type="noConversion"/>
  </si>
  <si>
    <t>租赁月</t>
    <phoneticPr fontId="6" type="noConversion"/>
  </si>
  <si>
    <t>名称</t>
    <phoneticPr fontId="6" type="noConversion"/>
  </si>
  <si>
    <t>型号</t>
    <phoneticPr fontId="6" type="noConversion"/>
  </si>
  <si>
    <t>一次性收费 项目结束需归还</t>
    <phoneticPr fontId="9" type="noConversion"/>
  </si>
  <si>
    <t>一次性收费 项目结束需归还 含6套24*135 10.9级螺丝</t>
    <phoneticPr fontId="9" type="noConversion"/>
  </si>
  <si>
    <t>合价</t>
    <phoneticPr fontId="6" type="noConversion"/>
  </si>
  <si>
    <t>一次性合价</t>
    <phoneticPr fontId="6" type="noConversion"/>
  </si>
  <si>
    <t>接收</t>
    <phoneticPr fontId="6" type="noConversion"/>
  </si>
  <si>
    <t>周转</t>
    <phoneticPr fontId="6" type="noConversion"/>
  </si>
  <si>
    <t>物流运输费</t>
    <phoneticPr fontId="6" type="noConversion"/>
  </si>
  <si>
    <t>计量单位</t>
    <phoneticPr fontId="6" type="noConversion"/>
  </si>
  <si>
    <t>合计</t>
    <phoneticPr fontId="6" type="noConversion"/>
  </si>
  <si>
    <t>其他物资</t>
    <phoneticPr fontId="6" type="noConversion"/>
  </si>
  <si>
    <t>钢管片</t>
    <phoneticPr fontId="6" type="noConversion"/>
  </si>
  <si>
    <t>负环管片</t>
    <phoneticPr fontId="6" type="noConversion"/>
  </si>
  <si>
    <t>全闭口环</t>
    <phoneticPr fontId="6" type="noConversion"/>
  </si>
  <si>
    <t>月租赁单价</t>
    <phoneticPr fontId="6" type="noConversion"/>
  </si>
  <si>
    <t>仓库6m</t>
  </si>
  <si>
    <t>120平方YCW3*120+2*70</t>
  </si>
  <si>
    <t>70平方YCW3*70+2*35</t>
  </si>
  <si>
    <t>50平方YCW3*50+2*25</t>
  </si>
  <si>
    <t>米</t>
    <phoneticPr fontId="6" type="noConversion"/>
  </si>
  <si>
    <t>1000A</t>
  </si>
  <si>
    <t>坡度</t>
    <phoneticPr fontId="6" type="noConversion"/>
  </si>
  <si>
    <t>小计（含税）</t>
    <phoneticPr fontId="6" type="noConversion"/>
  </si>
  <si>
    <t>项</t>
    <phoneticPr fontId="6" type="noConversion"/>
  </si>
  <si>
    <t>1条隧道单价270000</t>
    <phoneticPr fontId="6" type="noConversion"/>
  </si>
  <si>
    <t>安拆装</t>
    <phoneticPr fontId="6" type="noConversion"/>
  </si>
  <si>
    <t>金额</t>
    <phoneticPr fontId="6" type="noConversion"/>
  </si>
  <si>
    <t>250A</t>
    <phoneticPr fontId="6" type="noConversion"/>
  </si>
  <si>
    <t>电机车45-55吨编组</t>
    <phoneticPr fontId="6" type="noConversion"/>
  </si>
  <si>
    <t>列</t>
    <phoneticPr fontId="6" type="noConversion"/>
  </si>
  <si>
    <t>夹板螺栓</t>
    <phoneticPr fontId="6" type="noConversion"/>
  </si>
  <si>
    <t>夹板螺栓43kg24*135</t>
    <phoneticPr fontId="6" type="noConversion"/>
  </si>
  <si>
    <t>夹板螺栓43kg22*135</t>
    <phoneticPr fontId="6" type="noConversion"/>
  </si>
  <si>
    <t xml:space="preserve">一次性收费 项目结束需归还 </t>
    <phoneticPr fontId="9" type="noConversion"/>
  </si>
  <si>
    <t>每付夹板6套22*135 10.9级螺丝</t>
    <phoneticPr fontId="6" type="noConversion"/>
  </si>
  <si>
    <t>每付夹板6套24*135 10.9级螺丝</t>
    <phoneticPr fontId="6" type="noConversion"/>
  </si>
  <si>
    <t>‰</t>
    <phoneticPr fontId="6" type="noConversion"/>
  </si>
  <si>
    <t>隧道长度</t>
    <phoneticPr fontId="6" type="noConversion"/>
  </si>
  <si>
    <t>工期</t>
    <phoneticPr fontId="6" type="noConversion"/>
  </si>
  <si>
    <t>单位</t>
    <phoneticPr fontId="6" type="noConversion"/>
  </si>
  <si>
    <t>月</t>
    <phoneticPr fontId="6" type="noConversion"/>
  </si>
  <si>
    <t>数量</t>
    <phoneticPr fontId="6" type="noConversion"/>
  </si>
  <si>
    <t>信息表</t>
    <phoneticPr fontId="6" type="noConversion"/>
  </si>
  <si>
    <t>南京地区</t>
    <phoneticPr fontId="9" type="noConversion"/>
  </si>
  <si>
    <t>浙江地区</t>
    <phoneticPr fontId="9" type="noConversion"/>
  </si>
  <si>
    <t>郑州地区</t>
    <phoneticPr fontId="9" type="noConversion"/>
  </si>
  <si>
    <t>武汉地区</t>
    <phoneticPr fontId="9" type="noConversion"/>
  </si>
  <si>
    <t>福建地区</t>
    <phoneticPr fontId="9" type="noConversion"/>
  </si>
  <si>
    <t>广东地区</t>
    <phoneticPr fontId="9" type="noConversion"/>
  </si>
  <si>
    <t>昆明地区</t>
    <phoneticPr fontId="9" type="noConversion"/>
  </si>
  <si>
    <t>无锡地区</t>
    <phoneticPr fontId="9" type="noConversion"/>
  </si>
  <si>
    <t>初始用量</t>
    <phoneticPr fontId="6" type="noConversion"/>
  </si>
  <si>
    <t>推进用量</t>
    <phoneticPr fontId="6" type="noConversion"/>
  </si>
  <si>
    <t>名称</t>
  </si>
  <si>
    <t>规格型号</t>
  </si>
  <si>
    <t>单位</t>
  </si>
  <si>
    <t>含税月租费（含税，元）</t>
  </si>
  <si>
    <t>行车</t>
  </si>
  <si>
    <t>合计用量</t>
    <phoneticPr fontId="6" type="noConversion"/>
  </si>
  <si>
    <t>55T-900</t>
    <phoneticPr fontId="6" type="noConversion"/>
  </si>
  <si>
    <t>45T-900</t>
    <phoneticPr fontId="6" type="noConversion"/>
  </si>
  <si>
    <t>电机车55吨单列编组</t>
    <phoneticPr fontId="6" type="noConversion"/>
  </si>
  <si>
    <t>电机车45吨单列编组</t>
    <phoneticPr fontId="6" type="noConversion"/>
  </si>
  <si>
    <t>广东地区</t>
  </si>
  <si>
    <t>武汉地区</t>
  </si>
  <si>
    <t>无锡地区</t>
  </si>
  <si>
    <t>行车运输单价</t>
    <phoneticPr fontId="6" type="noConversion"/>
  </si>
  <si>
    <t>地区</t>
  </si>
  <si>
    <t>上海地区</t>
  </si>
  <si>
    <t>南京地区</t>
  </si>
  <si>
    <t>浙江地区</t>
  </si>
  <si>
    <t>郑州地区</t>
  </si>
  <si>
    <t>福建地区</t>
  </si>
  <si>
    <t>昆明地区</t>
  </si>
  <si>
    <t>类型</t>
    <phoneticPr fontId="6" type="noConversion"/>
  </si>
  <si>
    <t>查询</t>
    <phoneticPr fontId="6" type="noConversion"/>
  </si>
  <si>
    <t>费用包含
 1、乙方提供100环内保驾/备品备件
2、掘进时，如有故障发生，维修人员3小时内赶至现场维修 
3、该报价费用为低速行车
4.项目上所用的滑触线包含在安装费用中，滑触线费用预计40000元</t>
    <phoneticPr fontId="6" type="noConversion"/>
  </si>
  <si>
    <t>运输</t>
    <phoneticPr fontId="6" type="noConversion"/>
  </si>
  <si>
    <t>按拆装</t>
    <phoneticPr fontId="6" type="noConversion"/>
  </si>
  <si>
    <t>滑车线</t>
    <phoneticPr fontId="6" type="noConversion"/>
  </si>
  <si>
    <t>安拆装单价</t>
    <phoneticPr fontId="6" type="noConversion"/>
  </si>
  <si>
    <t>费用包含
1、一列电机和编组包括：电机车1台、新能源电池一套，新能源充电桩一台，管片平板车两台，砂浆平板车一台，浆机一台，土箱平板车四台，土箱四台
2、包含一列编组的2次来回运费（仅限上海）
3、包含常用的易损易耗件，如刹车片，充电开关，按钮，司控器触点开关，水平旋转阀，电磁阀，摄像头等，另外如发生故障，甲乙双方判明原因，如是设备本身质量问题的，维修费用由乙方承担                                                               4、掘进时，如有故障发生，维修人员3小时内赶至现场维修</t>
    <phoneticPr fontId="6" type="noConversion"/>
  </si>
  <si>
    <t>行车设备</t>
    <phoneticPr fontId="6" type="noConversion"/>
  </si>
  <si>
    <t>通风机</t>
    <phoneticPr fontId="6" type="noConversion"/>
  </si>
  <si>
    <t>夹板</t>
    <phoneticPr fontId="6" type="noConversion"/>
  </si>
  <si>
    <t>低压电缆</t>
    <phoneticPr fontId="6" type="noConversion"/>
  </si>
  <si>
    <t>大类</t>
    <phoneticPr fontId="6" type="noConversion"/>
  </si>
  <si>
    <t>行车轨距</t>
    <phoneticPr fontId="6" type="noConversion"/>
  </si>
  <si>
    <t>门式32T/5T跨距28米以上-36米以下</t>
  </si>
  <si>
    <t>门式32T/5T跨距20米以上-28米以下</t>
    <phoneticPr fontId="6" type="noConversion"/>
  </si>
  <si>
    <t>门式50T跨距20米以上-28米以下</t>
    <phoneticPr fontId="6" type="noConversion"/>
  </si>
  <si>
    <t>门式50T跨距28米以上-36米以下</t>
    <phoneticPr fontId="6" type="noConversion"/>
  </si>
  <si>
    <t>只要填写黄色</t>
    <phoneticPr fontId="6" type="noConversion"/>
  </si>
  <si>
    <t>项目名称</t>
    <phoneticPr fontId="6" type="noConversion"/>
  </si>
  <si>
    <t>区间信息</t>
    <phoneticPr fontId="6" type="noConversion"/>
  </si>
  <si>
    <t>芳乐路站-季乐路站</t>
    <phoneticPr fontId="6" type="noConversion"/>
  </si>
  <si>
    <t>上海13号线西延伸</t>
    <phoneticPr fontId="6" type="noConversion"/>
  </si>
  <si>
    <t>租赁系数</t>
    <phoneticPr fontId="6" type="noConversion"/>
  </si>
  <si>
    <t>填写要求</t>
    <phoneticPr fontId="6" type="noConversion"/>
  </si>
  <si>
    <t>可自填</t>
    <phoneticPr fontId="6" type="noConversion"/>
  </si>
  <si>
    <t>下拉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</si>
</sst>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_ ;[Red]\-#,##0\ "/>
    <numFmt numFmtId="178" formatCode="#,##0.00_);[Red]\(#,##0.00\)"/>
    <numFmt numFmtId="179" formatCode="#,##0_);[Red]\(#,##0\)"/>
  </numFmts>
  <fonts count="1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1" fillId="0" borderId="0"/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77" fontId="3" fillId="4" borderId="1" xfId="1" applyNumberFormat="1" applyFont="1" applyFill="1" applyBorder="1" applyAlignment="1">
      <alignment horizontal="center" vertical="center"/>
    </xf>
    <xf numFmtId="177" fontId="2" fillId="4" borderId="1" xfId="1" applyNumberFormat="1" applyFont="1" applyFill="1" applyBorder="1" applyAlignment="1">
      <alignment horizontal="center" vertical="center"/>
    </xf>
    <xf numFmtId="177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177" fontId="12" fillId="4" borderId="1" xfId="1" applyNumberFormat="1" applyFont="1" applyFill="1" applyBorder="1" applyAlignment="1">
      <alignment horizontal="center" vertical="center" wrapText="1"/>
    </xf>
    <xf numFmtId="177" fontId="2" fillId="4" borderId="0" xfId="1" applyNumberFormat="1" applyFont="1" applyFill="1" applyAlignment="1">
      <alignment horizontal="center" vertical="center"/>
    </xf>
    <xf numFmtId="179" fontId="8" fillId="4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/>
    </xf>
    <xf numFmtId="179" fontId="8" fillId="4" borderId="1" xfId="1" quotePrefix="1" applyNumberFormat="1" applyFont="1" applyFill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left" vertical="top" wrapText="1"/>
    </xf>
    <xf numFmtId="177" fontId="12" fillId="4" borderId="1" xfId="1" applyNumberFormat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5" fillId="4" borderId="0" xfId="1" applyFill="1" applyAlignment="1">
      <alignment horizontal="center" vertical="center"/>
    </xf>
    <xf numFmtId="0" fontId="8" fillId="4" borderId="1" xfId="1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2" fillId="4" borderId="1" xfId="1" applyFont="1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4" borderId="1" xfId="0" applyFont="1" applyFill="1" applyBorder="1">
      <alignment vertical="center"/>
    </xf>
    <xf numFmtId="179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left" vertical="top" wrapText="1"/>
    </xf>
    <xf numFmtId="0" fontId="13" fillId="4" borderId="1" xfId="1" applyFont="1" applyFill="1" applyBorder="1" applyAlignment="1">
      <alignment horizontal="left" vertical="top"/>
    </xf>
    <xf numFmtId="0" fontId="12" fillId="4" borderId="1" xfId="1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179" fontId="8" fillId="4" borderId="1" xfId="1" applyNumberFormat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6590-8208-4193-A58E-D757D2B21BA8}">
  <sheetPr>
    <pageSetUpPr fitToPage="1"/>
  </sheetPr>
  <dimension ref="A1:S50"/>
  <sheetViews>
    <sheetView tabSelected="1" topLeftCell="B1" zoomScaleNormal="100" workbookViewId="0">
      <selection activeCell="E9" sqref="E9"/>
    </sheetView>
  </sheetViews>
  <sheetFormatPr defaultColWidth="8.75" defaultRowHeight="18.75" customHeight="1" x14ac:dyDescent="0.2"/>
  <cols>
    <col min="1" max="1" width="9" style="21" customWidth="1"/>
    <col min="2" max="2" width="15.125" style="21" bestFit="1" customWidth="1"/>
    <col min="3" max="3" width="31.25" style="21" bestFit="1" customWidth="1"/>
    <col min="4" max="4" width="8" style="21" bestFit="1" customWidth="1"/>
    <col min="5" max="5" width="9.875" style="21" customWidth="1"/>
    <col min="6" max="7" width="8" style="21" bestFit="1" customWidth="1"/>
    <col min="8" max="8" width="9.625" style="21" bestFit="1" customWidth="1"/>
    <col min="9" max="10" width="9.375" style="21" customWidth="1"/>
    <col min="11" max="11" width="9.625" style="21" bestFit="1" customWidth="1"/>
    <col min="12" max="12" width="6.375" style="21" bestFit="1" customWidth="1"/>
    <col min="13" max="13" width="6.375" style="21" customWidth="1"/>
    <col min="14" max="14" width="10.25" style="21" bestFit="1" customWidth="1"/>
    <col min="15" max="16" width="9.625" style="21" bestFit="1" customWidth="1"/>
    <col min="17" max="17" width="8.5" style="21" bestFit="1" customWidth="1"/>
    <col min="18" max="18" width="10.25" style="21" bestFit="1" customWidth="1"/>
    <col min="19" max="19" width="42.75" style="21" bestFit="1" customWidth="1"/>
    <col min="20" max="20" width="8.75" style="21"/>
    <col min="21" max="22" width="4.75" style="21" bestFit="1" customWidth="1"/>
    <col min="23" max="16384" width="8.75" style="21"/>
  </cols>
  <sheetData>
    <row r="1" spans="1:19" ht="18.75" customHeight="1" x14ac:dyDescent="0.2">
      <c r="A1" s="52" t="s">
        <v>466</v>
      </c>
      <c r="B1" s="52"/>
      <c r="C1" s="52"/>
      <c r="D1" s="20" t="s">
        <v>522</v>
      </c>
      <c r="E1" s="20" t="s">
        <v>414</v>
      </c>
    </row>
    <row r="2" spans="1:19" ht="18.75" customHeight="1" x14ac:dyDescent="0.2">
      <c r="A2" s="52" t="s">
        <v>517</v>
      </c>
      <c r="B2" s="52"/>
      <c r="C2" s="51" t="s">
        <v>520</v>
      </c>
      <c r="D2" s="20" t="s">
        <v>523</v>
      </c>
      <c r="E2" s="48" t="s">
        <v>516</v>
      </c>
    </row>
    <row r="3" spans="1:19" ht="18.75" customHeight="1" x14ac:dyDescent="0.2">
      <c r="A3" s="52" t="s">
        <v>518</v>
      </c>
      <c r="B3" s="52"/>
      <c r="C3" s="51" t="s">
        <v>519</v>
      </c>
      <c r="D3" s="20" t="s">
        <v>523</v>
      </c>
      <c r="E3" s="48" t="s">
        <v>516</v>
      </c>
    </row>
    <row r="4" spans="1:19" ht="18.75" customHeight="1" x14ac:dyDescent="0.2">
      <c r="A4" s="52" t="s">
        <v>408</v>
      </c>
      <c r="B4" s="52"/>
      <c r="C4" s="51" t="s">
        <v>493</v>
      </c>
      <c r="D4" s="20" t="s">
        <v>524</v>
      </c>
      <c r="E4" s="48" t="s">
        <v>516</v>
      </c>
    </row>
    <row r="5" spans="1:19" ht="18.75" customHeight="1" x14ac:dyDescent="0.2">
      <c r="A5" s="20" t="s">
        <v>423</v>
      </c>
      <c r="B5" s="20" t="s">
        <v>463</v>
      </c>
      <c r="C5" s="20" t="s">
        <v>465</v>
      </c>
      <c r="D5" s="20"/>
      <c r="E5" s="48"/>
    </row>
    <row r="6" spans="1:19" ht="18.75" customHeight="1" x14ac:dyDescent="0.2">
      <c r="A6" s="20" t="s">
        <v>461</v>
      </c>
      <c r="B6" s="20" t="s">
        <v>443</v>
      </c>
      <c r="C6" s="51">
        <v>1931.6</v>
      </c>
      <c r="D6" s="20" t="s">
        <v>523</v>
      </c>
      <c r="E6" s="48" t="s">
        <v>516</v>
      </c>
    </row>
    <row r="7" spans="1:19" ht="18.75" customHeight="1" x14ac:dyDescent="0.2">
      <c r="A7" s="20" t="s">
        <v>462</v>
      </c>
      <c r="B7" s="20" t="s">
        <v>464</v>
      </c>
      <c r="C7" s="51">
        <v>6</v>
      </c>
      <c r="D7" s="20" t="s">
        <v>523</v>
      </c>
      <c r="E7" s="48" t="s">
        <v>516</v>
      </c>
    </row>
    <row r="8" spans="1:19" ht="18.75" customHeight="1" x14ac:dyDescent="0.2">
      <c r="A8" s="20" t="s">
        <v>445</v>
      </c>
      <c r="B8" s="20" t="s">
        <v>460</v>
      </c>
      <c r="C8" s="51">
        <v>25</v>
      </c>
      <c r="D8" s="20" t="s">
        <v>523</v>
      </c>
      <c r="E8" s="48" t="s">
        <v>516</v>
      </c>
    </row>
    <row r="9" spans="1:19" ht="18.75" customHeight="1" x14ac:dyDescent="0.2">
      <c r="A9" s="20" t="s">
        <v>511</v>
      </c>
      <c r="B9" s="20" t="s">
        <v>443</v>
      </c>
      <c r="C9" s="51">
        <v>27</v>
      </c>
      <c r="D9" s="20" t="s">
        <v>523</v>
      </c>
      <c r="E9" s="48" t="s">
        <v>516</v>
      </c>
    </row>
    <row r="10" spans="1:19" ht="18.75" customHeight="1" x14ac:dyDescent="0.2">
      <c r="A10" s="57"/>
      <c r="B10" s="57"/>
    </row>
    <row r="11" spans="1:19" ht="18.75" customHeight="1" x14ac:dyDescent="0.2">
      <c r="A11" s="57"/>
      <c r="B11" s="57"/>
    </row>
    <row r="13" spans="1:19" ht="18.75" customHeight="1" x14ac:dyDescent="0.2">
      <c r="A13" s="53" t="str">
        <f>C2&amp;C3&amp;"地铁隧道物资清单"</f>
        <v>上海13号线西延伸芳乐路站-季乐路站地铁隧道物资清单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</row>
    <row r="14" spans="1:19" ht="18.75" customHeight="1" x14ac:dyDescent="0.2">
      <c r="A14" s="52" t="s">
        <v>510</v>
      </c>
      <c r="B14" s="52" t="s">
        <v>423</v>
      </c>
      <c r="C14" s="52" t="s">
        <v>424</v>
      </c>
      <c r="D14" s="52" t="s">
        <v>432</v>
      </c>
      <c r="E14" s="52" t="s">
        <v>475</v>
      </c>
      <c r="F14" s="52" t="s">
        <v>476</v>
      </c>
      <c r="G14" s="52" t="s">
        <v>482</v>
      </c>
      <c r="H14" s="53" t="s">
        <v>438</v>
      </c>
      <c r="I14" s="53" t="s">
        <v>419</v>
      </c>
      <c r="J14" s="53" t="s">
        <v>504</v>
      </c>
      <c r="K14" s="53" t="s">
        <v>420</v>
      </c>
      <c r="L14" s="53" t="s">
        <v>422</v>
      </c>
      <c r="M14" s="53" t="s">
        <v>427</v>
      </c>
      <c r="N14" s="53"/>
      <c r="O14" s="53"/>
      <c r="P14" s="53"/>
      <c r="Q14" s="53"/>
      <c r="R14" s="53"/>
      <c r="S14" s="52" t="s">
        <v>414</v>
      </c>
    </row>
    <row r="15" spans="1:19" ht="18.75" customHeight="1" x14ac:dyDescent="0.2">
      <c r="A15" s="52"/>
      <c r="B15" s="52" t="s">
        <v>423</v>
      </c>
      <c r="C15" s="52" t="s">
        <v>424</v>
      </c>
      <c r="D15" s="52" t="s">
        <v>3</v>
      </c>
      <c r="E15" s="52"/>
      <c r="F15" s="52" t="s">
        <v>349</v>
      </c>
      <c r="G15" s="52"/>
      <c r="H15" s="53"/>
      <c r="I15" s="53" t="s">
        <v>419</v>
      </c>
      <c r="J15" s="53"/>
      <c r="K15" s="53" t="s">
        <v>420</v>
      </c>
      <c r="L15" s="53" t="s">
        <v>422</v>
      </c>
      <c r="M15" s="41" t="s">
        <v>521</v>
      </c>
      <c r="N15" s="22" t="s">
        <v>421</v>
      </c>
      <c r="O15" s="20" t="s">
        <v>428</v>
      </c>
      <c r="P15" s="22" t="s">
        <v>431</v>
      </c>
      <c r="Q15" s="22" t="s">
        <v>449</v>
      </c>
      <c r="R15" s="22" t="s">
        <v>433</v>
      </c>
      <c r="S15" s="52"/>
    </row>
    <row r="16" spans="1:19" ht="18.75" customHeight="1" x14ac:dyDescent="0.2">
      <c r="A16" s="17" t="s">
        <v>506</v>
      </c>
      <c r="B16" s="17" t="s">
        <v>13</v>
      </c>
      <c r="C16" s="17" t="str">
        <f>TEXT(IF(地铁隧道_报价物资清单!C9&gt;=28,"门式32T/5T跨距28米以上-36米以下","门式32T/5T跨距20米以上-28米以下"),0)</f>
        <v>门式32T/5T跨距20米以上-28米以下</v>
      </c>
      <c r="D16" s="17" t="s">
        <v>12</v>
      </c>
      <c r="E16" s="17">
        <v>0</v>
      </c>
      <c r="F16" s="17">
        <f>IF(C6&gt;=2400,0,IF(C6&lt;=1000,0,1))</f>
        <v>1</v>
      </c>
      <c r="G16" s="17">
        <f>SUM(E16:F16)</f>
        <v>1</v>
      </c>
      <c r="H16" s="17">
        <f>VLOOKUP(C16,基础行车租赁信息表!$B$1:$D$5,3,0)</f>
        <v>32000</v>
      </c>
      <c r="I16" s="17">
        <v>0</v>
      </c>
      <c r="J16" s="17">
        <f>VLOOKUP(C4&amp;C16,基行车物流运输表!$D$40:$G$76,4,0)</f>
        <v>281000</v>
      </c>
      <c r="K16" s="17">
        <f>ROUND(N16/L16,0)</f>
        <v>32000</v>
      </c>
      <c r="L16" s="17">
        <f>$C$7</f>
        <v>6</v>
      </c>
      <c r="M16" s="17">
        <v>1</v>
      </c>
      <c r="N16" s="23">
        <f>G16*H16*L16*M16</f>
        <v>192000</v>
      </c>
      <c r="O16" s="17">
        <f>G16*I16</f>
        <v>0</v>
      </c>
      <c r="P16" s="23">
        <f>物流运输清单!R10</f>
        <v>64000</v>
      </c>
      <c r="Q16" s="23">
        <f>F16*J16</f>
        <v>281000</v>
      </c>
      <c r="R16" s="23">
        <f>N16+O16+P16+Q16</f>
        <v>537000</v>
      </c>
      <c r="S16" s="54" t="s">
        <v>500</v>
      </c>
    </row>
    <row r="17" spans="1:19" ht="57" customHeight="1" x14ac:dyDescent="0.2">
      <c r="A17" s="17" t="s">
        <v>506</v>
      </c>
      <c r="B17" s="17" t="s">
        <v>41</v>
      </c>
      <c r="C17" s="17" t="str">
        <f>TEXT(IF(地铁隧道_报价物资清单!C9&gt;=28,"门式50T跨距28米以上-36米以下","门式50T跨距20米以上-28米以下"),0)</f>
        <v>门式50T跨距20米以上-28米以下</v>
      </c>
      <c r="D17" s="17" t="s">
        <v>12</v>
      </c>
      <c r="E17" s="17">
        <v>0</v>
      </c>
      <c r="F17" s="17">
        <f>IF(C6 = 0,0,IF(C6&gt;=2400,2,1))</f>
        <v>1</v>
      </c>
      <c r="G17" s="17">
        <f t="shared" ref="G17:G45" si="0">SUM(E17:F17)</f>
        <v>1</v>
      </c>
      <c r="H17" s="17">
        <f>VLOOKUP(C17,基础行车租赁信息表!B1:D5,3,0)</f>
        <v>40000</v>
      </c>
      <c r="I17" s="17">
        <v>0</v>
      </c>
      <c r="J17" s="17">
        <f>VLOOKUP(C4&amp;C17,基行车物流运输表!$D$40:$G$76,4,0)</f>
        <v>310000</v>
      </c>
      <c r="K17" s="17">
        <f t="shared" ref="K17:K45" si="1">ROUND(N17/L17,0)</f>
        <v>40000</v>
      </c>
      <c r="L17" s="17">
        <f t="shared" ref="L17:L45" si="2">$C$7</f>
        <v>6</v>
      </c>
      <c r="M17" s="17">
        <v>1</v>
      </c>
      <c r="N17" s="23">
        <f t="shared" ref="N17:N45" si="3">G17*H17*L17*M17</f>
        <v>240000</v>
      </c>
      <c r="O17" s="17">
        <f t="shared" ref="O17:O45" si="4">G17*I17</f>
        <v>0</v>
      </c>
      <c r="P17" s="23">
        <f>物流运输清单!R11</f>
        <v>72000</v>
      </c>
      <c r="Q17" s="23">
        <f>F17*J17</f>
        <v>310000</v>
      </c>
      <c r="R17" s="23">
        <f t="shared" ref="R17:R46" si="5">N17+O17+P17+Q17</f>
        <v>622000</v>
      </c>
      <c r="S17" s="55"/>
    </row>
    <row r="18" spans="1:19" ht="95.25" customHeight="1" x14ac:dyDescent="0.2">
      <c r="A18" s="17" t="s">
        <v>506</v>
      </c>
      <c r="B18" s="17" t="s">
        <v>14</v>
      </c>
      <c r="C18" s="17" t="str">
        <f>IF(C8&gt;=27,"电机车55吨单列编组","电机车45吨单列编组")</f>
        <v>电机车45吨单列编组</v>
      </c>
      <c r="D18" s="17" t="s">
        <v>12</v>
      </c>
      <c r="E18" s="17">
        <v>0</v>
      </c>
      <c r="F18" s="17">
        <f>IF(C6 = 0,0,IF(C6&gt;=2400,4,2))</f>
        <v>2</v>
      </c>
      <c r="G18" s="17">
        <f t="shared" si="0"/>
        <v>2</v>
      </c>
      <c r="H18" s="17">
        <f>VLOOKUP(C18,基础电机车信息表!$A$1:$D$3,4,0)</f>
        <v>54100</v>
      </c>
      <c r="I18" s="17">
        <v>0</v>
      </c>
      <c r="J18" s="17"/>
      <c r="K18" s="17">
        <f>ROUND(N18/L18,0)</f>
        <v>108200</v>
      </c>
      <c r="L18" s="17">
        <f t="shared" si="2"/>
        <v>6</v>
      </c>
      <c r="M18" s="17">
        <v>1</v>
      </c>
      <c r="N18" s="23">
        <f t="shared" si="3"/>
        <v>649200</v>
      </c>
      <c r="O18" s="17">
        <f t="shared" si="4"/>
        <v>0</v>
      </c>
      <c r="P18" s="23">
        <f>IF(C4 = "上海地区",0,物流运输清单!R20)</f>
        <v>121500</v>
      </c>
      <c r="Q18" s="23"/>
      <c r="R18" s="23">
        <f t="shared" si="5"/>
        <v>770700</v>
      </c>
      <c r="S18" s="35" t="s">
        <v>505</v>
      </c>
    </row>
    <row r="19" spans="1:19" ht="18.75" customHeight="1" x14ac:dyDescent="0.2">
      <c r="A19" s="17" t="s">
        <v>507</v>
      </c>
      <c r="B19" s="24" t="s">
        <v>17</v>
      </c>
      <c r="C19" s="25" t="s">
        <v>18</v>
      </c>
      <c r="D19" s="26" t="s">
        <v>12</v>
      </c>
      <c r="E19" s="17">
        <v>0</v>
      </c>
      <c r="F19" s="36">
        <v>2</v>
      </c>
      <c r="G19" s="17">
        <f t="shared" si="0"/>
        <v>2</v>
      </c>
      <c r="H19" s="17">
        <v>5580</v>
      </c>
      <c r="I19" s="17">
        <v>0</v>
      </c>
      <c r="J19" s="17"/>
      <c r="K19" s="17">
        <f t="shared" si="1"/>
        <v>11160</v>
      </c>
      <c r="L19" s="17">
        <f t="shared" si="2"/>
        <v>6</v>
      </c>
      <c r="M19" s="17">
        <v>1</v>
      </c>
      <c r="N19" s="23">
        <f t="shared" si="3"/>
        <v>66960</v>
      </c>
      <c r="O19" s="17">
        <f t="shared" si="4"/>
        <v>0</v>
      </c>
      <c r="P19" s="23">
        <f>物流运输清单!R19</f>
        <v>8700</v>
      </c>
      <c r="Q19" s="23"/>
      <c r="R19" s="23">
        <f t="shared" si="5"/>
        <v>75660</v>
      </c>
      <c r="S19" s="20"/>
    </row>
    <row r="20" spans="1:19" ht="18.75" customHeight="1" x14ac:dyDescent="0.2">
      <c r="A20" s="17" t="s">
        <v>376</v>
      </c>
      <c r="B20" s="17" t="s">
        <v>25</v>
      </c>
      <c r="C20" s="25" t="s">
        <v>43</v>
      </c>
      <c r="D20" s="17" t="s">
        <v>351</v>
      </c>
      <c r="E20" s="17">
        <v>0</v>
      </c>
      <c r="F20" s="17">
        <f>IF(C6 = 0,0,IF(C6&gt;=2400,4,2))</f>
        <v>2</v>
      </c>
      <c r="G20" s="17">
        <f t="shared" si="0"/>
        <v>2</v>
      </c>
      <c r="H20" s="17">
        <v>2400</v>
      </c>
      <c r="I20" s="17">
        <v>0</v>
      </c>
      <c r="J20" s="17"/>
      <c r="K20" s="17">
        <f t="shared" si="1"/>
        <v>4800</v>
      </c>
      <c r="L20" s="17">
        <f t="shared" si="2"/>
        <v>6</v>
      </c>
      <c r="M20" s="17">
        <v>1</v>
      </c>
      <c r="N20" s="23">
        <f t="shared" si="3"/>
        <v>28800</v>
      </c>
      <c r="O20" s="17">
        <f t="shared" si="4"/>
        <v>0</v>
      </c>
      <c r="P20" s="23">
        <f>物流运输清单!R9</f>
        <v>17400</v>
      </c>
      <c r="Q20" s="23"/>
      <c r="R20" s="23">
        <f t="shared" si="5"/>
        <v>46200</v>
      </c>
      <c r="S20" s="20"/>
    </row>
    <row r="21" spans="1:19" ht="18.75" customHeight="1" x14ac:dyDescent="0.2">
      <c r="A21" s="17" t="s">
        <v>412</v>
      </c>
      <c r="B21" s="17" t="s">
        <v>27</v>
      </c>
      <c r="C21" s="17" t="s">
        <v>48</v>
      </c>
      <c r="D21" s="17" t="s">
        <v>28</v>
      </c>
      <c r="E21" s="17">
        <v>0</v>
      </c>
      <c r="F21" s="17"/>
      <c r="G21" s="17">
        <f t="shared" si="0"/>
        <v>0</v>
      </c>
      <c r="H21" s="17">
        <v>6</v>
      </c>
      <c r="I21" s="17">
        <v>0</v>
      </c>
      <c r="J21" s="17"/>
      <c r="K21" s="17">
        <f t="shared" ref="K21:K31" si="6">ROUND(N21/L21,0)</f>
        <v>0</v>
      </c>
      <c r="L21" s="17">
        <f t="shared" si="2"/>
        <v>6</v>
      </c>
      <c r="M21" s="17">
        <v>0.54</v>
      </c>
      <c r="N21" s="23">
        <f t="shared" si="3"/>
        <v>0</v>
      </c>
      <c r="O21" s="17">
        <f t="shared" si="4"/>
        <v>0</v>
      </c>
      <c r="P21" s="23"/>
      <c r="Q21" s="23"/>
      <c r="R21" s="23">
        <f t="shared" si="5"/>
        <v>0</v>
      </c>
      <c r="S21" s="20" t="s">
        <v>430</v>
      </c>
    </row>
    <row r="22" spans="1:19" ht="18.75" customHeight="1" x14ac:dyDescent="0.2">
      <c r="A22" s="17" t="s">
        <v>412</v>
      </c>
      <c r="B22" s="17" t="s">
        <v>27</v>
      </c>
      <c r="C22" s="17" t="s">
        <v>49</v>
      </c>
      <c r="D22" s="17" t="s">
        <v>28</v>
      </c>
      <c r="E22" s="17">
        <v>500</v>
      </c>
      <c r="F22" s="17">
        <f>ROUND($C$6*1.2,0)</f>
        <v>2318</v>
      </c>
      <c r="G22" s="17">
        <f t="shared" si="0"/>
        <v>2818</v>
      </c>
      <c r="H22" s="17">
        <v>6</v>
      </c>
      <c r="I22" s="17">
        <v>0</v>
      </c>
      <c r="J22" s="17"/>
      <c r="K22" s="17">
        <f t="shared" si="6"/>
        <v>9130</v>
      </c>
      <c r="L22" s="17">
        <f t="shared" si="2"/>
        <v>6</v>
      </c>
      <c r="M22" s="17">
        <v>0.54</v>
      </c>
      <c r="N22" s="23">
        <f t="shared" si="3"/>
        <v>54781.920000000006</v>
      </c>
      <c r="O22" s="17">
        <f t="shared" si="4"/>
        <v>0</v>
      </c>
      <c r="P22" s="23">
        <f>VLOOKUP(C22,物流运输清单!$A$4:$R$28,18,0)</f>
        <v>17400</v>
      </c>
      <c r="Q22" s="23"/>
      <c r="R22" s="23">
        <f t="shared" si="5"/>
        <v>72181.920000000013</v>
      </c>
      <c r="S22" s="20" t="s">
        <v>430</v>
      </c>
    </row>
    <row r="23" spans="1:19" ht="18.75" customHeight="1" x14ac:dyDescent="0.2">
      <c r="A23" s="17" t="s">
        <v>412</v>
      </c>
      <c r="B23" s="17" t="s">
        <v>27</v>
      </c>
      <c r="C23" s="17" t="s">
        <v>50</v>
      </c>
      <c r="D23" s="17" t="s">
        <v>28</v>
      </c>
      <c r="E23" s="17">
        <v>0</v>
      </c>
      <c r="F23" s="17"/>
      <c r="G23" s="17">
        <f t="shared" si="0"/>
        <v>0</v>
      </c>
      <c r="H23" s="17">
        <v>9</v>
      </c>
      <c r="I23" s="17">
        <v>0</v>
      </c>
      <c r="J23" s="17"/>
      <c r="K23" s="17">
        <f t="shared" si="6"/>
        <v>0</v>
      </c>
      <c r="L23" s="17">
        <f t="shared" si="2"/>
        <v>6</v>
      </c>
      <c r="M23" s="17">
        <v>0.54</v>
      </c>
      <c r="N23" s="23">
        <f t="shared" si="3"/>
        <v>0</v>
      </c>
      <c r="O23" s="17">
        <f t="shared" si="4"/>
        <v>0</v>
      </c>
      <c r="P23" s="23"/>
      <c r="Q23" s="23"/>
      <c r="R23" s="23">
        <f t="shared" si="5"/>
        <v>0</v>
      </c>
      <c r="S23" s="20" t="s">
        <v>430</v>
      </c>
    </row>
    <row r="24" spans="1:19" ht="18.75" customHeight="1" x14ac:dyDescent="0.2">
      <c r="A24" s="17" t="str">
        <f>B24</f>
        <v>轨道</v>
      </c>
      <c r="B24" s="17" t="s">
        <v>31</v>
      </c>
      <c r="C24" s="17" t="s">
        <v>32</v>
      </c>
      <c r="D24" s="17" t="s">
        <v>28</v>
      </c>
      <c r="E24" s="17">
        <v>500</v>
      </c>
      <c r="F24" s="17">
        <f>ROUND($C$6*2,0)</f>
        <v>3863</v>
      </c>
      <c r="G24" s="17">
        <f t="shared" si="0"/>
        <v>4363</v>
      </c>
      <c r="H24" s="17">
        <v>6</v>
      </c>
      <c r="I24" s="17">
        <v>0</v>
      </c>
      <c r="J24" s="17"/>
      <c r="K24" s="17">
        <f t="shared" si="6"/>
        <v>14136</v>
      </c>
      <c r="L24" s="17">
        <f t="shared" si="2"/>
        <v>6</v>
      </c>
      <c r="M24" s="17">
        <v>0.54</v>
      </c>
      <c r="N24" s="23">
        <f t="shared" si="3"/>
        <v>84816.72</v>
      </c>
      <c r="O24" s="17">
        <f t="shared" si="4"/>
        <v>0</v>
      </c>
      <c r="P24" s="23">
        <f>VLOOKUP(C24,物流运输清单!$A$4:$R$28,18,0)</f>
        <v>104400</v>
      </c>
      <c r="Q24" s="23"/>
      <c r="R24" s="23">
        <f t="shared" si="5"/>
        <v>189216.72</v>
      </c>
      <c r="S24" s="20" t="s">
        <v>430</v>
      </c>
    </row>
    <row r="25" spans="1:19" ht="18.75" customHeight="1" x14ac:dyDescent="0.2">
      <c r="A25" s="17" t="str">
        <f t="shared" ref="A25:A35" si="7">B25</f>
        <v>轨道</v>
      </c>
      <c r="B25" s="17" t="s">
        <v>31</v>
      </c>
      <c r="C25" s="17" t="s">
        <v>33</v>
      </c>
      <c r="D25" s="17" t="s">
        <v>28</v>
      </c>
      <c r="E25" s="17">
        <v>0</v>
      </c>
      <c r="F25" s="17">
        <v>300</v>
      </c>
      <c r="G25" s="17">
        <f t="shared" si="0"/>
        <v>300</v>
      </c>
      <c r="H25" s="17">
        <v>10</v>
      </c>
      <c r="I25" s="17">
        <v>0</v>
      </c>
      <c r="J25" s="17"/>
      <c r="K25" s="17">
        <f t="shared" si="6"/>
        <v>3000</v>
      </c>
      <c r="L25" s="17">
        <f t="shared" si="2"/>
        <v>6</v>
      </c>
      <c r="M25" s="17">
        <v>1</v>
      </c>
      <c r="N25" s="23">
        <f t="shared" si="3"/>
        <v>18000</v>
      </c>
      <c r="O25" s="17">
        <f t="shared" si="4"/>
        <v>0</v>
      </c>
      <c r="P25" s="23"/>
      <c r="Q25" s="23"/>
      <c r="R25" s="23">
        <f t="shared" si="5"/>
        <v>18000</v>
      </c>
      <c r="S25" s="20"/>
    </row>
    <row r="26" spans="1:19" ht="18.75" customHeight="1" x14ac:dyDescent="0.2">
      <c r="A26" s="17" t="str">
        <f t="shared" si="7"/>
        <v>轨枕</v>
      </c>
      <c r="B26" s="17" t="s">
        <v>29</v>
      </c>
      <c r="C26" s="17" t="s">
        <v>51</v>
      </c>
      <c r="D26" s="17" t="s">
        <v>30</v>
      </c>
      <c r="E26" s="17">
        <v>500</v>
      </c>
      <c r="F26" s="17">
        <f>ROUND($C$6*1,0)</f>
        <v>1932</v>
      </c>
      <c r="G26" s="17">
        <f t="shared" si="0"/>
        <v>2432</v>
      </c>
      <c r="H26" s="17">
        <v>9</v>
      </c>
      <c r="I26" s="17">
        <v>0</v>
      </c>
      <c r="J26" s="17"/>
      <c r="K26" s="17">
        <f t="shared" si="6"/>
        <v>11820</v>
      </c>
      <c r="L26" s="17">
        <f t="shared" si="2"/>
        <v>6</v>
      </c>
      <c r="M26" s="17">
        <v>0.54</v>
      </c>
      <c r="N26" s="23">
        <f t="shared" si="3"/>
        <v>70917.12000000001</v>
      </c>
      <c r="O26" s="17">
        <f t="shared" si="4"/>
        <v>0</v>
      </c>
      <c r="P26" s="23">
        <f>VLOOKUP(C26,物流运输清单!$A$4:$R$28,18,0)</f>
        <v>51150</v>
      </c>
      <c r="Q26" s="23"/>
      <c r="R26" s="23">
        <f t="shared" si="5"/>
        <v>122067.12000000001</v>
      </c>
      <c r="S26" s="20" t="s">
        <v>430</v>
      </c>
    </row>
    <row r="27" spans="1:19" ht="18.75" customHeight="1" x14ac:dyDescent="0.2">
      <c r="A27" s="17" t="str">
        <f t="shared" si="7"/>
        <v>路基板</v>
      </c>
      <c r="B27" s="17" t="s">
        <v>52</v>
      </c>
      <c r="C27" s="17" t="s">
        <v>53</v>
      </c>
      <c r="D27" s="17" t="s">
        <v>28</v>
      </c>
      <c r="E27" s="17">
        <v>0</v>
      </c>
      <c r="F27" s="17">
        <v>300</v>
      </c>
      <c r="G27" s="17">
        <f t="shared" si="0"/>
        <v>300</v>
      </c>
      <c r="H27" s="17">
        <v>48</v>
      </c>
      <c r="I27" s="17">
        <v>0</v>
      </c>
      <c r="J27" s="17"/>
      <c r="K27" s="17">
        <f t="shared" si="6"/>
        <v>14400</v>
      </c>
      <c r="L27" s="17">
        <f t="shared" si="2"/>
        <v>6</v>
      </c>
      <c r="M27" s="17">
        <v>1</v>
      </c>
      <c r="N27" s="23">
        <f t="shared" si="3"/>
        <v>86400</v>
      </c>
      <c r="O27" s="17">
        <f t="shared" si="4"/>
        <v>0</v>
      </c>
      <c r="P27" s="23">
        <f>VLOOKUP(C27,物流运输清单!$A$4:$R$28,18,0)</f>
        <v>17400</v>
      </c>
      <c r="Q27" s="23"/>
      <c r="R27" s="23">
        <f t="shared" si="5"/>
        <v>103800</v>
      </c>
      <c r="S27" s="20"/>
    </row>
    <row r="28" spans="1:19" ht="18.75" customHeight="1" x14ac:dyDescent="0.2">
      <c r="A28" s="17" t="str">
        <f t="shared" si="7"/>
        <v>直缝管</v>
      </c>
      <c r="B28" s="17" t="s">
        <v>34</v>
      </c>
      <c r="C28" s="17" t="s">
        <v>54</v>
      </c>
      <c r="D28" s="17" t="s">
        <v>28</v>
      </c>
      <c r="E28" s="17">
        <v>300</v>
      </c>
      <c r="F28" s="17">
        <f>ROUND($C$6*3,0)</f>
        <v>5795</v>
      </c>
      <c r="G28" s="17">
        <f t="shared" si="0"/>
        <v>6095</v>
      </c>
      <c r="H28" s="17">
        <v>3</v>
      </c>
      <c r="I28" s="17">
        <v>0</v>
      </c>
      <c r="J28" s="17"/>
      <c r="K28" s="17">
        <f t="shared" si="6"/>
        <v>9874</v>
      </c>
      <c r="L28" s="17">
        <f t="shared" si="2"/>
        <v>6</v>
      </c>
      <c r="M28" s="17">
        <v>0.54</v>
      </c>
      <c r="N28" s="23">
        <f t="shared" si="3"/>
        <v>59243.4</v>
      </c>
      <c r="O28" s="17">
        <f t="shared" si="4"/>
        <v>0</v>
      </c>
      <c r="P28" s="23">
        <f>VLOOKUP(C28,物流运输清单!$A$4:$R$28,18,0)</f>
        <v>87000</v>
      </c>
      <c r="Q28" s="23"/>
      <c r="R28" s="23">
        <f t="shared" si="5"/>
        <v>146243.4</v>
      </c>
      <c r="S28" s="20" t="s">
        <v>430</v>
      </c>
    </row>
    <row r="29" spans="1:19" ht="18.75" customHeight="1" x14ac:dyDescent="0.2">
      <c r="A29" s="17" t="str">
        <f t="shared" si="7"/>
        <v>低压电缆</v>
      </c>
      <c r="B29" s="17" t="s">
        <v>55</v>
      </c>
      <c r="C29" s="17" t="s">
        <v>56</v>
      </c>
      <c r="D29" s="17" t="s">
        <v>28</v>
      </c>
      <c r="E29" s="17">
        <v>300</v>
      </c>
      <c r="F29" s="17">
        <f>ROUND($C$6*1.2,0)</f>
        <v>2318</v>
      </c>
      <c r="G29" s="17">
        <f t="shared" si="0"/>
        <v>2618</v>
      </c>
      <c r="H29" s="17">
        <v>3</v>
      </c>
      <c r="I29" s="17">
        <v>0</v>
      </c>
      <c r="J29" s="17"/>
      <c r="K29" s="17">
        <f t="shared" si="6"/>
        <v>4241</v>
      </c>
      <c r="L29" s="17">
        <f t="shared" si="2"/>
        <v>6</v>
      </c>
      <c r="M29" s="17">
        <v>0.54</v>
      </c>
      <c r="N29" s="23">
        <f t="shared" si="3"/>
        <v>25446.960000000003</v>
      </c>
      <c r="O29" s="17">
        <f t="shared" si="4"/>
        <v>0</v>
      </c>
      <c r="P29" s="23">
        <f>VLOOKUP(C29,物流运输清单!$A$4:$R$28,18,0)</f>
        <v>15000</v>
      </c>
      <c r="Q29" s="23"/>
      <c r="R29" s="23">
        <f t="shared" si="5"/>
        <v>40446.960000000006</v>
      </c>
      <c r="S29" s="20" t="s">
        <v>430</v>
      </c>
    </row>
    <row r="30" spans="1:19" ht="18.75" customHeight="1" x14ac:dyDescent="0.2">
      <c r="A30" s="17" t="str">
        <f t="shared" si="7"/>
        <v>低压电缆</v>
      </c>
      <c r="B30" s="17" t="s">
        <v>55</v>
      </c>
      <c r="C30" s="17" t="s">
        <v>57</v>
      </c>
      <c r="D30" s="17" t="s">
        <v>28</v>
      </c>
      <c r="E30" s="17">
        <v>0</v>
      </c>
      <c r="F30" s="17"/>
      <c r="G30" s="17">
        <f t="shared" si="0"/>
        <v>0</v>
      </c>
      <c r="H30" s="17">
        <v>3</v>
      </c>
      <c r="I30" s="17">
        <v>0</v>
      </c>
      <c r="J30" s="17"/>
      <c r="K30" s="17">
        <f t="shared" si="6"/>
        <v>0</v>
      </c>
      <c r="L30" s="17">
        <f t="shared" si="2"/>
        <v>6</v>
      </c>
      <c r="M30" s="17">
        <v>0.54</v>
      </c>
      <c r="N30" s="23">
        <f t="shared" si="3"/>
        <v>0</v>
      </c>
      <c r="O30" s="17">
        <f t="shared" si="4"/>
        <v>0</v>
      </c>
      <c r="P30" s="23"/>
      <c r="Q30" s="23"/>
      <c r="R30" s="23">
        <f t="shared" si="5"/>
        <v>0</v>
      </c>
      <c r="S30" s="20" t="s">
        <v>430</v>
      </c>
    </row>
    <row r="31" spans="1:19" ht="18.75" customHeight="1" x14ac:dyDescent="0.2">
      <c r="A31" s="17" t="str">
        <f t="shared" si="7"/>
        <v>低压电缆</v>
      </c>
      <c r="B31" s="17" t="s">
        <v>55</v>
      </c>
      <c r="C31" s="17" t="s">
        <v>58</v>
      </c>
      <c r="D31" s="17" t="s">
        <v>28</v>
      </c>
      <c r="E31" s="17">
        <v>0</v>
      </c>
      <c r="F31" s="17"/>
      <c r="G31" s="17">
        <f t="shared" si="0"/>
        <v>0</v>
      </c>
      <c r="H31" s="17">
        <v>6</v>
      </c>
      <c r="I31" s="17">
        <v>0</v>
      </c>
      <c r="J31" s="17"/>
      <c r="K31" s="17">
        <f t="shared" si="6"/>
        <v>0</v>
      </c>
      <c r="L31" s="17">
        <f t="shared" si="2"/>
        <v>6</v>
      </c>
      <c r="M31" s="17">
        <v>0.54</v>
      </c>
      <c r="N31" s="23">
        <f t="shared" si="3"/>
        <v>0</v>
      </c>
      <c r="O31" s="17">
        <f t="shared" si="4"/>
        <v>0</v>
      </c>
      <c r="P31" s="23"/>
      <c r="Q31" s="23"/>
      <c r="R31" s="23">
        <f t="shared" si="5"/>
        <v>0</v>
      </c>
      <c r="S31" s="20" t="s">
        <v>430</v>
      </c>
    </row>
    <row r="32" spans="1:19" ht="18.75" customHeight="1" x14ac:dyDescent="0.2">
      <c r="A32" s="17" t="str">
        <f t="shared" si="7"/>
        <v>盾构基座</v>
      </c>
      <c r="B32" s="17" t="s">
        <v>21</v>
      </c>
      <c r="C32" s="25" t="s">
        <v>44</v>
      </c>
      <c r="D32" s="17" t="s">
        <v>351</v>
      </c>
      <c r="E32" s="17">
        <v>0</v>
      </c>
      <c r="F32" s="17">
        <v>2</v>
      </c>
      <c r="G32" s="17">
        <f t="shared" si="0"/>
        <v>2</v>
      </c>
      <c r="H32" s="17">
        <v>3000</v>
      </c>
      <c r="I32" s="17">
        <v>0</v>
      </c>
      <c r="J32" s="17"/>
      <c r="K32" s="17">
        <f t="shared" si="1"/>
        <v>6000</v>
      </c>
      <c r="L32" s="17">
        <f t="shared" si="2"/>
        <v>6</v>
      </c>
      <c r="M32" s="17">
        <v>1</v>
      </c>
      <c r="N32" s="23">
        <f t="shared" si="3"/>
        <v>36000</v>
      </c>
      <c r="O32" s="17">
        <f t="shared" si="4"/>
        <v>0</v>
      </c>
      <c r="P32" s="23">
        <f>物流运输清单!R14</f>
        <v>44400</v>
      </c>
      <c r="Q32" s="23"/>
      <c r="R32" s="23">
        <f t="shared" si="5"/>
        <v>80400</v>
      </c>
      <c r="S32" s="20"/>
    </row>
    <row r="33" spans="1:19" ht="18.75" customHeight="1" x14ac:dyDescent="0.2">
      <c r="A33" s="17" t="str">
        <f t="shared" si="7"/>
        <v>盾构基座</v>
      </c>
      <c r="B33" s="17" t="s">
        <v>21</v>
      </c>
      <c r="C33" s="25" t="s">
        <v>44</v>
      </c>
      <c r="D33" s="17" t="s">
        <v>351</v>
      </c>
      <c r="E33" s="17">
        <v>0</v>
      </c>
      <c r="F33" s="17">
        <v>2</v>
      </c>
      <c r="G33" s="17">
        <f t="shared" si="0"/>
        <v>2</v>
      </c>
      <c r="H33" s="17">
        <v>3000</v>
      </c>
      <c r="I33" s="17">
        <v>0</v>
      </c>
      <c r="J33" s="17"/>
      <c r="K33" s="17">
        <f t="shared" si="1"/>
        <v>6000</v>
      </c>
      <c r="L33" s="17">
        <v>2</v>
      </c>
      <c r="M33" s="17">
        <v>1</v>
      </c>
      <c r="N33" s="23">
        <f t="shared" si="3"/>
        <v>12000</v>
      </c>
      <c r="O33" s="17">
        <f t="shared" si="4"/>
        <v>0</v>
      </c>
      <c r="P33" s="23"/>
      <c r="Q33" s="23"/>
      <c r="R33" s="23">
        <f t="shared" si="5"/>
        <v>12000</v>
      </c>
      <c r="S33" s="20"/>
    </row>
    <row r="34" spans="1:19" ht="18.75" customHeight="1" x14ac:dyDescent="0.2">
      <c r="A34" s="17" t="str">
        <f t="shared" si="7"/>
        <v>后靠和八字撑</v>
      </c>
      <c r="B34" s="17" t="s">
        <v>45</v>
      </c>
      <c r="C34" s="25" t="s">
        <v>46</v>
      </c>
      <c r="D34" s="17" t="s">
        <v>351</v>
      </c>
      <c r="E34" s="17">
        <v>0</v>
      </c>
      <c r="F34" s="17">
        <v>2</v>
      </c>
      <c r="G34" s="17">
        <f t="shared" si="0"/>
        <v>2</v>
      </c>
      <c r="H34" s="17">
        <v>5000</v>
      </c>
      <c r="I34" s="17">
        <v>0</v>
      </c>
      <c r="J34" s="17"/>
      <c r="K34" s="17">
        <f t="shared" si="1"/>
        <v>10000</v>
      </c>
      <c r="L34" s="17">
        <v>2</v>
      </c>
      <c r="M34" s="17">
        <v>1</v>
      </c>
      <c r="N34" s="23">
        <f t="shared" si="3"/>
        <v>20000</v>
      </c>
      <c r="O34" s="17">
        <f t="shared" si="4"/>
        <v>0</v>
      </c>
      <c r="P34" s="23">
        <f>VLOOKUP(C34,物流运输清单!$A$4:$R$28,18,0)</f>
        <v>34800</v>
      </c>
      <c r="Q34" s="23"/>
      <c r="R34" s="23">
        <f t="shared" si="5"/>
        <v>54800</v>
      </c>
      <c r="S34" s="20" t="s">
        <v>429</v>
      </c>
    </row>
    <row r="35" spans="1:19" ht="18.75" customHeight="1" x14ac:dyDescent="0.2">
      <c r="A35" s="17" t="str">
        <f t="shared" si="7"/>
        <v>后靠和八字撑</v>
      </c>
      <c r="B35" s="17" t="s">
        <v>45</v>
      </c>
      <c r="C35" s="25" t="s">
        <v>47</v>
      </c>
      <c r="D35" s="17" t="s">
        <v>22</v>
      </c>
      <c r="E35" s="17">
        <v>0</v>
      </c>
      <c r="F35" s="17">
        <v>2</v>
      </c>
      <c r="G35" s="17">
        <f t="shared" si="0"/>
        <v>2</v>
      </c>
      <c r="H35" s="17">
        <v>2280</v>
      </c>
      <c r="I35" s="17">
        <v>0</v>
      </c>
      <c r="J35" s="17"/>
      <c r="K35" s="17">
        <f t="shared" si="1"/>
        <v>4560</v>
      </c>
      <c r="L35" s="17">
        <v>2</v>
      </c>
      <c r="M35" s="17">
        <v>1</v>
      </c>
      <c r="N35" s="23">
        <f t="shared" si="3"/>
        <v>9120</v>
      </c>
      <c r="O35" s="17">
        <f t="shared" si="4"/>
        <v>0</v>
      </c>
      <c r="P35" s="23"/>
      <c r="Q35" s="23"/>
      <c r="R35" s="23">
        <f t="shared" si="5"/>
        <v>9120</v>
      </c>
      <c r="S35" s="20"/>
    </row>
    <row r="36" spans="1:19" ht="18.75" customHeight="1" x14ac:dyDescent="0.2">
      <c r="A36" s="17" t="s">
        <v>508</v>
      </c>
      <c r="B36" s="17" t="s">
        <v>59</v>
      </c>
      <c r="C36" s="17" t="s">
        <v>60</v>
      </c>
      <c r="D36" s="17" t="s">
        <v>19</v>
      </c>
      <c r="E36" s="17">
        <v>0</v>
      </c>
      <c r="F36" s="17">
        <f>F27*2</f>
        <v>600</v>
      </c>
      <c r="G36" s="17">
        <f t="shared" si="0"/>
        <v>600</v>
      </c>
      <c r="H36" s="17">
        <v>0</v>
      </c>
      <c r="I36" s="17">
        <v>6</v>
      </c>
      <c r="J36" s="17"/>
      <c r="K36" s="17">
        <f t="shared" si="1"/>
        <v>0</v>
      </c>
      <c r="L36" s="17">
        <f t="shared" si="2"/>
        <v>6</v>
      </c>
      <c r="M36" s="17">
        <v>1</v>
      </c>
      <c r="N36" s="23">
        <f t="shared" si="3"/>
        <v>0</v>
      </c>
      <c r="O36" s="17">
        <f t="shared" si="4"/>
        <v>3600</v>
      </c>
      <c r="P36" s="23"/>
      <c r="Q36" s="23"/>
      <c r="R36" s="23">
        <f t="shared" si="5"/>
        <v>3600</v>
      </c>
      <c r="S36" s="37" t="s">
        <v>425</v>
      </c>
    </row>
    <row r="37" spans="1:19" ht="18.75" customHeight="1" x14ac:dyDescent="0.2">
      <c r="A37" s="17" t="s">
        <v>508</v>
      </c>
      <c r="B37" s="17" t="s">
        <v>59</v>
      </c>
      <c r="C37" s="17" t="s">
        <v>61</v>
      </c>
      <c r="D37" s="17" t="s">
        <v>19</v>
      </c>
      <c r="E37" s="17">
        <v>0</v>
      </c>
      <c r="F37" s="17">
        <f>F26*2</f>
        <v>3864</v>
      </c>
      <c r="G37" s="17">
        <f t="shared" si="0"/>
        <v>3864</v>
      </c>
      <c r="H37" s="17">
        <v>0</v>
      </c>
      <c r="I37" s="17">
        <v>4</v>
      </c>
      <c r="J37" s="17"/>
      <c r="K37" s="17">
        <f t="shared" si="1"/>
        <v>0</v>
      </c>
      <c r="L37" s="17">
        <f t="shared" si="2"/>
        <v>6</v>
      </c>
      <c r="M37" s="17">
        <v>1</v>
      </c>
      <c r="N37" s="23">
        <f t="shared" si="3"/>
        <v>0</v>
      </c>
      <c r="O37" s="17">
        <f t="shared" si="4"/>
        <v>15456</v>
      </c>
      <c r="P37" s="23"/>
      <c r="Q37" s="23"/>
      <c r="R37" s="23">
        <f t="shared" si="5"/>
        <v>15456</v>
      </c>
      <c r="S37" s="37" t="s">
        <v>425</v>
      </c>
    </row>
    <row r="38" spans="1:19" ht="18.75" customHeight="1" x14ac:dyDescent="0.2">
      <c r="A38" s="17" t="s">
        <v>508</v>
      </c>
      <c r="B38" s="17" t="s">
        <v>37</v>
      </c>
      <c r="C38" s="17" t="s">
        <v>38</v>
      </c>
      <c r="D38" s="17" t="s">
        <v>30</v>
      </c>
      <c r="E38" s="17">
        <v>0</v>
      </c>
      <c r="F38" s="17">
        <f>ROUND(F24/6.25*2,0)</f>
        <v>1236</v>
      </c>
      <c r="G38" s="17">
        <f t="shared" si="0"/>
        <v>1236</v>
      </c>
      <c r="H38" s="17">
        <v>0</v>
      </c>
      <c r="I38" s="17">
        <v>32</v>
      </c>
      <c r="J38" s="17"/>
      <c r="K38" s="17">
        <f t="shared" si="1"/>
        <v>0</v>
      </c>
      <c r="L38" s="17">
        <f t="shared" si="2"/>
        <v>6</v>
      </c>
      <c r="M38" s="17">
        <v>1</v>
      </c>
      <c r="N38" s="23">
        <f t="shared" si="3"/>
        <v>0</v>
      </c>
      <c r="O38" s="17">
        <f t="shared" si="4"/>
        <v>39552</v>
      </c>
      <c r="P38" s="23"/>
      <c r="Q38" s="23"/>
      <c r="R38" s="23">
        <f t="shared" si="5"/>
        <v>39552</v>
      </c>
      <c r="S38" s="37" t="s">
        <v>457</v>
      </c>
    </row>
    <row r="39" spans="1:19" ht="18.75" customHeight="1" x14ac:dyDescent="0.2">
      <c r="A39" s="17" t="s">
        <v>508</v>
      </c>
      <c r="B39" s="17" t="s">
        <v>454</v>
      </c>
      <c r="C39" s="17" t="s">
        <v>456</v>
      </c>
      <c r="D39" s="17" t="s">
        <v>351</v>
      </c>
      <c r="E39" s="17">
        <v>0</v>
      </c>
      <c r="F39" s="17">
        <f>F38/2*6</f>
        <v>3708</v>
      </c>
      <c r="G39" s="17">
        <f t="shared" si="0"/>
        <v>3708</v>
      </c>
      <c r="H39" s="17"/>
      <c r="I39" s="17">
        <v>4</v>
      </c>
      <c r="J39" s="17"/>
      <c r="K39" s="17"/>
      <c r="L39" s="17">
        <f t="shared" si="2"/>
        <v>6</v>
      </c>
      <c r="M39" s="17">
        <v>1</v>
      </c>
      <c r="N39" s="23">
        <f t="shared" si="3"/>
        <v>0</v>
      </c>
      <c r="O39" s="17">
        <f t="shared" si="4"/>
        <v>14832</v>
      </c>
      <c r="P39" s="23"/>
      <c r="Q39" s="23"/>
      <c r="R39" s="23">
        <f t="shared" si="5"/>
        <v>14832</v>
      </c>
      <c r="S39" s="37" t="s">
        <v>458</v>
      </c>
    </row>
    <row r="40" spans="1:19" ht="18.75" customHeight="1" x14ac:dyDescent="0.2">
      <c r="A40" s="17" t="s">
        <v>508</v>
      </c>
      <c r="B40" s="17" t="s">
        <v>37</v>
      </c>
      <c r="C40" s="17" t="s">
        <v>39</v>
      </c>
      <c r="D40" s="17" t="s">
        <v>15</v>
      </c>
      <c r="E40" s="17">
        <v>0</v>
      </c>
      <c r="F40" s="17">
        <f>F25/12.5*2</f>
        <v>48</v>
      </c>
      <c r="G40" s="17">
        <f t="shared" si="0"/>
        <v>48</v>
      </c>
      <c r="H40" s="17">
        <v>0</v>
      </c>
      <c r="I40" s="17">
        <v>56</v>
      </c>
      <c r="J40" s="17"/>
      <c r="K40" s="17">
        <f t="shared" si="1"/>
        <v>0</v>
      </c>
      <c r="L40" s="17">
        <f t="shared" si="2"/>
        <v>6</v>
      </c>
      <c r="M40" s="17">
        <v>1</v>
      </c>
      <c r="N40" s="23">
        <f t="shared" si="3"/>
        <v>0</v>
      </c>
      <c r="O40" s="17">
        <f t="shared" si="4"/>
        <v>2688</v>
      </c>
      <c r="P40" s="23"/>
      <c r="Q40" s="23"/>
      <c r="R40" s="23">
        <f t="shared" si="5"/>
        <v>2688</v>
      </c>
      <c r="S40" s="37" t="s">
        <v>426</v>
      </c>
    </row>
    <row r="41" spans="1:19" ht="18.75" customHeight="1" x14ac:dyDescent="0.2">
      <c r="A41" s="17" t="s">
        <v>508</v>
      </c>
      <c r="B41" s="17" t="s">
        <v>454</v>
      </c>
      <c r="C41" s="17" t="s">
        <v>455</v>
      </c>
      <c r="D41" s="17" t="s">
        <v>351</v>
      </c>
      <c r="E41" s="17">
        <v>0</v>
      </c>
      <c r="F41" s="17">
        <f>F40/2*6</f>
        <v>144</v>
      </c>
      <c r="G41" s="17">
        <f t="shared" si="0"/>
        <v>144</v>
      </c>
      <c r="H41" s="17"/>
      <c r="I41" s="17">
        <v>5.5</v>
      </c>
      <c r="J41" s="17"/>
      <c r="K41" s="17"/>
      <c r="L41" s="17">
        <f t="shared" si="2"/>
        <v>6</v>
      </c>
      <c r="M41" s="17">
        <v>1</v>
      </c>
      <c r="N41" s="23">
        <f t="shared" si="3"/>
        <v>0</v>
      </c>
      <c r="O41" s="17">
        <f t="shared" si="4"/>
        <v>792</v>
      </c>
      <c r="P41" s="23"/>
      <c r="Q41" s="23"/>
      <c r="R41" s="23">
        <f t="shared" si="5"/>
        <v>792</v>
      </c>
      <c r="S41" s="37" t="s">
        <v>459</v>
      </c>
    </row>
    <row r="42" spans="1:19" ht="18.75" customHeight="1" x14ac:dyDescent="0.2">
      <c r="A42" s="19" t="s">
        <v>436</v>
      </c>
      <c r="B42" s="19" t="s">
        <v>435</v>
      </c>
      <c r="C42" s="19" t="s">
        <v>437</v>
      </c>
      <c r="D42" s="17" t="s">
        <v>447</v>
      </c>
      <c r="E42" s="17">
        <v>0</v>
      </c>
      <c r="F42" s="17">
        <f>IF(LEFT(C4,4)="上海地区",2,0)</f>
        <v>0</v>
      </c>
      <c r="G42" s="17">
        <f t="shared" si="0"/>
        <v>0</v>
      </c>
      <c r="H42" s="17">
        <v>0</v>
      </c>
      <c r="I42" s="17">
        <f>135000*2</f>
        <v>270000</v>
      </c>
      <c r="J42" s="17"/>
      <c r="K42" s="17">
        <f t="shared" si="1"/>
        <v>0</v>
      </c>
      <c r="L42" s="17">
        <f t="shared" si="2"/>
        <v>6</v>
      </c>
      <c r="M42" s="17">
        <v>1</v>
      </c>
      <c r="N42" s="23">
        <f t="shared" si="3"/>
        <v>0</v>
      </c>
      <c r="O42" s="17">
        <f t="shared" si="4"/>
        <v>0</v>
      </c>
      <c r="P42" s="23">
        <f>VLOOKUP(C42,物流运输清单!$A$4:$R$28,18,0)</f>
        <v>0</v>
      </c>
      <c r="Q42" s="23"/>
      <c r="R42" s="23">
        <f t="shared" si="5"/>
        <v>0</v>
      </c>
      <c r="S42" s="20" t="s">
        <v>448</v>
      </c>
    </row>
    <row r="43" spans="1:19" ht="18.75" customHeight="1" x14ac:dyDescent="0.2">
      <c r="A43" s="17" t="s">
        <v>509</v>
      </c>
      <c r="B43" s="19" t="s">
        <v>55</v>
      </c>
      <c r="C43" s="19" t="s">
        <v>440</v>
      </c>
      <c r="D43" s="17" t="s">
        <v>443</v>
      </c>
      <c r="E43" s="17">
        <v>0</v>
      </c>
      <c r="F43" s="17">
        <v>0</v>
      </c>
      <c r="G43" s="17">
        <f t="shared" si="0"/>
        <v>0</v>
      </c>
      <c r="H43" s="17">
        <v>15</v>
      </c>
      <c r="I43" s="17">
        <v>0</v>
      </c>
      <c r="J43" s="17"/>
      <c r="K43" s="17">
        <f t="shared" si="1"/>
        <v>0</v>
      </c>
      <c r="L43" s="17">
        <f t="shared" si="2"/>
        <v>6</v>
      </c>
      <c r="M43" s="17">
        <v>1</v>
      </c>
      <c r="N43" s="23">
        <f t="shared" si="3"/>
        <v>0</v>
      </c>
      <c r="O43" s="17">
        <f t="shared" si="4"/>
        <v>0</v>
      </c>
      <c r="P43" s="23">
        <f>VLOOKUP(C43,物流运输清单!$A$4:$R$28,18,0)</f>
        <v>0</v>
      </c>
      <c r="Q43" s="23"/>
      <c r="R43" s="23">
        <f t="shared" si="5"/>
        <v>0</v>
      </c>
      <c r="S43" s="20"/>
    </row>
    <row r="44" spans="1:19" ht="18.75" customHeight="1" x14ac:dyDescent="0.2">
      <c r="A44" s="17" t="s">
        <v>509</v>
      </c>
      <c r="B44" s="19" t="s">
        <v>55</v>
      </c>
      <c r="C44" s="19" t="s">
        <v>441</v>
      </c>
      <c r="D44" s="17" t="s">
        <v>443</v>
      </c>
      <c r="E44" s="17">
        <v>0</v>
      </c>
      <c r="F44" s="17">
        <v>0</v>
      </c>
      <c r="G44" s="17">
        <f t="shared" si="0"/>
        <v>0</v>
      </c>
      <c r="H44" s="17">
        <v>9</v>
      </c>
      <c r="I44" s="17">
        <v>0</v>
      </c>
      <c r="J44" s="17"/>
      <c r="K44" s="17">
        <f t="shared" si="1"/>
        <v>0</v>
      </c>
      <c r="L44" s="17">
        <f t="shared" si="2"/>
        <v>6</v>
      </c>
      <c r="M44" s="17">
        <v>1</v>
      </c>
      <c r="N44" s="23">
        <f t="shared" si="3"/>
        <v>0</v>
      </c>
      <c r="O44" s="17">
        <f t="shared" si="4"/>
        <v>0</v>
      </c>
      <c r="P44" s="23">
        <f>VLOOKUP(C44,物流运输清单!$A$4:$R$28,18,0)</f>
        <v>0</v>
      </c>
      <c r="Q44" s="23"/>
      <c r="R44" s="23">
        <f t="shared" si="5"/>
        <v>0</v>
      </c>
      <c r="S44" s="20"/>
    </row>
    <row r="45" spans="1:19" ht="18.75" customHeight="1" x14ac:dyDescent="0.2">
      <c r="A45" s="17" t="s">
        <v>509</v>
      </c>
      <c r="B45" s="19" t="s">
        <v>55</v>
      </c>
      <c r="C45" s="19" t="s">
        <v>442</v>
      </c>
      <c r="D45" s="17" t="s">
        <v>443</v>
      </c>
      <c r="E45" s="17">
        <v>0</v>
      </c>
      <c r="F45" s="17">
        <v>0</v>
      </c>
      <c r="G45" s="17">
        <f t="shared" si="0"/>
        <v>0</v>
      </c>
      <c r="H45" s="17">
        <v>3</v>
      </c>
      <c r="I45" s="17">
        <v>0</v>
      </c>
      <c r="J45" s="17"/>
      <c r="K45" s="17">
        <f t="shared" si="1"/>
        <v>0</v>
      </c>
      <c r="L45" s="17">
        <f t="shared" si="2"/>
        <v>6</v>
      </c>
      <c r="M45" s="17">
        <v>1</v>
      </c>
      <c r="N45" s="23">
        <f t="shared" si="3"/>
        <v>0</v>
      </c>
      <c r="O45" s="17">
        <f t="shared" si="4"/>
        <v>0</v>
      </c>
      <c r="P45" s="23"/>
      <c r="Q45" s="23"/>
      <c r="R45" s="23">
        <f t="shared" si="5"/>
        <v>0</v>
      </c>
      <c r="S45" s="20"/>
    </row>
    <row r="46" spans="1:19" ht="18.75" customHeight="1" x14ac:dyDescent="0.2">
      <c r="A46" s="56" t="s">
        <v>434</v>
      </c>
      <c r="B46" s="56"/>
      <c r="C46" s="56"/>
      <c r="D46" s="56"/>
      <c r="E46" s="19"/>
      <c r="F46" s="17"/>
      <c r="G46" s="17"/>
      <c r="H46" s="17"/>
      <c r="I46" s="17"/>
      <c r="J46" s="17"/>
      <c r="K46" s="17"/>
      <c r="L46" s="17"/>
      <c r="M46" s="17"/>
      <c r="N46" s="23"/>
      <c r="O46" s="17"/>
      <c r="P46" s="23">
        <f>物流运输清单!R26</f>
        <v>127800</v>
      </c>
      <c r="Q46" s="23"/>
      <c r="R46" s="23">
        <f t="shared" si="5"/>
        <v>127800</v>
      </c>
      <c r="S46" s="20"/>
    </row>
    <row r="47" spans="1:19" ht="18.75" customHeight="1" x14ac:dyDescent="0.2">
      <c r="A47" s="52" t="s">
        <v>446</v>
      </c>
      <c r="B47" s="52"/>
      <c r="C47" s="52"/>
      <c r="D47" s="52"/>
      <c r="E47" s="43"/>
      <c r="F47" s="43"/>
      <c r="G47" s="20"/>
      <c r="H47" s="20"/>
      <c r="I47" s="20"/>
      <c r="J47" s="20"/>
      <c r="K47" s="23">
        <f>SUM(K16:K46)</f>
        <v>289321</v>
      </c>
      <c r="L47" s="20"/>
      <c r="M47" s="20"/>
      <c r="N47" s="23">
        <f>SUM(N16:N46)</f>
        <v>1653686.1199999999</v>
      </c>
      <c r="O47" s="23">
        <f t="shared" ref="O47" si="8">SUM(O16:O46)</f>
        <v>76920</v>
      </c>
      <c r="P47" s="23">
        <f>SUM(P16:P46)</f>
        <v>782950</v>
      </c>
      <c r="Q47" s="23">
        <f>SUM(Q16:Q46)</f>
        <v>591000</v>
      </c>
      <c r="R47" s="23">
        <f>N47+O47+P47+Q47</f>
        <v>3104556.12</v>
      </c>
      <c r="S47" s="20"/>
    </row>
    <row r="48" spans="1:19" ht="18.75" customHeight="1" x14ac:dyDescent="0.2">
      <c r="P48" s="21">
        <f>物流运输清单!R28</f>
        <v>782950</v>
      </c>
      <c r="R48" s="23"/>
    </row>
    <row r="49" spans="16:18" ht="18.75" customHeight="1" x14ac:dyDescent="0.2">
      <c r="P49" s="27">
        <f>P47-P48</f>
        <v>0</v>
      </c>
    </row>
    <row r="50" spans="16:18" ht="18.75" customHeight="1" x14ac:dyDescent="0.2">
      <c r="R50" s="27">
        <f>SUM(R16:R46)</f>
        <v>3104556.12</v>
      </c>
    </row>
  </sheetData>
  <mergeCells count="24">
    <mergeCell ref="A4:B4"/>
    <mergeCell ref="A1:C1"/>
    <mergeCell ref="A13:S13"/>
    <mergeCell ref="S16:S17"/>
    <mergeCell ref="A46:D46"/>
    <mergeCell ref="A10:B10"/>
    <mergeCell ref="A11:B11"/>
    <mergeCell ref="A2:B2"/>
    <mergeCell ref="A3:B3"/>
    <mergeCell ref="A47:D47"/>
    <mergeCell ref="K14:K15"/>
    <mergeCell ref="L14:L15"/>
    <mergeCell ref="S14:S15"/>
    <mergeCell ref="A14:A15"/>
    <mergeCell ref="B14:B15"/>
    <mergeCell ref="C14:C15"/>
    <mergeCell ref="D14:D15"/>
    <mergeCell ref="F14:F15"/>
    <mergeCell ref="H14:H15"/>
    <mergeCell ref="I14:I15"/>
    <mergeCell ref="E14:E15"/>
    <mergeCell ref="G14:G15"/>
    <mergeCell ref="J14:J15"/>
    <mergeCell ref="M14:R14"/>
  </mergeCells>
  <phoneticPr fontId="6" type="noConversion"/>
  <pageMargins left="0.7" right="0.7" top="0.75" bottom="0.75" header="0.3" footer="0.3"/>
  <pageSetup paperSize="9" scale="56" orientation="landscape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Title="地区" prompt="上海地区_x000a_广东地区" xr:uid="{2BF69C3F-DA1E-47BA-9171-02AFEE05E948}">
          <x14:formula1>
            <xm:f>基础物流价格信息!$A$2:$A$10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9809-DC52-41A7-856E-76B8DF440C79}">
  <dimension ref="A1:U32"/>
  <sheetViews>
    <sheetView topLeftCell="B1" zoomScale="85" zoomScaleNormal="85" workbookViewId="0">
      <selection activeCell="B32" sqref="B32:J32"/>
    </sheetView>
  </sheetViews>
  <sheetFormatPr defaultColWidth="9" defaultRowHeight="14.25" x14ac:dyDescent="0.2"/>
  <cols>
    <col min="1" max="1" width="42.75" style="38" hidden="1" customWidth="1"/>
    <col min="2" max="2" width="9" style="38"/>
    <col min="3" max="3" width="22.5" style="38" bestFit="1" customWidth="1"/>
    <col min="4" max="4" width="6" style="38" bestFit="1" customWidth="1"/>
    <col min="5" max="5" width="8.25" style="38" bestFit="1" customWidth="1"/>
    <col min="6" max="7" width="13.625" style="38" bestFit="1" customWidth="1"/>
    <col min="8" max="8" width="17.375" style="38" bestFit="1" customWidth="1"/>
    <col min="9" max="9" width="8.25" style="38" bestFit="1" customWidth="1"/>
    <col min="10" max="10" width="11.75" style="38" bestFit="1" customWidth="1"/>
    <col min="11" max="11" width="5" style="38" bestFit="1" customWidth="1"/>
    <col min="12" max="12" width="8.125" style="38" bestFit="1" customWidth="1"/>
    <col min="13" max="13" width="9.375" style="38" bestFit="1" customWidth="1"/>
    <col min="14" max="14" width="9" style="38" bestFit="1" customWidth="1"/>
    <col min="15" max="15" width="9.375" style="38" bestFit="1" customWidth="1"/>
    <col min="16" max="17" width="9" style="38" bestFit="1" customWidth="1"/>
    <col min="18" max="18" width="7.5" style="38" bestFit="1" customWidth="1"/>
    <col min="19" max="19" width="13" style="38" bestFit="1" customWidth="1"/>
    <col min="20" max="16384" width="9" style="38"/>
  </cols>
  <sheetData>
    <row r="1" spans="1:19" ht="18" x14ac:dyDescent="0.2">
      <c r="B1" s="60" t="str">
        <f>地铁隧道_报价物资清单!C2&amp;地铁隧道_报价物资清单!C3&amp;"后配套运输物资清单"</f>
        <v>上海13号线西延伸芳乐路站-季乐路站后配套运输物资清单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9" x14ac:dyDescent="0.2">
      <c r="B2" s="59" t="s">
        <v>352</v>
      </c>
      <c r="C2" s="59" t="s">
        <v>353</v>
      </c>
      <c r="D2" s="59" t="s">
        <v>354</v>
      </c>
      <c r="E2" s="59" t="s">
        <v>355</v>
      </c>
      <c r="F2" s="59" t="s">
        <v>356</v>
      </c>
      <c r="G2" s="59" t="s">
        <v>357</v>
      </c>
      <c r="H2" s="59" t="s">
        <v>358</v>
      </c>
      <c r="I2" s="59" t="s">
        <v>359</v>
      </c>
      <c r="J2" s="59" t="s">
        <v>360</v>
      </c>
      <c r="K2" s="58" t="s">
        <v>361</v>
      </c>
      <c r="L2" s="58" t="s">
        <v>362</v>
      </c>
      <c r="M2" s="58"/>
      <c r="N2" s="58"/>
      <c r="O2" s="58"/>
      <c r="P2" s="58"/>
      <c r="Q2" s="58"/>
      <c r="R2" s="31"/>
      <c r="S2" s="31"/>
    </row>
    <row r="3" spans="1:19" ht="25.5" x14ac:dyDescent="0.2">
      <c r="B3" s="59"/>
      <c r="C3" s="59"/>
      <c r="D3" s="59"/>
      <c r="E3" s="59"/>
      <c r="F3" s="59"/>
      <c r="G3" s="59"/>
      <c r="H3" s="59"/>
      <c r="I3" s="59"/>
      <c r="J3" s="59"/>
      <c r="K3" s="58"/>
      <c r="L3" s="18" t="s">
        <v>363</v>
      </c>
      <c r="M3" s="30" t="s">
        <v>364</v>
      </c>
      <c r="N3" s="30" t="s">
        <v>365</v>
      </c>
      <c r="O3" s="30" t="s">
        <v>366</v>
      </c>
      <c r="P3" s="29" t="s">
        <v>350</v>
      </c>
      <c r="Q3" s="31" t="s">
        <v>414</v>
      </c>
      <c r="R3" s="31" t="s">
        <v>450</v>
      </c>
      <c r="S3" s="31" t="s">
        <v>490</v>
      </c>
    </row>
    <row r="4" spans="1:19" x14ac:dyDescent="0.2">
      <c r="A4" s="38" t="str">
        <f>地铁隧道_报价物资清单!C22</f>
        <v>高压电缆50平方</v>
      </c>
      <c r="B4" s="28">
        <v>1</v>
      </c>
      <c r="C4" s="32" t="s">
        <v>412</v>
      </c>
      <c r="D4" s="28">
        <f>SUM(地铁隧道_报价物资清单!G21:G23)</f>
        <v>2818</v>
      </c>
      <c r="E4" s="32" t="s">
        <v>28</v>
      </c>
      <c r="F4" s="28">
        <v>4</v>
      </c>
      <c r="G4" s="28">
        <f>F4*D4</f>
        <v>11272</v>
      </c>
      <c r="H4" s="28" t="s">
        <v>367</v>
      </c>
      <c r="I4" s="28">
        <f>2*2*1.5</f>
        <v>6</v>
      </c>
      <c r="J4" s="28">
        <f>I4*D4/300</f>
        <v>56.36</v>
      </c>
      <c r="K4" s="29"/>
      <c r="L4" s="29"/>
      <c r="M4" s="28"/>
      <c r="N4" s="28">
        <f>ROUND(D4/300/4,0)</f>
        <v>2</v>
      </c>
      <c r="O4" s="28"/>
      <c r="P4" s="29">
        <f>SUM(L4:O4)</f>
        <v>2</v>
      </c>
      <c r="Q4" s="31"/>
      <c r="R4" s="31">
        <f t="shared" ref="R4:R9" si="0">(L4*$L$32+M4*$M$32+N4*$N$32+O4*$O$32)*2</f>
        <v>17400</v>
      </c>
      <c r="S4" s="31"/>
    </row>
    <row r="5" spans="1:19" x14ac:dyDescent="0.2">
      <c r="A5" s="38" t="str">
        <f>地铁隧道_报价物资清单!C24</f>
        <v>轨道43kg</v>
      </c>
      <c r="B5" s="28">
        <v>2</v>
      </c>
      <c r="C5" s="32" t="s">
        <v>368</v>
      </c>
      <c r="D5" s="28">
        <f>SUM(地铁隧道_报价物资清单!G24:G25)</f>
        <v>4663</v>
      </c>
      <c r="E5" s="32" t="s">
        <v>28</v>
      </c>
      <c r="F5" s="28">
        <v>44.3</v>
      </c>
      <c r="G5" s="28">
        <f t="shared" ref="G5:G23" si="1">F5*D5</f>
        <v>206570.9</v>
      </c>
      <c r="H5" s="28" t="s">
        <v>369</v>
      </c>
      <c r="I5" s="28">
        <f>6.25*0.15*0.15</f>
        <v>0.140625</v>
      </c>
      <c r="J5" s="28">
        <f>I5*D5/6.25</f>
        <v>104.9175</v>
      </c>
      <c r="K5" s="29"/>
      <c r="L5" s="29"/>
      <c r="M5" s="28"/>
      <c r="N5" s="28">
        <f>ROUND(D5/(6.25*60),0)</f>
        <v>12</v>
      </c>
      <c r="O5" s="28"/>
      <c r="P5" s="29">
        <f t="shared" ref="P5:P27" si="2">SUM(L5:O5)</f>
        <v>12</v>
      </c>
      <c r="Q5" s="31"/>
      <c r="R5" s="31">
        <f t="shared" si="0"/>
        <v>104400</v>
      </c>
      <c r="S5" s="31"/>
    </row>
    <row r="6" spans="1:19" x14ac:dyDescent="0.2">
      <c r="A6" s="38" t="str">
        <f>地铁隧道_报价物资清单!C28</f>
        <v>镀锌管89型3寸</v>
      </c>
      <c r="B6" s="28">
        <v>3</v>
      </c>
      <c r="C6" s="32" t="s">
        <v>370</v>
      </c>
      <c r="D6" s="28">
        <f>SUM(地铁隧道_报价物资清单!G28)</f>
        <v>6095</v>
      </c>
      <c r="E6" s="32" t="s">
        <v>28</v>
      </c>
      <c r="F6" s="28">
        <v>8.8800000000000008</v>
      </c>
      <c r="G6" s="28">
        <f t="shared" si="1"/>
        <v>54123.600000000006</v>
      </c>
      <c r="H6" s="28" t="s">
        <v>371</v>
      </c>
      <c r="I6" s="28">
        <f>6*0.089*0.089*3.14</f>
        <v>0.14923164</v>
      </c>
      <c r="J6" s="28">
        <f>I6*D6/6</f>
        <v>151.5944743</v>
      </c>
      <c r="K6" s="29"/>
      <c r="L6" s="29"/>
      <c r="M6" s="28"/>
      <c r="N6" s="28">
        <f>ROUND(D6/(100*6),0)</f>
        <v>10</v>
      </c>
      <c r="O6" s="28"/>
      <c r="P6" s="29">
        <f t="shared" si="2"/>
        <v>10</v>
      </c>
      <c r="Q6" s="31"/>
      <c r="R6" s="31">
        <f t="shared" si="0"/>
        <v>87000</v>
      </c>
      <c r="S6" s="31"/>
    </row>
    <row r="7" spans="1:19" x14ac:dyDescent="0.2">
      <c r="A7" s="38" t="str">
        <f>地铁隧道_报价物资清单!C26</f>
        <v>轨枕-900型普通型-14#槽钢</v>
      </c>
      <c r="B7" s="28">
        <v>4</v>
      </c>
      <c r="C7" s="32" t="s">
        <v>372</v>
      </c>
      <c r="D7" s="28">
        <f>SUM(地铁隧道_报价物资清单!G24)</f>
        <v>4363</v>
      </c>
      <c r="E7" s="32" t="s">
        <v>30</v>
      </c>
      <c r="F7" s="28">
        <v>20</v>
      </c>
      <c r="G7" s="28">
        <f t="shared" si="1"/>
        <v>87260</v>
      </c>
      <c r="H7" s="28" t="s">
        <v>373</v>
      </c>
      <c r="I7" s="28">
        <f>1.2*0.2*0.1</f>
        <v>2.4E-2</v>
      </c>
      <c r="J7" s="28">
        <f>I7*D7</f>
        <v>104.712</v>
      </c>
      <c r="K7" s="29"/>
      <c r="L7" s="29">
        <f>ROUND(D7/(400),0)</f>
        <v>11</v>
      </c>
      <c r="M7" s="28"/>
      <c r="N7" s="28"/>
      <c r="O7" s="28"/>
      <c r="P7" s="29">
        <f t="shared" si="2"/>
        <v>11</v>
      </c>
      <c r="Q7" s="31"/>
      <c r="R7" s="31">
        <f t="shared" si="0"/>
        <v>51150</v>
      </c>
      <c r="S7" s="31"/>
    </row>
    <row r="8" spans="1:19" x14ac:dyDescent="0.2">
      <c r="A8" s="38" t="e">
        <f>地铁隧道_报价物资清单!#REF!</f>
        <v>#REF!</v>
      </c>
      <c r="B8" s="28">
        <v>5</v>
      </c>
      <c r="C8" s="28" t="s">
        <v>374</v>
      </c>
      <c r="D8" s="28">
        <v>0</v>
      </c>
      <c r="E8" s="28" t="s">
        <v>415</v>
      </c>
      <c r="F8" s="33">
        <v>10</v>
      </c>
      <c r="G8" s="28">
        <f>F8*D8</f>
        <v>0</v>
      </c>
      <c r="H8" s="28" t="s">
        <v>375</v>
      </c>
      <c r="I8" s="28">
        <f>1*0.5*0.05</f>
        <v>2.5000000000000001E-2</v>
      </c>
      <c r="J8" s="28">
        <f>I8*D8</f>
        <v>0</v>
      </c>
      <c r="K8" s="29"/>
      <c r="L8" s="29"/>
      <c r="M8" s="28">
        <f>ROUND(D8/300,0)</f>
        <v>0</v>
      </c>
      <c r="N8" s="28"/>
      <c r="O8" s="28"/>
      <c r="P8" s="29">
        <f t="shared" si="2"/>
        <v>0</v>
      </c>
      <c r="Q8" s="31"/>
      <c r="R8" s="31">
        <f t="shared" si="0"/>
        <v>0</v>
      </c>
      <c r="S8" s="31"/>
    </row>
    <row r="9" spans="1:19" x14ac:dyDescent="0.2">
      <c r="A9" s="38" t="str">
        <f>地铁隧道_报价物资清单!C20</f>
        <v>道岔43Kg-900普通地铁型4片每套</v>
      </c>
      <c r="B9" s="28">
        <v>6</v>
      </c>
      <c r="C9" s="28" t="s">
        <v>376</v>
      </c>
      <c r="D9" s="28">
        <f>SUM(地铁隧道_报价物资清单!G20)</f>
        <v>2</v>
      </c>
      <c r="E9" s="28" t="s">
        <v>377</v>
      </c>
      <c r="F9" s="33">
        <v>16000</v>
      </c>
      <c r="G9" s="28">
        <f>F9*D9</f>
        <v>32000</v>
      </c>
      <c r="H9" s="28" t="s">
        <v>378</v>
      </c>
      <c r="I9" s="28">
        <v>0</v>
      </c>
      <c r="J9" s="28">
        <f>I9*D9</f>
        <v>0</v>
      </c>
      <c r="K9" s="29"/>
      <c r="L9" s="29"/>
      <c r="M9" s="28"/>
      <c r="N9" s="28">
        <f>ROUND(D9/(1),0)</f>
        <v>2</v>
      </c>
      <c r="O9" s="28"/>
      <c r="P9" s="29">
        <f t="shared" si="2"/>
        <v>2</v>
      </c>
      <c r="Q9" s="31"/>
      <c r="R9" s="31">
        <f t="shared" si="0"/>
        <v>17400</v>
      </c>
      <c r="S9" s="31"/>
    </row>
    <row r="10" spans="1:19" x14ac:dyDescent="0.2">
      <c r="A10" s="38" t="str">
        <f>地铁隧道_报价物资清单!C4&amp;地铁隧道_报价物资清单!C16</f>
        <v>南京地区门式32T/5T跨距20米以上-28米以下</v>
      </c>
      <c r="B10" s="28">
        <v>7</v>
      </c>
      <c r="C10" s="32" t="s">
        <v>379</v>
      </c>
      <c r="D10" s="28">
        <f>SUM(地铁隧道_报价物资清单!G16)</f>
        <v>1</v>
      </c>
      <c r="E10" s="32" t="s">
        <v>380</v>
      </c>
      <c r="F10" s="28">
        <v>120000</v>
      </c>
      <c r="G10" s="28">
        <f t="shared" si="1"/>
        <v>120000</v>
      </c>
      <c r="H10" s="28" t="s">
        <v>381</v>
      </c>
      <c r="I10" s="28">
        <f>17.5*5*2.4*4</f>
        <v>840</v>
      </c>
      <c r="J10" s="28">
        <f t="shared" ref="J10" si="3">I10*D10</f>
        <v>840</v>
      </c>
      <c r="K10" s="29"/>
      <c r="L10" s="29"/>
      <c r="M10" s="28"/>
      <c r="N10" s="28"/>
      <c r="O10" s="28">
        <f>ROUND(D10*5,0)</f>
        <v>5</v>
      </c>
      <c r="P10" s="29">
        <f t="shared" si="2"/>
        <v>5</v>
      </c>
      <c r="Q10" s="31"/>
      <c r="R10" s="31">
        <f>D10*S10</f>
        <v>64000</v>
      </c>
      <c r="S10" s="31">
        <f>VLOOKUP(A10,基行车物流运输表!$D$1:$E$37,2,0)</f>
        <v>64000</v>
      </c>
    </row>
    <row r="11" spans="1:19" x14ac:dyDescent="0.2">
      <c r="A11" s="38" t="str">
        <f>地铁隧道_报价物资清单!C4&amp;地铁隧道_报价物资清单!C17</f>
        <v>南京地区门式50T跨距20米以上-28米以下</v>
      </c>
      <c r="B11" s="28">
        <v>8</v>
      </c>
      <c r="C11" s="32" t="s">
        <v>382</v>
      </c>
      <c r="D11" s="28">
        <f>SUM(地铁隧道_报价物资清单!G17)</f>
        <v>1</v>
      </c>
      <c r="E11" s="32" t="s">
        <v>380</v>
      </c>
      <c r="F11" s="28">
        <v>170000</v>
      </c>
      <c r="G11" s="28">
        <f t="shared" si="1"/>
        <v>170000</v>
      </c>
      <c r="H11" s="28" t="s">
        <v>383</v>
      </c>
      <c r="I11" s="28">
        <f>17.5*5*2.4*5</f>
        <v>1050</v>
      </c>
      <c r="J11" s="28">
        <f>I11*D11</f>
        <v>1050</v>
      </c>
      <c r="K11" s="29"/>
      <c r="L11" s="29"/>
      <c r="M11" s="28"/>
      <c r="N11" s="28"/>
      <c r="O11" s="28">
        <f>ROUND(D11*6,0)</f>
        <v>6</v>
      </c>
      <c r="P11" s="29">
        <f t="shared" si="2"/>
        <v>6</v>
      </c>
      <c r="Q11" s="31"/>
      <c r="R11" s="31">
        <f>D11*S11</f>
        <v>72000</v>
      </c>
      <c r="S11" s="31">
        <f>VLOOKUP(A11,基行车物流运输表!$D$1:$E$37,2,0)</f>
        <v>72000</v>
      </c>
    </row>
    <row r="12" spans="1:19" x14ac:dyDescent="0.2">
      <c r="A12" s="38" t="s">
        <v>444</v>
      </c>
      <c r="B12" s="28">
        <v>9</v>
      </c>
      <c r="C12" s="28" t="s">
        <v>384</v>
      </c>
      <c r="D12" s="28">
        <v>0</v>
      </c>
      <c r="E12" s="28" t="s">
        <v>19</v>
      </c>
      <c r="F12" s="33">
        <v>100</v>
      </c>
      <c r="G12" s="28">
        <f t="shared" si="1"/>
        <v>0</v>
      </c>
      <c r="H12" s="28"/>
      <c r="I12" s="28">
        <v>1</v>
      </c>
      <c r="J12" s="28">
        <f t="shared" ref="J12:J15" si="4">I12*D12</f>
        <v>0</v>
      </c>
      <c r="K12" s="29"/>
      <c r="L12" s="58">
        <v>0</v>
      </c>
      <c r="M12" s="28"/>
      <c r="N12" s="28"/>
      <c r="O12" s="28"/>
      <c r="P12" s="39">
        <f t="shared" si="2"/>
        <v>0</v>
      </c>
      <c r="Q12" s="31"/>
      <c r="R12" s="31">
        <f t="shared" ref="R12:R27" si="5">(L12*$L$32+M12*$M$32+N12*$N$32+O12*$O$32)*2</f>
        <v>0</v>
      </c>
      <c r="S12" s="31"/>
    </row>
    <row r="13" spans="1:19" x14ac:dyDescent="0.2">
      <c r="A13" s="38" t="s">
        <v>451</v>
      </c>
      <c r="B13" s="28">
        <v>10</v>
      </c>
      <c r="C13" s="28" t="s">
        <v>385</v>
      </c>
      <c r="D13" s="28">
        <v>0</v>
      </c>
      <c r="E13" s="28" t="s">
        <v>19</v>
      </c>
      <c r="F13" s="33">
        <v>100</v>
      </c>
      <c r="G13" s="28">
        <f t="shared" si="1"/>
        <v>0</v>
      </c>
      <c r="H13" s="28"/>
      <c r="I13" s="28">
        <v>1</v>
      </c>
      <c r="J13" s="28">
        <f t="shared" si="4"/>
        <v>0</v>
      </c>
      <c r="K13" s="29"/>
      <c r="L13" s="58"/>
      <c r="M13" s="28"/>
      <c r="N13" s="28"/>
      <c r="O13" s="28"/>
      <c r="P13" s="39"/>
      <c r="Q13" s="31"/>
      <c r="R13" s="31">
        <f t="shared" si="5"/>
        <v>0</v>
      </c>
      <c r="S13" s="31"/>
    </row>
    <row r="14" spans="1:19" x14ac:dyDescent="0.2">
      <c r="A14" s="38" t="str">
        <f>地铁隧道_报价物资清单!C32</f>
        <v>盾构基座6340普通型2片每套</v>
      </c>
      <c r="B14" s="28">
        <v>11</v>
      </c>
      <c r="C14" s="28" t="s">
        <v>386</v>
      </c>
      <c r="D14" s="28">
        <f>SUM(地铁隧道_报价物资清单!G32:G33)</f>
        <v>4</v>
      </c>
      <c r="E14" s="28" t="s">
        <v>19</v>
      </c>
      <c r="F14" s="33">
        <v>10000</v>
      </c>
      <c r="G14" s="28">
        <f t="shared" si="1"/>
        <v>40000</v>
      </c>
      <c r="H14" s="28" t="s">
        <v>387</v>
      </c>
      <c r="I14" s="28">
        <f>9*1.4*4</f>
        <v>50.4</v>
      </c>
      <c r="J14" s="28">
        <f t="shared" si="4"/>
        <v>201.6</v>
      </c>
      <c r="K14" s="29"/>
      <c r="L14" s="29"/>
      <c r="M14" s="28"/>
      <c r="N14" s="28"/>
      <c r="O14" s="28">
        <f>ROUND(D14,0)</f>
        <v>4</v>
      </c>
      <c r="P14" s="29">
        <f t="shared" si="2"/>
        <v>4</v>
      </c>
      <c r="Q14" s="31"/>
      <c r="R14" s="31">
        <f t="shared" si="5"/>
        <v>44400</v>
      </c>
      <c r="S14" s="31"/>
    </row>
    <row r="15" spans="1:19" x14ac:dyDescent="0.2">
      <c r="A15" s="38" t="str">
        <f>地铁隧道_报价物资清单!C34</f>
        <v>后靠地铁型-6860型2根每套</v>
      </c>
      <c r="B15" s="28">
        <v>12</v>
      </c>
      <c r="C15" s="28" t="s">
        <v>388</v>
      </c>
      <c r="D15" s="28">
        <f>SUM(地铁隧道_报价物资清单!G34)</f>
        <v>2</v>
      </c>
      <c r="E15" s="28" t="s">
        <v>19</v>
      </c>
      <c r="F15" s="33">
        <v>20000</v>
      </c>
      <c r="G15" s="28">
        <f t="shared" si="1"/>
        <v>40000</v>
      </c>
      <c r="H15" s="28" t="s">
        <v>389</v>
      </c>
      <c r="I15" s="28">
        <f>6*10*0.7</f>
        <v>42</v>
      </c>
      <c r="J15" s="28">
        <f t="shared" si="4"/>
        <v>84</v>
      </c>
      <c r="K15" s="29"/>
      <c r="L15" s="29"/>
      <c r="M15" s="28"/>
      <c r="N15" s="28">
        <f>ROUND(D15*2,0)</f>
        <v>4</v>
      </c>
      <c r="O15" s="28"/>
      <c r="P15" s="29">
        <f t="shared" si="2"/>
        <v>4</v>
      </c>
      <c r="Q15" s="31"/>
      <c r="R15" s="31">
        <f t="shared" si="5"/>
        <v>34800</v>
      </c>
      <c r="S15" s="31"/>
    </row>
    <row r="16" spans="1:19" x14ac:dyDescent="0.2">
      <c r="A16" s="38" t="s">
        <v>440</v>
      </c>
      <c r="B16" s="28">
        <v>13</v>
      </c>
      <c r="C16" s="28" t="s">
        <v>416</v>
      </c>
      <c r="D16" s="28">
        <f>SUM(地铁隧道_报价物资清单!G43)</f>
        <v>0</v>
      </c>
      <c r="E16" s="28" t="s">
        <v>28</v>
      </c>
      <c r="F16" s="33">
        <v>7.66</v>
      </c>
      <c r="G16" s="28">
        <f t="shared" si="1"/>
        <v>0</v>
      </c>
      <c r="H16" s="28" t="s">
        <v>367</v>
      </c>
      <c r="I16" s="28">
        <f>2*2*1.5</f>
        <v>6</v>
      </c>
      <c r="J16" s="28">
        <f>I16*D16/250</f>
        <v>0</v>
      </c>
      <c r="K16" s="29"/>
      <c r="L16" s="29">
        <f>ROUND(D16/(400),0)</f>
        <v>0</v>
      </c>
      <c r="M16" s="28"/>
      <c r="N16" s="28"/>
      <c r="O16" s="28"/>
      <c r="P16" s="29">
        <f t="shared" si="2"/>
        <v>0</v>
      </c>
      <c r="Q16" s="31"/>
      <c r="R16" s="31">
        <f t="shared" si="5"/>
        <v>0</v>
      </c>
      <c r="S16" s="31"/>
    </row>
    <row r="17" spans="1:21" x14ac:dyDescent="0.2">
      <c r="A17" s="38" t="s">
        <v>441</v>
      </c>
      <c r="B17" s="28">
        <v>14</v>
      </c>
      <c r="C17" s="28" t="s">
        <v>417</v>
      </c>
      <c r="D17" s="28">
        <f>SUM(地铁隧道_报价物资清单!G44:G45)</f>
        <v>0</v>
      </c>
      <c r="E17" s="28" t="s">
        <v>28</v>
      </c>
      <c r="F17" s="33">
        <v>3.67</v>
      </c>
      <c r="G17" s="28">
        <f t="shared" si="1"/>
        <v>0</v>
      </c>
      <c r="H17" s="28" t="s">
        <v>367</v>
      </c>
      <c r="I17" s="28">
        <f>2*2*1.5</f>
        <v>6</v>
      </c>
      <c r="J17" s="28">
        <f>I17*D17/250</f>
        <v>0</v>
      </c>
      <c r="K17" s="29"/>
      <c r="L17" s="29">
        <f>ROUND(D17/(400),0)</f>
        <v>0</v>
      </c>
      <c r="M17" s="28"/>
      <c r="N17" s="28"/>
      <c r="O17" s="28"/>
      <c r="P17" s="29">
        <f t="shared" si="2"/>
        <v>0</v>
      </c>
      <c r="Q17" s="31"/>
      <c r="R17" s="31">
        <f t="shared" si="5"/>
        <v>0</v>
      </c>
      <c r="S17" s="31"/>
    </row>
    <row r="18" spans="1:21" x14ac:dyDescent="0.2">
      <c r="A18" s="38" t="str">
        <f>地铁隧道_报价物资清单!C29</f>
        <v>3X25+2X16</v>
      </c>
      <c r="B18" s="28">
        <v>15</v>
      </c>
      <c r="C18" s="28" t="s">
        <v>418</v>
      </c>
      <c r="D18" s="28">
        <f>SUM(地铁隧道_报价物资清单!G29:G31)</f>
        <v>2618</v>
      </c>
      <c r="E18" s="28" t="s">
        <v>28</v>
      </c>
      <c r="F18" s="33">
        <v>2.83</v>
      </c>
      <c r="G18" s="28">
        <f t="shared" si="1"/>
        <v>7408.9400000000005</v>
      </c>
      <c r="H18" s="28" t="s">
        <v>367</v>
      </c>
      <c r="I18" s="28">
        <f>2*2*1.5</f>
        <v>6</v>
      </c>
      <c r="J18" s="28">
        <f>I18*D18/250</f>
        <v>62.832000000000001</v>
      </c>
      <c r="K18" s="29"/>
      <c r="L18" s="29"/>
      <c r="M18" s="28">
        <f>ROUND(D18/300/4,0)</f>
        <v>2</v>
      </c>
      <c r="N18" s="28"/>
      <c r="O18" s="28"/>
      <c r="P18" s="29">
        <f t="shared" si="2"/>
        <v>2</v>
      </c>
      <c r="Q18" s="31"/>
      <c r="R18" s="31">
        <f t="shared" si="5"/>
        <v>15000</v>
      </c>
      <c r="S18" s="31"/>
    </row>
    <row r="19" spans="1:21" x14ac:dyDescent="0.2">
      <c r="A19" s="38" t="str">
        <f>地铁隧道_报价物资清单!C19</f>
        <v>隧道通风机-国产-1.2M4X75kw</v>
      </c>
      <c r="B19" s="28">
        <v>16</v>
      </c>
      <c r="C19" s="28" t="s">
        <v>17</v>
      </c>
      <c r="D19" s="28">
        <f>SUM(地铁隧道_报价物资清单!G19)</f>
        <v>2</v>
      </c>
      <c r="E19" s="28" t="s">
        <v>12</v>
      </c>
      <c r="F19" s="28">
        <v>5628</v>
      </c>
      <c r="G19" s="28">
        <v>11256</v>
      </c>
      <c r="H19" s="28" t="s">
        <v>390</v>
      </c>
      <c r="I19" s="33">
        <f>6.76*(1.481/2)*(1.481/2)*3.14</f>
        <v>11.639289482600002</v>
      </c>
      <c r="J19" s="28">
        <f t="shared" ref="J19:J26" si="6">I19*D19</f>
        <v>23.278578965200005</v>
      </c>
      <c r="K19" s="29"/>
      <c r="L19" s="29"/>
      <c r="M19" s="29"/>
      <c r="N19" s="28">
        <f>ROUND(D19/2,0)</f>
        <v>1</v>
      </c>
      <c r="O19" s="29"/>
      <c r="P19" s="29">
        <f t="shared" si="2"/>
        <v>1</v>
      </c>
      <c r="Q19" s="31"/>
      <c r="R19" s="31">
        <f t="shared" si="5"/>
        <v>8700</v>
      </c>
      <c r="S19" s="31"/>
    </row>
    <row r="20" spans="1:21" x14ac:dyDescent="0.2">
      <c r="A20" s="38" t="str">
        <f>地铁隧道_报价物资清单!C18</f>
        <v>电机车45吨单列编组</v>
      </c>
      <c r="B20" s="28">
        <v>17</v>
      </c>
      <c r="C20" s="32" t="s">
        <v>452</v>
      </c>
      <c r="D20" s="28">
        <f>SUM(地铁隧道_报价物资清单!G18)</f>
        <v>2</v>
      </c>
      <c r="E20" s="32" t="s">
        <v>453</v>
      </c>
      <c r="F20" s="28">
        <v>50000</v>
      </c>
      <c r="G20" s="28">
        <f t="shared" ref="G20:G21" si="7">F20*D20</f>
        <v>100000</v>
      </c>
      <c r="H20" s="28" t="s">
        <v>391</v>
      </c>
      <c r="I20" s="28">
        <f>8*2.3*2.4</f>
        <v>44.16</v>
      </c>
      <c r="J20" s="28">
        <f t="shared" si="6"/>
        <v>88.32</v>
      </c>
      <c r="K20" s="29"/>
      <c r="L20" s="28">
        <f>ROUND(D20*1,0)</f>
        <v>2</v>
      </c>
      <c r="M20" s="28">
        <f>ROUND(D20*6,0)</f>
        <v>12</v>
      </c>
      <c r="N20" s="28"/>
      <c r="O20" s="28">
        <f>ROUND(D20,0)</f>
        <v>2</v>
      </c>
      <c r="P20" s="29">
        <f t="shared" si="2"/>
        <v>16</v>
      </c>
      <c r="Q20" s="31"/>
      <c r="R20" s="31">
        <f>IF(地铁隧道_报价物资清单!C4 = "上海地区",0,(L20*$L$32+M20*$M$32+N20*$N$32+O20*$O$32)*2)</f>
        <v>121500</v>
      </c>
      <c r="S20" s="31"/>
      <c r="U20" s="38">
        <f>IF(A2 = "上海地区",0,(L20*$L$32+M20*$M$32+N20*$N$32+O20*$O$32)*2)</f>
        <v>121500</v>
      </c>
    </row>
    <row r="21" spans="1:21" x14ac:dyDescent="0.2">
      <c r="A21" s="38" t="e">
        <f>地铁隧道_报价物资清单!#REF!</f>
        <v>#REF!</v>
      </c>
      <c r="B21" s="28">
        <v>19</v>
      </c>
      <c r="C21" s="32" t="s">
        <v>413</v>
      </c>
      <c r="D21" s="28">
        <v>0</v>
      </c>
      <c r="E21" s="32" t="s">
        <v>12</v>
      </c>
      <c r="F21" s="28">
        <v>5000</v>
      </c>
      <c r="G21" s="28">
        <f t="shared" si="7"/>
        <v>0</v>
      </c>
      <c r="H21" s="28" t="s">
        <v>392</v>
      </c>
      <c r="I21" s="28">
        <f>7*2.4*2.4</f>
        <v>40.32</v>
      </c>
      <c r="J21" s="28">
        <f t="shared" si="6"/>
        <v>0</v>
      </c>
      <c r="K21" s="29"/>
      <c r="L21" s="29"/>
      <c r="M21" s="28"/>
      <c r="N21" s="28">
        <f>ROUND(D21,0)</f>
        <v>0</v>
      </c>
      <c r="O21" s="28"/>
      <c r="P21" s="29">
        <f t="shared" si="2"/>
        <v>0</v>
      </c>
      <c r="Q21" s="31"/>
      <c r="R21" s="31">
        <f t="shared" si="5"/>
        <v>0</v>
      </c>
      <c r="S21" s="31"/>
    </row>
    <row r="22" spans="1:21" x14ac:dyDescent="0.2">
      <c r="A22" s="19" t="s">
        <v>439</v>
      </c>
      <c r="B22" s="28">
        <v>22</v>
      </c>
      <c r="C22" s="32" t="s">
        <v>393</v>
      </c>
      <c r="D22" s="28">
        <v>0</v>
      </c>
      <c r="E22" s="32" t="s">
        <v>394</v>
      </c>
      <c r="F22" s="28">
        <v>5000</v>
      </c>
      <c r="G22" s="28">
        <f t="shared" si="1"/>
        <v>0</v>
      </c>
      <c r="H22" s="28" t="s">
        <v>395</v>
      </c>
      <c r="I22" s="33">
        <f>6*2.4*2.4</f>
        <v>34.559999999999995</v>
      </c>
      <c r="J22" s="28">
        <f t="shared" si="6"/>
        <v>0</v>
      </c>
      <c r="K22" s="29"/>
      <c r="L22" s="28">
        <f>ROUND(D22,0)</f>
        <v>0</v>
      </c>
      <c r="M22" s="28"/>
      <c r="N22" s="28"/>
      <c r="O22" s="28">
        <v>0</v>
      </c>
      <c r="P22" s="29">
        <f t="shared" si="2"/>
        <v>0</v>
      </c>
      <c r="Q22" s="31"/>
      <c r="R22" s="31">
        <f t="shared" si="5"/>
        <v>0</v>
      </c>
      <c r="S22" s="31"/>
    </row>
    <row r="23" spans="1:21" x14ac:dyDescent="0.2">
      <c r="B23" s="28">
        <v>23</v>
      </c>
      <c r="C23" s="17" t="s">
        <v>396</v>
      </c>
      <c r="D23" s="28">
        <v>0</v>
      </c>
      <c r="E23" s="32" t="s">
        <v>380</v>
      </c>
      <c r="F23" s="28">
        <v>5000</v>
      </c>
      <c r="G23" s="28">
        <f t="shared" si="1"/>
        <v>0</v>
      </c>
      <c r="H23" s="28" t="s">
        <v>397</v>
      </c>
      <c r="I23" s="33">
        <f>16*3*0.5</f>
        <v>24</v>
      </c>
      <c r="J23" s="28">
        <f t="shared" si="6"/>
        <v>0</v>
      </c>
      <c r="K23" s="29"/>
      <c r="L23" s="29"/>
      <c r="M23" s="28"/>
      <c r="N23" s="28"/>
      <c r="O23" s="28">
        <v>0</v>
      </c>
      <c r="P23" s="29">
        <f t="shared" si="2"/>
        <v>0</v>
      </c>
      <c r="Q23" s="29"/>
      <c r="R23" s="31">
        <f t="shared" si="5"/>
        <v>0</v>
      </c>
      <c r="S23" s="31"/>
    </row>
    <row r="24" spans="1:21" x14ac:dyDescent="0.2">
      <c r="A24" s="38" t="str">
        <f>地铁隧道_报价物资清单!C27</f>
        <v>路基板行车</v>
      </c>
      <c r="B24" s="28">
        <v>24</v>
      </c>
      <c r="C24" s="32" t="s">
        <v>398</v>
      </c>
      <c r="D24" s="28">
        <f>SUM(地铁隧道_报价物资清单!G27)</f>
        <v>300</v>
      </c>
      <c r="E24" s="32" t="s">
        <v>399</v>
      </c>
      <c r="F24" s="28">
        <f>78.5*50*1*1+60</f>
        <v>3985</v>
      </c>
      <c r="G24" s="28">
        <f>F24*D24</f>
        <v>1195500</v>
      </c>
      <c r="H24" s="28" t="s">
        <v>400</v>
      </c>
      <c r="I24" s="28">
        <f>0.25*1*1</f>
        <v>0.25</v>
      </c>
      <c r="J24" s="28">
        <f>I24*D24</f>
        <v>75</v>
      </c>
      <c r="K24" s="29"/>
      <c r="L24" s="29"/>
      <c r="M24" s="28"/>
      <c r="N24" s="28">
        <f>ROUND(D24/200,0)</f>
        <v>2</v>
      </c>
      <c r="O24" s="28"/>
      <c r="P24" s="29">
        <f t="shared" si="2"/>
        <v>2</v>
      </c>
      <c r="Q24" s="29"/>
      <c r="R24" s="31">
        <f t="shared" si="5"/>
        <v>17400</v>
      </c>
      <c r="S24" s="31"/>
    </row>
    <row r="25" spans="1:21" x14ac:dyDescent="0.2">
      <c r="B25" s="28">
        <v>25</v>
      </c>
      <c r="C25" s="32" t="s">
        <v>401</v>
      </c>
      <c r="D25" s="28">
        <v>0</v>
      </c>
      <c r="E25" s="32" t="s">
        <v>402</v>
      </c>
      <c r="F25" s="28">
        <v>30</v>
      </c>
      <c r="G25" s="28">
        <f>F25*D25</f>
        <v>0</v>
      </c>
      <c r="H25" s="28" t="s">
        <v>403</v>
      </c>
      <c r="I25" s="28">
        <f>1.5*0.2*1.5</f>
        <v>0.45000000000000007</v>
      </c>
      <c r="J25" s="28">
        <f>I25*D25</f>
        <v>0</v>
      </c>
      <c r="K25" s="29"/>
      <c r="L25" s="29"/>
      <c r="M25" s="28"/>
      <c r="N25" s="28"/>
      <c r="O25" s="28">
        <v>0</v>
      </c>
      <c r="P25" s="29">
        <f t="shared" si="2"/>
        <v>0</v>
      </c>
      <c r="Q25" s="29"/>
      <c r="R25" s="31">
        <f t="shared" si="5"/>
        <v>0</v>
      </c>
      <c r="S25" s="31"/>
    </row>
    <row r="26" spans="1:21" x14ac:dyDescent="0.2">
      <c r="B26" s="28">
        <v>26</v>
      </c>
      <c r="C26" s="32" t="s">
        <v>404</v>
      </c>
      <c r="D26" s="28">
        <v>1</v>
      </c>
      <c r="E26" s="32" t="s">
        <v>405</v>
      </c>
      <c r="F26" s="28">
        <v>500000</v>
      </c>
      <c r="G26" s="28">
        <f>F26*D26</f>
        <v>500000</v>
      </c>
      <c r="H26" s="28"/>
      <c r="I26" s="28">
        <f>17.5*3*2.4*20</f>
        <v>2520</v>
      </c>
      <c r="J26" s="28">
        <f t="shared" si="6"/>
        <v>2520</v>
      </c>
      <c r="K26" s="29"/>
      <c r="L26" s="29">
        <v>4</v>
      </c>
      <c r="M26" s="29">
        <v>4</v>
      </c>
      <c r="N26" s="29">
        <v>4</v>
      </c>
      <c r="O26" s="29">
        <v>4</v>
      </c>
      <c r="P26" s="29">
        <f t="shared" si="2"/>
        <v>16</v>
      </c>
      <c r="Q26" s="31"/>
      <c r="R26" s="31">
        <f t="shared" si="5"/>
        <v>127800</v>
      </c>
      <c r="S26" s="31"/>
    </row>
    <row r="27" spans="1:21" x14ac:dyDescent="0.2">
      <c r="A27" s="34" t="s">
        <v>437</v>
      </c>
      <c r="B27" s="28">
        <v>27</v>
      </c>
      <c r="C27" s="32" t="s">
        <v>119</v>
      </c>
      <c r="D27" s="28">
        <f>地铁隧道_报价物资清单!G42*9*6</f>
        <v>0</v>
      </c>
      <c r="E27" s="32" t="s">
        <v>15</v>
      </c>
      <c r="F27" s="28"/>
      <c r="G27" s="28"/>
      <c r="H27" s="28"/>
      <c r="I27" s="28"/>
      <c r="J27" s="28"/>
      <c r="K27" s="29"/>
      <c r="L27" s="29"/>
      <c r="M27" s="28"/>
      <c r="N27" s="28"/>
      <c r="O27" s="28">
        <f>ROUND(D27/8,0)</f>
        <v>0</v>
      </c>
      <c r="P27" s="29">
        <f t="shared" si="2"/>
        <v>0</v>
      </c>
      <c r="Q27" s="29"/>
      <c r="R27" s="31">
        <f t="shared" si="5"/>
        <v>0</v>
      </c>
      <c r="S27" s="31"/>
    </row>
    <row r="28" spans="1:21" x14ac:dyDescent="0.2">
      <c r="B28" s="59" t="s">
        <v>406</v>
      </c>
      <c r="C28" s="59"/>
      <c r="D28" s="59"/>
      <c r="E28" s="59"/>
      <c r="F28" s="59"/>
      <c r="G28" s="28">
        <f>SUM(G4:G26)</f>
        <v>2575391.44</v>
      </c>
      <c r="H28" s="28"/>
      <c r="I28" s="28"/>
      <c r="J28" s="28">
        <f>SUM(J4:J21)</f>
        <v>2767.6145532651999</v>
      </c>
      <c r="K28" s="29"/>
      <c r="L28" s="28">
        <f>SUM(L4:L26)</f>
        <v>17</v>
      </c>
      <c r="M28" s="28">
        <f t="shared" ref="M28:O28" si="8">SUM(M4:M26)</f>
        <v>18</v>
      </c>
      <c r="N28" s="28">
        <f t="shared" si="8"/>
        <v>37</v>
      </c>
      <c r="O28" s="28">
        <f t="shared" si="8"/>
        <v>21</v>
      </c>
      <c r="P28" s="28">
        <f>SUM(L28:O28)</f>
        <v>93</v>
      </c>
      <c r="Q28" s="31"/>
      <c r="R28" s="31">
        <f>SUM(R4:R27)</f>
        <v>782950</v>
      </c>
      <c r="S28" s="31"/>
    </row>
    <row r="29" spans="1:21" x14ac:dyDescent="0.2">
      <c r="B29" s="28"/>
      <c r="C29" s="28"/>
      <c r="D29" s="28"/>
      <c r="E29" s="28"/>
      <c r="F29" s="28"/>
      <c r="G29" s="28"/>
      <c r="H29" s="28"/>
      <c r="I29" s="28"/>
      <c r="J29" s="28"/>
      <c r="K29" s="29"/>
      <c r="L29" s="28"/>
      <c r="M29" s="28"/>
      <c r="N29" s="28"/>
      <c r="O29" s="28"/>
      <c r="P29" s="29"/>
      <c r="Q29" s="31"/>
      <c r="R29" s="31"/>
      <c r="S29" s="31"/>
    </row>
    <row r="30" spans="1:21" x14ac:dyDescent="0.2">
      <c r="B30" s="59" t="s">
        <v>407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31"/>
      <c r="S30" s="31"/>
    </row>
    <row r="31" spans="1:21" ht="25.5" x14ac:dyDescent="0.2">
      <c r="B31" s="59" t="s">
        <v>408</v>
      </c>
      <c r="C31" s="59"/>
      <c r="D31" s="59"/>
      <c r="E31" s="59"/>
      <c r="F31" s="59"/>
      <c r="G31" s="59"/>
      <c r="H31" s="59"/>
      <c r="I31" s="59"/>
      <c r="J31" s="59"/>
      <c r="K31" s="28" t="s">
        <v>409</v>
      </c>
      <c r="L31" s="18" t="s">
        <v>363</v>
      </c>
      <c r="M31" s="30" t="s">
        <v>364</v>
      </c>
      <c r="N31" s="30" t="s">
        <v>365</v>
      </c>
      <c r="O31" s="30" t="s">
        <v>366</v>
      </c>
      <c r="P31" s="40"/>
      <c r="Q31" s="31"/>
      <c r="R31" s="31"/>
      <c r="S31" s="31"/>
    </row>
    <row r="32" spans="1:21" x14ac:dyDescent="0.2">
      <c r="B32" s="58" t="str">
        <f>地铁隧道_报价物资清单!C4</f>
        <v>南京地区</v>
      </c>
      <c r="C32" s="58"/>
      <c r="D32" s="58"/>
      <c r="E32" s="58"/>
      <c r="F32" s="58"/>
      <c r="G32" s="58"/>
      <c r="H32" s="58"/>
      <c r="I32" s="58"/>
      <c r="J32" s="58"/>
      <c r="K32" s="29" t="s">
        <v>411</v>
      </c>
      <c r="L32" s="28">
        <f>VLOOKUP(B32,基础物流价格信息!$A$2:$F$10,3,0)</f>
        <v>2325</v>
      </c>
      <c r="M32" s="28">
        <f>VLOOKUP(B32,基础物流价格信息!$A$2:$F$10,4,0)</f>
        <v>3750</v>
      </c>
      <c r="N32" s="28">
        <f>VLOOKUP(B32,基础物流价格信息!$A$2:$F$10,5,0)</f>
        <v>4350</v>
      </c>
      <c r="O32" s="29">
        <f>VLOOKUP(B32,基础物流价格信息!$A$2:$F$10,6,0)</f>
        <v>5550</v>
      </c>
      <c r="P32" s="31"/>
      <c r="Q32" s="31"/>
      <c r="R32" s="31"/>
      <c r="S32" s="31"/>
    </row>
  </sheetData>
  <mergeCells count="17">
    <mergeCell ref="B1:P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32:J32"/>
    <mergeCell ref="K2:K3"/>
    <mergeCell ref="L2:Q2"/>
    <mergeCell ref="L12:L13"/>
    <mergeCell ref="B28:F28"/>
    <mergeCell ref="B30:Q30"/>
    <mergeCell ref="B31:J31"/>
  </mergeCells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570E-E4C2-4A19-89AC-C081F35EB669}">
  <dimension ref="A1:F10"/>
  <sheetViews>
    <sheetView zoomScale="130" zoomScaleNormal="130" workbookViewId="0">
      <selection activeCell="E17" sqref="E17"/>
    </sheetView>
  </sheetViews>
  <sheetFormatPr defaultColWidth="9" defaultRowHeight="14.25" x14ac:dyDescent="0.2"/>
  <cols>
    <col min="1" max="16384" width="9" style="45"/>
  </cols>
  <sheetData>
    <row r="1" spans="1:6" ht="25.5" x14ac:dyDescent="0.2">
      <c r="A1" s="49" t="s">
        <v>408</v>
      </c>
      <c r="B1" s="49" t="s">
        <v>409</v>
      </c>
      <c r="C1" s="18" t="s">
        <v>363</v>
      </c>
      <c r="D1" s="50" t="s">
        <v>364</v>
      </c>
      <c r="E1" s="50" t="s">
        <v>365</v>
      </c>
      <c r="F1" s="50" t="s">
        <v>366</v>
      </c>
    </row>
    <row r="2" spans="1:6" x14ac:dyDescent="0.2">
      <c r="A2" s="50" t="s">
        <v>410</v>
      </c>
      <c r="B2" s="50" t="s">
        <v>411</v>
      </c>
      <c r="C2" s="49">
        <v>705</v>
      </c>
      <c r="D2" s="49">
        <v>1425</v>
      </c>
      <c r="E2" s="49">
        <v>1650</v>
      </c>
      <c r="F2" s="50">
        <v>2175</v>
      </c>
    </row>
    <row r="3" spans="1:6" x14ac:dyDescent="0.2">
      <c r="A3" s="50" t="s">
        <v>467</v>
      </c>
      <c r="B3" s="50" t="s">
        <v>411</v>
      </c>
      <c r="C3" s="49">
        <v>2325</v>
      </c>
      <c r="D3" s="49">
        <v>3750</v>
      </c>
      <c r="E3" s="49">
        <v>4350</v>
      </c>
      <c r="F3" s="50">
        <v>5550</v>
      </c>
    </row>
    <row r="4" spans="1:6" x14ac:dyDescent="0.2">
      <c r="A4" s="50" t="s">
        <v>468</v>
      </c>
      <c r="B4" s="50" t="s">
        <v>411</v>
      </c>
      <c r="C4" s="49">
        <v>3720</v>
      </c>
      <c r="D4" s="49">
        <v>6000</v>
      </c>
      <c r="E4" s="49">
        <v>6525</v>
      </c>
      <c r="F4" s="50">
        <v>7875</v>
      </c>
    </row>
    <row r="5" spans="1:6" x14ac:dyDescent="0.2">
      <c r="A5" s="50" t="s">
        <v>469</v>
      </c>
      <c r="B5" s="50" t="s">
        <v>411</v>
      </c>
      <c r="C5" s="49">
        <v>6300</v>
      </c>
      <c r="D5" s="49">
        <v>9525</v>
      </c>
      <c r="E5" s="49">
        <v>10275</v>
      </c>
      <c r="F5" s="50">
        <v>12000</v>
      </c>
    </row>
    <row r="6" spans="1:6" x14ac:dyDescent="0.2">
      <c r="A6" s="50" t="s">
        <v>470</v>
      </c>
      <c r="B6" s="50" t="s">
        <v>411</v>
      </c>
      <c r="C6" s="49">
        <v>5775</v>
      </c>
      <c r="D6" s="49">
        <v>9525</v>
      </c>
      <c r="E6" s="49">
        <v>10275</v>
      </c>
      <c r="F6" s="50">
        <v>12300</v>
      </c>
    </row>
    <row r="7" spans="1:6" x14ac:dyDescent="0.2">
      <c r="A7" s="50" t="s">
        <v>471</v>
      </c>
      <c r="B7" s="50" t="s">
        <v>411</v>
      </c>
      <c r="C7" s="49">
        <v>6150</v>
      </c>
      <c r="D7" s="49">
        <v>9525</v>
      </c>
      <c r="E7" s="50">
        <v>10125</v>
      </c>
      <c r="F7" s="50">
        <v>12345</v>
      </c>
    </row>
    <row r="8" spans="1:6" x14ac:dyDescent="0.2">
      <c r="A8" s="50" t="s">
        <v>472</v>
      </c>
      <c r="B8" s="50" t="s">
        <v>411</v>
      </c>
      <c r="C8" s="49">
        <v>8925</v>
      </c>
      <c r="D8" s="49">
        <v>18000</v>
      </c>
      <c r="E8" s="50">
        <v>19500</v>
      </c>
      <c r="F8" s="50">
        <v>22500</v>
      </c>
    </row>
    <row r="9" spans="1:6" x14ac:dyDescent="0.2">
      <c r="A9" s="50" t="s">
        <v>473</v>
      </c>
      <c r="B9" s="50" t="s">
        <v>411</v>
      </c>
      <c r="C9" s="49">
        <v>11730</v>
      </c>
      <c r="D9" s="49">
        <v>23700</v>
      </c>
      <c r="E9" s="49">
        <v>25950</v>
      </c>
      <c r="F9" s="50">
        <v>31500</v>
      </c>
    </row>
    <row r="10" spans="1:6" x14ac:dyDescent="0.2">
      <c r="A10" s="50" t="s">
        <v>474</v>
      </c>
      <c r="B10" s="50" t="s">
        <v>411</v>
      </c>
      <c r="C10" s="49">
        <v>950</v>
      </c>
      <c r="D10" s="49">
        <v>1600</v>
      </c>
      <c r="E10" s="49">
        <v>2000</v>
      </c>
      <c r="F10" s="50">
        <v>2300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3595-29D6-4D57-BB98-0A5BEB96FBDD}">
  <dimension ref="A1:H76"/>
  <sheetViews>
    <sheetView zoomScale="130" zoomScaleNormal="130" workbookViewId="0">
      <selection activeCell="E17" sqref="E17"/>
    </sheetView>
  </sheetViews>
  <sheetFormatPr defaultRowHeight="14.25" x14ac:dyDescent="0.2"/>
  <cols>
    <col min="1" max="2" width="9" style="44"/>
    <col min="3" max="3" width="34.375" style="44" bestFit="1" customWidth="1"/>
    <col min="4" max="4" width="42.75" style="44" bestFit="1" customWidth="1"/>
    <col min="5" max="16384" width="9" style="44"/>
  </cols>
  <sheetData>
    <row r="1" spans="1:5" x14ac:dyDescent="0.2">
      <c r="A1" s="61" t="s">
        <v>501</v>
      </c>
      <c r="B1" s="47" t="s">
        <v>491</v>
      </c>
      <c r="C1" s="48" t="s">
        <v>498</v>
      </c>
      <c r="D1" s="48" t="s">
        <v>499</v>
      </c>
      <c r="E1" s="47" t="s">
        <v>492</v>
      </c>
    </row>
    <row r="2" spans="1:5" x14ac:dyDescent="0.2">
      <c r="A2" s="62"/>
      <c r="B2" s="47" t="s">
        <v>492</v>
      </c>
      <c r="C2" s="42" t="s">
        <v>513</v>
      </c>
      <c r="D2" s="47" t="str">
        <f t="shared" ref="D2:D37" si="0">B2&amp;C2</f>
        <v>上海地区门式32T/5T跨距20米以上-28米以下</v>
      </c>
      <c r="E2" s="47">
        <v>44000</v>
      </c>
    </row>
    <row r="3" spans="1:5" x14ac:dyDescent="0.2">
      <c r="A3" s="62"/>
      <c r="B3" s="47" t="s">
        <v>492</v>
      </c>
      <c r="C3" s="42" t="s">
        <v>512</v>
      </c>
      <c r="D3" s="47" t="str">
        <f t="shared" si="0"/>
        <v>上海地区门式32T/5T跨距28米以上-36米以下</v>
      </c>
      <c r="E3" s="47">
        <v>48000</v>
      </c>
    </row>
    <row r="4" spans="1:5" x14ac:dyDescent="0.2">
      <c r="A4" s="62"/>
      <c r="B4" s="47" t="s">
        <v>492</v>
      </c>
      <c r="C4" s="42" t="s">
        <v>514</v>
      </c>
      <c r="D4" s="47" t="str">
        <f t="shared" si="0"/>
        <v>上海地区门式50T跨距20米以上-28米以下</v>
      </c>
      <c r="E4" s="47">
        <v>64000</v>
      </c>
    </row>
    <row r="5" spans="1:5" x14ac:dyDescent="0.2">
      <c r="A5" s="62"/>
      <c r="B5" s="47" t="s">
        <v>492</v>
      </c>
      <c r="C5" s="42" t="s">
        <v>515</v>
      </c>
      <c r="D5" s="47" t="str">
        <f t="shared" si="0"/>
        <v>上海地区门式50T跨距28米以上-36米以下</v>
      </c>
      <c r="E5" s="47">
        <v>64000</v>
      </c>
    </row>
    <row r="6" spans="1:5" x14ac:dyDescent="0.2">
      <c r="A6" s="62"/>
      <c r="B6" s="47" t="s">
        <v>493</v>
      </c>
      <c r="C6" s="42" t="s">
        <v>513</v>
      </c>
      <c r="D6" s="47" t="str">
        <f t="shared" si="0"/>
        <v>南京地区门式32T/5T跨距20米以上-28米以下</v>
      </c>
      <c r="E6" s="47">
        <v>64000</v>
      </c>
    </row>
    <row r="7" spans="1:5" x14ac:dyDescent="0.2">
      <c r="A7" s="62"/>
      <c r="B7" s="47" t="s">
        <v>493</v>
      </c>
      <c r="C7" s="42" t="s">
        <v>512</v>
      </c>
      <c r="D7" s="47" t="str">
        <f t="shared" si="0"/>
        <v>南京地区门式32T/5T跨距28米以上-36米以下</v>
      </c>
      <c r="E7" s="47">
        <v>72000</v>
      </c>
    </row>
    <row r="8" spans="1:5" x14ac:dyDescent="0.2">
      <c r="A8" s="62"/>
      <c r="B8" s="47" t="s">
        <v>493</v>
      </c>
      <c r="C8" s="42" t="s">
        <v>514</v>
      </c>
      <c r="D8" s="47" t="str">
        <f t="shared" si="0"/>
        <v>南京地区门式50T跨距20米以上-28米以下</v>
      </c>
      <c r="E8" s="47">
        <v>72000</v>
      </c>
    </row>
    <row r="9" spans="1:5" x14ac:dyDescent="0.2">
      <c r="A9" s="62"/>
      <c r="B9" s="47" t="s">
        <v>493</v>
      </c>
      <c r="C9" s="42" t="s">
        <v>515</v>
      </c>
      <c r="D9" s="47" t="str">
        <f t="shared" si="0"/>
        <v>南京地区门式50T跨距28米以上-36米以下</v>
      </c>
      <c r="E9" s="47">
        <v>82000</v>
      </c>
    </row>
    <row r="10" spans="1:5" x14ac:dyDescent="0.2">
      <c r="A10" s="62"/>
      <c r="B10" s="47" t="s">
        <v>494</v>
      </c>
      <c r="C10" s="42" t="s">
        <v>513</v>
      </c>
      <c r="D10" s="47" t="str">
        <f t="shared" si="0"/>
        <v>浙江地区门式32T/5T跨距20米以上-28米以下</v>
      </c>
      <c r="E10" s="47">
        <v>64000</v>
      </c>
    </row>
    <row r="11" spans="1:5" x14ac:dyDescent="0.2">
      <c r="A11" s="62"/>
      <c r="B11" s="47" t="s">
        <v>494</v>
      </c>
      <c r="C11" s="42" t="s">
        <v>512</v>
      </c>
      <c r="D11" s="47" t="str">
        <f t="shared" si="0"/>
        <v>浙江地区门式32T/5T跨距28米以上-36米以下</v>
      </c>
      <c r="E11" s="47">
        <v>72000</v>
      </c>
    </row>
    <row r="12" spans="1:5" x14ac:dyDescent="0.2">
      <c r="A12" s="62"/>
      <c r="B12" s="47" t="s">
        <v>494</v>
      </c>
      <c r="C12" s="42" t="s">
        <v>514</v>
      </c>
      <c r="D12" s="47" t="str">
        <f t="shared" si="0"/>
        <v>浙江地区门式50T跨距20米以上-28米以下</v>
      </c>
      <c r="E12" s="47">
        <v>72000</v>
      </c>
    </row>
    <row r="13" spans="1:5" x14ac:dyDescent="0.2">
      <c r="A13" s="62"/>
      <c r="B13" s="47" t="s">
        <v>494</v>
      </c>
      <c r="C13" s="42" t="s">
        <v>515</v>
      </c>
      <c r="D13" s="47" t="str">
        <f t="shared" si="0"/>
        <v>浙江地区门式50T跨距28米以上-36米以下</v>
      </c>
      <c r="E13" s="47">
        <v>82000</v>
      </c>
    </row>
    <row r="14" spans="1:5" x14ac:dyDescent="0.2">
      <c r="A14" s="62"/>
      <c r="B14" s="47" t="s">
        <v>495</v>
      </c>
      <c r="C14" s="42" t="s">
        <v>513</v>
      </c>
      <c r="D14" s="47" t="str">
        <f t="shared" si="0"/>
        <v>郑州地区门式32T/5T跨距20米以上-28米以下</v>
      </c>
      <c r="E14" s="47">
        <v>196000</v>
      </c>
    </row>
    <row r="15" spans="1:5" x14ac:dyDescent="0.2">
      <c r="A15" s="62"/>
      <c r="B15" s="47" t="s">
        <v>495</v>
      </c>
      <c r="C15" s="42" t="s">
        <v>512</v>
      </c>
      <c r="D15" s="47" t="str">
        <f t="shared" si="0"/>
        <v>郑州地区门式32T/5T跨距28米以上-36米以下</v>
      </c>
      <c r="E15" s="47">
        <v>236000</v>
      </c>
    </row>
    <row r="16" spans="1:5" x14ac:dyDescent="0.2">
      <c r="A16" s="62"/>
      <c r="B16" s="47" t="s">
        <v>495</v>
      </c>
      <c r="C16" s="42" t="s">
        <v>514</v>
      </c>
      <c r="D16" s="47" t="str">
        <f t="shared" si="0"/>
        <v>郑州地区门式50T跨距20米以上-28米以下</v>
      </c>
      <c r="E16" s="47">
        <v>236000</v>
      </c>
    </row>
    <row r="17" spans="1:5" x14ac:dyDescent="0.2">
      <c r="A17" s="62"/>
      <c r="B17" s="47" t="s">
        <v>495</v>
      </c>
      <c r="C17" s="42" t="s">
        <v>515</v>
      </c>
      <c r="D17" s="47" t="str">
        <f t="shared" si="0"/>
        <v>郑州地区门式50T跨距28米以上-36米以下</v>
      </c>
      <c r="E17" s="47">
        <v>254000</v>
      </c>
    </row>
    <row r="18" spans="1:5" x14ac:dyDescent="0.2">
      <c r="A18" s="62"/>
      <c r="B18" s="47" t="s">
        <v>488</v>
      </c>
      <c r="C18" s="42" t="s">
        <v>513</v>
      </c>
      <c r="D18" s="47" t="str">
        <f t="shared" si="0"/>
        <v>武汉地区门式32T/5T跨距20米以上-28米以下</v>
      </c>
      <c r="E18" s="47">
        <v>186000</v>
      </c>
    </row>
    <row r="19" spans="1:5" x14ac:dyDescent="0.2">
      <c r="A19" s="62"/>
      <c r="B19" s="47" t="s">
        <v>488</v>
      </c>
      <c r="C19" s="42" t="s">
        <v>512</v>
      </c>
      <c r="D19" s="47" t="str">
        <f t="shared" si="0"/>
        <v>武汉地区门式32T/5T跨距28米以上-36米以下</v>
      </c>
      <c r="E19" s="47">
        <v>226000</v>
      </c>
    </row>
    <row r="20" spans="1:5" x14ac:dyDescent="0.2">
      <c r="A20" s="62"/>
      <c r="B20" s="47" t="s">
        <v>488</v>
      </c>
      <c r="C20" s="42" t="s">
        <v>514</v>
      </c>
      <c r="D20" s="47" t="str">
        <f t="shared" si="0"/>
        <v>武汉地区门式50T跨距20米以上-28米以下</v>
      </c>
      <c r="E20" s="47">
        <v>226000</v>
      </c>
    </row>
    <row r="21" spans="1:5" x14ac:dyDescent="0.2">
      <c r="A21" s="62"/>
      <c r="B21" s="47" t="s">
        <v>488</v>
      </c>
      <c r="C21" s="42" t="s">
        <v>515</v>
      </c>
      <c r="D21" s="47" t="str">
        <f t="shared" si="0"/>
        <v>武汉地区门式50T跨距28米以上-36米以下</v>
      </c>
      <c r="E21" s="47">
        <v>248000</v>
      </c>
    </row>
    <row r="22" spans="1:5" x14ac:dyDescent="0.2">
      <c r="A22" s="62"/>
      <c r="B22" s="47" t="s">
        <v>496</v>
      </c>
      <c r="C22" s="42" t="s">
        <v>513</v>
      </c>
      <c r="D22" s="47" t="str">
        <f t="shared" si="0"/>
        <v>福建地区门式32T/5T跨距20米以上-28米以下</v>
      </c>
      <c r="E22" s="47">
        <v>186000</v>
      </c>
    </row>
    <row r="23" spans="1:5" x14ac:dyDescent="0.2">
      <c r="A23" s="62"/>
      <c r="B23" s="47" t="s">
        <v>496</v>
      </c>
      <c r="C23" s="42" t="s">
        <v>512</v>
      </c>
      <c r="D23" s="47" t="str">
        <f t="shared" si="0"/>
        <v>福建地区门式32T/5T跨距28米以上-36米以下</v>
      </c>
      <c r="E23" s="47">
        <v>226000</v>
      </c>
    </row>
    <row r="24" spans="1:5" x14ac:dyDescent="0.2">
      <c r="A24" s="62"/>
      <c r="B24" s="47" t="s">
        <v>496</v>
      </c>
      <c r="C24" s="42" t="s">
        <v>514</v>
      </c>
      <c r="D24" s="47" t="str">
        <f t="shared" si="0"/>
        <v>福建地区门式50T跨距20米以上-28米以下</v>
      </c>
      <c r="E24" s="47">
        <v>226000</v>
      </c>
    </row>
    <row r="25" spans="1:5" x14ac:dyDescent="0.2">
      <c r="A25" s="62"/>
      <c r="B25" s="47" t="s">
        <v>496</v>
      </c>
      <c r="C25" s="42" t="s">
        <v>515</v>
      </c>
      <c r="D25" s="47" t="str">
        <f t="shared" si="0"/>
        <v>福建地区门式50T跨距28米以上-36米以下</v>
      </c>
      <c r="E25" s="47">
        <v>248000</v>
      </c>
    </row>
    <row r="26" spans="1:5" x14ac:dyDescent="0.2">
      <c r="A26" s="62"/>
      <c r="B26" s="47" t="s">
        <v>487</v>
      </c>
      <c r="C26" s="42" t="s">
        <v>513</v>
      </c>
      <c r="D26" s="47" t="str">
        <f t="shared" si="0"/>
        <v>广东地区门式32T/5T跨距20米以上-28米以下</v>
      </c>
      <c r="E26" s="47">
        <v>247000</v>
      </c>
    </row>
    <row r="27" spans="1:5" x14ac:dyDescent="0.2">
      <c r="A27" s="62"/>
      <c r="B27" s="47" t="s">
        <v>487</v>
      </c>
      <c r="C27" s="42" t="s">
        <v>512</v>
      </c>
      <c r="D27" s="47" t="str">
        <f t="shared" si="0"/>
        <v>广东地区门式32T/5T跨距28米以上-36米以下</v>
      </c>
      <c r="E27" s="47">
        <v>287000</v>
      </c>
    </row>
    <row r="28" spans="1:5" x14ac:dyDescent="0.2">
      <c r="A28" s="62"/>
      <c r="B28" s="47" t="s">
        <v>487</v>
      </c>
      <c r="C28" s="42" t="s">
        <v>514</v>
      </c>
      <c r="D28" s="47" t="str">
        <f t="shared" si="0"/>
        <v>广东地区门式50T跨距20米以上-28米以下</v>
      </c>
      <c r="E28" s="47">
        <v>287000</v>
      </c>
    </row>
    <row r="29" spans="1:5" x14ac:dyDescent="0.2">
      <c r="A29" s="62"/>
      <c r="B29" s="47" t="s">
        <v>487</v>
      </c>
      <c r="C29" s="42" t="s">
        <v>515</v>
      </c>
      <c r="D29" s="47" t="str">
        <f t="shared" si="0"/>
        <v>广东地区门式50T跨距28米以上-36米以下</v>
      </c>
      <c r="E29" s="47">
        <v>312000</v>
      </c>
    </row>
    <row r="30" spans="1:5" x14ac:dyDescent="0.2">
      <c r="A30" s="62"/>
      <c r="B30" s="47" t="s">
        <v>497</v>
      </c>
      <c r="C30" s="42" t="s">
        <v>513</v>
      </c>
      <c r="D30" s="47" t="str">
        <f t="shared" si="0"/>
        <v>昆明地区门式32T/5T跨距20米以上-28米以下</v>
      </c>
      <c r="E30" s="47"/>
    </row>
    <row r="31" spans="1:5" x14ac:dyDescent="0.2">
      <c r="A31" s="62"/>
      <c r="B31" s="47" t="s">
        <v>497</v>
      </c>
      <c r="C31" s="42" t="s">
        <v>512</v>
      </c>
      <c r="D31" s="47" t="str">
        <f t="shared" si="0"/>
        <v>昆明地区门式32T/5T跨距28米以上-36米以下</v>
      </c>
      <c r="E31" s="47"/>
    </row>
    <row r="32" spans="1:5" x14ac:dyDescent="0.2">
      <c r="A32" s="62"/>
      <c r="B32" s="47" t="s">
        <v>497</v>
      </c>
      <c r="C32" s="42" t="s">
        <v>514</v>
      </c>
      <c r="D32" s="47" t="str">
        <f t="shared" si="0"/>
        <v>昆明地区门式50T跨距20米以上-28米以下</v>
      </c>
      <c r="E32" s="47"/>
    </row>
    <row r="33" spans="1:8" x14ac:dyDescent="0.2">
      <c r="A33" s="62"/>
      <c r="B33" s="47" t="s">
        <v>497</v>
      </c>
      <c r="C33" s="42" t="s">
        <v>515</v>
      </c>
      <c r="D33" s="47" t="str">
        <f t="shared" si="0"/>
        <v>昆明地区门式50T跨距28米以上-36米以下</v>
      </c>
      <c r="E33" s="47"/>
    </row>
    <row r="34" spans="1:8" x14ac:dyDescent="0.2">
      <c r="A34" s="62"/>
      <c r="B34" s="47" t="s">
        <v>489</v>
      </c>
      <c r="C34" s="42" t="s">
        <v>513</v>
      </c>
      <c r="D34" s="47" t="str">
        <f t="shared" si="0"/>
        <v>无锡地区门式32T/5T跨距20米以上-28米以下</v>
      </c>
      <c r="E34" s="47">
        <v>64000</v>
      </c>
    </row>
    <row r="35" spans="1:8" x14ac:dyDescent="0.2">
      <c r="A35" s="62"/>
      <c r="B35" s="47" t="s">
        <v>489</v>
      </c>
      <c r="C35" s="42" t="s">
        <v>512</v>
      </c>
      <c r="D35" s="47" t="str">
        <f t="shared" si="0"/>
        <v>无锡地区门式32T/5T跨距28米以上-36米以下</v>
      </c>
      <c r="E35" s="47">
        <v>72000</v>
      </c>
    </row>
    <row r="36" spans="1:8" x14ac:dyDescent="0.2">
      <c r="A36" s="62"/>
      <c r="B36" s="47" t="s">
        <v>489</v>
      </c>
      <c r="C36" s="42" t="s">
        <v>514</v>
      </c>
      <c r="D36" s="47" t="str">
        <f t="shared" si="0"/>
        <v>无锡地区门式50T跨距20米以上-28米以下</v>
      </c>
      <c r="E36" s="47">
        <v>72000</v>
      </c>
    </row>
    <row r="37" spans="1:8" x14ac:dyDescent="0.2">
      <c r="A37" s="62"/>
      <c r="B37" s="47" t="s">
        <v>489</v>
      </c>
      <c r="C37" s="42" t="s">
        <v>515</v>
      </c>
      <c r="D37" s="47" t="str">
        <f t="shared" si="0"/>
        <v>无锡地区门式50T跨距28米以上-36米以下</v>
      </c>
      <c r="E37" s="47">
        <v>82000</v>
      </c>
    </row>
    <row r="39" spans="1:8" x14ac:dyDescent="0.2">
      <c r="C39" s="42"/>
    </row>
    <row r="40" spans="1:8" x14ac:dyDescent="0.2">
      <c r="A40" s="47"/>
      <c r="B40" s="47" t="s">
        <v>491</v>
      </c>
      <c r="C40" s="48" t="s">
        <v>498</v>
      </c>
      <c r="D40" s="48" t="s">
        <v>499</v>
      </c>
      <c r="E40" s="48" t="s">
        <v>502</v>
      </c>
      <c r="F40" s="48" t="s">
        <v>503</v>
      </c>
      <c r="G40" s="48" t="s">
        <v>350</v>
      </c>
      <c r="H40" s="47"/>
    </row>
    <row r="41" spans="1:8" x14ac:dyDescent="0.2">
      <c r="A41" s="63" t="s">
        <v>449</v>
      </c>
      <c r="B41" s="47" t="s">
        <v>492</v>
      </c>
      <c r="C41" s="42" t="s">
        <v>513</v>
      </c>
      <c r="D41" s="47" t="str">
        <f t="shared" ref="D41:D76" si="1">B41&amp;C41</f>
        <v>上海地区门式32T/5T跨距20米以上-28米以下</v>
      </c>
      <c r="E41" s="47">
        <v>177000</v>
      </c>
      <c r="F41" s="47">
        <f>G41-E41</f>
        <v>83000</v>
      </c>
      <c r="G41" s="47">
        <v>260000</v>
      </c>
      <c r="H41" s="47"/>
    </row>
    <row r="42" spans="1:8" x14ac:dyDescent="0.2">
      <c r="A42" s="64"/>
      <c r="B42" s="47" t="s">
        <v>492</v>
      </c>
      <c r="C42" s="42" t="s">
        <v>512</v>
      </c>
      <c r="D42" s="47" t="str">
        <f t="shared" si="1"/>
        <v>上海地区门式32T/5T跨距28米以上-36米以下</v>
      </c>
      <c r="E42" s="47">
        <v>177000</v>
      </c>
      <c r="F42" s="47">
        <f t="shared" ref="F42:F44" si="2">G42-E42</f>
        <v>83000</v>
      </c>
      <c r="G42" s="47">
        <v>260000</v>
      </c>
      <c r="H42" s="47"/>
    </row>
    <row r="43" spans="1:8" x14ac:dyDescent="0.2">
      <c r="A43" s="64"/>
      <c r="B43" s="47" t="s">
        <v>492</v>
      </c>
      <c r="C43" s="42" t="s">
        <v>514</v>
      </c>
      <c r="D43" s="47" t="str">
        <f t="shared" si="1"/>
        <v>上海地区门式50T跨距20米以上-28米以下</v>
      </c>
      <c r="E43" s="47">
        <v>192000</v>
      </c>
      <c r="F43" s="47">
        <f t="shared" si="2"/>
        <v>93000</v>
      </c>
      <c r="G43" s="47">
        <v>285000</v>
      </c>
      <c r="H43" s="47"/>
    </row>
    <row r="44" spans="1:8" x14ac:dyDescent="0.2">
      <c r="A44" s="64"/>
      <c r="B44" s="47" t="s">
        <v>492</v>
      </c>
      <c r="C44" s="42" t="s">
        <v>515</v>
      </c>
      <c r="D44" s="47" t="str">
        <f t="shared" si="1"/>
        <v>上海地区门式50T跨距28米以上-36米以下</v>
      </c>
      <c r="E44" s="47">
        <v>238000</v>
      </c>
      <c r="F44" s="47">
        <f t="shared" si="2"/>
        <v>47000</v>
      </c>
      <c r="G44" s="47">
        <v>285000</v>
      </c>
      <c r="H44" s="47"/>
    </row>
    <row r="45" spans="1:8" x14ac:dyDescent="0.2">
      <c r="A45" s="64"/>
      <c r="B45" s="47" t="s">
        <v>493</v>
      </c>
      <c r="C45" s="42" t="s">
        <v>513</v>
      </c>
      <c r="D45" s="47" t="str">
        <f t="shared" si="1"/>
        <v>南京地区门式32T/5T跨距20米以上-28米以下</v>
      </c>
      <c r="E45" s="47">
        <v>198000</v>
      </c>
      <c r="F45" s="47">
        <v>83000</v>
      </c>
      <c r="G45" s="47">
        <f>E45+F45</f>
        <v>281000</v>
      </c>
      <c r="H45" s="47"/>
    </row>
    <row r="46" spans="1:8" x14ac:dyDescent="0.2">
      <c r="A46" s="64"/>
      <c r="B46" s="47" t="s">
        <v>493</v>
      </c>
      <c r="C46" s="42" t="s">
        <v>512</v>
      </c>
      <c r="D46" s="47" t="str">
        <f t="shared" si="1"/>
        <v>南京地区门式32T/5T跨距28米以上-36米以下</v>
      </c>
      <c r="E46" s="47">
        <v>198000</v>
      </c>
      <c r="F46" s="47">
        <v>83000</v>
      </c>
      <c r="G46" s="47">
        <f t="shared" ref="G46:G76" si="3">E46+F46</f>
        <v>281000</v>
      </c>
      <c r="H46" s="47"/>
    </row>
    <row r="47" spans="1:8" x14ac:dyDescent="0.2">
      <c r="A47" s="64"/>
      <c r="B47" s="47" t="s">
        <v>493</v>
      </c>
      <c r="C47" s="42" t="s">
        <v>514</v>
      </c>
      <c r="D47" s="47" t="str">
        <f t="shared" si="1"/>
        <v>南京地区门式50T跨距20米以上-28米以下</v>
      </c>
      <c r="E47" s="47">
        <v>217000</v>
      </c>
      <c r="F47" s="47">
        <v>93000</v>
      </c>
      <c r="G47" s="47">
        <f t="shared" si="3"/>
        <v>310000</v>
      </c>
      <c r="H47" s="47"/>
    </row>
    <row r="48" spans="1:8" x14ac:dyDescent="0.2">
      <c r="A48" s="64"/>
      <c r="B48" s="47" t="s">
        <v>493</v>
      </c>
      <c r="C48" s="42" t="s">
        <v>515</v>
      </c>
      <c r="D48" s="47" t="str">
        <f t="shared" si="1"/>
        <v>南京地区门式50T跨距28米以上-36米以下</v>
      </c>
      <c r="E48" s="47">
        <v>263000</v>
      </c>
      <c r="F48" s="47">
        <v>47000</v>
      </c>
      <c r="G48" s="47">
        <f t="shared" si="3"/>
        <v>310000</v>
      </c>
      <c r="H48" s="47"/>
    </row>
    <row r="49" spans="1:8" x14ac:dyDescent="0.2">
      <c r="A49" s="64"/>
      <c r="B49" s="47" t="s">
        <v>494</v>
      </c>
      <c r="C49" s="42" t="s">
        <v>513</v>
      </c>
      <c r="D49" s="47" t="str">
        <f t="shared" si="1"/>
        <v>浙江地区门式32T/5T跨距20米以上-28米以下</v>
      </c>
      <c r="E49" s="47">
        <v>198000</v>
      </c>
      <c r="F49" s="47">
        <v>83000</v>
      </c>
      <c r="G49" s="47">
        <f t="shared" si="3"/>
        <v>281000</v>
      </c>
      <c r="H49" s="47"/>
    </row>
    <row r="50" spans="1:8" x14ac:dyDescent="0.2">
      <c r="A50" s="64"/>
      <c r="B50" s="47" t="s">
        <v>494</v>
      </c>
      <c r="C50" s="42" t="s">
        <v>512</v>
      </c>
      <c r="D50" s="47" t="str">
        <f t="shared" si="1"/>
        <v>浙江地区门式32T/5T跨距28米以上-36米以下</v>
      </c>
      <c r="E50" s="47">
        <v>198000</v>
      </c>
      <c r="F50" s="47">
        <v>83000</v>
      </c>
      <c r="G50" s="47">
        <f t="shared" si="3"/>
        <v>281000</v>
      </c>
      <c r="H50" s="47"/>
    </row>
    <row r="51" spans="1:8" x14ac:dyDescent="0.2">
      <c r="A51" s="64"/>
      <c r="B51" s="47" t="s">
        <v>494</v>
      </c>
      <c r="C51" s="42" t="s">
        <v>514</v>
      </c>
      <c r="D51" s="47" t="str">
        <f t="shared" si="1"/>
        <v>浙江地区门式50T跨距20米以上-28米以下</v>
      </c>
      <c r="E51" s="47">
        <v>217000</v>
      </c>
      <c r="F51" s="47">
        <v>93000</v>
      </c>
      <c r="G51" s="47">
        <f t="shared" si="3"/>
        <v>310000</v>
      </c>
      <c r="H51" s="47"/>
    </row>
    <row r="52" spans="1:8" x14ac:dyDescent="0.2">
      <c r="A52" s="64"/>
      <c r="B52" s="47" t="s">
        <v>494</v>
      </c>
      <c r="C52" s="42" t="s">
        <v>515</v>
      </c>
      <c r="D52" s="47" t="str">
        <f t="shared" si="1"/>
        <v>浙江地区门式50T跨距28米以上-36米以下</v>
      </c>
      <c r="E52" s="47">
        <v>263000</v>
      </c>
      <c r="F52" s="47">
        <v>47000</v>
      </c>
      <c r="G52" s="47">
        <f t="shared" si="3"/>
        <v>310000</v>
      </c>
      <c r="H52" s="47"/>
    </row>
    <row r="53" spans="1:8" x14ac:dyDescent="0.2">
      <c r="A53" s="64"/>
      <c r="B53" s="47" t="s">
        <v>495</v>
      </c>
      <c r="C53" s="42" t="s">
        <v>513</v>
      </c>
      <c r="D53" s="47" t="str">
        <f t="shared" si="1"/>
        <v>郑州地区门式32T/5T跨距20米以上-28米以下</v>
      </c>
      <c r="E53" s="47">
        <v>198000</v>
      </c>
      <c r="F53" s="47">
        <v>83000</v>
      </c>
      <c r="G53" s="47">
        <f t="shared" si="3"/>
        <v>281000</v>
      </c>
      <c r="H53" s="47"/>
    </row>
    <row r="54" spans="1:8" x14ac:dyDescent="0.2">
      <c r="A54" s="64"/>
      <c r="B54" s="47" t="s">
        <v>495</v>
      </c>
      <c r="C54" s="42" t="s">
        <v>512</v>
      </c>
      <c r="D54" s="47" t="str">
        <f t="shared" si="1"/>
        <v>郑州地区门式32T/5T跨距28米以上-36米以下</v>
      </c>
      <c r="E54" s="47">
        <v>198000</v>
      </c>
      <c r="F54" s="47">
        <v>83000</v>
      </c>
      <c r="G54" s="47">
        <f t="shared" si="3"/>
        <v>281000</v>
      </c>
      <c r="H54" s="47"/>
    </row>
    <row r="55" spans="1:8" x14ac:dyDescent="0.2">
      <c r="A55" s="64"/>
      <c r="B55" s="47" t="s">
        <v>495</v>
      </c>
      <c r="C55" s="42" t="s">
        <v>514</v>
      </c>
      <c r="D55" s="47" t="str">
        <f t="shared" si="1"/>
        <v>郑州地区门式50T跨距20米以上-28米以下</v>
      </c>
      <c r="E55" s="47">
        <v>217000</v>
      </c>
      <c r="F55" s="47">
        <v>93000</v>
      </c>
      <c r="G55" s="47">
        <f t="shared" si="3"/>
        <v>310000</v>
      </c>
      <c r="H55" s="47"/>
    </row>
    <row r="56" spans="1:8" x14ac:dyDescent="0.2">
      <c r="A56" s="64"/>
      <c r="B56" s="47" t="s">
        <v>495</v>
      </c>
      <c r="C56" s="42" t="s">
        <v>515</v>
      </c>
      <c r="D56" s="47" t="str">
        <f t="shared" si="1"/>
        <v>郑州地区门式50T跨距28米以上-36米以下</v>
      </c>
      <c r="E56" s="47">
        <v>263000</v>
      </c>
      <c r="F56" s="47">
        <v>47000</v>
      </c>
      <c r="G56" s="47">
        <f t="shared" si="3"/>
        <v>310000</v>
      </c>
      <c r="H56" s="47"/>
    </row>
    <row r="57" spans="1:8" x14ac:dyDescent="0.2">
      <c r="A57" s="64"/>
      <c r="B57" s="47" t="s">
        <v>488</v>
      </c>
      <c r="C57" s="42" t="s">
        <v>513</v>
      </c>
      <c r="D57" s="47" t="str">
        <f t="shared" si="1"/>
        <v>武汉地区门式32T/5T跨距20米以上-28米以下</v>
      </c>
      <c r="E57" s="47">
        <v>198000</v>
      </c>
      <c r="F57" s="47">
        <v>83000</v>
      </c>
      <c r="G57" s="47">
        <f t="shared" si="3"/>
        <v>281000</v>
      </c>
      <c r="H57" s="47"/>
    </row>
    <row r="58" spans="1:8" x14ac:dyDescent="0.2">
      <c r="A58" s="64"/>
      <c r="B58" s="47" t="s">
        <v>488</v>
      </c>
      <c r="C58" s="42" t="s">
        <v>512</v>
      </c>
      <c r="D58" s="47" t="str">
        <f t="shared" si="1"/>
        <v>武汉地区门式32T/5T跨距28米以上-36米以下</v>
      </c>
      <c r="E58" s="47">
        <v>198000</v>
      </c>
      <c r="F58" s="47">
        <v>83000</v>
      </c>
      <c r="G58" s="47">
        <f t="shared" si="3"/>
        <v>281000</v>
      </c>
      <c r="H58" s="47"/>
    </row>
    <row r="59" spans="1:8" x14ac:dyDescent="0.2">
      <c r="A59" s="64"/>
      <c r="B59" s="47" t="s">
        <v>488</v>
      </c>
      <c r="C59" s="42" t="s">
        <v>514</v>
      </c>
      <c r="D59" s="47" t="str">
        <f t="shared" si="1"/>
        <v>武汉地区门式50T跨距20米以上-28米以下</v>
      </c>
      <c r="E59" s="47">
        <v>217000</v>
      </c>
      <c r="F59" s="47">
        <v>93000</v>
      </c>
      <c r="G59" s="47">
        <f t="shared" si="3"/>
        <v>310000</v>
      </c>
      <c r="H59" s="47"/>
    </row>
    <row r="60" spans="1:8" x14ac:dyDescent="0.2">
      <c r="A60" s="64"/>
      <c r="B60" s="47" t="s">
        <v>488</v>
      </c>
      <c r="C60" s="42" t="s">
        <v>515</v>
      </c>
      <c r="D60" s="47" t="str">
        <f t="shared" si="1"/>
        <v>武汉地区门式50T跨距28米以上-36米以下</v>
      </c>
      <c r="E60" s="47">
        <v>263000</v>
      </c>
      <c r="F60" s="47">
        <v>47000</v>
      </c>
      <c r="G60" s="47">
        <f t="shared" si="3"/>
        <v>310000</v>
      </c>
      <c r="H60" s="47"/>
    </row>
    <row r="61" spans="1:8" x14ac:dyDescent="0.2">
      <c r="A61" s="64"/>
      <c r="B61" s="47" t="s">
        <v>496</v>
      </c>
      <c r="C61" s="42" t="s">
        <v>513</v>
      </c>
      <c r="D61" s="47" t="str">
        <f t="shared" si="1"/>
        <v>福建地区门式32T/5T跨距20米以上-28米以下</v>
      </c>
      <c r="E61" s="47">
        <v>198000</v>
      </c>
      <c r="F61" s="47">
        <v>83000</v>
      </c>
      <c r="G61" s="47">
        <f t="shared" si="3"/>
        <v>281000</v>
      </c>
      <c r="H61" s="47"/>
    </row>
    <row r="62" spans="1:8" x14ac:dyDescent="0.2">
      <c r="A62" s="64"/>
      <c r="B62" s="47" t="s">
        <v>496</v>
      </c>
      <c r="C62" s="42" t="s">
        <v>512</v>
      </c>
      <c r="D62" s="47" t="str">
        <f t="shared" si="1"/>
        <v>福建地区门式32T/5T跨距28米以上-36米以下</v>
      </c>
      <c r="E62" s="47">
        <v>198000</v>
      </c>
      <c r="F62" s="47">
        <v>83000</v>
      </c>
      <c r="G62" s="47">
        <f t="shared" si="3"/>
        <v>281000</v>
      </c>
      <c r="H62" s="47"/>
    </row>
    <row r="63" spans="1:8" x14ac:dyDescent="0.2">
      <c r="A63" s="64"/>
      <c r="B63" s="47" t="s">
        <v>496</v>
      </c>
      <c r="C63" s="42" t="s">
        <v>514</v>
      </c>
      <c r="D63" s="47" t="str">
        <f t="shared" si="1"/>
        <v>福建地区门式50T跨距20米以上-28米以下</v>
      </c>
      <c r="E63" s="47">
        <v>217000</v>
      </c>
      <c r="F63" s="47">
        <v>93000</v>
      </c>
      <c r="G63" s="47">
        <f t="shared" si="3"/>
        <v>310000</v>
      </c>
      <c r="H63" s="47"/>
    </row>
    <row r="64" spans="1:8" x14ac:dyDescent="0.2">
      <c r="A64" s="64"/>
      <c r="B64" s="47" t="s">
        <v>496</v>
      </c>
      <c r="C64" s="42" t="s">
        <v>515</v>
      </c>
      <c r="D64" s="47" t="str">
        <f t="shared" si="1"/>
        <v>福建地区门式50T跨距28米以上-36米以下</v>
      </c>
      <c r="E64" s="47">
        <v>263000</v>
      </c>
      <c r="F64" s="47">
        <v>47000</v>
      </c>
      <c r="G64" s="47">
        <f t="shared" si="3"/>
        <v>310000</v>
      </c>
      <c r="H64" s="47"/>
    </row>
    <row r="65" spans="1:8" x14ac:dyDescent="0.2">
      <c r="A65" s="64"/>
      <c r="B65" s="47" t="s">
        <v>487</v>
      </c>
      <c r="C65" s="42" t="s">
        <v>513</v>
      </c>
      <c r="D65" s="47" t="str">
        <f t="shared" si="1"/>
        <v>广东地区门式32T/5T跨距20米以上-28米以下</v>
      </c>
      <c r="E65" s="47">
        <v>198000</v>
      </c>
      <c r="F65" s="47">
        <v>83000</v>
      </c>
      <c r="G65" s="47">
        <f t="shared" si="3"/>
        <v>281000</v>
      </c>
      <c r="H65" s="47"/>
    </row>
    <row r="66" spans="1:8" x14ac:dyDescent="0.2">
      <c r="A66" s="64"/>
      <c r="B66" s="47" t="s">
        <v>487</v>
      </c>
      <c r="C66" s="42" t="s">
        <v>512</v>
      </c>
      <c r="D66" s="47" t="str">
        <f t="shared" si="1"/>
        <v>广东地区门式32T/5T跨距28米以上-36米以下</v>
      </c>
      <c r="E66" s="47">
        <v>198000</v>
      </c>
      <c r="F66" s="47">
        <v>83000</v>
      </c>
      <c r="G66" s="47">
        <f t="shared" si="3"/>
        <v>281000</v>
      </c>
      <c r="H66" s="47"/>
    </row>
    <row r="67" spans="1:8" x14ac:dyDescent="0.2">
      <c r="A67" s="64"/>
      <c r="B67" s="47" t="s">
        <v>487</v>
      </c>
      <c r="C67" s="42" t="s">
        <v>514</v>
      </c>
      <c r="D67" s="47" t="str">
        <f t="shared" si="1"/>
        <v>广东地区门式50T跨距20米以上-28米以下</v>
      </c>
      <c r="E67" s="47">
        <v>217000</v>
      </c>
      <c r="F67" s="47">
        <v>93000</v>
      </c>
      <c r="G67" s="47">
        <f t="shared" si="3"/>
        <v>310000</v>
      </c>
      <c r="H67" s="47"/>
    </row>
    <row r="68" spans="1:8" x14ac:dyDescent="0.2">
      <c r="A68" s="64"/>
      <c r="B68" s="47" t="s">
        <v>487</v>
      </c>
      <c r="C68" s="42" t="s">
        <v>515</v>
      </c>
      <c r="D68" s="47" t="str">
        <f t="shared" si="1"/>
        <v>广东地区门式50T跨距28米以上-36米以下</v>
      </c>
      <c r="E68" s="47">
        <v>263000</v>
      </c>
      <c r="F68" s="47">
        <v>47000</v>
      </c>
      <c r="G68" s="47">
        <f t="shared" si="3"/>
        <v>310000</v>
      </c>
      <c r="H68" s="47"/>
    </row>
    <row r="69" spans="1:8" x14ac:dyDescent="0.2">
      <c r="A69" s="64"/>
      <c r="B69" s="47" t="s">
        <v>497</v>
      </c>
      <c r="C69" s="42" t="s">
        <v>513</v>
      </c>
      <c r="D69" s="47" t="str">
        <f t="shared" si="1"/>
        <v>昆明地区门式32T/5T跨距20米以上-28米以下</v>
      </c>
      <c r="E69" s="47">
        <v>198000</v>
      </c>
      <c r="F69" s="47">
        <v>83000</v>
      </c>
      <c r="G69" s="47">
        <f t="shared" si="3"/>
        <v>281000</v>
      </c>
      <c r="H69" s="47"/>
    </row>
    <row r="70" spans="1:8" x14ac:dyDescent="0.2">
      <c r="A70" s="64"/>
      <c r="B70" s="47" t="s">
        <v>497</v>
      </c>
      <c r="C70" s="42" t="s">
        <v>512</v>
      </c>
      <c r="D70" s="47" t="str">
        <f t="shared" si="1"/>
        <v>昆明地区门式32T/5T跨距28米以上-36米以下</v>
      </c>
      <c r="E70" s="47">
        <v>198000</v>
      </c>
      <c r="F70" s="47">
        <v>83000</v>
      </c>
      <c r="G70" s="47">
        <f t="shared" si="3"/>
        <v>281000</v>
      </c>
      <c r="H70" s="47"/>
    </row>
    <row r="71" spans="1:8" x14ac:dyDescent="0.2">
      <c r="A71" s="64"/>
      <c r="B71" s="47" t="s">
        <v>497</v>
      </c>
      <c r="C71" s="42" t="s">
        <v>514</v>
      </c>
      <c r="D71" s="47" t="str">
        <f t="shared" si="1"/>
        <v>昆明地区门式50T跨距20米以上-28米以下</v>
      </c>
      <c r="E71" s="47">
        <v>217000</v>
      </c>
      <c r="F71" s="47">
        <v>93000</v>
      </c>
      <c r="G71" s="47">
        <f t="shared" si="3"/>
        <v>310000</v>
      </c>
      <c r="H71" s="47"/>
    </row>
    <row r="72" spans="1:8" x14ac:dyDescent="0.2">
      <c r="A72" s="64"/>
      <c r="B72" s="47" t="s">
        <v>497</v>
      </c>
      <c r="C72" s="42" t="s">
        <v>515</v>
      </c>
      <c r="D72" s="47" t="str">
        <f t="shared" si="1"/>
        <v>昆明地区门式50T跨距28米以上-36米以下</v>
      </c>
      <c r="E72" s="47">
        <v>263000</v>
      </c>
      <c r="F72" s="47">
        <v>47000</v>
      </c>
      <c r="G72" s="47">
        <f t="shared" si="3"/>
        <v>310000</v>
      </c>
      <c r="H72" s="47"/>
    </row>
    <row r="73" spans="1:8" x14ac:dyDescent="0.2">
      <c r="A73" s="64"/>
      <c r="B73" s="47" t="s">
        <v>489</v>
      </c>
      <c r="C73" s="42" t="s">
        <v>513</v>
      </c>
      <c r="D73" s="47" t="str">
        <f t="shared" si="1"/>
        <v>无锡地区门式32T/5T跨距20米以上-28米以下</v>
      </c>
      <c r="E73" s="47">
        <v>198000</v>
      </c>
      <c r="F73" s="47">
        <v>83000</v>
      </c>
      <c r="G73" s="47">
        <f t="shared" si="3"/>
        <v>281000</v>
      </c>
      <c r="H73" s="47"/>
    </row>
    <row r="74" spans="1:8" x14ac:dyDescent="0.2">
      <c r="A74" s="64"/>
      <c r="B74" s="47" t="s">
        <v>489</v>
      </c>
      <c r="C74" s="42" t="s">
        <v>512</v>
      </c>
      <c r="D74" s="47" t="str">
        <f t="shared" si="1"/>
        <v>无锡地区门式32T/5T跨距28米以上-36米以下</v>
      </c>
      <c r="E74" s="47">
        <v>198000</v>
      </c>
      <c r="F74" s="47">
        <v>83000</v>
      </c>
      <c r="G74" s="47">
        <f t="shared" si="3"/>
        <v>281000</v>
      </c>
      <c r="H74" s="47"/>
    </row>
    <row r="75" spans="1:8" x14ac:dyDescent="0.2">
      <c r="A75" s="64"/>
      <c r="B75" s="47" t="s">
        <v>489</v>
      </c>
      <c r="C75" s="42" t="s">
        <v>514</v>
      </c>
      <c r="D75" s="47" t="str">
        <f t="shared" si="1"/>
        <v>无锡地区门式50T跨距20米以上-28米以下</v>
      </c>
      <c r="E75" s="47">
        <v>217000</v>
      </c>
      <c r="F75" s="47">
        <v>93000</v>
      </c>
      <c r="G75" s="47">
        <f t="shared" si="3"/>
        <v>310000</v>
      </c>
      <c r="H75" s="47"/>
    </row>
    <row r="76" spans="1:8" x14ac:dyDescent="0.2">
      <c r="A76" s="65"/>
      <c r="B76" s="47" t="s">
        <v>489</v>
      </c>
      <c r="C76" s="42" t="s">
        <v>515</v>
      </c>
      <c r="D76" s="47" t="str">
        <f t="shared" si="1"/>
        <v>无锡地区门式50T跨距28米以上-36米以下</v>
      </c>
      <c r="E76" s="47">
        <v>263000</v>
      </c>
      <c r="F76" s="47">
        <v>47000</v>
      </c>
      <c r="G76" s="47">
        <f t="shared" si="3"/>
        <v>310000</v>
      </c>
      <c r="H76" s="47"/>
    </row>
  </sheetData>
  <mergeCells count="2">
    <mergeCell ref="A1:A37"/>
    <mergeCell ref="A41:A7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784A-DBD9-431A-B1E2-2C53B0BFCA81}">
  <dimension ref="A1:D5"/>
  <sheetViews>
    <sheetView workbookViewId="0">
      <selection activeCell="E17" sqref="E17"/>
    </sheetView>
  </sheetViews>
  <sheetFormatPr defaultRowHeight="14.25" x14ac:dyDescent="0.2"/>
  <cols>
    <col min="1" max="1" width="9" style="44"/>
    <col min="2" max="2" width="34.375" style="44" bestFit="1" customWidth="1"/>
    <col min="3" max="3" width="9" style="44"/>
    <col min="4" max="4" width="23.5" style="44" bestFit="1" customWidth="1"/>
    <col min="5" max="16384" width="9" style="44"/>
  </cols>
  <sheetData>
    <row r="1" spans="1:4" x14ac:dyDescent="0.2">
      <c r="A1" s="44" t="s">
        <v>477</v>
      </c>
      <c r="B1" s="44" t="s">
        <v>478</v>
      </c>
      <c r="C1" s="44" t="s">
        <v>479</v>
      </c>
      <c r="D1" s="44" t="s">
        <v>480</v>
      </c>
    </row>
    <row r="2" spans="1:4" x14ac:dyDescent="0.2">
      <c r="A2" s="44" t="s">
        <v>481</v>
      </c>
      <c r="B2" s="42" t="s">
        <v>513</v>
      </c>
      <c r="C2" s="44" t="s">
        <v>12</v>
      </c>
      <c r="D2" s="44">
        <v>32000</v>
      </c>
    </row>
    <row r="3" spans="1:4" x14ac:dyDescent="0.2">
      <c r="A3" s="44" t="s">
        <v>481</v>
      </c>
      <c r="B3" s="42" t="s">
        <v>512</v>
      </c>
      <c r="C3" s="44" t="s">
        <v>12</v>
      </c>
      <c r="D3" s="44">
        <v>38000</v>
      </c>
    </row>
    <row r="4" spans="1:4" x14ac:dyDescent="0.2">
      <c r="A4" s="44" t="s">
        <v>481</v>
      </c>
      <c r="B4" s="42" t="s">
        <v>514</v>
      </c>
      <c r="C4" s="44" t="s">
        <v>12</v>
      </c>
      <c r="D4" s="44">
        <v>40000</v>
      </c>
    </row>
    <row r="5" spans="1:4" x14ac:dyDescent="0.2">
      <c r="A5" s="44" t="s">
        <v>481</v>
      </c>
      <c r="B5" s="42" t="s">
        <v>515</v>
      </c>
      <c r="C5" s="44" t="s">
        <v>12</v>
      </c>
      <c r="D5" s="44">
        <v>50000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B807-AFD4-4F4C-A026-FCD2E20BAB34}">
  <dimension ref="A1:D3"/>
  <sheetViews>
    <sheetView workbookViewId="0">
      <selection activeCell="E17" sqref="E17"/>
    </sheetView>
  </sheetViews>
  <sheetFormatPr defaultRowHeight="14.25" x14ac:dyDescent="0.2"/>
  <cols>
    <col min="1" max="1" width="22.875" style="44" bestFit="1" customWidth="1"/>
    <col min="2" max="16384" width="9" style="44"/>
  </cols>
  <sheetData>
    <row r="1" spans="1:4" x14ac:dyDescent="0.2">
      <c r="A1" s="46" t="s">
        <v>477</v>
      </c>
      <c r="B1" s="46" t="s">
        <v>478</v>
      </c>
      <c r="C1" s="46" t="s">
        <v>479</v>
      </c>
      <c r="D1" s="46" t="s">
        <v>480</v>
      </c>
    </row>
    <row r="2" spans="1:4" x14ac:dyDescent="0.2">
      <c r="A2" s="42" t="s">
        <v>485</v>
      </c>
      <c r="B2" s="42" t="s">
        <v>483</v>
      </c>
      <c r="C2" s="44" t="s">
        <v>12</v>
      </c>
      <c r="D2" s="44">
        <v>63100</v>
      </c>
    </row>
    <row r="3" spans="1:4" x14ac:dyDescent="0.2">
      <c r="A3" s="42" t="s">
        <v>486</v>
      </c>
      <c r="B3" s="42" t="s">
        <v>484</v>
      </c>
      <c r="C3" s="44" t="s">
        <v>12</v>
      </c>
      <c r="D3" s="44">
        <v>54100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9"/>
  <sheetViews>
    <sheetView topLeftCell="A209" zoomScale="85" zoomScaleNormal="85" workbookViewId="0">
      <selection activeCell="A3" sqref="A3:M229"/>
    </sheetView>
  </sheetViews>
  <sheetFormatPr defaultColWidth="9" defaultRowHeight="14.25" x14ac:dyDescent="0.2"/>
  <sheetData>
    <row r="1" spans="1:13" x14ac:dyDescent="0.2">
      <c r="A1" s="66" t="s">
        <v>40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x14ac:dyDescent="0.2">
      <c r="A2" s="1" t="s">
        <v>62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0" t="s">
        <v>9</v>
      </c>
      <c r="L2" s="10" t="s">
        <v>10</v>
      </c>
      <c r="M2" s="10" t="s">
        <v>11</v>
      </c>
    </row>
    <row r="3" spans="1:13" ht="28.5" x14ac:dyDescent="0.2">
      <c r="A3" s="67" t="s">
        <v>63</v>
      </c>
      <c r="B3" s="67" t="s">
        <v>88</v>
      </c>
      <c r="C3" s="4" t="s">
        <v>243</v>
      </c>
      <c r="D3" s="4" t="s">
        <v>243</v>
      </c>
      <c r="E3" s="4" t="s">
        <v>12</v>
      </c>
      <c r="F3" s="5"/>
      <c r="G3" s="5"/>
      <c r="H3" s="5">
        <v>1</v>
      </c>
      <c r="I3" s="5"/>
      <c r="J3" s="5">
        <v>1</v>
      </c>
      <c r="K3" s="11">
        <v>0</v>
      </c>
      <c r="L3" s="11"/>
      <c r="M3" s="12" t="s">
        <v>244</v>
      </c>
    </row>
    <row r="4" spans="1:13" x14ac:dyDescent="0.2">
      <c r="A4" s="67"/>
      <c r="B4" s="67"/>
      <c r="C4" s="4" t="s">
        <v>245</v>
      </c>
      <c r="D4" s="4" t="s">
        <v>245</v>
      </c>
      <c r="E4" s="4" t="s">
        <v>12</v>
      </c>
      <c r="F4" s="5"/>
      <c r="G4" s="5"/>
      <c r="H4" s="5">
        <v>1</v>
      </c>
      <c r="I4" s="5"/>
      <c r="J4" s="5">
        <v>1</v>
      </c>
      <c r="K4" s="11">
        <v>0</v>
      </c>
      <c r="L4" s="11"/>
      <c r="M4" s="12" t="s">
        <v>244</v>
      </c>
    </row>
    <row r="5" spans="1:13" ht="57" x14ac:dyDescent="0.2">
      <c r="A5" s="67"/>
      <c r="B5" s="67" t="s">
        <v>20</v>
      </c>
      <c r="C5" s="69" t="s">
        <v>23</v>
      </c>
      <c r="D5" s="6" t="s">
        <v>64</v>
      </c>
      <c r="E5" s="6" t="s">
        <v>12</v>
      </c>
      <c r="F5" s="7">
        <v>11</v>
      </c>
      <c r="G5" s="7">
        <v>9</v>
      </c>
      <c r="H5" s="7"/>
      <c r="I5" s="9"/>
      <c r="J5" s="9">
        <v>20</v>
      </c>
      <c r="K5" s="13"/>
      <c r="L5" s="13"/>
      <c r="M5" s="14"/>
    </row>
    <row r="6" spans="1:13" ht="57" x14ac:dyDescent="0.2">
      <c r="A6" s="67"/>
      <c r="B6" s="67"/>
      <c r="C6" s="69"/>
      <c r="D6" s="6" t="s">
        <v>65</v>
      </c>
      <c r="E6" s="6" t="s">
        <v>12</v>
      </c>
      <c r="F6" s="7">
        <v>7</v>
      </c>
      <c r="G6" s="7">
        <v>7</v>
      </c>
      <c r="H6" s="7"/>
      <c r="I6" s="9">
        <v>1</v>
      </c>
      <c r="J6" s="9">
        <v>15</v>
      </c>
      <c r="K6" s="13"/>
      <c r="L6" s="13"/>
      <c r="M6" s="14"/>
    </row>
    <row r="7" spans="1:13" ht="57" x14ac:dyDescent="0.2">
      <c r="A7" s="67"/>
      <c r="B7" s="67"/>
      <c r="C7" s="69"/>
      <c r="D7" s="6" t="s">
        <v>66</v>
      </c>
      <c r="E7" s="6" t="s">
        <v>12</v>
      </c>
      <c r="F7" s="7">
        <v>44</v>
      </c>
      <c r="G7" s="7">
        <v>4</v>
      </c>
      <c r="H7" s="7"/>
      <c r="I7" s="9"/>
      <c r="J7" s="9">
        <v>48</v>
      </c>
      <c r="K7" s="13"/>
      <c r="L7" s="13"/>
      <c r="M7" s="14"/>
    </row>
    <row r="8" spans="1:13" ht="57" x14ac:dyDescent="0.2">
      <c r="A8" s="67"/>
      <c r="B8" s="67"/>
      <c r="C8" s="69"/>
      <c r="D8" s="6" t="s">
        <v>67</v>
      </c>
      <c r="E8" s="6" t="s">
        <v>12</v>
      </c>
      <c r="F8" s="7"/>
      <c r="G8" s="7">
        <v>6</v>
      </c>
      <c r="H8" s="7"/>
      <c r="I8" s="9"/>
      <c r="J8" s="9">
        <v>6</v>
      </c>
      <c r="K8" s="13"/>
      <c r="L8" s="13"/>
      <c r="M8" s="14"/>
    </row>
    <row r="9" spans="1:13" ht="42.75" x14ac:dyDescent="0.2">
      <c r="A9" s="67"/>
      <c r="B9" s="67"/>
      <c r="C9" s="69"/>
      <c r="D9" s="6" t="s">
        <v>68</v>
      </c>
      <c r="E9" s="6" t="s">
        <v>12</v>
      </c>
      <c r="F9" s="7">
        <v>2</v>
      </c>
      <c r="G9" s="7">
        <v>6</v>
      </c>
      <c r="H9" s="7"/>
      <c r="I9" s="9"/>
      <c r="J9" s="9">
        <v>8</v>
      </c>
      <c r="K9" s="13"/>
      <c r="L9" s="13"/>
      <c r="M9" s="14"/>
    </row>
    <row r="10" spans="1:13" ht="28.5" x14ac:dyDescent="0.2">
      <c r="A10" s="67"/>
      <c r="B10" s="67"/>
      <c r="C10" s="67" t="s">
        <v>24</v>
      </c>
      <c r="D10" s="6" t="s">
        <v>69</v>
      </c>
      <c r="E10" s="6" t="s">
        <v>12</v>
      </c>
      <c r="F10" s="7"/>
      <c r="G10" s="7">
        <v>8</v>
      </c>
      <c r="H10" s="7"/>
      <c r="I10" s="7"/>
      <c r="J10" s="7">
        <v>8</v>
      </c>
      <c r="K10" s="15"/>
      <c r="L10" s="13"/>
      <c r="M10" s="14" t="s">
        <v>70</v>
      </c>
    </row>
    <row r="11" spans="1:13" ht="42" x14ac:dyDescent="0.2">
      <c r="A11" s="67"/>
      <c r="B11" s="67"/>
      <c r="C11" s="67"/>
      <c r="D11" s="6" t="s">
        <v>71</v>
      </c>
      <c r="E11" s="6" t="s">
        <v>12</v>
      </c>
      <c r="F11" s="7">
        <v>6</v>
      </c>
      <c r="G11" s="7"/>
      <c r="H11" s="7"/>
      <c r="I11" s="7"/>
      <c r="J11" s="7">
        <v>6</v>
      </c>
      <c r="K11" s="15"/>
      <c r="L11" s="13"/>
      <c r="M11" s="14" t="s">
        <v>72</v>
      </c>
    </row>
    <row r="12" spans="1:13" ht="28.5" x14ac:dyDescent="0.2">
      <c r="A12" s="67"/>
      <c r="B12" s="67"/>
      <c r="C12" s="67"/>
      <c r="D12" s="6" t="s">
        <v>73</v>
      </c>
      <c r="E12" s="6" t="s">
        <v>12</v>
      </c>
      <c r="F12" s="7"/>
      <c r="G12" s="7">
        <v>2</v>
      </c>
      <c r="H12" s="7"/>
      <c r="I12" s="7"/>
      <c r="J12" s="7">
        <v>2</v>
      </c>
      <c r="K12" s="13"/>
      <c r="L12" s="13"/>
      <c r="M12" s="14" t="s">
        <v>74</v>
      </c>
    </row>
    <row r="13" spans="1:13" x14ac:dyDescent="0.2">
      <c r="A13" s="67"/>
      <c r="B13" s="67" t="s">
        <v>26</v>
      </c>
      <c r="C13" s="67" t="s">
        <v>31</v>
      </c>
      <c r="D13" s="6" t="s">
        <v>348</v>
      </c>
      <c r="E13" s="6" t="s">
        <v>28</v>
      </c>
      <c r="F13" s="7">
        <v>1116</v>
      </c>
      <c r="G13" s="7"/>
      <c r="H13" s="7"/>
      <c r="I13" s="7"/>
      <c r="J13" s="7">
        <v>1116</v>
      </c>
      <c r="K13" s="13"/>
      <c r="L13" s="13"/>
      <c r="M13" s="16"/>
    </row>
    <row r="14" spans="1:13" ht="28.5" x14ac:dyDescent="0.2">
      <c r="A14" s="67"/>
      <c r="B14" s="67"/>
      <c r="C14" s="67"/>
      <c r="D14" s="6" t="s">
        <v>75</v>
      </c>
      <c r="E14" s="6" t="s">
        <v>28</v>
      </c>
      <c r="F14" s="7">
        <v>324</v>
      </c>
      <c r="G14" s="7"/>
      <c r="H14" s="7"/>
      <c r="I14" s="7"/>
      <c r="J14" s="7">
        <v>324</v>
      </c>
      <c r="K14" s="13"/>
      <c r="L14" s="13"/>
      <c r="M14" s="16"/>
    </row>
    <row r="15" spans="1:13" x14ac:dyDescent="0.2">
      <c r="A15" s="67"/>
      <c r="B15" s="67"/>
      <c r="C15" s="67"/>
      <c r="D15" s="6" t="s">
        <v>76</v>
      </c>
      <c r="E15" s="6" t="s">
        <v>28</v>
      </c>
      <c r="F15" s="7">
        <v>242</v>
      </c>
      <c r="G15" s="7">
        <v>733.1</v>
      </c>
      <c r="H15" s="7"/>
      <c r="I15" s="7"/>
      <c r="J15" s="7">
        <v>975.1</v>
      </c>
      <c r="K15" s="13"/>
      <c r="L15" s="13"/>
      <c r="M15" s="16"/>
    </row>
    <row r="16" spans="1:13" x14ac:dyDescent="0.2">
      <c r="A16" s="67"/>
      <c r="B16" s="67"/>
      <c r="C16" s="67"/>
      <c r="D16" s="6" t="s">
        <v>77</v>
      </c>
      <c r="E16" s="6" t="s">
        <v>28</v>
      </c>
      <c r="F16" s="7">
        <v>3265</v>
      </c>
      <c r="G16" s="7">
        <v>75</v>
      </c>
      <c r="H16" s="7"/>
      <c r="I16" s="7"/>
      <c r="J16" s="7">
        <v>3340</v>
      </c>
      <c r="K16" s="13"/>
      <c r="L16" s="13"/>
      <c r="M16" s="16"/>
    </row>
    <row r="17" spans="1:13" ht="13.5" customHeight="1" x14ac:dyDescent="0.2">
      <c r="A17" s="67"/>
      <c r="B17" s="67"/>
      <c r="C17" s="67"/>
      <c r="D17" s="6" t="s">
        <v>78</v>
      </c>
      <c r="E17" s="6" t="s">
        <v>28</v>
      </c>
      <c r="F17" s="7">
        <v>362.7</v>
      </c>
      <c r="G17" s="7">
        <v>12.5</v>
      </c>
      <c r="H17" s="7"/>
      <c r="I17" s="7"/>
      <c r="J17" s="7">
        <v>375.2</v>
      </c>
      <c r="K17" s="13"/>
      <c r="L17" s="13"/>
      <c r="M17" s="16"/>
    </row>
    <row r="18" spans="1:13" x14ac:dyDescent="0.2">
      <c r="A18" s="67"/>
      <c r="B18" s="67"/>
      <c r="C18" s="67"/>
      <c r="D18" s="6" t="s">
        <v>79</v>
      </c>
      <c r="E18" s="6" t="s">
        <v>28</v>
      </c>
      <c r="F18" s="7">
        <v>497.5</v>
      </c>
      <c r="G18" s="7"/>
      <c r="H18" s="7"/>
      <c r="I18" s="7"/>
      <c r="J18" s="7">
        <v>497.5</v>
      </c>
      <c r="K18" s="13"/>
      <c r="L18" s="13"/>
      <c r="M18" s="16"/>
    </row>
    <row r="19" spans="1:13" ht="57" x14ac:dyDescent="0.2">
      <c r="A19" s="67"/>
      <c r="B19" s="67"/>
      <c r="C19" s="67" t="s">
        <v>29</v>
      </c>
      <c r="D19" s="6" t="s">
        <v>80</v>
      </c>
      <c r="E19" s="6" t="s">
        <v>30</v>
      </c>
      <c r="F19" s="8">
        <v>2156</v>
      </c>
      <c r="G19" s="8">
        <v>582</v>
      </c>
      <c r="H19" s="8">
        <v>151</v>
      </c>
      <c r="I19" s="8"/>
      <c r="J19" s="8">
        <v>2889</v>
      </c>
      <c r="K19" s="13"/>
      <c r="L19" s="13"/>
      <c r="M19" s="16"/>
    </row>
    <row r="20" spans="1:13" ht="57" x14ac:dyDescent="0.2">
      <c r="A20" s="67"/>
      <c r="B20" s="67"/>
      <c r="C20" s="67"/>
      <c r="D20" s="6" t="s">
        <v>81</v>
      </c>
      <c r="E20" s="6" t="s">
        <v>30</v>
      </c>
      <c r="F20" s="8">
        <v>651</v>
      </c>
      <c r="G20" s="8">
        <v>593</v>
      </c>
      <c r="H20" s="8"/>
      <c r="I20" s="8"/>
      <c r="J20" s="8">
        <v>1244</v>
      </c>
      <c r="K20" s="13"/>
      <c r="L20" s="13"/>
      <c r="M20" s="16"/>
    </row>
    <row r="21" spans="1:13" ht="42.75" x14ac:dyDescent="0.2">
      <c r="A21" s="67"/>
      <c r="B21" s="67"/>
      <c r="C21" s="67"/>
      <c r="D21" s="6" t="s">
        <v>82</v>
      </c>
      <c r="E21" s="6" t="s">
        <v>30</v>
      </c>
      <c r="F21" s="7">
        <v>150</v>
      </c>
      <c r="G21" s="7"/>
      <c r="H21" s="7"/>
      <c r="I21" s="7"/>
      <c r="J21" s="7">
        <v>150</v>
      </c>
      <c r="K21" s="13"/>
      <c r="L21" s="13"/>
      <c r="M21" s="16"/>
    </row>
    <row r="22" spans="1:13" ht="57" x14ac:dyDescent="0.2">
      <c r="A22" s="67"/>
      <c r="B22" s="67"/>
      <c r="C22" s="67"/>
      <c r="D22" s="6" t="s">
        <v>83</v>
      </c>
      <c r="E22" s="6" t="s">
        <v>30</v>
      </c>
      <c r="F22" s="7">
        <v>1181</v>
      </c>
      <c r="G22" s="7">
        <v>22</v>
      </c>
      <c r="H22" s="7"/>
      <c r="I22" s="7"/>
      <c r="J22" s="7">
        <v>1203</v>
      </c>
      <c r="K22" s="13"/>
      <c r="L22" s="13"/>
      <c r="M22" s="16"/>
    </row>
    <row r="23" spans="1:13" ht="28.5" x14ac:dyDescent="0.2">
      <c r="A23" s="67"/>
      <c r="B23" s="67"/>
      <c r="C23" s="6" t="s">
        <v>84</v>
      </c>
      <c r="D23" s="6" t="s">
        <v>85</v>
      </c>
      <c r="E23" s="6" t="s">
        <v>86</v>
      </c>
      <c r="F23" s="7">
        <v>8416.35</v>
      </c>
      <c r="G23" s="7">
        <v>8693</v>
      </c>
      <c r="H23" s="7">
        <v>200</v>
      </c>
      <c r="I23" s="7">
        <v>24.45</v>
      </c>
      <c r="J23" s="7">
        <v>17333.8</v>
      </c>
      <c r="K23" s="13"/>
      <c r="L23" s="13"/>
      <c r="M23" s="16"/>
    </row>
    <row r="24" spans="1:13" ht="27" x14ac:dyDescent="0.2">
      <c r="A24" s="67" t="s">
        <v>87</v>
      </c>
      <c r="B24" s="68" t="s">
        <v>88</v>
      </c>
      <c r="C24" s="6" t="s">
        <v>89</v>
      </c>
      <c r="D24" s="6" t="s">
        <v>89</v>
      </c>
      <c r="E24" s="6" t="s">
        <v>12</v>
      </c>
      <c r="F24" s="7">
        <v>3</v>
      </c>
      <c r="G24" s="7"/>
      <c r="H24" s="7">
        <v>9</v>
      </c>
      <c r="I24" s="7"/>
      <c r="J24" s="7">
        <v>12</v>
      </c>
      <c r="K24" s="13"/>
      <c r="L24" s="13"/>
      <c r="M24" s="14" t="s">
        <v>90</v>
      </c>
    </row>
    <row r="25" spans="1:13" ht="27" x14ac:dyDescent="0.2">
      <c r="A25" s="67"/>
      <c r="B25" s="68"/>
      <c r="C25" s="6" t="s">
        <v>91</v>
      </c>
      <c r="D25" s="6" t="s">
        <v>91</v>
      </c>
      <c r="E25" s="6" t="s">
        <v>12</v>
      </c>
      <c r="F25" s="7">
        <v>2</v>
      </c>
      <c r="G25" s="7"/>
      <c r="H25" s="7">
        <v>2</v>
      </c>
      <c r="I25" s="7"/>
      <c r="J25" s="7">
        <v>4</v>
      </c>
      <c r="K25" s="13"/>
      <c r="L25" s="13"/>
      <c r="M25" s="14" t="s">
        <v>90</v>
      </c>
    </row>
    <row r="26" spans="1:13" ht="27" x14ac:dyDescent="0.2">
      <c r="A26" s="67"/>
      <c r="B26" s="68"/>
      <c r="C26" s="6" t="s">
        <v>92</v>
      </c>
      <c r="D26" s="6" t="s">
        <v>92</v>
      </c>
      <c r="E26" s="6" t="s">
        <v>12</v>
      </c>
      <c r="F26" s="7">
        <v>1</v>
      </c>
      <c r="G26" s="7"/>
      <c r="H26" s="7">
        <v>1</v>
      </c>
      <c r="I26" s="7"/>
      <c r="J26" s="7">
        <v>2</v>
      </c>
      <c r="K26" s="13"/>
      <c r="L26" s="13"/>
      <c r="M26" s="14" t="s">
        <v>90</v>
      </c>
    </row>
    <row r="27" spans="1:13" ht="27" x14ac:dyDescent="0.2">
      <c r="A27" s="67"/>
      <c r="B27" s="68"/>
      <c r="C27" s="6" t="s">
        <v>93</v>
      </c>
      <c r="D27" s="6" t="s">
        <v>93</v>
      </c>
      <c r="E27" s="6" t="s">
        <v>12</v>
      </c>
      <c r="F27" s="7">
        <v>3</v>
      </c>
      <c r="G27" s="7"/>
      <c r="H27" s="7">
        <v>2</v>
      </c>
      <c r="I27" s="7"/>
      <c r="J27" s="7">
        <v>5</v>
      </c>
      <c r="K27" s="13"/>
      <c r="L27" s="13"/>
      <c r="M27" s="14" t="s">
        <v>90</v>
      </c>
    </row>
    <row r="28" spans="1:13" ht="27" x14ac:dyDescent="0.2">
      <c r="A28" s="67"/>
      <c r="B28" s="68"/>
      <c r="C28" s="6" t="s">
        <v>94</v>
      </c>
      <c r="D28" s="6" t="s">
        <v>94</v>
      </c>
      <c r="E28" s="6" t="s">
        <v>12</v>
      </c>
      <c r="F28" s="7">
        <v>1</v>
      </c>
      <c r="G28" s="7">
        <v>1</v>
      </c>
      <c r="H28" s="7">
        <v>8</v>
      </c>
      <c r="I28" s="7"/>
      <c r="J28" s="7">
        <v>10</v>
      </c>
      <c r="K28" s="13"/>
      <c r="L28" s="13"/>
      <c r="M28" s="14" t="s">
        <v>90</v>
      </c>
    </row>
    <row r="29" spans="1:13" ht="28.5" x14ac:dyDescent="0.2">
      <c r="A29" s="67"/>
      <c r="B29" s="67" t="s">
        <v>246</v>
      </c>
      <c r="C29" s="70" t="s">
        <v>14</v>
      </c>
      <c r="D29" s="4" t="s">
        <v>247</v>
      </c>
      <c r="E29" s="4" t="s">
        <v>12</v>
      </c>
      <c r="F29" s="5">
        <v>1</v>
      </c>
      <c r="G29" s="5"/>
      <c r="H29" s="5"/>
      <c r="I29" s="9"/>
      <c r="J29" s="9">
        <v>1</v>
      </c>
      <c r="K29" s="13"/>
      <c r="L29" s="13"/>
      <c r="M29" s="14" t="s">
        <v>248</v>
      </c>
    </row>
    <row r="30" spans="1:13" ht="28.5" x14ac:dyDescent="0.2">
      <c r="A30" s="67"/>
      <c r="B30" s="67"/>
      <c r="C30" s="70"/>
      <c r="D30" s="4" t="s">
        <v>249</v>
      </c>
      <c r="E30" s="4" t="s">
        <v>12</v>
      </c>
      <c r="F30" s="5">
        <v>5</v>
      </c>
      <c r="G30" s="5"/>
      <c r="H30" s="5"/>
      <c r="I30" s="9"/>
      <c r="J30" s="9">
        <v>5</v>
      </c>
      <c r="K30" s="13"/>
      <c r="L30" s="13"/>
      <c r="M30" s="14" t="s">
        <v>250</v>
      </c>
    </row>
    <row r="31" spans="1:13" ht="28.5" x14ac:dyDescent="0.2">
      <c r="A31" s="67"/>
      <c r="B31" s="67"/>
      <c r="C31" s="70" t="s">
        <v>251</v>
      </c>
      <c r="D31" s="4" t="s">
        <v>252</v>
      </c>
      <c r="E31" s="4" t="s">
        <v>12</v>
      </c>
      <c r="F31" s="5">
        <v>4</v>
      </c>
      <c r="G31" s="5"/>
      <c r="H31" s="9"/>
      <c r="I31" s="9"/>
      <c r="J31" s="9">
        <v>4</v>
      </c>
      <c r="K31" s="13"/>
      <c r="L31" s="13"/>
      <c r="M31" s="14" t="s">
        <v>253</v>
      </c>
    </row>
    <row r="32" spans="1:13" ht="28.5" x14ac:dyDescent="0.2">
      <c r="A32" s="67"/>
      <c r="B32" s="67"/>
      <c r="C32" s="70"/>
      <c r="D32" s="4" t="s">
        <v>254</v>
      </c>
      <c r="E32" s="4" t="s">
        <v>12</v>
      </c>
      <c r="F32" s="5">
        <v>8</v>
      </c>
      <c r="G32" s="5"/>
      <c r="H32" s="9"/>
      <c r="I32" s="9"/>
      <c r="J32" s="9">
        <v>8</v>
      </c>
      <c r="K32" s="13"/>
      <c r="L32" s="13"/>
      <c r="M32" s="14" t="s">
        <v>253</v>
      </c>
    </row>
    <row r="33" spans="1:13" ht="28.5" x14ac:dyDescent="0.2">
      <c r="A33" s="67"/>
      <c r="B33" s="67"/>
      <c r="C33" s="70"/>
      <c r="D33" s="4" t="s">
        <v>255</v>
      </c>
      <c r="E33" s="4" t="s">
        <v>12</v>
      </c>
      <c r="F33" s="5">
        <v>37</v>
      </c>
      <c r="G33" s="5">
        <v>3</v>
      </c>
      <c r="H33" s="9"/>
      <c r="I33" s="9"/>
      <c r="J33" s="9">
        <v>40</v>
      </c>
      <c r="K33" s="13"/>
      <c r="L33" s="13"/>
      <c r="M33" s="14" t="s">
        <v>253</v>
      </c>
    </row>
    <row r="34" spans="1:13" ht="42.75" x14ac:dyDescent="0.2">
      <c r="A34" s="67"/>
      <c r="B34" s="67"/>
      <c r="C34" s="70"/>
      <c r="D34" s="4" t="s">
        <v>256</v>
      </c>
      <c r="E34" s="4" t="s">
        <v>12</v>
      </c>
      <c r="F34" s="5">
        <v>3</v>
      </c>
      <c r="G34" s="5"/>
      <c r="H34" s="9"/>
      <c r="I34" s="9"/>
      <c r="J34" s="9">
        <v>3</v>
      </c>
      <c r="K34" s="13"/>
      <c r="L34" s="13"/>
      <c r="M34" s="14" t="s">
        <v>253</v>
      </c>
    </row>
    <row r="35" spans="1:13" ht="28.5" x14ac:dyDescent="0.2">
      <c r="A35" s="67"/>
      <c r="B35" s="67"/>
      <c r="C35" s="70"/>
      <c r="D35" s="4" t="s">
        <v>257</v>
      </c>
      <c r="E35" s="4" t="s">
        <v>12</v>
      </c>
      <c r="F35" s="5">
        <v>43</v>
      </c>
      <c r="G35" s="5">
        <v>2</v>
      </c>
      <c r="H35" s="9"/>
      <c r="I35" s="9"/>
      <c r="J35" s="9">
        <v>45</v>
      </c>
      <c r="K35" s="13"/>
      <c r="L35" s="13"/>
      <c r="M35" s="14" t="s">
        <v>253</v>
      </c>
    </row>
    <row r="36" spans="1:13" ht="28.5" x14ac:dyDescent="0.2">
      <c r="A36" s="67"/>
      <c r="B36" s="67" t="s">
        <v>16</v>
      </c>
      <c r="C36" s="6" t="s">
        <v>95</v>
      </c>
      <c r="D36" s="6" t="s">
        <v>95</v>
      </c>
      <c r="E36" s="6" t="s">
        <v>12</v>
      </c>
      <c r="F36" s="7">
        <v>2</v>
      </c>
      <c r="G36" s="7">
        <v>4</v>
      </c>
      <c r="H36" s="9"/>
      <c r="I36" s="9"/>
      <c r="J36" s="9">
        <v>6</v>
      </c>
      <c r="K36" s="13"/>
      <c r="L36" s="13"/>
      <c r="M36" s="16"/>
    </row>
    <row r="37" spans="1:13" ht="28.5" x14ac:dyDescent="0.2">
      <c r="A37" s="67"/>
      <c r="B37" s="67"/>
      <c r="C37" s="6" t="s">
        <v>96</v>
      </c>
      <c r="D37" s="6" t="s">
        <v>96</v>
      </c>
      <c r="E37" s="6" t="s">
        <v>19</v>
      </c>
      <c r="F37" s="7">
        <v>9</v>
      </c>
      <c r="G37" s="7"/>
      <c r="H37" s="9"/>
      <c r="I37" s="9"/>
      <c r="J37" s="9">
        <v>9</v>
      </c>
      <c r="K37" s="13"/>
      <c r="L37" s="13"/>
      <c r="M37" s="16"/>
    </row>
    <row r="38" spans="1:13" ht="28.5" x14ac:dyDescent="0.2">
      <c r="A38" s="67"/>
      <c r="B38" s="67"/>
      <c r="C38" s="6" t="s">
        <v>97</v>
      </c>
      <c r="D38" s="6" t="s">
        <v>98</v>
      </c>
      <c r="E38" s="6" t="s">
        <v>12</v>
      </c>
      <c r="F38" s="7">
        <v>2</v>
      </c>
      <c r="G38" s="7"/>
      <c r="H38" s="9"/>
      <c r="I38" s="9"/>
      <c r="J38" s="9">
        <v>2</v>
      </c>
      <c r="K38" s="13"/>
      <c r="L38" s="13"/>
      <c r="M38" s="16"/>
    </row>
    <row r="39" spans="1:13" x14ac:dyDescent="0.2">
      <c r="A39" s="67"/>
      <c r="B39" s="67"/>
      <c r="C39" s="68" t="s">
        <v>99</v>
      </c>
      <c r="D39" s="6" t="s">
        <v>100</v>
      </c>
      <c r="E39" s="6" t="s">
        <v>12</v>
      </c>
      <c r="F39" s="7">
        <v>3</v>
      </c>
      <c r="G39" s="7"/>
      <c r="H39" s="9"/>
      <c r="I39" s="9"/>
      <c r="J39" s="9">
        <v>3</v>
      </c>
      <c r="K39" s="13"/>
      <c r="L39" s="13"/>
      <c r="M39" s="16"/>
    </row>
    <row r="40" spans="1:13" x14ac:dyDescent="0.2">
      <c r="A40" s="67"/>
      <c r="B40" s="67"/>
      <c r="C40" s="68"/>
      <c r="D40" s="6" t="s">
        <v>101</v>
      </c>
      <c r="E40" s="6" t="s">
        <v>12</v>
      </c>
      <c r="F40" s="7">
        <v>2</v>
      </c>
      <c r="G40" s="7"/>
      <c r="H40" s="9"/>
      <c r="I40" s="9"/>
      <c r="J40" s="9">
        <v>2</v>
      </c>
      <c r="K40" s="13"/>
      <c r="L40" s="13"/>
      <c r="M40" s="16"/>
    </row>
    <row r="41" spans="1:13" x14ac:dyDescent="0.2">
      <c r="A41" s="67"/>
      <c r="B41" s="67"/>
      <c r="C41" s="68"/>
      <c r="D41" s="6" t="s">
        <v>102</v>
      </c>
      <c r="E41" s="6" t="s">
        <v>12</v>
      </c>
      <c r="F41" s="7">
        <v>7</v>
      </c>
      <c r="G41" s="7">
        <v>10</v>
      </c>
      <c r="H41" s="9"/>
      <c r="I41" s="9"/>
      <c r="J41" s="9">
        <v>17</v>
      </c>
      <c r="K41" s="13"/>
      <c r="L41" s="13"/>
      <c r="M41" s="16"/>
    </row>
    <row r="42" spans="1:13" x14ac:dyDescent="0.2">
      <c r="A42" s="67"/>
      <c r="B42" s="67"/>
      <c r="C42" s="68"/>
      <c r="D42" s="6" t="s">
        <v>103</v>
      </c>
      <c r="E42" s="6" t="s">
        <v>12</v>
      </c>
      <c r="F42" s="7">
        <v>2</v>
      </c>
      <c r="G42" s="7"/>
      <c r="H42" s="9"/>
      <c r="I42" s="9"/>
      <c r="J42" s="9">
        <v>2</v>
      </c>
      <c r="K42" s="13"/>
      <c r="L42" s="13"/>
      <c r="M42" s="16"/>
    </row>
    <row r="43" spans="1:13" x14ac:dyDescent="0.2">
      <c r="A43" s="67"/>
      <c r="B43" s="67"/>
      <c r="C43" s="68"/>
      <c r="D43" s="6" t="s">
        <v>104</v>
      </c>
      <c r="E43" s="6" t="s">
        <v>12</v>
      </c>
      <c r="F43" s="7">
        <v>23</v>
      </c>
      <c r="G43" s="7">
        <v>1</v>
      </c>
      <c r="H43" s="9"/>
      <c r="I43" s="9"/>
      <c r="J43" s="9">
        <v>24</v>
      </c>
      <c r="K43" s="13"/>
      <c r="L43" s="13"/>
      <c r="M43" s="16"/>
    </row>
    <row r="44" spans="1:13" ht="43.5" x14ac:dyDescent="0.2">
      <c r="A44" s="67"/>
      <c r="B44" s="67"/>
      <c r="C44" s="68"/>
      <c r="D44" s="6" t="s">
        <v>105</v>
      </c>
      <c r="E44" s="6" t="s">
        <v>12</v>
      </c>
      <c r="F44" s="7">
        <v>16</v>
      </c>
      <c r="G44" s="7">
        <v>1</v>
      </c>
      <c r="H44" s="9"/>
      <c r="I44" s="9"/>
      <c r="J44" s="9">
        <v>17</v>
      </c>
      <c r="K44" s="13"/>
      <c r="L44" s="13"/>
      <c r="M44" s="14" t="s">
        <v>106</v>
      </c>
    </row>
    <row r="45" spans="1:13" ht="28.5" x14ac:dyDescent="0.2">
      <c r="A45" s="67"/>
      <c r="B45" s="67"/>
      <c r="C45" s="68"/>
      <c r="D45" s="6" t="s">
        <v>107</v>
      </c>
      <c r="E45" s="6" t="s">
        <v>12</v>
      </c>
      <c r="F45" s="7">
        <v>1</v>
      </c>
      <c r="G45" s="7"/>
      <c r="H45" s="9"/>
      <c r="I45" s="9"/>
      <c r="J45" s="9">
        <v>1</v>
      </c>
      <c r="K45" s="13"/>
      <c r="L45" s="13"/>
      <c r="M45" s="16"/>
    </row>
    <row r="46" spans="1:13" ht="28.5" x14ac:dyDescent="0.2">
      <c r="A46" s="67"/>
      <c r="B46" s="67"/>
      <c r="C46" s="4" t="s">
        <v>258</v>
      </c>
      <c r="D46" s="4" t="s">
        <v>258</v>
      </c>
      <c r="E46" s="4" t="s">
        <v>12</v>
      </c>
      <c r="F46" s="5">
        <v>4</v>
      </c>
      <c r="G46" s="5">
        <v>1</v>
      </c>
      <c r="H46" s="9"/>
      <c r="I46" s="9"/>
      <c r="J46" s="9">
        <v>5</v>
      </c>
      <c r="K46" s="13"/>
      <c r="L46" s="13"/>
      <c r="M46" s="16"/>
    </row>
    <row r="47" spans="1:13" ht="28.5" x14ac:dyDescent="0.2">
      <c r="A47" s="67"/>
      <c r="B47" s="67"/>
      <c r="C47" s="4" t="s">
        <v>259</v>
      </c>
      <c r="D47" s="4" t="s">
        <v>259</v>
      </c>
      <c r="E47" s="4" t="s">
        <v>12</v>
      </c>
      <c r="F47" s="5">
        <v>4</v>
      </c>
      <c r="G47" s="5"/>
      <c r="H47" s="9"/>
      <c r="I47" s="9"/>
      <c r="J47" s="9">
        <v>4</v>
      </c>
      <c r="K47" s="13"/>
      <c r="L47" s="13"/>
      <c r="M47" s="16"/>
    </row>
    <row r="48" spans="1:13" ht="27" x14ac:dyDescent="0.2">
      <c r="A48" s="67"/>
      <c r="B48" s="67"/>
      <c r="C48" s="4" t="s">
        <v>42</v>
      </c>
      <c r="D48" s="4" t="s">
        <v>260</v>
      </c>
      <c r="E48" s="4" t="s">
        <v>12</v>
      </c>
      <c r="F48" s="5">
        <v>6</v>
      </c>
      <c r="G48" s="5"/>
      <c r="H48" s="9"/>
      <c r="I48" s="9">
        <v>21</v>
      </c>
      <c r="J48" s="9">
        <v>27</v>
      </c>
      <c r="K48" s="13"/>
      <c r="L48" s="13"/>
      <c r="M48" s="14" t="s">
        <v>261</v>
      </c>
    </row>
    <row r="49" spans="1:13" x14ac:dyDescent="0.2">
      <c r="A49" s="67"/>
      <c r="B49" s="67"/>
      <c r="C49" s="4" t="s">
        <v>262</v>
      </c>
      <c r="D49" s="4" t="s">
        <v>263</v>
      </c>
      <c r="E49" s="4" t="s">
        <v>12</v>
      </c>
      <c r="F49" s="5"/>
      <c r="G49" s="5"/>
      <c r="H49" s="9">
        <v>2</v>
      </c>
      <c r="I49" s="9"/>
      <c r="J49" s="9">
        <v>2</v>
      </c>
      <c r="K49" s="13"/>
      <c r="L49" s="13"/>
      <c r="M49" s="16"/>
    </row>
    <row r="50" spans="1:13" ht="42.75" x14ac:dyDescent="0.2">
      <c r="A50" s="67"/>
      <c r="B50" s="67" t="s">
        <v>20</v>
      </c>
      <c r="C50" s="4" t="s">
        <v>264</v>
      </c>
      <c r="D50" s="4" t="s">
        <v>265</v>
      </c>
      <c r="E50" s="4" t="s">
        <v>12</v>
      </c>
      <c r="F50" s="5">
        <v>15</v>
      </c>
      <c r="G50" s="9"/>
      <c r="H50" s="9"/>
      <c r="I50" s="9"/>
      <c r="J50" s="9">
        <v>15</v>
      </c>
      <c r="K50" s="13"/>
      <c r="L50" s="13"/>
      <c r="M50" s="16"/>
    </row>
    <row r="51" spans="1:13" ht="28.5" x14ac:dyDescent="0.2">
      <c r="A51" s="67"/>
      <c r="B51" s="67"/>
      <c r="C51" s="70" t="s">
        <v>266</v>
      </c>
      <c r="D51" s="4" t="s">
        <v>267</v>
      </c>
      <c r="E51" s="4" t="s">
        <v>268</v>
      </c>
      <c r="F51" s="5"/>
      <c r="G51" s="9">
        <v>6</v>
      </c>
      <c r="H51" s="9">
        <v>3</v>
      </c>
      <c r="I51" s="9"/>
      <c r="J51" s="9">
        <v>9</v>
      </c>
      <c r="K51" s="13"/>
      <c r="L51" s="13"/>
      <c r="M51" s="16"/>
    </row>
    <row r="52" spans="1:13" x14ac:dyDescent="0.2">
      <c r="A52" s="67"/>
      <c r="B52" s="67"/>
      <c r="C52" s="70"/>
      <c r="D52" s="4" t="s">
        <v>269</v>
      </c>
      <c r="E52" s="4" t="s">
        <v>268</v>
      </c>
      <c r="F52" s="5">
        <v>3</v>
      </c>
      <c r="G52" s="9">
        <v>2</v>
      </c>
      <c r="H52" s="9">
        <v>2</v>
      </c>
      <c r="I52" s="9"/>
      <c r="J52" s="9">
        <v>7</v>
      </c>
      <c r="K52" s="13"/>
      <c r="L52" s="13"/>
      <c r="M52" s="16"/>
    </row>
    <row r="53" spans="1:13" x14ac:dyDescent="0.2">
      <c r="A53" s="67"/>
      <c r="B53" s="67"/>
      <c r="C53" s="70"/>
      <c r="D53" s="4" t="s">
        <v>270</v>
      </c>
      <c r="E53" s="4" t="s">
        <v>268</v>
      </c>
      <c r="F53" s="5">
        <v>6</v>
      </c>
      <c r="G53" s="9">
        <v>6</v>
      </c>
      <c r="H53" s="9"/>
      <c r="I53" s="9"/>
      <c r="J53" s="9">
        <v>12</v>
      </c>
      <c r="K53" s="13"/>
      <c r="L53" s="13"/>
      <c r="M53" s="16"/>
    </row>
    <row r="54" spans="1:13" ht="28.5" x14ac:dyDescent="0.2">
      <c r="A54" s="67"/>
      <c r="B54" s="67"/>
      <c r="C54" s="70"/>
      <c r="D54" s="4" t="s">
        <v>271</v>
      </c>
      <c r="E54" s="4" t="s">
        <v>109</v>
      </c>
      <c r="F54" s="5">
        <v>3</v>
      </c>
      <c r="G54" s="9">
        <v>2</v>
      </c>
      <c r="H54" s="9">
        <v>2</v>
      </c>
      <c r="I54" s="9"/>
      <c r="J54" s="9">
        <v>7</v>
      </c>
      <c r="K54" s="13"/>
      <c r="L54" s="13"/>
      <c r="M54" s="16"/>
    </row>
    <row r="55" spans="1:13" ht="28.5" x14ac:dyDescent="0.2">
      <c r="A55" s="67"/>
      <c r="B55" s="67"/>
      <c r="C55" s="68" t="s">
        <v>122</v>
      </c>
      <c r="D55" s="6" t="s">
        <v>123</v>
      </c>
      <c r="E55" s="6" t="s">
        <v>19</v>
      </c>
      <c r="F55" s="7">
        <v>49</v>
      </c>
      <c r="G55" s="7">
        <v>67</v>
      </c>
      <c r="H55" s="9"/>
      <c r="I55" s="9"/>
      <c r="J55" s="9">
        <v>116</v>
      </c>
      <c r="K55" s="13"/>
      <c r="L55" s="13"/>
      <c r="M55" s="16"/>
    </row>
    <row r="56" spans="1:13" x14ac:dyDescent="0.2">
      <c r="A56" s="67"/>
      <c r="B56" s="67"/>
      <c r="C56" s="68"/>
      <c r="D56" s="6" t="s">
        <v>124</v>
      </c>
      <c r="E56" s="6" t="s">
        <v>19</v>
      </c>
      <c r="F56" s="7">
        <v>3</v>
      </c>
      <c r="G56" s="7">
        <v>20</v>
      </c>
      <c r="H56" s="9"/>
      <c r="I56" s="9"/>
      <c r="J56" s="9">
        <v>23</v>
      </c>
      <c r="K56" s="13"/>
      <c r="L56" s="13"/>
      <c r="M56" s="16"/>
    </row>
    <row r="57" spans="1:13" x14ac:dyDescent="0.2">
      <c r="A57" s="67"/>
      <c r="B57" s="67"/>
      <c r="C57" s="6" t="s">
        <v>125</v>
      </c>
      <c r="D57" s="6" t="s">
        <v>126</v>
      </c>
      <c r="E57" s="6" t="s">
        <v>19</v>
      </c>
      <c r="F57" s="7">
        <v>6</v>
      </c>
      <c r="G57" s="7">
        <v>11</v>
      </c>
      <c r="H57" s="9"/>
      <c r="I57" s="9"/>
      <c r="J57" s="9">
        <v>17</v>
      </c>
      <c r="K57" s="13"/>
      <c r="L57" s="13"/>
      <c r="M57" s="16"/>
    </row>
    <row r="58" spans="1:13" ht="28.5" x14ac:dyDescent="0.2">
      <c r="A58" s="67"/>
      <c r="B58" s="67"/>
      <c r="C58" s="68" t="s">
        <v>108</v>
      </c>
      <c r="D58" s="6" t="s">
        <v>110</v>
      </c>
      <c r="E58" s="6" t="s">
        <v>12</v>
      </c>
      <c r="F58" s="7">
        <v>5</v>
      </c>
      <c r="G58" s="7"/>
      <c r="H58" s="9"/>
      <c r="I58" s="9"/>
      <c r="J58" s="9">
        <v>5</v>
      </c>
      <c r="K58" s="13"/>
      <c r="L58" s="13"/>
      <c r="M58" s="14"/>
    </row>
    <row r="59" spans="1:13" ht="28.5" x14ac:dyDescent="0.2">
      <c r="A59" s="67"/>
      <c r="B59" s="67"/>
      <c r="C59" s="68"/>
      <c r="D59" s="6" t="s">
        <v>111</v>
      </c>
      <c r="E59" s="6" t="s">
        <v>12</v>
      </c>
      <c r="F59" s="7">
        <v>2</v>
      </c>
      <c r="G59" s="7"/>
      <c r="H59" s="9"/>
      <c r="I59" s="9"/>
      <c r="J59" s="9">
        <v>2</v>
      </c>
      <c r="K59" s="13"/>
      <c r="L59" s="13"/>
      <c r="M59" s="14"/>
    </row>
    <row r="60" spans="1:13" ht="28.5" x14ac:dyDescent="0.2">
      <c r="A60" s="67"/>
      <c r="B60" s="67"/>
      <c r="C60" s="68"/>
      <c r="D60" s="6" t="s">
        <v>112</v>
      </c>
      <c r="E60" s="6" t="s">
        <v>12</v>
      </c>
      <c r="F60" s="7">
        <v>1</v>
      </c>
      <c r="G60" s="7"/>
      <c r="H60" s="9"/>
      <c r="I60" s="9"/>
      <c r="J60" s="9">
        <v>1</v>
      </c>
      <c r="K60" s="13"/>
      <c r="L60" s="13"/>
      <c r="M60" s="14"/>
    </row>
    <row r="61" spans="1:13" ht="28.5" x14ac:dyDescent="0.2">
      <c r="A61" s="67"/>
      <c r="B61" s="67"/>
      <c r="C61" s="68"/>
      <c r="D61" s="6" t="s">
        <v>113</v>
      </c>
      <c r="E61" s="6" t="s">
        <v>12</v>
      </c>
      <c r="F61" s="7">
        <v>1</v>
      </c>
      <c r="G61" s="7"/>
      <c r="H61" s="9"/>
      <c r="I61" s="9"/>
      <c r="J61" s="9">
        <v>1</v>
      </c>
      <c r="K61" s="13"/>
      <c r="L61" s="13"/>
      <c r="M61" s="14"/>
    </row>
    <row r="62" spans="1:13" ht="28.5" x14ac:dyDescent="0.2">
      <c r="A62" s="67"/>
      <c r="B62" s="67"/>
      <c r="C62" s="68"/>
      <c r="D62" s="6" t="s">
        <v>114</v>
      </c>
      <c r="E62" s="6" t="s">
        <v>12</v>
      </c>
      <c r="F62" s="7">
        <v>3</v>
      </c>
      <c r="G62" s="7"/>
      <c r="H62" s="9"/>
      <c r="I62" s="9"/>
      <c r="J62" s="9">
        <v>3</v>
      </c>
      <c r="K62" s="13"/>
      <c r="L62" s="13"/>
      <c r="M62" s="14"/>
    </row>
    <row r="63" spans="1:13" ht="28.5" x14ac:dyDescent="0.2">
      <c r="A63" s="67"/>
      <c r="B63" s="67"/>
      <c r="C63" s="68"/>
      <c r="D63" s="6" t="s">
        <v>115</v>
      </c>
      <c r="E63" s="6" t="s">
        <v>12</v>
      </c>
      <c r="F63" s="7">
        <v>3</v>
      </c>
      <c r="G63" s="7"/>
      <c r="H63" s="9"/>
      <c r="I63" s="9"/>
      <c r="J63" s="9">
        <v>3</v>
      </c>
      <c r="K63" s="13"/>
      <c r="L63" s="13"/>
      <c r="M63" s="14"/>
    </row>
    <row r="64" spans="1:13" ht="28.5" x14ac:dyDescent="0.2">
      <c r="A64" s="67"/>
      <c r="B64" s="67"/>
      <c r="C64" s="68"/>
      <c r="D64" s="6" t="s">
        <v>116</v>
      </c>
      <c r="E64" s="6" t="s">
        <v>12</v>
      </c>
      <c r="F64" s="7">
        <v>2</v>
      </c>
      <c r="G64" s="7"/>
      <c r="H64" s="9">
        <v>1</v>
      </c>
      <c r="I64" s="9"/>
      <c r="J64" s="9">
        <v>3</v>
      </c>
      <c r="K64" s="13"/>
      <c r="L64" s="13"/>
      <c r="M64" s="14"/>
    </row>
    <row r="65" spans="1:13" ht="28.5" x14ac:dyDescent="0.2">
      <c r="A65" s="67"/>
      <c r="B65" s="67"/>
      <c r="C65" s="68"/>
      <c r="D65" s="6" t="s">
        <v>117</v>
      </c>
      <c r="E65" s="6" t="s">
        <v>12</v>
      </c>
      <c r="F65" s="7">
        <v>1</v>
      </c>
      <c r="G65" s="7"/>
      <c r="H65" s="9"/>
      <c r="I65" s="9"/>
      <c r="J65" s="9">
        <v>1</v>
      </c>
      <c r="K65" s="13"/>
      <c r="L65" s="13"/>
      <c r="M65" s="14"/>
    </row>
    <row r="66" spans="1:13" ht="28.5" x14ac:dyDescent="0.2">
      <c r="A66" s="67"/>
      <c r="B66" s="67"/>
      <c r="C66" s="68"/>
      <c r="D66" s="6" t="s">
        <v>118</v>
      </c>
      <c r="E66" s="6" t="s">
        <v>12</v>
      </c>
      <c r="F66" s="7"/>
      <c r="G66" s="7"/>
      <c r="H66" s="9">
        <v>1</v>
      </c>
      <c r="I66" s="9"/>
      <c r="J66" s="9">
        <v>1</v>
      </c>
      <c r="K66" s="13"/>
      <c r="L66" s="13"/>
      <c r="M66" s="16"/>
    </row>
    <row r="67" spans="1:13" ht="28.5" x14ac:dyDescent="0.2">
      <c r="A67" s="67"/>
      <c r="B67" s="67"/>
      <c r="C67" s="6" t="s">
        <v>119</v>
      </c>
      <c r="D67" s="6" t="s">
        <v>120</v>
      </c>
      <c r="E67" s="6" t="s">
        <v>15</v>
      </c>
      <c r="F67" s="7">
        <v>213</v>
      </c>
      <c r="G67" s="7">
        <v>74</v>
      </c>
      <c r="H67" s="9"/>
      <c r="I67" s="9">
        <v>19</v>
      </c>
      <c r="J67" s="9">
        <v>306</v>
      </c>
      <c r="K67" s="13"/>
      <c r="L67" s="13"/>
      <c r="M67" s="16"/>
    </row>
    <row r="68" spans="1:13" x14ac:dyDescent="0.2">
      <c r="A68" s="67"/>
      <c r="B68" s="67"/>
      <c r="C68" s="6" t="s">
        <v>121</v>
      </c>
      <c r="D68" s="6" t="s">
        <v>121</v>
      </c>
      <c r="E68" s="6" t="s">
        <v>109</v>
      </c>
      <c r="F68" s="7">
        <v>24</v>
      </c>
      <c r="G68" s="7"/>
      <c r="H68" s="9"/>
      <c r="I68" s="9"/>
      <c r="J68" s="9">
        <v>24</v>
      </c>
      <c r="K68" s="13"/>
      <c r="L68" s="13"/>
      <c r="M68" s="16"/>
    </row>
    <row r="69" spans="1:13" x14ac:dyDescent="0.2">
      <c r="A69" s="67"/>
      <c r="B69" s="67"/>
      <c r="C69" s="70" t="s">
        <v>272</v>
      </c>
      <c r="D69" s="4" t="s">
        <v>273</v>
      </c>
      <c r="E69" s="4" t="s">
        <v>268</v>
      </c>
      <c r="F69" s="5">
        <v>35</v>
      </c>
      <c r="G69" s="5">
        <v>26</v>
      </c>
      <c r="H69" s="9"/>
      <c r="I69" s="9">
        <v>7</v>
      </c>
      <c r="J69" s="9">
        <v>68</v>
      </c>
      <c r="K69" s="13"/>
      <c r="L69" s="13"/>
      <c r="M69" s="16"/>
    </row>
    <row r="70" spans="1:13" x14ac:dyDescent="0.2">
      <c r="A70" s="67"/>
      <c r="B70" s="67"/>
      <c r="C70" s="70"/>
      <c r="D70" s="4" t="s">
        <v>274</v>
      </c>
      <c r="E70" s="4" t="s">
        <v>268</v>
      </c>
      <c r="F70" s="5">
        <v>4</v>
      </c>
      <c r="G70" s="5"/>
      <c r="H70" s="9"/>
      <c r="I70" s="9"/>
      <c r="J70" s="9">
        <v>4</v>
      </c>
      <c r="K70" s="13"/>
      <c r="L70" s="13"/>
      <c r="M70" s="16"/>
    </row>
    <row r="71" spans="1:13" ht="55.5" x14ac:dyDescent="0.2">
      <c r="A71" s="67"/>
      <c r="B71" s="67"/>
      <c r="C71" s="68" t="s">
        <v>24</v>
      </c>
      <c r="D71" s="6" t="s">
        <v>127</v>
      </c>
      <c r="E71" s="6" t="s">
        <v>12</v>
      </c>
      <c r="F71" s="7">
        <v>22</v>
      </c>
      <c r="G71" s="7">
        <v>8</v>
      </c>
      <c r="H71" s="9">
        <v>1</v>
      </c>
      <c r="I71" s="9"/>
      <c r="J71" s="9">
        <v>31</v>
      </c>
      <c r="K71" s="13">
        <v>6</v>
      </c>
      <c r="L71" s="13"/>
      <c r="M71" s="14" t="s">
        <v>128</v>
      </c>
    </row>
    <row r="72" spans="1:13" ht="28.5" x14ac:dyDescent="0.2">
      <c r="A72" s="67"/>
      <c r="B72" s="67"/>
      <c r="C72" s="68"/>
      <c r="D72" s="6" t="s">
        <v>129</v>
      </c>
      <c r="E72" s="6" t="s">
        <v>12</v>
      </c>
      <c r="F72" s="7">
        <v>2</v>
      </c>
      <c r="G72" s="7"/>
      <c r="H72" s="9"/>
      <c r="I72" s="9"/>
      <c r="J72" s="9">
        <v>2</v>
      </c>
      <c r="K72" s="13"/>
      <c r="L72" s="13"/>
      <c r="M72" s="16"/>
    </row>
    <row r="73" spans="1:13" ht="28.5" x14ac:dyDescent="0.2">
      <c r="A73" s="67"/>
      <c r="B73" s="67"/>
      <c r="C73" s="68"/>
      <c r="D73" s="6" t="s">
        <v>130</v>
      </c>
      <c r="E73" s="6" t="s">
        <v>12</v>
      </c>
      <c r="F73" s="7">
        <v>10</v>
      </c>
      <c r="G73" s="7">
        <v>3</v>
      </c>
      <c r="H73" s="9">
        <v>1</v>
      </c>
      <c r="I73" s="9"/>
      <c r="J73" s="9">
        <v>14</v>
      </c>
      <c r="K73" s="13"/>
      <c r="L73" s="13"/>
      <c r="M73" s="14"/>
    </row>
    <row r="74" spans="1:13" ht="28.5" x14ac:dyDescent="0.2">
      <c r="A74" s="67"/>
      <c r="B74" s="67"/>
      <c r="C74" s="68"/>
      <c r="D74" s="6" t="s">
        <v>131</v>
      </c>
      <c r="E74" s="6" t="s">
        <v>12</v>
      </c>
      <c r="F74" s="7">
        <v>1</v>
      </c>
      <c r="G74" s="7">
        <v>2</v>
      </c>
      <c r="H74" s="9"/>
      <c r="I74" s="9"/>
      <c r="J74" s="9">
        <v>3</v>
      </c>
      <c r="K74" s="13"/>
      <c r="L74" s="13"/>
      <c r="M74" s="14"/>
    </row>
    <row r="75" spans="1:13" ht="28.5" x14ac:dyDescent="0.2">
      <c r="A75" s="67"/>
      <c r="B75" s="67"/>
      <c r="C75" s="68"/>
      <c r="D75" s="6" t="s">
        <v>132</v>
      </c>
      <c r="E75" s="6" t="s">
        <v>12</v>
      </c>
      <c r="F75" s="7">
        <v>5</v>
      </c>
      <c r="G75" s="7"/>
      <c r="H75" s="9"/>
      <c r="I75" s="9"/>
      <c r="J75" s="9">
        <v>5</v>
      </c>
      <c r="K75" s="13"/>
      <c r="L75" s="13"/>
      <c r="M75" s="14"/>
    </row>
    <row r="76" spans="1:13" ht="71.25" x14ac:dyDescent="0.2">
      <c r="A76" s="67"/>
      <c r="B76" s="67"/>
      <c r="C76" s="70" t="s">
        <v>133</v>
      </c>
      <c r="D76" s="4" t="s">
        <v>275</v>
      </c>
      <c r="E76" s="4" t="s">
        <v>19</v>
      </c>
      <c r="F76" s="5">
        <v>63</v>
      </c>
      <c r="G76" s="5">
        <v>1</v>
      </c>
      <c r="H76" s="9"/>
      <c r="I76" s="9"/>
      <c r="J76" s="9">
        <v>64</v>
      </c>
      <c r="K76" s="13"/>
      <c r="L76" s="13"/>
      <c r="M76" s="1"/>
    </row>
    <row r="77" spans="1:13" ht="57" x14ac:dyDescent="0.2">
      <c r="A77" s="67"/>
      <c r="B77" s="67"/>
      <c r="C77" s="70"/>
      <c r="D77" s="4" t="s">
        <v>276</v>
      </c>
      <c r="E77" s="4" t="s">
        <v>19</v>
      </c>
      <c r="F77" s="5">
        <v>90</v>
      </c>
      <c r="G77" s="5">
        <v>11</v>
      </c>
      <c r="H77" s="9">
        <v>1</v>
      </c>
      <c r="I77" s="9"/>
      <c r="J77" s="9">
        <v>102</v>
      </c>
      <c r="K77" s="13"/>
      <c r="L77" s="13"/>
      <c r="M77" s="1"/>
    </row>
    <row r="78" spans="1:13" ht="71.25" x14ac:dyDescent="0.2">
      <c r="A78" s="67"/>
      <c r="B78" s="67"/>
      <c r="C78" s="70"/>
      <c r="D78" s="4" t="s">
        <v>277</v>
      </c>
      <c r="E78" s="4" t="s">
        <v>19</v>
      </c>
      <c r="F78" s="5">
        <v>96</v>
      </c>
      <c r="G78" s="5">
        <v>134</v>
      </c>
      <c r="H78" s="9">
        <v>68</v>
      </c>
      <c r="I78" s="9"/>
      <c r="J78" s="9">
        <v>298</v>
      </c>
      <c r="K78" s="13"/>
      <c r="L78" s="13"/>
      <c r="M78" s="1"/>
    </row>
    <row r="79" spans="1:13" ht="28.5" x14ac:dyDescent="0.2">
      <c r="A79" s="67"/>
      <c r="B79" s="67"/>
      <c r="C79" s="70"/>
      <c r="D79" s="4" t="s">
        <v>278</v>
      </c>
      <c r="E79" s="4" t="s">
        <v>19</v>
      </c>
      <c r="F79" s="5">
        <v>28</v>
      </c>
      <c r="G79" s="5">
        <v>18</v>
      </c>
      <c r="H79" s="9"/>
      <c r="I79" s="9"/>
      <c r="J79" s="9">
        <v>46</v>
      </c>
      <c r="K79" s="13"/>
      <c r="L79" s="13"/>
      <c r="M79" s="1"/>
    </row>
    <row r="80" spans="1:13" ht="42.75" x14ac:dyDescent="0.2">
      <c r="A80" s="67"/>
      <c r="B80" s="67" t="s">
        <v>26</v>
      </c>
      <c r="C80" s="68" t="s">
        <v>134</v>
      </c>
      <c r="D80" s="6" t="s">
        <v>135</v>
      </c>
      <c r="E80" s="6" t="s">
        <v>136</v>
      </c>
      <c r="F80" s="7">
        <v>5338</v>
      </c>
      <c r="G80" s="7"/>
      <c r="H80" s="9"/>
      <c r="I80" s="9"/>
      <c r="J80" s="9">
        <v>5338</v>
      </c>
      <c r="K80" s="13"/>
      <c r="L80" s="13"/>
      <c r="M80" s="1"/>
    </row>
    <row r="81" spans="1:13" ht="42.75" x14ac:dyDescent="0.2">
      <c r="A81" s="67"/>
      <c r="B81" s="67"/>
      <c r="C81" s="68"/>
      <c r="D81" s="6" t="s">
        <v>137</v>
      </c>
      <c r="E81" s="6" t="s">
        <v>136</v>
      </c>
      <c r="F81" s="7">
        <v>176625</v>
      </c>
      <c r="G81" s="7"/>
      <c r="H81" s="9"/>
      <c r="I81" s="9"/>
      <c r="J81" s="9">
        <v>176625</v>
      </c>
      <c r="K81" s="13"/>
      <c r="L81" s="13"/>
      <c r="M81" s="1"/>
    </row>
    <row r="82" spans="1:13" ht="42.75" x14ac:dyDescent="0.2">
      <c r="A82" s="67"/>
      <c r="B82" s="67"/>
      <c r="C82" s="68"/>
      <c r="D82" s="6" t="s">
        <v>138</v>
      </c>
      <c r="E82" s="6" t="s">
        <v>136</v>
      </c>
      <c r="F82" s="7">
        <v>8635</v>
      </c>
      <c r="G82" s="7"/>
      <c r="H82" s="9"/>
      <c r="I82" s="9"/>
      <c r="J82" s="9">
        <v>8635</v>
      </c>
      <c r="K82" s="13"/>
      <c r="L82" s="13"/>
      <c r="M82" s="1"/>
    </row>
    <row r="83" spans="1:13" ht="28.5" x14ac:dyDescent="0.2">
      <c r="A83" s="67"/>
      <c r="B83" s="67"/>
      <c r="C83" s="68"/>
      <c r="D83" s="6" t="s">
        <v>139</v>
      </c>
      <c r="E83" s="6" t="s">
        <v>136</v>
      </c>
      <c r="F83" s="7"/>
      <c r="G83" s="7">
        <v>3980</v>
      </c>
      <c r="H83" s="9"/>
      <c r="I83" s="9"/>
      <c r="J83" s="9">
        <v>3980</v>
      </c>
      <c r="K83" s="13"/>
      <c r="L83" s="13"/>
      <c r="M83" s="1"/>
    </row>
    <row r="84" spans="1:13" ht="28.5" x14ac:dyDescent="0.2">
      <c r="A84" s="67"/>
      <c r="B84" s="67"/>
      <c r="C84" s="68"/>
      <c r="D84" s="6" t="s">
        <v>140</v>
      </c>
      <c r="E84" s="6" t="s">
        <v>136</v>
      </c>
      <c r="F84" s="7">
        <v>25600</v>
      </c>
      <c r="G84" s="7">
        <v>89424</v>
      </c>
      <c r="H84" s="9"/>
      <c r="I84" s="9"/>
      <c r="J84" s="9">
        <v>115024</v>
      </c>
      <c r="K84" s="13"/>
      <c r="L84" s="13"/>
      <c r="M84" s="1"/>
    </row>
    <row r="85" spans="1:13" ht="28.5" x14ac:dyDescent="0.2">
      <c r="A85" s="67"/>
      <c r="B85" s="67"/>
      <c r="C85" s="67" t="s">
        <v>55</v>
      </c>
      <c r="D85" s="6" t="s">
        <v>141</v>
      </c>
      <c r="E85" s="6" t="s">
        <v>28</v>
      </c>
      <c r="F85" s="7">
        <v>4355</v>
      </c>
      <c r="G85" s="7">
        <v>10151</v>
      </c>
      <c r="H85" s="7">
        <v>615</v>
      </c>
      <c r="I85" s="7">
        <v>123</v>
      </c>
      <c r="J85" s="7">
        <v>15244</v>
      </c>
      <c r="K85" s="13"/>
      <c r="L85" s="13"/>
      <c r="M85" s="1"/>
    </row>
    <row r="86" spans="1:13" ht="28.5" x14ac:dyDescent="0.2">
      <c r="A86" s="67"/>
      <c r="B86" s="67"/>
      <c r="C86" s="67"/>
      <c r="D86" s="6" t="s">
        <v>142</v>
      </c>
      <c r="E86" s="6" t="s">
        <v>28</v>
      </c>
      <c r="F86" s="7">
        <v>6311</v>
      </c>
      <c r="G86" s="7">
        <v>5439</v>
      </c>
      <c r="H86" s="7">
        <v>331</v>
      </c>
      <c r="I86" s="7">
        <v>72</v>
      </c>
      <c r="J86" s="7">
        <v>12153</v>
      </c>
      <c r="K86" s="13"/>
      <c r="L86" s="13"/>
      <c r="M86" s="1"/>
    </row>
    <row r="87" spans="1:13" ht="28.5" x14ac:dyDescent="0.2">
      <c r="A87" s="67"/>
      <c r="B87" s="67"/>
      <c r="C87" s="67"/>
      <c r="D87" s="6" t="s">
        <v>143</v>
      </c>
      <c r="E87" s="6" t="s">
        <v>28</v>
      </c>
      <c r="F87" s="7"/>
      <c r="G87" s="7">
        <v>225</v>
      </c>
      <c r="H87" s="7"/>
      <c r="I87" s="7"/>
      <c r="J87" s="7">
        <v>225</v>
      </c>
      <c r="K87" s="13"/>
      <c r="L87" s="13"/>
      <c r="M87" s="1"/>
    </row>
    <row r="88" spans="1:13" ht="28.5" x14ac:dyDescent="0.2">
      <c r="A88" s="67"/>
      <c r="B88" s="67"/>
      <c r="C88" s="67"/>
      <c r="D88" s="6" t="s">
        <v>144</v>
      </c>
      <c r="E88" s="6" t="s">
        <v>28</v>
      </c>
      <c r="F88" s="7">
        <v>5525.5</v>
      </c>
      <c r="G88" s="7">
        <v>4496</v>
      </c>
      <c r="H88" s="7">
        <v>382</v>
      </c>
      <c r="I88" s="7"/>
      <c r="J88" s="7">
        <v>10403.5</v>
      </c>
      <c r="K88" s="13"/>
      <c r="L88" s="13"/>
      <c r="M88" s="1"/>
    </row>
    <row r="89" spans="1:13" ht="28.5" x14ac:dyDescent="0.2">
      <c r="A89" s="67"/>
      <c r="B89" s="67"/>
      <c r="C89" s="67"/>
      <c r="D89" s="6" t="s">
        <v>145</v>
      </c>
      <c r="E89" s="6" t="s">
        <v>28</v>
      </c>
      <c r="F89" s="7">
        <v>506</v>
      </c>
      <c r="G89" s="7">
        <v>3110</v>
      </c>
      <c r="H89" s="7">
        <v>165</v>
      </c>
      <c r="I89" s="7">
        <v>176</v>
      </c>
      <c r="J89" s="7">
        <v>3957</v>
      </c>
      <c r="K89" s="13"/>
      <c r="L89" s="13"/>
      <c r="M89" s="1"/>
    </row>
    <row r="90" spans="1:13" ht="28.5" x14ac:dyDescent="0.2">
      <c r="A90" s="67"/>
      <c r="B90" s="67"/>
      <c r="C90" s="67"/>
      <c r="D90" s="6" t="s">
        <v>146</v>
      </c>
      <c r="E90" s="6" t="s">
        <v>28</v>
      </c>
      <c r="F90" s="7"/>
      <c r="G90" s="7">
        <v>224</v>
      </c>
      <c r="H90" s="7"/>
      <c r="I90" s="7">
        <v>151</v>
      </c>
      <c r="J90" s="7">
        <v>375</v>
      </c>
      <c r="K90" s="13"/>
      <c r="L90" s="13"/>
      <c r="M90" s="1"/>
    </row>
    <row r="91" spans="1:13" ht="28.5" x14ac:dyDescent="0.2">
      <c r="A91" s="67"/>
      <c r="B91" s="67"/>
      <c r="C91" s="67"/>
      <c r="D91" s="6" t="s">
        <v>147</v>
      </c>
      <c r="E91" s="6" t="s">
        <v>28</v>
      </c>
      <c r="F91" s="7"/>
      <c r="G91" s="7">
        <v>120</v>
      </c>
      <c r="H91" s="7"/>
      <c r="I91" s="7"/>
      <c r="J91" s="7">
        <v>120</v>
      </c>
      <c r="K91" s="13"/>
      <c r="L91" s="13"/>
      <c r="M91" s="1"/>
    </row>
    <row r="92" spans="1:13" ht="28.5" x14ac:dyDescent="0.2">
      <c r="A92" s="67"/>
      <c r="B92" s="67"/>
      <c r="C92" s="67"/>
      <c r="D92" s="6" t="s">
        <v>148</v>
      </c>
      <c r="E92" s="6" t="s">
        <v>28</v>
      </c>
      <c r="F92" s="7">
        <v>303</v>
      </c>
      <c r="G92" s="7">
        <v>393</v>
      </c>
      <c r="H92" s="7"/>
      <c r="I92" s="7"/>
      <c r="J92" s="7">
        <v>696</v>
      </c>
      <c r="K92" s="13"/>
      <c r="L92" s="13"/>
      <c r="M92" s="1"/>
    </row>
    <row r="93" spans="1:13" ht="28.5" x14ac:dyDescent="0.2">
      <c r="A93" s="67"/>
      <c r="B93" s="67"/>
      <c r="C93" s="67"/>
      <c r="D93" s="6" t="s">
        <v>149</v>
      </c>
      <c r="E93" s="6" t="s">
        <v>28</v>
      </c>
      <c r="F93" s="7"/>
      <c r="G93" s="7">
        <v>27</v>
      </c>
      <c r="H93" s="7"/>
      <c r="I93" s="7"/>
      <c r="J93" s="7">
        <v>27</v>
      </c>
      <c r="K93" s="13"/>
      <c r="L93" s="13"/>
      <c r="M93" s="1"/>
    </row>
    <row r="94" spans="1:13" ht="28.5" x14ac:dyDescent="0.2">
      <c r="A94" s="67"/>
      <c r="B94" s="67"/>
      <c r="C94" s="67"/>
      <c r="D94" s="6" t="s">
        <v>150</v>
      </c>
      <c r="E94" s="6" t="s">
        <v>28</v>
      </c>
      <c r="F94" s="7"/>
      <c r="G94" s="7">
        <v>153</v>
      </c>
      <c r="H94" s="7"/>
      <c r="I94" s="7"/>
      <c r="J94" s="7">
        <v>153</v>
      </c>
      <c r="K94" s="13"/>
      <c r="L94" s="13"/>
      <c r="M94" s="1"/>
    </row>
    <row r="95" spans="1:13" ht="28.5" x14ac:dyDescent="0.2">
      <c r="A95" s="67"/>
      <c r="B95" s="67"/>
      <c r="C95" s="67"/>
      <c r="D95" s="6" t="s">
        <v>151</v>
      </c>
      <c r="E95" s="6" t="s">
        <v>28</v>
      </c>
      <c r="F95" s="7"/>
      <c r="G95" s="7">
        <v>187</v>
      </c>
      <c r="H95" s="7"/>
      <c r="I95" s="7"/>
      <c r="J95" s="7">
        <v>187</v>
      </c>
      <c r="K95" s="13"/>
      <c r="L95" s="13"/>
      <c r="M95" s="1"/>
    </row>
    <row r="96" spans="1:13" ht="28.5" x14ac:dyDescent="0.2">
      <c r="A96" s="67"/>
      <c r="B96" s="67"/>
      <c r="C96" s="67"/>
      <c r="D96" s="6" t="s">
        <v>152</v>
      </c>
      <c r="E96" s="6" t="s">
        <v>28</v>
      </c>
      <c r="F96" s="7">
        <v>1797</v>
      </c>
      <c r="G96" s="7">
        <v>4877.5</v>
      </c>
      <c r="H96" s="7">
        <v>86</v>
      </c>
      <c r="I96" s="7">
        <v>120</v>
      </c>
      <c r="J96" s="7">
        <v>6880.5</v>
      </c>
      <c r="K96" s="13"/>
      <c r="L96" s="13"/>
      <c r="M96" s="1"/>
    </row>
    <row r="97" spans="1:13" ht="28.5" x14ac:dyDescent="0.2">
      <c r="A97" s="67"/>
      <c r="B97" s="67"/>
      <c r="C97" s="67"/>
      <c r="D97" s="6" t="s">
        <v>153</v>
      </c>
      <c r="E97" s="6" t="s">
        <v>28</v>
      </c>
      <c r="F97" s="7">
        <v>756</v>
      </c>
      <c r="G97" s="7">
        <v>2820</v>
      </c>
      <c r="H97" s="7">
        <v>163</v>
      </c>
      <c r="I97" s="7">
        <v>55</v>
      </c>
      <c r="J97" s="7">
        <v>3794</v>
      </c>
      <c r="K97" s="13"/>
      <c r="L97" s="13"/>
      <c r="M97" s="1"/>
    </row>
    <row r="98" spans="1:13" ht="42.75" x14ac:dyDescent="0.2">
      <c r="A98" s="67"/>
      <c r="B98" s="67"/>
      <c r="C98" s="67"/>
      <c r="D98" s="6" t="s">
        <v>154</v>
      </c>
      <c r="E98" s="6" t="s">
        <v>28</v>
      </c>
      <c r="F98" s="7">
        <v>744</v>
      </c>
      <c r="G98" s="7">
        <v>91</v>
      </c>
      <c r="H98" s="7"/>
      <c r="I98" s="7"/>
      <c r="J98" s="7">
        <v>835</v>
      </c>
      <c r="K98" s="13"/>
      <c r="L98" s="13"/>
      <c r="M98" s="1"/>
    </row>
    <row r="99" spans="1:13" ht="42.75" x14ac:dyDescent="0.2">
      <c r="A99" s="67"/>
      <c r="B99" s="67"/>
      <c r="C99" s="67"/>
      <c r="D99" s="6" t="s">
        <v>155</v>
      </c>
      <c r="E99" s="6" t="s">
        <v>28</v>
      </c>
      <c r="F99" s="7">
        <v>156</v>
      </c>
      <c r="G99" s="7">
        <v>2864.5</v>
      </c>
      <c r="H99" s="7"/>
      <c r="I99" s="7"/>
      <c r="J99" s="7">
        <v>3020.5</v>
      </c>
      <c r="K99" s="13"/>
      <c r="L99" s="13"/>
      <c r="M99" s="1"/>
    </row>
    <row r="100" spans="1:13" ht="42.75" x14ac:dyDescent="0.2">
      <c r="A100" s="67"/>
      <c r="B100" s="67"/>
      <c r="C100" s="67"/>
      <c r="D100" s="6" t="s">
        <v>156</v>
      </c>
      <c r="E100" s="6" t="s">
        <v>28</v>
      </c>
      <c r="F100" s="7">
        <v>1886</v>
      </c>
      <c r="G100" s="7">
        <v>3591</v>
      </c>
      <c r="H100" s="7"/>
      <c r="I100" s="7"/>
      <c r="J100" s="7">
        <v>5477</v>
      </c>
      <c r="K100" s="13"/>
      <c r="L100" s="13"/>
      <c r="M100" s="1"/>
    </row>
    <row r="101" spans="1:13" ht="42.75" x14ac:dyDescent="0.2">
      <c r="A101" s="67"/>
      <c r="B101" s="67"/>
      <c r="C101" s="67"/>
      <c r="D101" s="6" t="s">
        <v>157</v>
      </c>
      <c r="E101" s="6" t="s">
        <v>28</v>
      </c>
      <c r="F101" s="7">
        <v>416</v>
      </c>
      <c r="G101" s="7">
        <v>384</v>
      </c>
      <c r="H101" s="7"/>
      <c r="I101" s="7"/>
      <c r="J101" s="7">
        <v>800</v>
      </c>
      <c r="K101" s="13"/>
      <c r="L101" s="13"/>
      <c r="M101" s="1"/>
    </row>
    <row r="102" spans="1:13" ht="42.75" x14ac:dyDescent="0.2">
      <c r="A102" s="67"/>
      <c r="B102" s="67"/>
      <c r="C102" s="67"/>
      <c r="D102" s="6" t="s">
        <v>158</v>
      </c>
      <c r="E102" s="6" t="s">
        <v>28</v>
      </c>
      <c r="F102" s="7">
        <v>200</v>
      </c>
      <c r="G102" s="7">
        <v>471</v>
      </c>
      <c r="H102" s="7"/>
      <c r="I102" s="7"/>
      <c r="J102" s="7">
        <v>671</v>
      </c>
      <c r="K102" s="13"/>
      <c r="L102" s="13"/>
      <c r="M102" s="1"/>
    </row>
    <row r="103" spans="1:13" ht="28.5" x14ac:dyDescent="0.2">
      <c r="A103" s="67"/>
      <c r="B103" s="67"/>
      <c r="C103" s="3" t="s">
        <v>159</v>
      </c>
      <c r="D103" s="6" t="s">
        <v>160</v>
      </c>
      <c r="E103" s="6" t="s">
        <v>86</v>
      </c>
      <c r="F103" s="7">
        <v>15.13</v>
      </c>
      <c r="G103" s="7">
        <v>560.79999999999995</v>
      </c>
      <c r="H103" s="7"/>
      <c r="I103" s="7"/>
      <c r="J103" s="7">
        <v>575.92999999999995</v>
      </c>
      <c r="K103" s="13"/>
      <c r="L103" s="13"/>
      <c r="M103" s="1"/>
    </row>
    <row r="104" spans="1:13" x14ac:dyDescent="0.2">
      <c r="A104" s="67"/>
      <c r="B104" s="67"/>
      <c r="C104" s="68" t="s">
        <v>161</v>
      </c>
      <c r="D104" s="6" t="s">
        <v>162</v>
      </c>
      <c r="E104" s="6" t="s">
        <v>28</v>
      </c>
      <c r="F104" s="7">
        <v>414.53</v>
      </c>
      <c r="G104" s="7">
        <v>147.46</v>
      </c>
      <c r="H104" s="7"/>
      <c r="I104" s="7"/>
      <c r="J104" s="7">
        <v>561.99</v>
      </c>
      <c r="K104" s="13"/>
      <c r="L104" s="13"/>
      <c r="M104" s="14"/>
    </row>
    <row r="105" spans="1:13" x14ac:dyDescent="0.2">
      <c r="A105" s="67"/>
      <c r="B105" s="67"/>
      <c r="C105" s="68"/>
      <c r="D105" s="6" t="s">
        <v>163</v>
      </c>
      <c r="E105" s="6" t="s">
        <v>28</v>
      </c>
      <c r="F105" s="7">
        <v>1</v>
      </c>
      <c r="G105" s="7"/>
      <c r="H105" s="7"/>
      <c r="I105" s="7"/>
      <c r="J105" s="7">
        <v>1</v>
      </c>
      <c r="K105" s="13"/>
      <c r="L105" s="13"/>
      <c r="M105" s="16"/>
    </row>
    <row r="106" spans="1:13" ht="28.5" x14ac:dyDescent="0.2">
      <c r="A106" s="67"/>
      <c r="B106" s="67"/>
      <c r="C106" s="68"/>
      <c r="D106" s="6" t="s">
        <v>164</v>
      </c>
      <c r="E106" s="6" t="s">
        <v>28</v>
      </c>
      <c r="F106" s="7">
        <v>136.69</v>
      </c>
      <c r="G106" s="7">
        <v>33.17</v>
      </c>
      <c r="H106" s="7"/>
      <c r="I106" s="7"/>
      <c r="J106" s="7">
        <v>169.86</v>
      </c>
      <c r="K106" s="13"/>
      <c r="L106" s="13"/>
      <c r="M106" s="14"/>
    </row>
    <row r="107" spans="1:13" ht="28.5" x14ac:dyDescent="0.2">
      <c r="A107" s="67"/>
      <c r="B107" s="67"/>
      <c r="C107" s="68"/>
      <c r="D107" s="6" t="s">
        <v>165</v>
      </c>
      <c r="E107" s="6" t="s">
        <v>28</v>
      </c>
      <c r="F107" s="7">
        <v>59.34</v>
      </c>
      <c r="G107" s="7">
        <v>41.27</v>
      </c>
      <c r="H107" s="7"/>
      <c r="I107" s="7"/>
      <c r="J107" s="7">
        <v>100.61</v>
      </c>
      <c r="K107" s="13"/>
      <c r="L107" s="13"/>
      <c r="M107" s="14"/>
    </row>
    <row r="108" spans="1:13" ht="28.5" x14ac:dyDescent="0.2">
      <c r="A108" s="67"/>
      <c r="B108" s="67"/>
      <c r="C108" s="68"/>
      <c r="D108" s="6" t="s">
        <v>166</v>
      </c>
      <c r="E108" s="6" t="s">
        <v>28</v>
      </c>
      <c r="F108" s="7">
        <v>10</v>
      </c>
      <c r="G108" s="7"/>
      <c r="H108" s="7"/>
      <c r="I108" s="7"/>
      <c r="J108" s="7">
        <v>10</v>
      </c>
      <c r="K108" s="13"/>
      <c r="L108" s="13"/>
      <c r="M108" s="1"/>
    </row>
    <row r="109" spans="1:13" ht="28.5" x14ac:dyDescent="0.2">
      <c r="A109" s="67"/>
      <c r="B109" s="67"/>
      <c r="C109" s="68" t="s">
        <v>84</v>
      </c>
      <c r="D109" s="6" t="s">
        <v>167</v>
      </c>
      <c r="E109" s="6" t="s">
        <v>86</v>
      </c>
      <c r="F109" s="7">
        <v>20705.25</v>
      </c>
      <c r="G109" s="7">
        <v>11457.9</v>
      </c>
      <c r="H109" s="7">
        <v>271.2</v>
      </c>
      <c r="I109" s="7">
        <v>983.2</v>
      </c>
      <c r="J109" s="7">
        <v>33417.550000000003</v>
      </c>
      <c r="K109" s="13"/>
      <c r="L109" s="13"/>
      <c r="M109" s="1"/>
    </row>
    <row r="110" spans="1:13" ht="28.5" x14ac:dyDescent="0.2">
      <c r="A110" s="67"/>
      <c r="B110" s="67"/>
      <c r="C110" s="68"/>
      <c r="D110" s="6" t="s">
        <v>168</v>
      </c>
      <c r="E110" s="6" t="s">
        <v>86</v>
      </c>
      <c r="F110" s="7">
        <v>833.95</v>
      </c>
      <c r="G110" s="7">
        <v>108</v>
      </c>
      <c r="H110" s="7"/>
      <c r="I110" s="7"/>
      <c r="J110" s="7">
        <v>941.95</v>
      </c>
      <c r="K110" s="13"/>
      <c r="L110" s="13"/>
      <c r="M110" s="1"/>
    </row>
    <row r="111" spans="1:13" ht="57" x14ac:dyDescent="0.2">
      <c r="A111" s="67"/>
      <c r="B111" s="67" t="s">
        <v>169</v>
      </c>
      <c r="C111" s="4" t="s">
        <v>279</v>
      </c>
      <c r="D111" s="4" t="s">
        <v>280</v>
      </c>
      <c r="E111" s="4" t="s">
        <v>12</v>
      </c>
      <c r="F111" s="5"/>
      <c r="G111" s="5"/>
      <c r="H111" s="5"/>
      <c r="I111" s="5">
        <v>50</v>
      </c>
      <c r="J111" s="5">
        <v>50</v>
      </c>
      <c r="K111" s="13"/>
      <c r="L111" s="13"/>
      <c r="M111" s="1"/>
    </row>
    <row r="112" spans="1:13" ht="42.75" x14ac:dyDescent="0.2">
      <c r="A112" s="67"/>
      <c r="B112" s="67"/>
      <c r="C112" s="4" t="s">
        <v>281</v>
      </c>
      <c r="D112" s="4" t="s">
        <v>281</v>
      </c>
      <c r="E112" s="4" t="s">
        <v>19</v>
      </c>
      <c r="F112" s="5">
        <v>3</v>
      </c>
      <c r="G112" s="5">
        <v>7</v>
      </c>
      <c r="H112" s="5"/>
      <c r="I112" s="5"/>
      <c r="J112" s="5">
        <v>10</v>
      </c>
      <c r="K112" s="13"/>
      <c r="L112" s="13"/>
      <c r="M112" s="1"/>
    </row>
    <row r="113" spans="1:13" ht="57" x14ac:dyDescent="0.2">
      <c r="A113" s="67"/>
      <c r="B113" s="67"/>
      <c r="C113" s="70" t="s">
        <v>282</v>
      </c>
      <c r="D113" s="4" t="s">
        <v>283</v>
      </c>
      <c r="E113" s="4" t="s">
        <v>19</v>
      </c>
      <c r="F113" s="5">
        <v>72</v>
      </c>
      <c r="G113" s="5">
        <v>5</v>
      </c>
      <c r="H113" s="5"/>
      <c r="I113" s="5"/>
      <c r="J113" s="5">
        <v>77</v>
      </c>
      <c r="K113" s="13"/>
      <c r="L113" s="13"/>
      <c r="M113" s="1"/>
    </row>
    <row r="114" spans="1:13" ht="57" x14ac:dyDescent="0.2">
      <c r="A114" s="67"/>
      <c r="B114" s="67"/>
      <c r="C114" s="70"/>
      <c r="D114" s="4" t="s">
        <v>284</v>
      </c>
      <c r="E114" s="4" t="s">
        <v>19</v>
      </c>
      <c r="F114" s="5">
        <v>23</v>
      </c>
      <c r="G114" s="5">
        <v>4</v>
      </c>
      <c r="H114" s="5"/>
      <c r="I114" s="5"/>
      <c r="J114" s="5">
        <v>27</v>
      </c>
      <c r="K114" s="13"/>
      <c r="L114" s="13"/>
      <c r="M114" s="1"/>
    </row>
    <row r="115" spans="1:13" ht="42.75" x14ac:dyDescent="0.2">
      <c r="A115" s="67"/>
      <c r="B115" s="67"/>
      <c r="C115" s="4" t="s">
        <v>285</v>
      </c>
      <c r="D115" s="4" t="s">
        <v>285</v>
      </c>
      <c r="E115" s="4" t="s">
        <v>19</v>
      </c>
      <c r="F115" s="5">
        <v>3</v>
      </c>
      <c r="G115" s="5">
        <v>2</v>
      </c>
      <c r="H115" s="5"/>
      <c r="I115" s="5"/>
      <c r="J115" s="5">
        <v>5</v>
      </c>
      <c r="K115" s="13"/>
      <c r="L115" s="13"/>
      <c r="M115" s="1"/>
    </row>
    <row r="116" spans="1:13" ht="42.75" x14ac:dyDescent="0.2">
      <c r="A116" s="67"/>
      <c r="B116" s="67"/>
      <c r="C116" s="4" t="s">
        <v>286</v>
      </c>
      <c r="D116" s="4" t="s">
        <v>286</v>
      </c>
      <c r="E116" s="4" t="s">
        <v>19</v>
      </c>
      <c r="F116" s="5">
        <v>1</v>
      </c>
      <c r="G116" s="5"/>
      <c r="H116" s="5"/>
      <c r="I116" s="5"/>
      <c r="J116" s="5">
        <v>1</v>
      </c>
      <c r="K116" s="13"/>
      <c r="L116" s="13"/>
      <c r="M116" s="1"/>
    </row>
    <row r="117" spans="1:13" ht="57" x14ac:dyDescent="0.2">
      <c r="A117" s="67"/>
      <c r="B117" s="67"/>
      <c r="C117" s="4" t="s">
        <v>209</v>
      </c>
      <c r="D117" s="4" t="s">
        <v>287</v>
      </c>
      <c r="E117" s="4" t="s">
        <v>19</v>
      </c>
      <c r="F117" s="5"/>
      <c r="G117" s="5">
        <v>23</v>
      </c>
      <c r="H117" s="5"/>
      <c r="I117" s="5"/>
      <c r="J117" s="5">
        <v>23</v>
      </c>
      <c r="K117" s="13"/>
      <c r="L117" s="13"/>
      <c r="M117" s="1"/>
    </row>
    <row r="118" spans="1:13" ht="71.25" x14ac:dyDescent="0.2">
      <c r="A118" s="67"/>
      <c r="B118" s="67"/>
      <c r="C118" s="70" t="s">
        <v>288</v>
      </c>
      <c r="D118" s="4" t="s">
        <v>289</v>
      </c>
      <c r="E118" s="4" t="s">
        <v>12</v>
      </c>
      <c r="F118" s="5">
        <v>5</v>
      </c>
      <c r="G118" s="5">
        <v>34</v>
      </c>
      <c r="H118" s="5">
        <v>1</v>
      </c>
      <c r="I118" s="5"/>
      <c r="J118" s="5">
        <v>40</v>
      </c>
      <c r="K118" s="13"/>
      <c r="L118" s="13"/>
      <c r="M118" s="1"/>
    </row>
    <row r="119" spans="1:13" ht="57" x14ac:dyDescent="0.2">
      <c r="A119" s="67"/>
      <c r="B119" s="67"/>
      <c r="C119" s="70"/>
      <c r="D119" s="4" t="s">
        <v>290</v>
      </c>
      <c r="E119" s="4" t="s">
        <v>12</v>
      </c>
      <c r="F119" s="5"/>
      <c r="G119" s="5">
        <v>1</v>
      </c>
      <c r="H119" s="5"/>
      <c r="I119" s="5"/>
      <c r="J119" s="5">
        <v>1</v>
      </c>
      <c r="K119" s="13"/>
      <c r="L119" s="13"/>
      <c r="M119" s="1"/>
    </row>
    <row r="120" spans="1:13" ht="57" x14ac:dyDescent="0.2">
      <c r="A120" s="67"/>
      <c r="B120" s="67"/>
      <c r="C120" s="70"/>
      <c r="D120" s="4" t="s">
        <v>291</v>
      </c>
      <c r="E120" s="4" t="s">
        <v>12</v>
      </c>
      <c r="F120" s="5">
        <v>3</v>
      </c>
      <c r="G120" s="5">
        <v>1</v>
      </c>
      <c r="H120" s="5">
        <v>7</v>
      </c>
      <c r="I120" s="5"/>
      <c r="J120" s="5">
        <v>11</v>
      </c>
      <c r="K120" s="13"/>
      <c r="L120" s="13"/>
      <c r="M120" s="1"/>
    </row>
    <row r="121" spans="1:13" ht="57" x14ac:dyDescent="0.2">
      <c r="A121" s="67"/>
      <c r="B121" s="67"/>
      <c r="C121" s="70"/>
      <c r="D121" s="4" t="s">
        <v>292</v>
      </c>
      <c r="E121" s="4" t="s">
        <v>12</v>
      </c>
      <c r="F121" s="5"/>
      <c r="G121" s="5"/>
      <c r="H121" s="5">
        <v>1</v>
      </c>
      <c r="I121" s="5"/>
      <c r="J121" s="5">
        <v>1</v>
      </c>
      <c r="K121" s="13"/>
      <c r="L121" s="13"/>
      <c r="M121" s="1"/>
    </row>
    <row r="122" spans="1:13" ht="57" x14ac:dyDescent="0.2">
      <c r="A122" s="67"/>
      <c r="B122" s="67"/>
      <c r="C122" s="70"/>
      <c r="D122" s="4" t="s">
        <v>293</v>
      </c>
      <c r="E122" s="4" t="s">
        <v>12</v>
      </c>
      <c r="F122" s="5">
        <v>22</v>
      </c>
      <c r="G122" s="5">
        <v>72</v>
      </c>
      <c r="H122" s="5">
        <v>13</v>
      </c>
      <c r="I122" s="5"/>
      <c r="J122" s="5">
        <v>107</v>
      </c>
      <c r="K122" s="13"/>
      <c r="L122" s="13"/>
      <c r="M122" s="1"/>
    </row>
    <row r="123" spans="1:13" ht="57" x14ac:dyDescent="0.2">
      <c r="A123" s="67"/>
      <c r="B123" s="67"/>
      <c r="C123" s="70"/>
      <c r="D123" s="4" t="s">
        <v>294</v>
      </c>
      <c r="E123" s="4" t="s">
        <v>12</v>
      </c>
      <c r="F123" s="5"/>
      <c r="G123" s="5">
        <v>1</v>
      </c>
      <c r="H123" s="5"/>
      <c r="I123" s="5"/>
      <c r="J123" s="5">
        <v>1</v>
      </c>
      <c r="K123" s="13"/>
      <c r="L123" s="13"/>
      <c r="M123" s="1"/>
    </row>
    <row r="124" spans="1:13" ht="57" x14ac:dyDescent="0.2">
      <c r="A124" s="67"/>
      <c r="B124" s="67"/>
      <c r="C124" s="70"/>
      <c r="D124" s="4" t="s">
        <v>295</v>
      </c>
      <c r="E124" s="4" t="s">
        <v>12</v>
      </c>
      <c r="F124" s="5">
        <v>9</v>
      </c>
      <c r="G124" s="5">
        <v>17</v>
      </c>
      <c r="H124" s="5">
        <v>4</v>
      </c>
      <c r="I124" s="5"/>
      <c r="J124" s="5">
        <v>30</v>
      </c>
      <c r="K124" s="13"/>
      <c r="L124" s="13"/>
      <c r="M124" s="1"/>
    </row>
    <row r="125" spans="1:13" ht="57" x14ac:dyDescent="0.2">
      <c r="A125" s="67"/>
      <c r="B125" s="67"/>
      <c r="C125" s="70"/>
      <c r="D125" s="4" t="s">
        <v>296</v>
      </c>
      <c r="E125" s="4" t="s">
        <v>12</v>
      </c>
      <c r="F125" s="5">
        <v>7</v>
      </c>
      <c r="G125" s="5">
        <v>3.5</v>
      </c>
      <c r="H125" s="5">
        <v>3</v>
      </c>
      <c r="I125" s="5"/>
      <c r="J125" s="5">
        <v>13.5</v>
      </c>
      <c r="K125" s="13"/>
      <c r="L125" s="13"/>
      <c r="M125" s="1"/>
    </row>
    <row r="126" spans="1:13" ht="57" x14ac:dyDescent="0.2">
      <c r="A126" s="67"/>
      <c r="B126" s="67"/>
      <c r="C126" s="70"/>
      <c r="D126" s="4" t="s">
        <v>297</v>
      </c>
      <c r="E126" s="4" t="s">
        <v>12</v>
      </c>
      <c r="F126" s="5">
        <v>1</v>
      </c>
      <c r="G126" s="5"/>
      <c r="H126" s="5"/>
      <c r="I126" s="5"/>
      <c r="J126" s="5">
        <v>1</v>
      </c>
      <c r="K126" s="13"/>
      <c r="L126" s="13"/>
      <c r="M126" s="1"/>
    </row>
    <row r="127" spans="1:13" ht="57" x14ac:dyDescent="0.2">
      <c r="A127" s="67"/>
      <c r="B127" s="67"/>
      <c r="C127" s="70"/>
      <c r="D127" s="4" t="s">
        <v>298</v>
      </c>
      <c r="E127" s="4" t="s">
        <v>12</v>
      </c>
      <c r="F127" s="5"/>
      <c r="G127" s="5"/>
      <c r="H127" s="5">
        <v>3</v>
      </c>
      <c r="I127" s="5"/>
      <c r="J127" s="5">
        <v>3</v>
      </c>
      <c r="K127" s="13"/>
      <c r="L127" s="13"/>
      <c r="M127" s="1"/>
    </row>
    <row r="128" spans="1:13" ht="57" x14ac:dyDescent="0.2">
      <c r="A128" s="67"/>
      <c r="B128" s="67"/>
      <c r="C128" s="70"/>
      <c r="D128" s="4" t="s">
        <v>299</v>
      </c>
      <c r="E128" s="4" t="s">
        <v>12</v>
      </c>
      <c r="F128" s="5">
        <v>10</v>
      </c>
      <c r="G128" s="5">
        <v>13</v>
      </c>
      <c r="H128" s="5">
        <v>26</v>
      </c>
      <c r="I128" s="5"/>
      <c r="J128" s="5">
        <v>49</v>
      </c>
      <c r="K128" s="13"/>
      <c r="L128" s="13"/>
      <c r="M128" s="1"/>
    </row>
    <row r="129" spans="1:13" ht="57" x14ac:dyDescent="0.2">
      <c r="A129" s="67"/>
      <c r="B129" s="67"/>
      <c r="C129" s="70"/>
      <c r="D129" s="4" t="s">
        <v>300</v>
      </c>
      <c r="E129" s="4" t="s">
        <v>12</v>
      </c>
      <c r="F129" s="5"/>
      <c r="G129" s="5"/>
      <c r="H129" s="5">
        <v>2</v>
      </c>
      <c r="I129" s="5"/>
      <c r="J129" s="5">
        <v>2</v>
      </c>
      <c r="K129" s="13"/>
      <c r="L129" s="13"/>
      <c r="M129" s="1"/>
    </row>
    <row r="130" spans="1:13" ht="57" x14ac:dyDescent="0.2">
      <c r="A130" s="67"/>
      <c r="B130" s="67"/>
      <c r="C130" s="70"/>
      <c r="D130" s="4" t="s">
        <v>301</v>
      </c>
      <c r="E130" s="4" t="s">
        <v>12</v>
      </c>
      <c r="F130" s="5">
        <v>2</v>
      </c>
      <c r="G130" s="5">
        <v>1</v>
      </c>
      <c r="H130" s="5">
        <v>2</v>
      </c>
      <c r="I130" s="5"/>
      <c r="J130" s="5">
        <v>5</v>
      </c>
      <c r="K130" s="13"/>
      <c r="L130" s="13"/>
      <c r="M130" s="1"/>
    </row>
    <row r="131" spans="1:13" ht="57" x14ac:dyDescent="0.2">
      <c r="A131" s="67"/>
      <c r="B131" s="67"/>
      <c r="C131" s="70"/>
      <c r="D131" s="4" t="s">
        <v>302</v>
      </c>
      <c r="E131" s="4" t="s">
        <v>12</v>
      </c>
      <c r="F131" s="5"/>
      <c r="G131" s="5">
        <v>7</v>
      </c>
      <c r="H131" s="5"/>
      <c r="I131" s="5"/>
      <c r="J131" s="5">
        <v>7</v>
      </c>
      <c r="K131" s="13"/>
      <c r="L131" s="13"/>
      <c r="M131" s="1"/>
    </row>
    <row r="132" spans="1:13" ht="57" x14ac:dyDescent="0.2">
      <c r="A132" s="67"/>
      <c r="B132" s="67"/>
      <c r="C132" s="70"/>
      <c r="D132" s="4" t="s">
        <v>303</v>
      </c>
      <c r="E132" s="4" t="s">
        <v>12</v>
      </c>
      <c r="F132" s="5">
        <v>16</v>
      </c>
      <c r="G132" s="5">
        <v>90</v>
      </c>
      <c r="H132" s="5">
        <v>2</v>
      </c>
      <c r="I132" s="5"/>
      <c r="J132" s="5">
        <v>108</v>
      </c>
      <c r="K132" s="13"/>
      <c r="L132" s="13"/>
      <c r="M132" s="1"/>
    </row>
    <row r="133" spans="1:13" ht="57" x14ac:dyDescent="0.2">
      <c r="A133" s="67"/>
      <c r="B133" s="67"/>
      <c r="C133" s="70"/>
      <c r="D133" s="4" t="s">
        <v>304</v>
      </c>
      <c r="E133" s="4" t="s">
        <v>12</v>
      </c>
      <c r="F133" s="5">
        <v>4</v>
      </c>
      <c r="G133" s="5">
        <v>0.5</v>
      </c>
      <c r="H133" s="5">
        <v>5</v>
      </c>
      <c r="I133" s="5"/>
      <c r="J133" s="5">
        <v>9.5</v>
      </c>
      <c r="K133" s="13"/>
      <c r="L133" s="13"/>
      <c r="M133" s="1"/>
    </row>
    <row r="134" spans="1:13" ht="42.75" x14ac:dyDescent="0.2">
      <c r="A134" s="67"/>
      <c r="B134" s="67"/>
      <c r="C134" s="4" t="s">
        <v>305</v>
      </c>
      <c r="D134" s="4" t="s">
        <v>305</v>
      </c>
      <c r="E134" s="4" t="s">
        <v>19</v>
      </c>
      <c r="F134" s="5">
        <v>3</v>
      </c>
      <c r="G134" s="5"/>
      <c r="H134" s="5"/>
      <c r="I134" s="5"/>
      <c r="J134" s="5">
        <v>3</v>
      </c>
      <c r="K134" s="13"/>
      <c r="L134" s="13"/>
      <c r="M134" s="1"/>
    </row>
    <row r="135" spans="1:13" ht="42.75" x14ac:dyDescent="0.2">
      <c r="A135" s="67"/>
      <c r="B135" s="67"/>
      <c r="C135" s="6" t="s">
        <v>170</v>
      </c>
      <c r="D135" s="6" t="s">
        <v>170</v>
      </c>
      <c r="E135" s="6" t="s">
        <v>19</v>
      </c>
      <c r="F135" s="7">
        <v>55</v>
      </c>
      <c r="G135" s="7">
        <v>3</v>
      </c>
      <c r="H135" s="7"/>
      <c r="I135" s="7"/>
      <c r="J135" s="7">
        <v>58</v>
      </c>
      <c r="K135" s="13"/>
      <c r="L135" s="13"/>
      <c r="M135" s="1"/>
    </row>
    <row r="136" spans="1:13" ht="42.75" x14ac:dyDescent="0.2">
      <c r="A136" s="67"/>
      <c r="B136" s="67"/>
      <c r="C136" s="4" t="s">
        <v>306</v>
      </c>
      <c r="D136" s="4" t="s">
        <v>306</v>
      </c>
      <c r="E136" s="4" t="s">
        <v>12</v>
      </c>
      <c r="F136" s="5">
        <v>2</v>
      </c>
      <c r="G136" s="5"/>
      <c r="H136" s="5"/>
      <c r="I136" s="5">
        <v>2</v>
      </c>
      <c r="J136" s="5">
        <v>4</v>
      </c>
      <c r="K136" s="13"/>
      <c r="L136" s="13"/>
      <c r="M136" s="1"/>
    </row>
    <row r="137" spans="1:13" ht="57" x14ac:dyDescent="0.2">
      <c r="A137" s="67"/>
      <c r="B137" s="67"/>
      <c r="C137" s="70" t="s">
        <v>307</v>
      </c>
      <c r="D137" s="4" t="s">
        <v>308</v>
      </c>
      <c r="E137" s="4" t="s">
        <v>12</v>
      </c>
      <c r="F137" s="5">
        <v>1</v>
      </c>
      <c r="G137" s="5">
        <v>12</v>
      </c>
      <c r="H137" s="5">
        <v>16</v>
      </c>
      <c r="I137" s="5"/>
      <c r="J137" s="5">
        <v>29</v>
      </c>
      <c r="K137" s="13"/>
      <c r="L137" s="13"/>
      <c r="M137" s="1"/>
    </row>
    <row r="138" spans="1:13" ht="57" x14ac:dyDescent="0.2">
      <c r="A138" s="67"/>
      <c r="B138" s="67"/>
      <c r="C138" s="70"/>
      <c r="D138" s="4" t="s">
        <v>309</v>
      </c>
      <c r="E138" s="4" t="s">
        <v>12</v>
      </c>
      <c r="F138" s="5">
        <v>1</v>
      </c>
      <c r="G138" s="5">
        <v>2</v>
      </c>
      <c r="H138" s="5">
        <v>3</v>
      </c>
      <c r="I138" s="5"/>
      <c r="J138" s="5">
        <v>6</v>
      </c>
      <c r="K138" s="13"/>
      <c r="L138" s="13"/>
      <c r="M138" s="1"/>
    </row>
    <row r="139" spans="1:13" ht="42.75" x14ac:dyDescent="0.2">
      <c r="A139" s="67"/>
      <c r="B139" s="67"/>
      <c r="C139" s="4" t="s">
        <v>310</v>
      </c>
      <c r="D139" s="4" t="s">
        <v>310</v>
      </c>
      <c r="E139" s="4" t="s">
        <v>12</v>
      </c>
      <c r="F139" s="5">
        <v>79</v>
      </c>
      <c r="G139" s="5">
        <v>5</v>
      </c>
      <c r="H139" s="5"/>
      <c r="I139" s="5"/>
      <c r="J139" s="5">
        <v>84</v>
      </c>
      <c r="K139" s="13"/>
      <c r="L139" s="13"/>
      <c r="M139" s="1"/>
    </row>
    <row r="140" spans="1:13" ht="42.75" x14ac:dyDescent="0.2">
      <c r="A140" s="67"/>
      <c r="B140" s="67"/>
      <c r="C140" s="4" t="s">
        <v>311</v>
      </c>
      <c r="D140" s="4" t="s">
        <v>311</v>
      </c>
      <c r="E140" s="4" t="s">
        <v>12</v>
      </c>
      <c r="F140" s="5">
        <v>1</v>
      </c>
      <c r="G140" s="5"/>
      <c r="H140" s="5"/>
      <c r="I140" s="5"/>
      <c r="J140" s="5">
        <v>1</v>
      </c>
      <c r="K140" s="13"/>
      <c r="L140" s="13"/>
      <c r="M140" s="1"/>
    </row>
    <row r="141" spans="1:13" ht="42.75" x14ac:dyDescent="0.2">
      <c r="A141" s="67"/>
      <c r="B141" s="67"/>
      <c r="C141" s="4" t="s">
        <v>312</v>
      </c>
      <c r="D141" s="4" t="s">
        <v>312</v>
      </c>
      <c r="E141" s="4" t="s">
        <v>109</v>
      </c>
      <c r="F141" s="5">
        <v>25</v>
      </c>
      <c r="G141" s="5">
        <v>72</v>
      </c>
      <c r="H141" s="5"/>
      <c r="I141" s="5"/>
      <c r="J141" s="5">
        <v>97</v>
      </c>
      <c r="K141" s="13"/>
      <c r="L141" s="13"/>
      <c r="M141" s="1"/>
    </row>
    <row r="142" spans="1:13" ht="57" x14ac:dyDescent="0.2">
      <c r="A142" s="67"/>
      <c r="B142" s="67"/>
      <c r="C142" s="4" t="s">
        <v>313</v>
      </c>
      <c r="D142" s="4" t="s">
        <v>313</v>
      </c>
      <c r="E142" s="4" t="s">
        <v>109</v>
      </c>
      <c r="F142" s="5">
        <v>12</v>
      </c>
      <c r="G142" s="5">
        <v>10</v>
      </c>
      <c r="H142" s="5"/>
      <c r="I142" s="5"/>
      <c r="J142" s="5">
        <v>22</v>
      </c>
      <c r="K142" s="13"/>
      <c r="L142" s="13"/>
      <c r="M142" s="1"/>
    </row>
    <row r="143" spans="1:13" ht="42.75" x14ac:dyDescent="0.2">
      <c r="A143" s="67"/>
      <c r="B143" s="67"/>
      <c r="C143" s="4" t="s">
        <v>314</v>
      </c>
      <c r="D143" s="4" t="s">
        <v>314</v>
      </c>
      <c r="E143" s="4" t="s">
        <v>28</v>
      </c>
      <c r="F143" s="5">
        <v>1992.25</v>
      </c>
      <c r="G143" s="5">
        <v>3395.6</v>
      </c>
      <c r="H143" s="5">
        <v>2118</v>
      </c>
      <c r="I143" s="5"/>
      <c r="J143" s="5">
        <v>7505.85</v>
      </c>
      <c r="K143" s="13"/>
      <c r="L143" s="13"/>
      <c r="M143" s="1"/>
    </row>
    <row r="144" spans="1:13" ht="42.75" x14ac:dyDescent="0.2">
      <c r="A144" s="67"/>
      <c r="B144" s="67"/>
      <c r="C144" s="6" t="s">
        <v>171</v>
      </c>
      <c r="D144" s="6" t="s">
        <v>171</v>
      </c>
      <c r="E144" s="6" t="s">
        <v>109</v>
      </c>
      <c r="F144" s="7">
        <v>366</v>
      </c>
      <c r="G144" s="7">
        <v>751</v>
      </c>
      <c r="H144" s="7"/>
      <c r="I144" s="7"/>
      <c r="J144" s="7">
        <v>1117</v>
      </c>
      <c r="K144" s="13"/>
      <c r="L144" s="13"/>
      <c r="M144" s="1"/>
    </row>
    <row r="145" spans="1:13" ht="42.75" x14ac:dyDescent="0.2">
      <c r="A145" s="67"/>
      <c r="B145" s="67"/>
      <c r="C145" s="4" t="s">
        <v>315</v>
      </c>
      <c r="D145" s="4" t="s">
        <v>315</v>
      </c>
      <c r="E145" s="4" t="s">
        <v>28</v>
      </c>
      <c r="F145" s="5">
        <v>4250</v>
      </c>
      <c r="G145" s="5">
        <v>5650</v>
      </c>
      <c r="H145" s="5"/>
      <c r="I145" s="5"/>
      <c r="J145" s="5">
        <v>9900</v>
      </c>
      <c r="K145" s="13"/>
      <c r="L145" s="13"/>
      <c r="M145" s="1"/>
    </row>
    <row r="146" spans="1:13" ht="42.75" x14ac:dyDescent="0.2">
      <c r="A146" s="67"/>
      <c r="B146" s="67"/>
      <c r="C146" s="68" t="s">
        <v>172</v>
      </c>
      <c r="D146" s="6" t="s">
        <v>173</v>
      </c>
      <c r="E146" s="6" t="s">
        <v>19</v>
      </c>
      <c r="F146" s="7">
        <v>74</v>
      </c>
      <c r="G146" s="7">
        <v>18</v>
      </c>
      <c r="H146" s="7"/>
      <c r="I146" s="7"/>
      <c r="J146" s="7">
        <v>92</v>
      </c>
      <c r="K146" s="13"/>
      <c r="L146" s="13"/>
      <c r="M146" s="1"/>
    </row>
    <row r="147" spans="1:13" ht="42.75" x14ac:dyDescent="0.2">
      <c r="A147" s="67"/>
      <c r="B147" s="67"/>
      <c r="C147" s="68"/>
      <c r="D147" s="6" t="s">
        <v>174</v>
      </c>
      <c r="E147" s="6" t="s">
        <v>19</v>
      </c>
      <c r="F147" s="7">
        <v>244</v>
      </c>
      <c r="G147" s="7">
        <v>119</v>
      </c>
      <c r="H147" s="7"/>
      <c r="I147" s="7"/>
      <c r="J147" s="7">
        <v>363</v>
      </c>
      <c r="K147" s="13"/>
      <c r="L147" s="13"/>
      <c r="M147" s="1"/>
    </row>
    <row r="148" spans="1:13" ht="42.75" x14ac:dyDescent="0.2">
      <c r="A148" s="67"/>
      <c r="B148" s="67"/>
      <c r="C148" s="68"/>
      <c r="D148" s="6" t="s">
        <v>175</v>
      </c>
      <c r="E148" s="6" t="s">
        <v>19</v>
      </c>
      <c r="F148" s="7">
        <v>119</v>
      </c>
      <c r="G148" s="7">
        <v>83</v>
      </c>
      <c r="H148" s="7"/>
      <c r="I148" s="7"/>
      <c r="J148" s="7">
        <v>202</v>
      </c>
      <c r="K148" s="13"/>
      <c r="L148" s="13"/>
      <c r="M148" s="1"/>
    </row>
    <row r="149" spans="1:13" ht="28.5" x14ac:dyDescent="0.2">
      <c r="A149" s="67"/>
      <c r="B149" s="67"/>
      <c r="C149" s="68" t="s">
        <v>176</v>
      </c>
      <c r="D149" s="6" t="s">
        <v>177</v>
      </c>
      <c r="E149" s="6" t="s">
        <v>19</v>
      </c>
      <c r="F149" s="7">
        <v>19</v>
      </c>
      <c r="G149" s="7">
        <v>10</v>
      </c>
      <c r="H149" s="7"/>
      <c r="I149" s="7"/>
      <c r="J149" s="7">
        <v>29</v>
      </c>
      <c r="K149" s="13"/>
      <c r="L149" s="13"/>
      <c r="M149" s="10" t="s">
        <v>178</v>
      </c>
    </row>
    <row r="150" spans="1:13" ht="28.5" x14ac:dyDescent="0.2">
      <c r="A150" s="67"/>
      <c r="B150" s="67"/>
      <c r="C150" s="68"/>
      <c r="D150" s="6" t="s">
        <v>179</v>
      </c>
      <c r="E150" s="6" t="s">
        <v>19</v>
      </c>
      <c r="F150" s="7">
        <v>17</v>
      </c>
      <c r="G150" s="7"/>
      <c r="H150" s="7"/>
      <c r="I150" s="7"/>
      <c r="J150" s="7">
        <v>17</v>
      </c>
      <c r="K150" s="13"/>
      <c r="L150" s="13"/>
      <c r="M150" s="10" t="s">
        <v>178</v>
      </c>
    </row>
    <row r="151" spans="1:13" ht="57" x14ac:dyDescent="0.2">
      <c r="A151" s="67"/>
      <c r="B151" s="67"/>
      <c r="C151" s="68"/>
      <c r="D151" s="6" t="s">
        <v>180</v>
      </c>
      <c r="E151" s="6" t="s">
        <v>19</v>
      </c>
      <c r="F151" s="7">
        <v>30</v>
      </c>
      <c r="G151" s="7">
        <v>10</v>
      </c>
      <c r="H151" s="7"/>
      <c r="I151" s="7">
        <v>12</v>
      </c>
      <c r="J151" s="7">
        <v>52</v>
      </c>
      <c r="K151" s="13"/>
      <c r="L151" s="13"/>
      <c r="M151" s="10" t="s">
        <v>178</v>
      </c>
    </row>
    <row r="152" spans="1:13" ht="28.5" x14ac:dyDescent="0.2">
      <c r="A152" s="67"/>
      <c r="B152" s="67"/>
      <c r="C152" s="68"/>
      <c r="D152" s="6" t="s">
        <v>181</v>
      </c>
      <c r="E152" s="6" t="s">
        <v>19</v>
      </c>
      <c r="F152" s="7">
        <v>152</v>
      </c>
      <c r="G152" s="7">
        <v>126</v>
      </c>
      <c r="H152" s="7">
        <v>1</v>
      </c>
      <c r="I152" s="7">
        <v>8</v>
      </c>
      <c r="J152" s="7">
        <v>287</v>
      </c>
      <c r="K152" s="13"/>
      <c r="L152" s="13"/>
      <c r="M152" s="1"/>
    </row>
    <row r="153" spans="1:13" ht="28.5" x14ac:dyDescent="0.2">
      <c r="A153" s="67"/>
      <c r="B153" s="67"/>
      <c r="C153" s="68"/>
      <c r="D153" s="6" t="s">
        <v>182</v>
      </c>
      <c r="E153" s="6" t="s">
        <v>19</v>
      </c>
      <c r="F153" s="7"/>
      <c r="G153" s="7"/>
      <c r="H153" s="7"/>
      <c r="I153" s="7">
        <v>48</v>
      </c>
      <c r="J153" s="7">
        <v>48</v>
      </c>
      <c r="K153" s="13"/>
      <c r="L153" s="13"/>
      <c r="M153" s="1"/>
    </row>
    <row r="154" spans="1:13" ht="28.5" x14ac:dyDescent="0.2">
      <c r="A154" s="67"/>
      <c r="B154" s="67"/>
      <c r="C154" s="68"/>
      <c r="D154" s="6" t="s">
        <v>183</v>
      </c>
      <c r="E154" s="6" t="s">
        <v>19</v>
      </c>
      <c r="F154" s="7">
        <v>33</v>
      </c>
      <c r="G154" s="7">
        <v>10</v>
      </c>
      <c r="H154" s="7"/>
      <c r="I154" s="7">
        <v>56</v>
      </c>
      <c r="J154" s="7">
        <v>99</v>
      </c>
      <c r="K154" s="13"/>
      <c r="L154" s="13"/>
      <c r="M154" s="1"/>
    </row>
    <row r="155" spans="1:13" ht="42.75" x14ac:dyDescent="0.2">
      <c r="A155" s="67"/>
      <c r="B155" s="67"/>
      <c r="C155" s="68"/>
      <c r="D155" s="6" t="s">
        <v>184</v>
      </c>
      <c r="E155" s="6" t="s">
        <v>19</v>
      </c>
      <c r="F155" s="7">
        <v>2</v>
      </c>
      <c r="G155" s="7"/>
      <c r="H155" s="7"/>
      <c r="I155" s="7">
        <v>19</v>
      </c>
      <c r="J155" s="7">
        <v>21</v>
      </c>
      <c r="K155" s="13"/>
      <c r="L155" s="13"/>
      <c r="M155" s="1"/>
    </row>
    <row r="156" spans="1:13" ht="42.75" x14ac:dyDescent="0.2">
      <c r="A156" s="67"/>
      <c r="B156" s="67"/>
      <c r="C156" s="68"/>
      <c r="D156" s="6" t="s">
        <v>185</v>
      </c>
      <c r="E156" s="6" t="s">
        <v>19</v>
      </c>
      <c r="F156" s="7">
        <v>6</v>
      </c>
      <c r="G156" s="7"/>
      <c r="H156" s="7"/>
      <c r="I156" s="7">
        <v>3</v>
      </c>
      <c r="J156" s="7">
        <v>9</v>
      </c>
      <c r="K156" s="13"/>
      <c r="L156" s="13"/>
      <c r="M156" s="1"/>
    </row>
    <row r="157" spans="1:13" ht="57" x14ac:dyDescent="0.2">
      <c r="A157" s="67"/>
      <c r="B157" s="67"/>
      <c r="C157" s="68"/>
      <c r="D157" s="6" t="s">
        <v>186</v>
      </c>
      <c r="E157" s="6" t="s">
        <v>19</v>
      </c>
      <c r="F157" s="7">
        <v>2</v>
      </c>
      <c r="G157" s="7"/>
      <c r="H157" s="7"/>
      <c r="I157" s="7"/>
      <c r="J157" s="7">
        <v>2</v>
      </c>
      <c r="K157" s="13"/>
      <c r="L157" s="13"/>
      <c r="M157" s="1"/>
    </row>
    <row r="158" spans="1:13" ht="71.25" x14ac:dyDescent="0.2">
      <c r="A158" s="67"/>
      <c r="B158" s="67"/>
      <c r="C158" s="68"/>
      <c r="D158" s="6" t="s">
        <v>187</v>
      </c>
      <c r="E158" s="6" t="s">
        <v>19</v>
      </c>
      <c r="F158" s="7">
        <v>470</v>
      </c>
      <c r="G158" s="7">
        <v>15</v>
      </c>
      <c r="H158" s="7"/>
      <c r="I158" s="7">
        <v>5</v>
      </c>
      <c r="J158" s="7">
        <v>490</v>
      </c>
      <c r="K158" s="13"/>
      <c r="L158" s="13"/>
      <c r="M158" s="1"/>
    </row>
    <row r="159" spans="1:13" ht="85.5" x14ac:dyDescent="0.2">
      <c r="A159" s="67"/>
      <c r="B159" s="67"/>
      <c r="C159" s="68"/>
      <c r="D159" s="6" t="s">
        <v>188</v>
      </c>
      <c r="E159" s="6" t="s">
        <v>19</v>
      </c>
      <c r="F159" s="7">
        <v>119</v>
      </c>
      <c r="G159" s="7">
        <v>24</v>
      </c>
      <c r="H159" s="7"/>
      <c r="I159" s="7">
        <v>1</v>
      </c>
      <c r="J159" s="7">
        <v>144</v>
      </c>
      <c r="K159" s="13"/>
      <c r="L159" s="13"/>
      <c r="M159" s="1"/>
    </row>
    <row r="160" spans="1:13" ht="42.75" x14ac:dyDescent="0.2">
      <c r="A160" s="67"/>
      <c r="B160" s="67"/>
      <c r="C160" s="68"/>
      <c r="D160" s="6" t="s">
        <v>189</v>
      </c>
      <c r="E160" s="6" t="s">
        <v>19</v>
      </c>
      <c r="F160" s="7">
        <v>19</v>
      </c>
      <c r="G160" s="7"/>
      <c r="H160" s="7"/>
      <c r="I160" s="7">
        <v>2</v>
      </c>
      <c r="J160" s="7">
        <v>21</v>
      </c>
      <c r="K160" s="13"/>
      <c r="L160" s="13"/>
      <c r="M160" s="1"/>
    </row>
    <row r="161" spans="1:13" ht="28.5" x14ac:dyDescent="0.2">
      <c r="A161" s="67"/>
      <c r="B161" s="67"/>
      <c r="C161" s="68"/>
      <c r="D161" s="6" t="s">
        <v>190</v>
      </c>
      <c r="E161" s="6" t="s">
        <v>19</v>
      </c>
      <c r="F161" s="7">
        <v>3</v>
      </c>
      <c r="G161" s="7"/>
      <c r="H161" s="7"/>
      <c r="I161" s="7"/>
      <c r="J161" s="7">
        <v>3</v>
      </c>
      <c r="K161" s="13"/>
      <c r="L161" s="13"/>
      <c r="M161" s="1"/>
    </row>
    <row r="162" spans="1:13" ht="42.75" x14ac:dyDescent="0.2">
      <c r="A162" s="67"/>
      <c r="B162" s="67"/>
      <c r="C162" s="4" t="s">
        <v>316</v>
      </c>
      <c r="D162" s="4" t="s">
        <v>316</v>
      </c>
      <c r="E162" s="4" t="s">
        <v>268</v>
      </c>
      <c r="F162" s="5">
        <v>1091</v>
      </c>
      <c r="G162" s="5">
        <v>573</v>
      </c>
      <c r="H162" s="5"/>
      <c r="I162" s="5"/>
      <c r="J162" s="5">
        <v>1664</v>
      </c>
      <c r="K162" s="13"/>
      <c r="L162" s="13"/>
      <c r="M162" s="1"/>
    </row>
    <row r="163" spans="1:13" ht="28.5" x14ac:dyDescent="0.2">
      <c r="A163" s="67"/>
      <c r="B163" s="67"/>
      <c r="C163" s="70" t="s">
        <v>317</v>
      </c>
      <c r="D163" s="4" t="s">
        <v>318</v>
      </c>
      <c r="E163" s="4" t="s">
        <v>86</v>
      </c>
      <c r="F163" s="5"/>
      <c r="G163" s="5">
        <v>356.8</v>
      </c>
      <c r="H163" s="5">
        <v>32.04</v>
      </c>
      <c r="I163" s="5"/>
      <c r="J163" s="5">
        <v>388.84</v>
      </c>
      <c r="K163" s="13"/>
      <c r="L163" s="13"/>
      <c r="M163" s="1"/>
    </row>
    <row r="164" spans="1:13" ht="28.5" x14ac:dyDescent="0.2">
      <c r="A164" s="67"/>
      <c r="B164" s="67"/>
      <c r="C164" s="70"/>
      <c r="D164" s="4" t="s">
        <v>319</v>
      </c>
      <c r="E164" s="4" t="s">
        <v>86</v>
      </c>
      <c r="F164" s="5">
        <v>8.4</v>
      </c>
      <c r="G164" s="5">
        <v>15.4</v>
      </c>
      <c r="H164" s="5"/>
      <c r="I164" s="5"/>
      <c r="J164" s="5">
        <v>23.8</v>
      </c>
      <c r="K164" s="13"/>
      <c r="L164" s="13"/>
      <c r="M164" s="1"/>
    </row>
    <row r="165" spans="1:13" ht="28.5" x14ac:dyDescent="0.2">
      <c r="A165" s="67"/>
      <c r="B165" s="67"/>
      <c r="C165" s="70"/>
      <c r="D165" s="4" t="s">
        <v>320</v>
      </c>
      <c r="E165" s="4" t="s">
        <v>86</v>
      </c>
      <c r="F165" s="5">
        <v>66.69</v>
      </c>
      <c r="G165" s="5">
        <v>176.9</v>
      </c>
      <c r="H165" s="5"/>
      <c r="I165" s="5"/>
      <c r="J165" s="5">
        <v>243.59</v>
      </c>
      <c r="K165" s="13"/>
      <c r="L165" s="13"/>
      <c r="M165" s="1"/>
    </row>
    <row r="166" spans="1:13" ht="28.5" x14ac:dyDescent="0.2">
      <c r="A166" s="67"/>
      <c r="B166" s="67"/>
      <c r="C166" s="70"/>
      <c r="D166" s="4" t="s">
        <v>321</v>
      </c>
      <c r="E166" s="4" t="s">
        <v>86</v>
      </c>
      <c r="F166" s="5">
        <v>288.05</v>
      </c>
      <c r="G166" s="5">
        <v>661.9</v>
      </c>
      <c r="H166" s="5"/>
      <c r="I166" s="5"/>
      <c r="J166" s="5">
        <v>949.95</v>
      </c>
      <c r="K166" s="13"/>
      <c r="L166" s="13"/>
      <c r="M166" s="1"/>
    </row>
    <row r="167" spans="1:13" ht="28.5" x14ac:dyDescent="0.2">
      <c r="A167" s="67"/>
      <c r="B167" s="67"/>
      <c r="C167" s="70"/>
      <c r="D167" s="4" t="s">
        <v>322</v>
      </c>
      <c r="E167" s="4" t="s">
        <v>86</v>
      </c>
      <c r="F167" s="5">
        <v>50.15</v>
      </c>
      <c r="G167" s="5">
        <v>82</v>
      </c>
      <c r="H167" s="5"/>
      <c r="I167" s="5"/>
      <c r="J167" s="5">
        <v>132.15</v>
      </c>
      <c r="K167" s="13"/>
      <c r="L167" s="13"/>
      <c r="M167" s="1"/>
    </row>
    <row r="168" spans="1:13" ht="28.5" x14ac:dyDescent="0.2">
      <c r="A168" s="67"/>
      <c r="B168" s="67"/>
      <c r="C168" s="70"/>
      <c r="D168" s="4" t="s">
        <v>323</v>
      </c>
      <c r="E168" s="4" t="s">
        <v>86</v>
      </c>
      <c r="F168" s="5"/>
      <c r="G168" s="5">
        <v>12</v>
      </c>
      <c r="H168" s="5"/>
      <c r="I168" s="5"/>
      <c r="J168" s="5">
        <v>12</v>
      </c>
      <c r="K168" s="13"/>
      <c r="L168" s="13"/>
      <c r="M168" s="1"/>
    </row>
    <row r="169" spans="1:13" ht="42.75" x14ac:dyDescent="0.2">
      <c r="A169" s="67"/>
      <c r="B169" s="67"/>
      <c r="C169" s="70"/>
      <c r="D169" s="4" t="s">
        <v>324</v>
      </c>
      <c r="E169" s="4" t="s">
        <v>86</v>
      </c>
      <c r="F169" s="5">
        <v>40.42</v>
      </c>
      <c r="G169" s="5">
        <v>81.8</v>
      </c>
      <c r="H169" s="5"/>
      <c r="I169" s="5"/>
      <c r="J169" s="5">
        <v>122.22</v>
      </c>
      <c r="K169" s="13"/>
      <c r="L169" s="13"/>
      <c r="M169" s="1"/>
    </row>
    <row r="170" spans="1:13" ht="42.75" x14ac:dyDescent="0.2">
      <c r="A170" s="67"/>
      <c r="B170" s="67"/>
      <c r="C170" s="4" t="s">
        <v>325</v>
      </c>
      <c r="D170" s="4" t="s">
        <v>325</v>
      </c>
      <c r="E170" s="4" t="s">
        <v>28</v>
      </c>
      <c r="F170" s="5">
        <v>311.32</v>
      </c>
      <c r="G170" s="5">
        <v>80.13</v>
      </c>
      <c r="H170" s="5"/>
      <c r="I170" s="5"/>
      <c r="J170" s="5">
        <v>391.45</v>
      </c>
      <c r="K170" s="13"/>
      <c r="L170" s="13"/>
      <c r="M170" s="1"/>
    </row>
    <row r="171" spans="1:13" ht="28.5" x14ac:dyDescent="0.2">
      <c r="A171" s="67"/>
      <c r="B171" s="67"/>
      <c r="C171" s="68" t="s">
        <v>191</v>
      </c>
      <c r="D171" s="6" t="s">
        <v>192</v>
      </c>
      <c r="E171" s="6" t="s">
        <v>19</v>
      </c>
      <c r="F171" s="7">
        <v>2451</v>
      </c>
      <c r="G171" s="7">
        <v>10361</v>
      </c>
      <c r="H171" s="7"/>
      <c r="I171" s="7"/>
      <c r="J171" s="7">
        <v>12812</v>
      </c>
      <c r="K171" s="13"/>
      <c r="L171" s="13"/>
      <c r="M171" s="1"/>
    </row>
    <row r="172" spans="1:13" ht="28.5" x14ac:dyDescent="0.2">
      <c r="A172" s="67"/>
      <c r="B172" s="67"/>
      <c r="C172" s="68"/>
      <c r="D172" s="6" t="s">
        <v>193</v>
      </c>
      <c r="E172" s="6" t="s">
        <v>19</v>
      </c>
      <c r="F172" s="7">
        <v>408</v>
      </c>
      <c r="G172" s="7"/>
      <c r="H172" s="7"/>
      <c r="I172" s="7"/>
      <c r="J172" s="7">
        <v>408</v>
      </c>
      <c r="K172" s="13"/>
      <c r="L172" s="13"/>
      <c r="M172" s="1"/>
    </row>
    <row r="173" spans="1:13" ht="42.75" x14ac:dyDescent="0.2">
      <c r="A173" s="67"/>
      <c r="B173" s="67"/>
      <c r="C173" s="68"/>
      <c r="D173" s="6" t="s">
        <v>194</v>
      </c>
      <c r="E173" s="6" t="s">
        <v>19</v>
      </c>
      <c r="F173" s="7">
        <v>3999</v>
      </c>
      <c r="G173" s="7">
        <v>4597</v>
      </c>
      <c r="H173" s="7"/>
      <c r="I173" s="7"/>
      <c r="J173" s="7">
        <v>8596</v>
      </c>
      <c r="K173" s="13"/>
      <c r="L173" s="13"/>
      <c r="M173" s="1"/>
    </row>
    <row r="174" spans="1:13" ht="42.75" x14ac:dyDescent="0.2">
      <c r="A174" s="67"/>
      <c r="B174" s="67"/>
      <c r="C174" s="68"/>
      <c r="D174" s="6" t="s">
        <v>195</v>
      </c>
      <c r="E174" s="6" t="s">
        <v>19</v>
      </c>
      <c r="F174" s="7">
        <v>11880</v>
      </c>
      <c r="G174" s="7">
        <v>2804</v>
      </c>
      <c r="H174" s="7"/>
      <c r="I174" s="7"/>
      <c r="J174" s="7">
        <v>14684</v>
      </c>
      <c r="K174" s="13"/>
      <c r="L174" s="13"/>
      <c r="M174" s="1"/>
    </row>
    <row r="175" spans="1:13" ht="42.75" x14ac:dyDescent="0.2">
      <c r="A175" s="67"/>
      <c r="B175" s="67"/>
      <c r="C175" s="4" t="s">
        <v>326</v>
      </c>
      <c r="D175" s="4" t="s">
        <v>326</v>
      </c>
      <c r="E175" s="4" t="s">
        <v>36</v>
      </c>
      <c r="F175" s="5">
        <v>420</v>
      </c>
      <c r="G175" s="5"/>
      <c r="H175" s="5"/>
      <c r="I175" s="5"/>
      <c r="J175" s="5">
        <v>420</v>
      </c>
      <c r="K175" s="13"/>
      <c r="L175" s="13"/>
      <c r="M175" s="1"/>
    </row>
    <row r="176" spans="1:13" ht="28.5" x14ac:dyDescent="0.2">
      <c r="A176" s="67"/>
      <c r="B176" s="67"/>
      <c r="C176" s="70" t="s">
        <v>327</v>
      </c>
      <c r="D176" s="4" t="s">
        <v>328</v>
      </c>
      <c r="E176" s="4" t="s">
        <v>22</v>
      </c>
      <c r="F176" s="5">
        <v>396</v>
      </c>
      <c r="G176" s="5">
        <v>636</v>
      </c>
      <c r="H176" s="5"/>
      <c r="I176" s="5"/>
      <c r="J176" s="5">
        <v>1032</v>
      </c>
      <c r="K176" s="13"/>
      <c r="L176" s="13"/>
      <c r="M176" s="1"/>
    </row>
    <row r="177" spans="1:13" ht="28.5" x14ac:dyDescent="0.2">
      <c r="A177" s="67"/>
      <c r="B177" s="67"/>
      <c r="C177" s="70"/>
      <c r="D177" s="4" t="s">
        <v>329</v>
      </c>
      <c r="E177" s="4" t="s">
        <v>30</v>
      </c>
      <c r="F177" s="5">
        <v>3039</v>
      </c>
      <c r="G177" s="5">
        <v>2016</v>
      </c>
      <c r="H177" s="5"/>
      <c r="I177" s="5"/>
      <c r="J177" s="5">
        <v>5055</v>
      </c>
      <c r="K177" s="13"/>
      <c r="L177" s="13"/>
      <c r="M177" s="1"/>
    </row>
    <row r="178" spans="1:13" ht="28.5" x14ac:dyDescent="0.2">
      <c r="A178" s="67"/>
      <c r="B178" s="67"/>
      <c r="C178" s="70"/>
      <c r="D178" s="4" t="s">
        <v>330</v>
      </c>
      <c r="E178" s="4" t="s">
        <v>22</v>
      </c>
      <c r="F178" s="5">
        <v>3971</v>
      </c>
      <c r="G178" s="5">
        <v>2171</v>
      </c>
      <c r="H178" s="5"/>
      <c r="I178" s="5"/>
      <c r="J178" s="5">
        <v>6142</v>
      </c>
      <c r="K178" s="13"/>
      <c r="L178" s="13"/>
      <c r="M178" s="1"/>
    </row>
    <row r="179" spans="1:13" ht="28.5" x14ac:dyDescent="0.2">
      <c r="A179" s="67"/>
      <c r="B179" s="67"/>
      <c r="C179" s="70"/>
      <c r="D179" s="4" t="s">
        <v>331</v>
      </c>
      <c r="E179" s="4" t="s">
        <v>15</v>
      </c>
      <c r="F179" s="5">
        <v>37</v>
      </c>
      <c r="G179" s="5">
        <v>27</v>
      </c>
      <c r="H179" s="5"/>
      <c r="I179" s="5"/>
      <c r="J179" s="5">
        <v>64</v>
      </c>
      <c r="K179" s="13"/>
      <c r="L179" s="13"/>
      <c r="M179" s="1"/>
    </row>
    <row r="180" spans="1:13" ht="28.5" x14ac:dyDescent="0.2">
      <c r="A180" s="67"/>
      <c r="B180" s="67"/>
      <c r="C180" s="68" t="s">
        <v>196</v>
      </c>
      <c r="D180" s="6" t="s">
        <v>197</v>
      </c>
      <c r="E180" s="6" t="s">
        <v>28</v>
      </c>
      <c r="F180" s="7">
        <v>12156</v>
      </c>
      <c r="G180" s="7">
        <v>46471</v>
      </c>
      <c r="H180" s="7"/>
      <c r="I180" s="7"/>
      <c r="J180" s="7">
        <v>58627</v>
      </c>
      <c r="K180" s="13"/>
      <c r="L180" s="13"/>
      <c r="M180" s="1"/>
    </row>
    <row r="181" spans="1:13" ht="28.5" x14ac:dyDescent="0.2">
      <c r="A181" s="67"/>
      <c r="B181" s="67"/>
      <c r="C181" s="68"/>
      <c r="D181" s="6" t="s">
        <v>198</v>
      </c>
      <c r="E181" s="6" t="s">
        <v>28</v>
      </c>
      <c r="F181" s="7">
        <v>4788</v>
      </c>
      <c r="G181" s="7">
        <v>660</v>
      </c>
      <c r="H181" s="7"/>
      <c r="I181" s="7"/>
      <c r="J181" s="7">
        <v>5448</v>
      </c>
      <c r="K181" s="13"/>
      <c r="L181" s="13"/>
      <c r="M181" s="1"/>
    </row>
    <row r="182" spans="1:13" ht="42.75" x14ac:dyDescent="0.2">
      <c r="A182" s="67"/>
      <c r="B182" s="67"/>
      <c r="C182" s="68"/>
      <c r="D182" s="6" t="s">
        <v>199</v>
      </c>
      <c r="E182" s="6" t="s">
        <v>28</v>
      </c>
      <c r="F182" s="7">
        <v>279</v>
      </c>
      <c r="G182" s="7"/>
      <c r="H182" s="7"/>
      <c r="I182" s="7"/>
      <c r="J182" s="7">
        <v>279</v>
      </c>
      <c r="K182" s="13"/>
      <c r="L182" s="13"/>
      <c r="M182" s="1"/>
    </row>
    <row r="183" spans="1:13" ht="42.75" x14ac:dyDescent="0.2">
      <c r="A183" s="67"/>
      <c r="B183" s="67"/>
      <c r="C183" s="6" t="s">
        <v>35</v>
      </c>
      <c r="D183" s="6" t="s">
        <v>200</v>
      </c>
      <c r="E183" s="6" t="s">
        <v>36</v>
      </c>
      <c r="F183" s="7">
        <v>1707</v>
      </c>
      <c r="G183" s="7">
        <v>1276</v>
      </c>
      <c r="H183" s="7"/>
      <c r="I183" s="7"/>
      <c r="J183" s="7">
        <v>2983</v>
      </c>
      <c r="K183" s="13"/>
      <c r="L183" s="13"/>
      <c r="M183" s="1"/>
    </row>
    <row r="184" spans="1:13" ht="57" x14ac:dyDescent="0.2">
      <c r="A184" s="67"/>
      <c r="B184" s="67"/>
      <c r="C184" s="4" t="s">
        <v>332</v>
      </c>
      <c r="D184" s="4" t="s">
        <v>333</v>
      </c>
      <c r="E184" s="4" t="s">
        <v>28</v>
      </c>
      <c r="F184" s="5">
        <v>4245.2</v>
      </c>
      <c r="G184" s="5">
        <v>1976.8</v>
      </c>
      <c r="H184" s="5"/>
      <c r="I184" s="5"/>
      <c r="J184" s="5">
        <v>6222</v>
      </c>
      <c r="K184" s="13"/>
      <c r="L184" s="13"/>
      <c r="M184" s="1"/>
    </row>
    <row r="185" spans="1:13" ht="42.75" x14ac:dyDescent="0.2">
      <c r="A185" s="67"/>
      <c r="B185" s="67"/>
      <c r="C185" s="4" t="s">
        <v>334</v>
      </c>
      <c r="D185" s="4" t="s">
        <v>334</v>
      </c>
      <c r="E185" s="4" t="s">
        <v>28</v>
      </c>
      <c r="F185" s="5">
        <v>370</v>
      </c>
      <c r="G185" s="5">
        <v>30</v>
      </c>
      <c r="H185" s="5"/>
      <c r="I185" s="5"/>
      <c r="J185" s="5">
        <v>400</v>
      </c>
      <c r="K185" s="13"/>
      <c r="L185" s="13"/>
      <c r="M185" s="1"/>
    </row>
    <row r="186" spans="1:13" ht="42.75" x14ac:dyDescent="0.2">
      <c r="A186" s="67"/>
      <c r="B186" s="67"/>
      <c r="C186" s="6" t="s">
        <v>201</v>
      </c>
      <c r="D186" s="6" t="s">
        <v>201</v>
      </c>
      <c r="E186" s="6" t="s">
        <v>28</v>
      </c>
      <c r="F186" s="7">
        <v>10086.52</v>
      </c>
      <c r="G186" s="7">
        <v>1623.16</v>
      </c>
      <c r="H186" s="7"/>
      <c r="I186" s="7">
        <v>38</v>
      </c>
      <c r="J186" s="7">
        <v>11747.68</v>
      </c>
      <c r="K186" s="13"/>
      <c r="L186" s="13"/>
      <c r="M186" s="1"/>
    </row>
    <row r="187" spans="1:13" ht="42.75" x14ac:dyDescent="0.2">
      <c r="A187" s="67"/>
      <c r="B187" s="67"/>
      <c r="C187" s="4" t="s">
        <v>335</v>
      </c>
      <c r="D187" s="4" t="s">
        <v>335</v>
      </c>
      <c r="E187" s="4" t="s">
        <v>28</v>
      </c>
      <c r="F187" s="5">
        <v>38</v>
      </c>
      <c r="G187" s="5">
        <v>98</v>
      </c>
      <c r="H187" s="5"/>
      <c r="I187" s="5"/>
      <c r="J187" s="5">
        <v>136</v>
      </c>
      <c r="K187" s="13"/>
      <c r="L187" s="13"/>
      <c r="M187" s="1"/>
    </row>
    <row r="188" spans="1:13" ht="42.75" x14ac:dyDescent="0.2">
      <c r="A188" s="67"/>
      <c r="B188" s="67"/>
      <c r="C188" s="68" t="s">
        <v>202</v>
      </c>
      <c r="D188" s="6" t="s">
        <v>203</v>
      </c>
      <c r="E188" s="6" t="s">
        <v>28</v>
      </c>
      <c r="F188" s="7"/>
      <c r="G188" s="7">
        <v>1836.8</v>
      </c>
      <c r="H188" s="7">
        <v>3287.5</v>
      </c>
      <c r="I188" s="7"/>
      <c r="J188" s="7">
        <v>5124.3</v>
      </c>
      <c r="K188" s="13"/>
      <c r="L188" s="13"/>
      <c r="M188" s="1"/>
    </row>
    <row r="189" spans="1:13" ht="28.5" x14ac:dyDescent="0.2">
      <c r="A189" s="67"/>
      <c r="B189" s="67"/>
      <c r="C189" s="68"/>
      <c r="D189" s="6" t="s">
        <v>204</v>
      </c>
      <c r="E189" s="6" t="s">
        <v>28</v>
      </c>
      <c r="F189" s="7">
        <v>396.5</v>
      </c>
      <c r="G189" s="7">
        <v>232</v>
      </c>
      <c r="H189" s="7"/>
      <c r="I189" s="7"/>
      <c r="J189" s="7">
        <v>628.5</v>
      </c>
      <c r="K189" s="13"/>
      <c r="L189" s="13"/>
      <c r="M189" s="1"/>
    </row>
    <row r="190" spans="1:13" ht="42.75" x14ac:dyDescent="0.2">
      <c r="A190" s="67"/>
      <c r="B190" s="67"/>
      <c r="C190" s="68"/>
      <c r="D190" s="6" t="s">
        <v>205</v>
      </c>
      <c r="E190" s="6" t="s">
        <v>28</v>
      </c>
      <c r="F190" s="7">
        <v>38369</v>
      </c>
      <c r="G190" s="7">
        <v>25123</v>
      </c>
      <c r="H190" s="7"/>
      <c r="I190" s="7"/>
      <c r="J190" s="7">
        <v>63492</v>
      </c>
      <c r="K190" s="13"/>
      <c r="L190" s="13"/>
      <c r="M190" s="1"/>
    </row>
    <row r="191" spans="1:13" ht="71.25" x14ac:dyDescent="0.2">
      <c r="A191" s="67"/>
      <c r="B191" s="67"/>
      <c r="C191" s="68"/>
      <c r="D191" s="6" t="s">
        <v>206</v>
      </c>
      <c r="E191" s="6" t="s">
        <v>28</v>
      </c>
      <c r="F191" s="7">
        <v>8790.4</v>
      </c>
      <c r="G191" s="7">
        <v>3725</v>
      </c>
      <c r="H191" s="7"/>
      <c r="I191" s="7"/>
      <c r="J191" s="7">
        <v>12515.4</v>
      </c>
      <c r="K191" s="13"/>
      <c r="L191" s="13"/>
      <c r="M191" s="1"/>
    </row>
    <row r="192" spans="1:13" ht="42.75" x14ac:dyDescent="0.2">
      <c r="A192" s="67"/>
      <c r="B192" s="67"/>
      <c r="C192" s="68"/>
      <c r="D192" s="6" t="s">
        <v>207</v>
      </c>
      <c r="E192" s="6" t="s">
        <v>28</v>
      </c>
      <c r="F192" s="7"/>
      <c r="G192" s="7">
        <v>444</v>
      </c>
      <c r="H192" s="7"/>
      <c r="I192" s="7"/>
      <c r="J192" s="7">
        <v>444</v>
      </c>
      <c r="K192" s="13"/>
      <c r="L192" s="13"/>
      <c r="M192" s="1"/>
    </row>
    <row r="193" spans="1:13" ht="42.75" x14ac:dyDescent="0.2">
      <c r="A193" s="67"/>
      <c r="B193" s="67"/>
      <c r="C193" s="68"/>
      <c r="D193" s="6" t="s">
        <v>208</v>
      </c>
      <c r="E193" s="6" t="s">
        <v>28</v>
      </c>
      <c r="F193" s="7">
        <v>1680</v>
      </c>
      <c r="G193" s="7">
        <v>300</v>
      </c>
      <c r="H193" s="7"/>
      <c r="I193" s="7"/>
      <c r="J193" s="7">
        <v>1980</v>
      </c>
      <c r="K193" s="13"/>
      <c r="L193" s="13"/>
      <c r="M193" s="1"/>
    </row>
    <row r="194" spans="1:13" x14ac:dyDescent="0.2">
      <c r="A194" s="67"/>
      <c r="B194" s="67" t="s">
        <v>336</v>
      </c>
      <c r="C194" s="4" t="s">
        <v>337</v>
      </c>
      <c r="D194" s="4" t="s">
        <v>337</v>
      </c>
      <c r="E194" s="4" t="s">
        <v>19</v>
      </c>
      <c r="F194" s="5">
        <v>5</v>
      </c>
      <c r="G194" s="5"/>
      <c r="H194" s="5"/>
      <c r="I194" s="5"/>
      <c r="J194" s="5">
        <v>5</v>
      </c>
      <c r="K194" s="13"/>
      <c r="L194" s="13"/>
      <c r="M194" s="1"/>
    </row>
    <row r="195" spans="1:13" x14ac:dyDescent="0.2">
      <c r="A195" s="67"/>
      <c r="B195" s="67"/>
      <c r="C195" s="70" t="s">
        <v>338</v>
      </c>
      <c r="D195" s="4" t="s">
        <v>339</v>
      </c>
      <c r="E195" s="4" t="s">
        <v>19</v>
      </c>
      <c r="F195" s="5">
        <v>512</v>
      </c>
      <c r="G195" s="5">
        <v>565</v>
      </c>
      <c r="H195" s="5"/>
      <c r="I195" s="5"/>
      <c r="J195" s="5">
        <v>1077</v>
      </c>
      <c r="K195" s="13"/>
      <c r="L195" s="13"/>
      <c r="M195" s="1"/>
    </row>
    <row r="196" spans="1:13" x14ac:dyDescent="0.2">
      <c r="A196" s="67"/>
      <c r="B196" s="67"/>
      <c r="C196" s="70"/>
      <c r="D196" s="4" t="s">
        <v>340</v>
      </c>
      <c r="E196" s="4" t="s">
        <v>19</v>
      </c>
      <c r="F196" s="5">
        <v>478</v>
      </c>
      <c r="G196" s="5">
        <v>618</v>
      </c>
      <c r="H196" s="5"/>
      <c r="I196" s="5"/>
      <c r="J196" s="5">
        <v>1096</v>
      </c>
      <c r="K196" s="13"/>
      <c r="L196" s="13"/>
      <c r="M196" s="1"/>
    </row>
    <row r="197" spans="1:13" x14ac:dyDescent="0.2">
      <c r="A197" s="67"/>
      <c r="B197" s="67"/>
      <c r="C197" s="4" t="s">
        <v>341</v>
      </c>
      <c r="D197" s="4" t="s">
        <v>341</v>
      </c>
      <c r="E197" s="4" t="s">
        <v>12</v>
      </c>
      <c r="F197" s="5">
        <v>1</v>
      </c>
      <c r="G197" s="5"/>
      <c r="H197" s="5"/>
      <c r="I197" s="5"/>
      <c r="J197" s="5">
        <v>1</v>
      </c>
      <c r="K197" s="13"/>
      <c r="L197" s="13"/>
      <c r="M197" s="1"/>
    </row>
    <row r="198" spans="1:13" ht="28.5" x14ac:dyDescent="0.2">
      <c r="A198" s="67"/>
      <c r="B198" s="67"/>
      <c r="C198" s="70" t="s">
        <v>342</v>
      </c>
      <c r="D198" s="4" t="s">
        <v>343</v>
      </c>
      <c r="E198" s="4" t="s">
        <v>12</v>
      </c>
      <c r="F198" s="5">
        <v>261</v>
      </c>
      <c r="G198" s="5">
        <v>94</v>
      </c>
      <c r="H198" s="5">
        <v>6</v>
      </c>
      <c r="I198" s="5"/>
      <c r="J198" s="5">
        <v>361</v>
      </c>
      <c r="K198" s="13"/>
      <c r="L198" s="13"/>
      <c r="M198" s="1"/>
    </row>
    <row r="199" spans="1:13" ht="28.5" x14ac:dyDescent="0.2">
      <c r="A199" s="67"/>
      <c r="B199" s="67"/>
      <c r="C199" s="70"/>
      <c r="D199" s="4" t="s">
        <v>344</v>
      </c>
      <c r="E199" s="4" t="s">
        <v>12</v>
      </c>
      <c r="F199" s="5">
        <v>28</v>
      </c>
      <c r="G199" s="5"/>
      <c r="H199" s="5"/>
      <c r="I199" s="5"/>
      <c r="J199" s="5">
        <v>28</v>
      </c>
      <c r="K199" s="13"/>
      <c r="L199" s="13"/>
      <c r="M199" s="1"/>
    </row>
    <row r="200" spans="1:13" ht="28.5" x14ac:dyDescent="0.2">
      <c r="A200" s="67"/>
      <c r="B200" s="67"/>
      <c r="C200" s="70"/>
      <c r="D200" s="4" t="s">
        <v>345</v>
      </c>
      <c r="E200" s="4" t="s">
        <v>12</v>
      </c>
      <c r="F200" s="5">
        <v>241</v>
      </c>
      <c r="G200" s="5">
        <v>97</v>
      </c>
      <c r="H200" s="5">
        <v>6</v>
      </c>
      <c r="I200" s="5"/>
      <c r="J200" s="5">
        <v>344</v>
      </c>
      <c r="K200" s="13"/>
      <c r="L200" s="13"/>
      <c r="M200" s="1"/>
    </row>
    <row r="201" spans="1:13" ht="28.5" x14ac:dyDescent="0.2">
      <c r="A201" s="67"/>
      <c r="B201" s="67"/>
      <c r="C201" s="70"/>
      <c r="D201" s="4" t="s">
        <v>346</v>
      </c>
      <c r="E201" s="4" t="s">
        <v>12</v>
      </c>
      <c r="F201" s="5">
        <v>27</v>
      </c>
      <c r="G201" s="5">
        <v>1</v>
      </c>
      <c r="H201" s="5"/>
      <c r="I201" s="5"/>
      <c r="J201" s="5">
        <v>28</v>
      </c>
      <c r="K201" s="13"/>
      <c r="L201" s="13"/>
      <c r="M201" s="1"/>
    </row>
    <row r="202" spans="1:13" ht="28.5" x14ac:dyDescent="0.2">
      <c r="A202" s="67"/>
      <c r="B202" s="67"/>
      <c r="C202" s="4" t="s">
        <v>347</v>
      </c>
      <c r="D202" s="4" t="s">
        <v>347</v>
      </c>
      <c r="E202" s="4" t="s">
        <v>19</v>
      </c>
      <c r="F202" s="5"/>
      <c r="G202" s="5">
        <v>1</v>
      </c>
      <c r="H202" s="5"/>
      <c r="I202" s="5"/>
      <c r="J202" s="5">
        <v>1</v>
      </c>
      <c r="K202" s="13"/>
      <c r="L202" s="13"/>
      <c r="M202" s="1"/>
    </row>
    <row r="203" spans="1:13" ht="28.5" x14ac:dyDescent="0.2">
      <c r="A203" s="67"/>
      <c r="B203" s="67" t="s">
        <v>210</v>
      </c>
      <c r="C203" s="68" t="s">
        <v>211</v>
      </c>
      <c r="D203" s="6" t="s">
        <v>211</v>
      </c>
      <c r="E203" s="6" t="s">
        <v>12</v>
      </c>
      <c r="F203" s="7">
        <v>4</v>
      </c>
      <c r="G203" s="7">
        <v>2</v>
      </c>
      <c r="H203" s="7"/>
      <c r="I203" s="7"/>
      <c r="J203" s="7">
        <v>6</v>
      </c>
      <c r="K203" s="13"/>
      <c r="L203" s="1"/>
      <c r="M203" s="10" t="s">
        <v>178</v>
      </c>
    </row>
    <row r="204" spans="1:13" ht="28.5" x14ac:dyDescent="0.2">
      <c r="A204" s="67"/>
      <c r="B204" s="67"/>
      <c r="C204" s="68"/>
      <c r="D204" s="6" t="s">
        <v>212</v>
      </c>
      <c r="E204" s="6" t="s">
        <v>12</v>
      </c>
      <c r="F204" s="7">
        <v>4</v>
      </c>
      <c r="G204" s="7"/>
      <c r="H204" s="7"/>
      <c r="I204" s="7"/>
      <c r="J204" s="7">
        <v>4</v>
      </c>
      <c r="K204" s="13"/>
      <c r="L204" s="1"/>
      <c r="M204" s="10" t="s">
        <v>178</v>
      </c>
    </row>
    <row r="205" spans="1:13" ht="28.5" x14ac:dyDescent="0.2">
      <c r="A205" s="67"/>
      <c r="B205" s="67"/>
      <c r="C205" s="6" t="s">
        <v>213</v>
      </c>
      <c r="D205" s="6" t="s">
        <v>214</v>
      </c>
      <c r="E205" s="6" t="s">
        <v>12</v>
      </c>
      <c r="F205" s="7">
        <v>1</v>
      </c>
      <c r="G205" s="7">
        <v>1</v>
      </c>
      <c r="H205" s="7"/>
      <c r="I205" s="7"/>
      <c r="J205" s="7">
        <v>2</v>
      </c>
      <c r="K205" s="13"/>
      <c r="L205" s="1"/>
      <c r="M205" s="10" t="s">
        <v>178</v>
      </c>
    </row>
    <row r="206" spans="1:13" x14ac:dyDescent="0.2">
      <c r="A206" s="67"/>
      <c r="B206" s="67"/>
      <c r="C206" s="68" t="s">
        <v>215</v>
      </c>
      <c r="D206" s="6" t="s">
        <v>216</v>
      </c>
      <c r="E206" s="6" t="s">
        <v>12</v>
      </c>
      <c r="F206" s="7">
        <v>2</v>
      </c>
      <c r="G206" s="7"/>
      <c r="H206" s="7"/>
      <c r="I206" s="7"/>
      <c r="J206" s="7">
        <v>2</v>
      </c>
      <c r="K206" s="13"/>
      <c r="L206" s="1"/>
      <c r="M206" s="10" t="s">
        <v>178</v>
      </c>
    </row>
    <row r="207" spans="1:13" x14ac:dyDescent="0.2">
      <c r="A207" s="67"/>
      <c r="B207" s="67"/>
      <c r="C207" s="68"/>
      <c r="D207" s="6" t="s">
        <v>217</v>
      </c>
      <c r="E207" s="6" t="s">
        <v>12</v>
      </c>
      <c r="F207" s="7">
        <v>3</v>
      </c>
      <c r="G207" s="7"/>
      <c r="H207" s="7"/>
      <c r="I207" s="7"/>
      <c r="J207" s="7">
        <v>3</v>
      </c>
      <c r="K207" s="13"/>
      <c r="L207" s="1"/>
      <c r="M207" s="10" t="s">
        <v>178</v>
      </c>
    </row>
    <row r="208" spans="1:13" ht="28.5" x14ac:dyDescent="0.2">
      <c r="A208" s="67"/>
      <c r="B208" s="67"/>
      <c r="C208" s="6" t="s">
        <v>218</v>
      </c>
      <c r="D208" s="6" t="s">
        <v>218</v>
      </c>
      <c r="E208" s="6" t="s">
        <v>12</v>
      </c>
      <c r="F208" s="7"/>
      <c r="G208" s="7">
        <v>2</v>
      </c>
      <c r="H208" s="7"/>
      <c r="I208" s="7"/>
      <c r="J208" s="7">
        <v>2</v>
      </c>
      <c r="K208" s="13"/>
      <c r="L208" s="1"/>
      <c r="M208" s="10" t="s">
        <v>178</v>
      </c>
    </row>
    <row r="209" spans="1:13" ht="28.5" x14ac:dyDescent="0.2">
      <c r="A209" s="67"/>
      <c r="B209" s="67"/>
      <c r="C209" s="6" t="s">
        <v>219</v>
      </c>
      <c r="D209" s="6" t="s">
        <v>220</v>
      </c>
      <c r="E209" s="6" t="s">
        <v>12</v>
      </c>
      <c r="F209" s="7">
        <v>11</v>
      </c>
      <c r="G209" s="7"/>
      <c r="H209" s="7"/>
      <c r="I209" s="7"/>
      <c r="J209" s="7">
        <v>11</v>
      </c>
      <c r="K209" s="13"/>
      <c r="L209" s="13"/>
      <c r="M209" s="1"/>
    </row>
    <row r="210" spans="1:13" ht="42.75" x14ac:dyDescent="0.2">
      <c r="A210" s="67"/>
      <c r="B210" s="67"/>
      <c r="C210" s="68" t="s">
        <v>221</v>
      </c>
      <c r="D210" s="6" t="s">
        <v>222</v>
      </c>
      <c r="E210" s="6" t="s">
        <v>12</v>
      </c>
      <c r="F210" s="7">
        <v>6</v>
      </c>
      <c r="G210" s="7">
        <v>1</v>
      </c>
      <c r="H210" s="7"/>
      <c r="I210" s="7"/>
      <c r="J210" s="7">
        <v>7</v>
      </c>
      <c r="K210" s="13"/>
      <c r="L210" s="13"/>
      <c r="M210" s="13"/>
    </row>
    <row r="211" spans="1:13" ht="42.75" x14ac:dyDescent="0.2">
      <c r="A211" s="67"/>
      <c r="B211" s="67"/>
      <c r="C211" s="68"/>
      <c r="D211" s="6" t="s">
        <v>223</v>
      </c>
      <c r="E211" s="6" t="s">
        <v>12</v>
      </c>
      <c r="F211" s="7">
        <v>2</v>
      </c>
      <c r="G211" s="7"/>
      <c r="H211" s="7"/>
      <c r="I211" s="7"/>
      <c r="J211" s="7">
        <v>2</v>
      </c>
      <c r="K211" s="13"/>
      <c r="L211" s="13"/>
      <c r="M211" s="10" t="s">
        <v>178</v>
      </c>
    </row>
    <row r="212" spans="1:13" ht="42.75" x14ac:dyDescent="0.2">
      <c r="A212" s="67"/>
      <c r="B212" s="67"/>
      <c r="C212" s="68"/>
      <c r="D212" s="6" t="s">
        <v>224</v>
      </c>
      <c r="E212" s="6" t="s">
        <v>12</v>
      </c>
      <c r="F212" s="7">
        <v>7</v>
      </c>
      <c r="G212" s="7"/>
      <c r="H212" s="7"/>
      <c r="I212" s="7"/>
      <c r="J212" s="7">
        <v>7</v>
      </c>
      <c r="K212" s="13"/>
      <c r="L212" s="13"/>
      <c r="M212" s="10" t="s">
        <v>178</v>
      </c>
    </row>
    <row r="213" spans="1:13" ht="42.75" x14ac:dyDescent="0.2">
      <c r="A213" s="67"/>
      <c r="B213" s="67"/>
      <c r="C213" s="68"/>
      <c r="D213" s="6" t="s">
        <v>225</v>
      </c>
      <c r="E213" s="6" t="s">
        <v>12</v>
      </c>
      <c r="F213" s="7">
        <v>17</v>
      </c>
      <c r="G213" s="7"/>
      <c r="H213" s="7"/>
      <c r="I213" s="7"/>
      <c r="J213" s="7">
        <v>17</v>
      </c>
      <c r="K213" s="13"/>
      <c r="L213" s="13"/>
      <c r="M213" s="10" t="s">
        <v>178</v>
      </c>
    </row>
    <row r="214" spans="1:13" ht="42.75" x14ac:dyDescent="0.2">
      <c r="A214" s="67"/>
      <c r="B214" s="67"/>
      <c r="C214" s="68"/>
      <c r="D214" s="6" t="s">
        <v>226</v>
      </c>
      <c r="E214" s="6" t="s">
        <v>12</v>
      </c>
      <c r="F214" s="7">
        <v>1</v>
      </c>
      <c r="G214" s="7"/>
      <c r="H214" s="7"/>
      <c r="I214" s="7"/>
      <c r="J214" s="7">
        <v>1</v>
      </c>
      <c r="K214" s="13"/>
      <c r="L214" s="13"/>
      <c r="M214" s="13"/>
    </row>
    <row r="215" spans="1:13" ht="42.75" x14ac:dyDescent="0.2">
      <c r="A215" s="67"/>
      <c r="B215" s="67"/>
      <c r="C215" s="68"/>
      <c r="D215" s="6" t="s">
        <v>227</v>
      </c>
      <c r="E215" s="6" t="s">
        <v>12</v>
      </c>
      <c r="F215" s="7">
        <v>1</v>
      </c>
      <c r="G215" s="7">
        <v>2</v>
      </c>
      <c r="H215" s="7"/>
      <c r="I215" s="7"/>
      <c r="J215" s="7">
        <v>3</v>
      </c>
      <c r="K215" s="13"/>
      <c r="L215" s="13"/>
      <c r="M215" s="13"/>
    </row>
    <row r="216" spans="1:13" ht="28.5" x14ac:dyDescent="0.2">
      <c r="A216" s="67"/>
      <c r="B216" s="67"/>
      <c r="C216" s="68"/>
      <c r="D216" s="6" t="s">
        <v>228</v>
      </c>
      <c r="E216" s="6" t="s">
        <v>12</v>
      </c>
      <c r="F216" s="7">
        <v>1</v>
      </c>
      <c r="G216" s="7">
        <v>1</v>
      </c>
      <c r="H216" s="7"/>
      <c r="I216" s="7"/>
      <c r="J216" s="7">
        <v>2</v>
      </c>
      <c r="K216" s="13"/>
      <c r="L216" s="13"/>
      <c r="M216" s="13"/>
    </row>
    <row r="217" spans="1:13" ht="28.5" x14ac:dyDescent="0.2">
      <c r="A217" s="67"/>
      <c r="B217" s="67"/>
      <c r="C217" s="68"/>
      <c r="D217" s="6" t="s">
        <v>229</v>
      </c>
      <c r="E217" s="6" t="s">
        <v>12</v>
      </c>
      <c r="F217" s="7">
        <v>5</v>
      </c>
      <c r="G217" s="7"/>
      <c r="H217" s="7"/>
      <c r="I217" s="7"/>
      <c r="J217" s="7">
        <v>5</v>
      </c>
      <c r="K217" s="13"/>
      <c r="L217" s="13"/>
      <c r="M217" s="10" t="s">
        <v>178</v>
      </c>
    </row>
    <row r="218" spans="1:13" ht="42.75" x14ac:dyDescent="0.2">
      <c r="A218" s="67"/>
      <c r="B218" s="67"/>
      <c r="C218" s="68"/>
      <c r="D218" s="6" t="s">
        <v>230</v>
      </c>
      <c r="E218" s="6" t="s">
        <v>12</v>
      </c>
      <c r="F218" s="7">
        <v>2</v>
      </c>
      <c r="G218" s="7"/>
      <c r="H218" s="7"/>
      <c r="I218" s="7"/>
      <c r="J218" s="7">
        <v>2</v>
      </c>
      <c r="K218" s="13"/>
      <c r="L218" s="13"/>
      <c r="M218" s="13"/>
    </row>
    <row r="219" spans="1:13" x14ac:dyDescent="0.2">
      <c r="A219" s="67"/>
      <c r="B219" s="67"/>
      <c r="C219" s="68" t="s">
        <v>231</v>
      </c>
      <c r="D219" s="6" t="s">
        <v>232</v>
      </c>
      <c r="E219" s="6" t="s">
        <v>12</v>
      </c>
      <c r="F219" s="7">
        <v>1</v>
      </c>
      <c r="G219" s="7"/>
      <c r="H219" s="7"/>
      <c r="I219" s="7"/>
      <c r="J219" s="7">
        <v>1</v>
      </c>
      <c r="K219" s="13"/>
      <c r="L219" s="13"/>
      <c r="M219" s="10" t="s">
        <v>178</v>
      </c>
    </row>
    <row r="220" spans="1:13" x14ac:dyDescent="0.2">
      <c r="A220" s="67"/>
      <c r="B220" s="67"/>
      <c r="C220" s="68"/>
      <c r="D220" s="6" t="s">
        <v>233</v>
      </c>
      <c r="E220" s="6" t="s">
        <v>12</v>
      </c>
      <c r="F220" s="7">
        <v>1</v>
      </c>
      <c r="G220" s="7"/>
      <c r="H220" s="7"/>
      <c r="I220" s="7"/>
      <c r="J220" s="7">
        <v>1</v>
      </c>
      <c r="K220" s="13"/>
      <c r="L220" s="13"/>
      <c r="M220" s="10" t="s">
        <v>178</v>
      </c>
    </row>
    <row r="221" spans="1:13" ht="28.5" x14ac:dyDescent="0.2">
      <c r="A221" s="67"/>
      <c r="B221" s="67"/>
      <c r="C221" s="68"/>
      <c r="D221" s="6" t="s">
        <v>234</v>
      </c>
      <c r="E221" s="6" t="s">
        <v>12</v>
      </c>
      <c r="F221" s="7">
        <v>1</v>
      </c>
      <c r="G221" s="7"/>
      <c r="H221" s="7"/>
      <c r="I221" s="7"/>
      <c r="J221" s="7">
        <v>1</v>
      </c>
      <c r="K221" s="13"/>
      <c r="L221" s="13"/>
      <c r="M221" s="1"/>
    </row>
    <row r="222" spans="1:13" ht="42.75" x14ac:dyDescent="0.2">
      <c r="A222" s="67"/>
      <c r="B222" s="67"/>
      <c r="C222" s="68" t="s">
        <v>235</v>
      </c>
      <c r="D222" s="6" t="s">
        <v>236</v>
      </c>
      <c r="E222" s="6" t="s">
        <v>30</v>
      </c>
      <c r="F222" s="7">
        <v>545</v>
      </c>
      <c r="G222" s="7">
        <v>100</v>
      </c>
      <c r="H222" s="7"/>
      <c r="I222" s="7"/>
      <c r="J222" s="7">
        <v>645</v>
      </c>
      <c r="K222" s="13"/>
      <c r="L222" s="13"/>
      <c r="M222" s="10" t="s">
        <v>178</v>
      </c>
    </row>
    <row r="223" spans="1:13" ht="42.75" x14ac:dyDescent="0.2">
      <c r="A223" s="67"/>
      <c r="B223" s="67"/>
      <c r="C223" s="68"/>
      <c r="D223" s="6" t="s">
        <v>237</v>
      </c>
      <c r="E223" s="6" t="s">
        <v>30</v>
      </c>
      <c r="F223" s="7">
        <v>295</v>
      </c>
      <c r="G223" s="7">
        <v>100</v>
      </c>
      <c r="H223" s="7"/>
      <c r="I223" s="7"/>
      <c r="J223" s="7">
        <v>395</v>
      </c>
      <c r="K223" s="13"/>
      <c r="L223" s="13"/>
      <c r="M223" s="10" t="s">
        <v>178</v>
      </c>
    </row>
    <row r="224" spans="1:13" ht="42.75" x14ac:dyDescent="0.2">
      <c r="A224" s="67"/>
      <c r="B224" s="67"/>
      <c r="C224" s="68"/>
      <c r="D224" s="6" t="s">
        <v>238</v>
      </c>
      <c r="E224" s="6" t="s">
        <v>30</v>
      </c>
      <c r="F224" s="7">
        <v>250</v>
      </c>
      <c r="G224" s="7"/>
      <c r="H224" s="7"/>
      <c r="I224" s="7"/>
      <c r="J224" s="7">
        <v>250</v>
      </c>
      <c r="K224" s="13"/>
      <c r="L224" s="13"/>
      <c r="M224" s="10" t="s">
        <v>178</v>
      </c>
    </row>
    <row r="225" spans="1:13" ht="42.75" x14ac:dyDescent="0.2">
      <c r="A225" s="67"/>
      <c r="B225" s="67"/>
      <c r="C225" s="68"/>
      <c r="D225" s="6" t="s">
        <v>239</v>
      </c>
      <c r="E225" s="6" t="s">
        <v>30</v>
      </c>
      <c r="F225" s="7">
        <v>50</v>
      </c>
      <c r="G225" s="7"/>
      <c r="H225" s="7"/>
      <c r="I225" s="7"/>
      <c r="J225" s="7">
        <v>50</v>
      </c>
      <c r="K225" s="13"/>
      <c r="L225" s="13"/>
      <c r="M225" s="10" t="s">
        <v>178</v>
      </c>
    </row>
    <row r="226" spans="1:13" ht="42.75" x14ac:dyDescent="0.2">
      <c r="A226" s="67"/>
      <c r="B226" s="67"/>
      <c r="C226" s="68"/>
      <c r="D226" s="6" t="s">
        <v>240</v>
      </c>
      <c r="E226" s="6" t="s">
        <v>30</v>
      </c>
      <c r="F226" s="7">
        <v>70</v>
      </c>
      <c r="G226" s="7"/>
      <c r="H226" s="7"/>
      <c r="I226" s="7"/>
      <c r="J226" s="7">
        <v>70</v>
      </c>
      <c r="K226" s="13"/>
      <c r="L226" s="13"/>
      <c r="M226" s="10" t="s">
        <v>178</v>
      </c>
    </row>
    <row r="227" spans="1:13" ht="42.75" x14ac:dyDescent="0.2">
      <c r="A227" s="67"/>
      <c r="B227" s="67"/>
      <c r="C227" s="68"/>
      <c r="D227" s="6" t="s">
        <v>241</v>
      </c>
      <c r="E227" s="6" t="s">
        <v>30</v>
      </c>
      <c r="F227" s="7">
        <v>1031</v>
      </c>
      <c r="G227" s="7">
        <v>150</v>
      </c>
      <c r="H227" s="7"/>
      <c r="I227" s="7"/>
      <c r="J227" s="7">
        <v>1181</v>
      </c>
      <c r="K227" s="13"/>
      <c r="L227" s="13"/>
      <c r="M227" s="10" t="s">
        <v>178</v>
      </c>
    </row>
    <row r="228" spans="1:13" x14ac:dyDescent="0.2">
      <c r="A228" s="67"/>
      <c r="B228" s="67"/>
      <c r="C228" s="68"/>
      <c r="D228" s="68" t="s">
        <v>242</v>
      </c>
      <c r="E228" s="6" t="s">
        <v>12</v>
      </c>
      <c r="F228" s="7">
        <v>5</v>
      </c>
      <c r="G228" s="7">
        <v>8</v>
      </c>
      <c r="H228" s="7">
        <v>1</v>
      </c>
      <c r="I228" s="7"/>
      <c r="J228" s="7">
        <v>14</v>
      </c>
      <c r="K228" s="13"/>
      <c r="L228" s="13"/>
      <c r="M228" s="1"/>
    </row>
    <row r="229" spans="1:13" x14ac:dyDescent="0.2">
      <c r="A229" s="67"/>
      <c r="B229" s="67"/>
      <c r="C229" s="68"/>
      <c r="D229" s="68"/>
      <c r="E229" s="6" t="s">
        <v>19</v>
      </c>
      <c r="F229" s="7">
        <v>21</v>
      </c>
      <c r="G229" s="7">
        <v>4</v>
      </c>
      <c r="H229" s="7"/>
      <c r="I229" s="7"/>
      <c r="J229" s="7">
        <v>25</v>
      </c>
      <c r="K229" s="13"/>
      <c r="L229" s="13"/>
      <c r="M229" s="1"/>
    </row>
  </sheetData>
  <mergeCells count="49">
    <mergeCell ref="C219:C221"/>
    <mergeCell ref="C222:C229"/>
    <mergeCell ref="D228:D229"/>
    <mergeCell ref="C195:C196"/>
    <mergeCell ref="C198:C201"/>
    <mergeCell ref="C203:C204"/>
    <mergeCell ref="C206:C207"/>
    <mergeCell ref="C210:C218"/>
    <mergeCell ref="C163:C169"/>
    <mergeCell ref="C171:C174"/>
    <mergeCell ref="C176:C179"/>
    <mergeCell ref="C180:C182"/>
    <mergeCell ref="C188:C193"/>
    <mergeCell ref="C113:C114"/>
    <mergeCell ref="C118:C133"/>
    <mergeCell ref="C137:C138"/>
    <mergeCell ref="C146:C148"/>
    <mergeCell ref="C149:C161"/>
    <mergeCell ref="C76:C79"/>
    <mergeCell ref="C80:C84"/>
    <mergeCell ref="C85:C102"/>
    <mergeCell ref="C104:C108"/>
    <mergeCell ref="C109:C110"/>
    <mergeCell ref="C51:C54"/>
    <mergeCell ref="C55:C56"/>
    <mergeCell ref="C58:C66"/>
    <mergeCell ref="C69:C70"/>
    <mergeCell ref="C71:C75"/>
    <mergeCell ref="C13:C18"/>
    <mergeCell ref="C19:C22"/>
    <mergeCell ref="C29:C30"/>
    <mergeCell ref="C31:C35"/>
    <mergeCell ref="C39:C45"/>
    <mergeCell ref="A1:M1"/>
    <mergeCell ref="A3:A23"/>
    <mergeCell ref="A24:A229"/>
    <mergeCell ref="B3:B4"/>
    <mergeCell ref="B5:B12"/>
    <mergeCell ref="B13:B23"/>
    <mergeCell ref="B24:B28"/>
    <mergeCell ref="B29:B35"/>
    <mergeCell ref="B36:B49"/>
    <mergeCell ref="B50:B79"/>
    <mergeCell ref="B80:B110"/>
    <mergeCell ref="B111:B193"/>
    <mergeCell ref="B194:B202"/>
    <mergeCell ref="B203:B229"/>
    <mergeCell ref="C5:C9"/>
    <mergeCell ref="C10:C1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地铁隧道_报价物资清单</vt:lpstr>
      <vt:lpstr>物流运输清单</vt:lpstr>
      <vt:lpstr>基础物流价格信息</vt:lpstr>
      <vt:lpstr>基行车物流运输表</vt:lpstr>
      <vt:lpstr>基础行车租赁信息表</vt:lpstr>
      <vt:lpstr>基础电机车信息表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常清 刘</dc:creator>
  <cp:lastModifiedBy>guohua tong</cp:lastModifiedBy>
  <cp:lastPrinted>2024-12-20T03:39:12Z</cp:lastPrinted>
  <dcterms:created xsi:type="dcterms:W3CDTF">2024-07-23T08:23:00Z</dcterms:created>
  <dcterms:modified xsi:type="dcterms:W3CDTF">2024-12-20T06:05:47Z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834E405798F2426781F564C2BE360F9A_12</vt:lpwstr>
  </property>
  <property fmtid="{D5CDD505-2E9C-101B-9397-08002B2CF9AE}" pid="3" name="KSOProductBuildVer">
    <vt:lpwstr>2052-12.1.0.17147</vt:lpwstr>
  </property>
</Properties>
</file>