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dea Imaji\HR\SIKIIP\"/>
    </mc:Choice>
  </mc:AlternateContent>
  <xr:revisionPtr revIDLastSave="0" documentId="8_{5F991466-EAD3-436C-9EDC-A9557373B1C5}" xr6:coauthVersionLast="43" xr6:coauthVersionMax="43" xr10:uidLastSave="{00000000-0000-0000-0000-000000000000}"/>
  <bookViews>
    <workbookView xWindow="-108" yWindow="-108" windowWidth="23256" windowHeight="13176" xr2:uid="{7D399E27-8046-4C82-8900-5ED3B0C60F8C}"/>
  </bookViews>
  <sheets>
    <sheet name="Sheet1" sheetId="1" r:id="rId1"/>
  </sheets>
  <externalReferences>
    <externalReference r:id="rId2"/>
  </externalReferences>
  <definedNames>
    <definedName name="Sta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6" i="1" l="1"/>
  <c r="M36" i="1"/>
  <c r="S36" i="1" s="1"/>
  <c r="T34" i="1"/>
  <c r="S34" i="1"/>
  <c r="P34" i="1"/>
  <c r="Z32" i="1"/>
  <c r="W32" i="1"/>
  <c r="V32" i="1"/>
  <c r="M32" i="1"/>
  <c r="J32" i="1"/>
  <c r="H32" i="1"/>
  <c r="F32" i="1"/>
  <c r="AM31" i="1"/>
  <c r="AB31" i="1"/>
  <c r="Y31" i="1"/>
  <c r="AF31" i="1" s="1"/>
  <c r="X31" i="1"/>
  <c r="U31" i="1"/>
  <c r="Q31" i="1"/>
  <c r="AF30" i="1"/>
  <c r="AB30" i="1"/>
  <c r="AA30" i="1"/>
  <c r="Y30" i="1"/>
  <c r="X30" i="1"/>
  <c r="U30" i="1"/>
  <c r="Q30" i="1"/>
  <c r="AM30" i="1" s="1"/>
  <c r="AB29" i="1"/>
  <c r="Y29" i="1"/>
  <c r="AF29" i="1" s="1"/>
  <c r="X29" i="1"/>
  <c r="U29" i="1"/>
  <c r="Q29" i="1"/>
  <c r="AM29" i="1" s="1"/>
  <c r="AB28" i="1"/>
  <c r="X28" i="1"/>
  <c r="T28" i="1"/>
  <c r="S28" i="1"/>
  <c r="R28" i="1"/>
  <c r="AM28" i="1" s="1"/>
  <c r="Q28" i="1"/>
  <c r="AB27" i="1"/>
  <c r="X27" i="1"/>
  <c r="T27" i="1"/>
  <c r="S27" i="1"/>
  <c r="R27" i="1"/>
  <c r="Q27" i="1"/>
  <c r="P27" i="1"/>
  <c r="U27" i="1" s="1"/>
  <c r="AL26" i="1"/>
  <c r="AB26" i="1"/>
  <c r="T26" i="1"/>
  <c r="S26" i="1"/>
  <c r="R26" i="1"/>
  <c r="Q26" i="1"/>
  <c r="P26" i="1"/>
  <c r="U26" i="1" s="1"/>
  <c r="K26" i="1"/>
  <c r="G26" i="1"/>
  <c r="Y26" i="1" s="1"/>
  <c r="AL25" i="1"/>
  <c r="AB25" i="1"/>
  <c r="T25" i="1"/>
  <c r="S25" i="1"/>
  <c r="R25" i="1"/>
  <c r="AM25" i="1" s="1"/>
  <c r="Q25" i="1"/>
  <c r="P25" i="1"/>
  <c r="U25" i="1" s="1"/>
  <c r="K25" i="1"/>
  <c r="G25" i="1"/>
  <c r="Y25" i="1" s="1"/>
  <c r="AB24" i="1"/>
  <c r="T24" i="1"/>
  <c r="S24" i="1"/>
  <c r="U24" i="1" s="1"/>
  <c r="R24" i="1"/>
  <c r="Q24" i="1"/>
  <c r="P24" i="1"/>
  <c r="AM24" i="1" s="1"/>
  <c r="K24" i="1"/>
  <c r="Y24" i="1" s="1"/>
  <c r="G24" i="1"/>
  <c r="X24" i="1" s="1"/>
  <c r="AB23" i="1"/>
  <c r="T23" i="1"/>
  <c r="S23" i="1"/>
  <c r="R23" i="1"/>
  <c r="Q23" i="1"/>
  <c r="P23" i="1"/>
  <c r="AM23" i="1" s="1"/>
  <c r="K23" i="1"/>
  <c r="G23" i="1"/>
  <c r="Y23" i="1" s="1"/>
  <c r="AB22" i="1"/>
  <c r="U22" i="1"/>
  <c r="T22" i="1"/>
  <c r="S22" i="1"/>
  <c r="R22" i="1"/>
  <c r="Q22" i="1"/>
  <c r="AM22" i="1" s="1"/>
  <c r="P22" i="1"/>
  <c r="K22" i="1"/>
  <c r="Y22" i="1" s="1"/>
  <c r="G22" i="1"/>
  <c r="X22" i="1" s="1"/>
  <c r="AB21" i="1"/>
  <c r="T21" i="1"/>
  <c r="S21" i="1"/>
  <c r="R21" i="1"/>
  <c r="Q21" i="1"/>
  <c r="P21" i="1"/>
  <c r="AM21" i="1" s="1"/>
  <c r="K21" i="1"/>
  <c r="G21" i="1"/>
  <c r="Y21" i="1" s="1"/>
  <c r="AB20" i="1"/>
  <c r="T20" i="1"/>
  <c r="S20" i="1"/>
  <c r="AM20" i="1" s="1"/>
  <c r="R20" i="1"/>
  <c r="Q20" i="1"/>
  <c r="P20" i="1"/>
  <c r="U20" i="1" s="1"/>
  <c r="K20" i="1"/>
  <c r="Y20" i="1" s="1"/>
  <c r="G20" i="1"/>
  <c r="X20" i="1" s="1"/>
  <c r="AB19" i="1"/>
  <c r="T19" i="1"/>
  <c r="S19" i="1"/>
  <c r="R19" i="1"/>
  <c r="Q19" i="1"/>
  <c r="P19" i="1"/>
  <c r="U19" i="1" s="1"/>
  <c r="K19" i="1"/>
  <c r="G19" i="1"/>
  <c r="Y19" i="1" s="1"/>
  <c r="AB18" i="1"/>
  <c r="U18" i="1"/>
  <c r="T18" i="1"/>
  <c r="S18" i="1"/>
  <c r="R18" i="1"/>
  <c r="Q18" i="1"/>
  <c r="AM18" i="1" s="1"/>
  <c r="P18" i="1"/>
  <c r="K18" i="1"/>
  <c r="G18" i="1"/>
  <c r="Y18" i="1" s="1"/>
  <c r="AB17" i="1"/>
  <c r="T17" i="1"/>
  <c r="S17" i="1"/>
  <c r="R17" i="1"/>
  <c r="Q17" i="1"/>
  <c r="P17" i="1"/>
  <c r="U17" i="1" s="1"/>
  <c r="K17" i="1"/>
  <c r="I17" i="1"/>
  <c r="I32" i="1" s="1"/>
  <c r="G17" i="1"/>
  <c r="AB16" i="1"/>
  <c r="T16" i="1"/>
  <c r="S16" i="1"/>
  <c r="R16" i="1"/>
  <c r="Q16" i="1"/>
  <c r="P16" i="1"/>
  <c r="U16" i="1" s="1"/>
  <c r="K16" i="1"/>
  <c r="G16" i="1"/>
  <c r="Y16" i="1" s="1"/>
  <c r="AB15" i="1"/>
  <c r="U15" i="1"/>
  <c r="T15" i="1"/>
  <c r="S15" i="1"/>
  <c r="R15" i="1"/>
  <c r="Q15" i="1"/>
  <c r="AM15" i="1" s="1"/>
  <c r="P15" i="1"/>
  <c r="K15" i="1"/>
  <c r="G15" i="1"/>
  <c r="Y15" i="1" s="1"/>
  <c r="AL14" i="1"/>
  <c r="AB14" i="1"/>
  <c r="T14" i="1"/>
  <c r="S14" i="1"/>
  <c r="U14" i="1" s="1"/>
  <c r="R14" i="1"/>
  <c r="Q14" i="1"/>
  <c r="P14" i="1"/>
  <c r="AM14" i="1" s="1"/>
  <c r="K14" i="1"/>
  <c r="Y14" i="1" s="1"/>
  <c r="G14" i="1"/>
  <c r="X14" i="1" s="1"/>
  <c r="AL13" i="1"/>
  <c r="AB13" i="1"/>
  <c r="U13" i="1"/>
  <c r="T13" i="1"/>
  <c r="S13" i="1"/>
  <c r="R13" i="1"/>
  <c r="Q13" i="1"/>
  <c r="P13" i="1"/>
  <c r="AM13" i="1" s="1"/>
  <c r="K13" i="1"/>
  <c r="Y13" i="1" s="1"/>
  <c r="G13" i="1"/>
  <c r="X13" i="1" s="1"/>
  <c r="AB12" i="1"/>
  <c r="T12" i="1"/>
  <c r="S12" i="1"/>
  <c r="R12" i="1"/>
  <c r="Q12" i="1"/>
  <c r="P12" i="1"/>
  <c r="AM12" i="1" s="1"/>
  <c r="K12" i="1"/>
  <c r="G12" i="1"/>
  <c r="Y12" i="1" s="1"/>
  <c r="AB11" i="1"/>
  <c r="T11" i="1"/>
  <c r="S11" i="1"/>
  <c r="U11" i="1" s="1"/>
  <c r="R11" i="1"/>
  <c r="Q11" i="1"/>
  <c r="P11" i="1"/>
  <c r="K11" i="1"/>
  <c r="Y11" i="1" s="1"/>
  <c r="G11" i="1"/>
  <c r="X11" i="1" s="1"/>
  <c r="AB10" i="1"/>
  <c r="T10" i="1"/>
  <c r="S10" i="1"/>
  <c r="R10" i="1"/>
  <c r="Q10" i="1"/>
  <c r="P10" i="1"/>
  <c r="U10" i="1" s="1"/>
  <c r="K10" i="1"/>
  <c r="G10" i="1"/>
  <c r="Y10" i="1" s="1"/>
  <c r="AL9" i="1"/>
  <c r="AB9" i="1"/>
  <c r="X9" i="1"/>
  <c r="T9" i="1"/>
  <c r="S9" i="1"/>
  <c r="R9" i="1"/>
  <c r="AM9" i="1" s="1"/>
  <c r="Q9" i="1"/>
  <c r="P9" i="1"/>
  <c r="U9" i="1" s="1"/>
  <c r="K9" i="1"/>
  <c r="G9" i="1"/>
  <c r="Y9" i="1" s="1"/>
  <c r="AL8" i="1"/>
  <c r="AB8" i="1"/>
  <c r="X8" i="1"/>
  <c r="T8" i="1"/>
  <c r="S8" i="1"/>
  <c r="R8" i="1"/>
  <c r="Q8" i="1"/>
  <c r="P8" i="1"/>
  <c r="U8" i="1" s="1"/>
  <c r="K8" i="1"/>
  <c r="G8" i="1"/>
  <c r="Y8" i="1" s="1"/>
  <c r="AL7" i="1"/>
  <c r="AL32" i="1" s="1"/>
  <c r="AB7" i="1"/>
  <c r="X7" i="1"/>
  <c r="T7" i="1"/>
  <c r="S7" i="1"/>
  <c r="R7" i="1"/>
  <c r="Q7" i="1"/>
  <c r="P7" i="1"/>
  <c r="U7" i="1" s="1"/>
  <c r="K7" i="1"/>
  <c r="G7" i="1"/>
  <c r="Y7" i="1" s="1"/>
  <c r="AB6" i="1"/>
  <c r="T6" i="1"/>
  <c r="S6" i="1"/>
  <c r="U6" i="1" s="1"/>
  <c r="R6" i="1"/>
  <c r="AM6" i="1" s="1"/>
  <c r="Q6" i="1"/>
  <c r="P6" i="1"/>
  <c r="K6" i="1"/>
  <c r="Y6" i="1" s="1"/>
  <c r="G6" i="1"/>
  <c r="X6" i="1" s="1"/>
  <c r="AB5" i="1"/>
  <c r="T5" i="1"/>
  <c r="S5" i="1"/>
  <c r="R5" i="1"/>
  <c r="Q5" i="1"/>
  <c r="P5" i="1"/>
  <c r="AM5" i="1" s="1"/>
  <c r="K5" i="1"/>
  <c r="G5" i="1"/>
  <c r="Y5" i="1" s="1"/>
  <c r="E5" i="1"/>
  <c r="AB4" i="1"/>
  <c r="T4" i="1"/>
  <c r="S4" i="1"/>
  <c r="R4" i="1"/>
  <c r="Q4" i="1"/>
  <c r="P4" i="1"/>
  <c r="U4" i="1" s="1"/>
  <c r="K4" i="1"/>
  <c r="G4" i="1"/>
  <c r="Y4" i="1" s="1"/>
  <c r="E4" i="1"/>
  <c r="AB3" i="1"/>
  <c r="AB32" i="1" s="1"/>
  <c r="T3" i="1"/>
  <c r="T32" i="1" s="1"/>
  <c r="S3" i="1"/>
  <c r="S32" i="1" s="1"/>
  <c r="R3" i="1"/>
  <c r="Q3" i="1"/>
  <c r="P3" i="1"/>
  <c r="U3" i="1" s="1"/>
  <c r="K3" i="1"/>
  <c r="K32" i="1" s="1"/>
  <c r="G3" i="1"/>
  <c r="G32" i="1" s="1"/>
  <c r="E3" i="1"/>
  <c r="AA21" i="1" l="1"/>
  <c r="AF21" i="1"/>
  <c r="AF8" i="1"/>
  <c r="AA8" i="1"/>
  <c r="AF16" i="1"/>
  <c r="AA16" i="1"/>
  <c r="AA18" i="1"/>
  <c r="AF18" i="1"/>
  <c r="AA20" i="1"/>
  <c r="AF20" i="1"/>
  <c r="AF22" i="1"/>
  <c r="AA22" i="1"/>
  <c r="AA23" i="1"/>
  <c r="AF23" i="1"/>
  <c r="AF25" i="1"/>
  <c r="AA25" i="1"/>
  <c r="AA12" i="1"/>
  <c r="AF12" i="1"/>
  <c r="AF24" i="1"/>
  <c r="AA24" i="1"/>
  <c r="AF26" i="1"/>
  <c r="AA26" i="1"/>
  <c r="AA9" i="1"/>
  <c r="AF9" i="1"/>
  <c r="AF10" i="1"/>
  <c r="AA10" i="1"/>
  <c r="AF13" i="1"/>
  <c r="AA13" i="1"/>
  <c r="AF7" i="1"/>
  <c r="AA7" i="1"/>
  <c r="AA19" i="1"/>
  <c r="AF19" i="1"/>
  <c r="AF4" i="1"/>
  <c r="AA4" i="1"/>
  <c r="AA11" i="1"/>
  <c r="AF11" i="1"/>
  <c r="AF5" i="1"/>
  <c r="AA5" i="1"/>
  <c r="AF6" i="1"/>
  <c r="AA6" i="1"/>
  <c r="AA14" i="1"/>
  <c r="AF14" i="1"/>
  <c r="AA15" i="1"/>
  <c r="AF15" i="1"/>
  <c r="AM8" i="1"/>
  <c r="X10" i="1"/>
  <c r="AM11" i="1"/>
  <c r="X16" i="1"/>
  <c r="X19" i="1"/>
  <c r="AM26" i="1"/>
  <c r="X3" i="1"/>
  <c r="Y3" i="1"/>
  <c r="AM4" i="1"/>
  <c r="U12" i="1"/>
  <c r="AM17" i="1"/>
  <c r="U21" i="1"/>
  <c r="Y27" i="1"/>
  <c r="U28" i="1"/>
  <c r="AA31" i="1"/>
  <c r="X25" i="1"/>
  <c r="AM7" i="1"/>
  <c r="X12" i="1"/>
  <c r="X21" i="1"/>
  <c r="AM3" i="1"/>
  <c r="U5" i="1"/>
  <c r="AM10" i="1"/>
  <c r="X15" i="1"/>
  <c r="AM16" i="1"/>
  <c r="X18" i="1"/>
  <c r="AM19" i="1"/>
  <c r="U23" i="1"/>
  <c r="AM27" i="1"/>
  <c r="Y28" i="1"/>
  <c r="AA29" i="1"/>
  <c r="P32" i="1"/>
  <c r="X17" i="1"/>
  <c r="X5" i="1"/>
  <c r="X23" i="1"/>
  <c r="X26" i="1"/>
  <c r="AC30" i="1"/>
  <c r="AD30" i="1" s="1"/>
  <c r="AG30" i="1" s="1"/>
  <c r="P36" i="1"/>
  <c r="V36" i="1" s="1"/>
  <c r="X4" i="1"/>
  <c r="Y17" i="1"/>
  <c r="AH30" i="1" l="1"/>
  <c r="AJ30" i="1" s="1"/>
  <c r="AK30" i="1" s="1"/>
  <c r="AN30" i="1" s="1"/>
  <c r="AC20" i="1"/>
  <c r="AD20" i="1" s="1"/>
  <c r="AG20" i="1" s="1"/>
  <c r="AC16" i="1"/>
  <c r="AD16" i="1" s="1"/>
  <c r="AG16" i="1" s="1"/>
  <c r="AM32" i="1"/>
  <c r="AC24" i="1"/>
  <c r="AD24" i="1"/>
  <c r="AG24" i="1" s="1"/>
  <c r="AA28" i="1"/>
  <c r="AF28" i="1"/>
  <c r="AC14" i="1"/>
  <c r="AD14" i="1" s="1"/>
  <c r="AG14" i="1" s="1"/>
  <c r="AC7" i="1"/>
  <c r="AD7" i="1" s="1"/>
  <c r="AG7" i="1" s="1"/>
  <c r="AC4" i="1"/>
  <c r="AD4" i="1" s="1"/>
  <c r="AG4" i="1" s="1"/>
  <c r="AC9" i="1"/>
  <c r="AD9" i="1" s="1"/>
  <c r="AG9" i="1" s="1"/>
  <c r="AC8" i="1"/>
  <c r="AD8" i="1" s="1"/>
  <c r="AG8" i="1" s="1"/>
  <c r="AC6" i="1"/>
  <c r="AD6" i="1"/>
  <c r="AG6" i="1" s="1"/>
  <c r="AF3" i="1"/>
  <c r="AA3" i="1"/>
  <c r="Y32" i="1"/>
  <c r="AC13" i="1"/>
  <c r="AD13" i="1" s="1"/>
  <c r="AG13" i="1" s="1"/>
  <c r="AC23" i="1"/>
  <c r="AD23" i="1" s="1"/>
  <c r="AG23" i="1" s="1"/>
  <c r="AC11" i="1"/>
  <c r="AD11" i="1" s="1"/>
  <c r="AG11" i="1" s="1"/>
  <c r="AF17" i="1"/>
  <c r="AA17" i="1"/>
  <c r="AC31" i="1"/>
  <c r="AD31" i="1" s="1"/>
  <c r="AG31" i="1" s="1"/>
  <c r="X32" i="1"/>
  <c r="AC15" i="1"/>
  <c r="AD15" i="1"/>
  <c r="AG15" i="1" s="1"/>
  <c r="AC5" i="1"/>
  <c r="AD5" i="1" s="1"/>
  <c r="AG5" i="1" s="1"/>
  <c r="AC12" i="1"/>
  <c r="AD12" i="1" s="1"/>
  <c r="AG12" i="1" s="1"/>
  <c r="AC22" i="1"/>
  <c r="AD22" i="1" s="1"/>
  <c r="AG22" i="1" s="1"/>
  <c r="AC18" i="1"/>
  <c r="AD18" i="1"/>
  <c r="AG18" i="1" s="1"/>
  <c r="AC29" i="1"/>
  <c r="AD29" i="1"/>
  <c r="AG29" i="1" s="1"/>
  <c r="AC26" i="1"/>
  <c r="AD26" i="1" s="1"/>
  <c r="AG26" i="1" s="1"/>
  <c r="AF27" i="1"/>
  <c r="AA27" i="1"/>
  <c r="AD19" i="1"/>
  <c r="AG19" i="1" s="1"/>
  <c r="AC19" i="1"/>
  <c r="AD10" i="1"/>
  <c r="AG10" i="1" s="1"/>
  <c r="AC10" i="1"/>
  <c r="AC25" i="1"/>
  <c r="AD25" i="1" s="1"/>
  <c r="AG25" i="1" s="1"/>
  <c r="AC21" i="1"/>
  <c r="AD21" i="1" s="1"/>
  <c r="AG21" i="1" s="1"/>
  <c r="AH31" i="1" l="1"/>
  <c r="AJ31" i="1" s="1"/>
  <c r="AK31" i="1" s="1"/>
  <c r="AN31" i="1" s="1"/>
  <c r="AH12" i="1"/>
  <c r="AJ12" i="1" s="1"/>
  <c r="AK12" i="1" s="1"/>
  <c r="AN12" i="1" s="1"/>
  <c r="AH8" i="1"/>
  <c r="AJ8" i="1" s="1"/>
  <c r="AK8" i="1"/>
  <c r="AN8" i="1" s="1"/>
  <c r="AH22" i="1"/>
  <c r="AJ22" i="1" s="1"/>
  <c r="AK22" i="1" s="1"/>
  <c r="AN22" i="1" s="1"/>
  <c r="AH5" i="1"/>
  <c r="AJ5" i="1" s="1"/>
  <c r="AK5" i="1" s="1"/>
  <c r="AN5" i="1" s="1"/>
  <c r="AH23" i="1"/>
  <c r="AJ23" i="1" s="1"/>
  <c r="AK23" i="1"/>
  <c r="AN23" i="1" s="1"/>
  <c r="AH9" i="1"/>
  <c r="AJ9" i="1" s="1"/>
  <c r="AK9" i="1" s="1"/>
  <c r="AN9" i="1" s="1"/>
  <c r="AK21" i="1"/>
  <c r="AN21" i="1" s="1"/>
  <c r="AH21" i="1"/>
  <c r="AJ21" i="1" s="1"/>
  <c r="AH13" i="1"/>
  <c r="AJ13" i="1" s="1"/>
  <c r="AK13" i="1" s="1"/>
  <c r="AN13" i="1" s="1"/>
  <c r="AK4" i="1"/>
  <c r="AN4" i="1" s="1"/>
  <c r="AH4" i="1"/>
  <c r="AJ4" i="1" s="1"/>
  <c r="AH16" i="1"/>
  <c r="AJ16" i="1" s="1"/>
  <c r="AK16" i="1" s="1"/>
  <c r="AN16" i="1" s="1"/>
  <c r="AK11" i="1"/>
  <c r="AN11" i="1" s="1"/>
  <c r="AH11" i="1"/>
  <c r="AJ11" i="1" s="1"/>
  <c r="AH26" i="1"/>
  <c r="AJ26" i="1" s="1"/>
  <c r="AK26" i="1" s="1"/>
  <c r="AN26" i="1" s="1"/>
  <c r="AH25" i="1"/>
  <c r="AJ25" i="1" s="1"/>
  <c r="AK25" i="1"/>
  <c r="AN25" i="1" s="1"/>
  <c r="AH7" i="1"/>
  <c r="AJ7" i="1" s="1"/>
  <c r="AK7" i="1"/>
  <c r="AN7" i="1" s="1"/>
  <c r="AK20" i="1"/>
  <c r="AN20" i="1" s="1"/>
  <c r="AH20" i="1"/>
  <c r="AJ20" i="1" s="1"/>
  <c r="AK14" i="1"/>
  <c r="AN14" i="1" s="1"/>
  <c r="AH14" i="1"/>
  <c r="AJ14" i="1" s="1"/>
  <c r="AH19" i="1"/>
  <c r="AJ19" i="1" s="1"/>
  <c r="AK19" i="1" s="1"/>
  <c r="AN19" i="1" s="1"/>
  <c r="AC27" i="1"/>
  <c r="AD27" i="1" s="1"/>
  <c r="AG27" i="1" s="1"/>
  <c r="AK6" i="1"/>
  <c r="AN6" i="1" s="1"/>
  <c r="AH6" i="1"/>
  <c r="AJ6" i="1" s="1"/>
  <c r="AK18" i="1"/>
  <c r="AN18" i="1" s="1"/>
  <c r="AH18" i="1"/>
  <c r="AJ18" i="1" s="1"/>
  <c r="AC17" i="1"/>
  <c r="AD17" i="1" s="1"/>
  <c r="AG17" i="1" s="1"/>
  <c r="AF32" i="1"/>
  <c r="AK29" i="1"/>
  <c r="AN29" i="1" s="1"/>
  <c r="AH29" i="1"/>
  <c r="AJ29" i="1" s="1"/>
  <c r="AH15" i="1"/>
  <c r="AJ15" i="1" s="1"/>
  <c r="AK15" i="1" s="1"/>
  <c r="AN15" i="1" s="1"/>
  <c r="AH10" i="1"/>
  <c r="AJ10" i="1" s="1"/>
  <c r="AK10" i="1" s="1"/>
  <c r="AN10" i="1" s="1"/>
  <c r="AD3" i="1"/>
  <c r="AC3" i="1"/>
  <c r="AA32" i="1"/>
  <c r="AD28" i="1"/>
  <c r="AG28" i="1" s="1"/>
  <c r="AC28" i="1"/>
  <c r="AK24" i="1"/>
  <c r="AN24" i="1" s="1"/>
  <c r="AH24" i="1"/>
  <c r="AJ24" i="1" s="1"/>
  <c r="AH27" i="1" l="1"/>
  <c r="AJ27" i="1" s="1"/>
  <c r="AK27" i="1" s="1"/>
  <c r="AN27" i="1" s="1"/>
  <c r="AH17" i="1"/>
  <c r="AJ17" i="1" s="1"/>
  <c r="AK17" i="1" s="1"/>
  <c r="AN17" i="1" s="1"/>
  <c r="AH28" i="1"/>
  <c r="AJ28" i="1" s="1"/>
  <c r="AK28" i="1" s="1"/>
  <c r="AN28" i="1" s="1"/>
  <c r="AC32" i="1"/>
  <c r="AG3" i="1"/>
  <c r="AD32" i="1"/>
  <c r="AO33" i="1"/>
  <c r="AO35" i="1" l="1"/>
  <c r="AK3" i="1"/>
  <c r="AG32" i="1"/>
  <c r="AH3" i="1"/>
  <c r="AJ3" i="1" s="1"/>
  <c r="AK32" i="1" l="1"/>
  <c r="AN3" i="1"/>
  <c r="AN32" i="1" l="1"/>
  <c r="AO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Idea Imaji</author>
  </authors>
  <commentList>
    <comment ref="Y3" authorId="0" shapeId="0" xr:uid="{5B9B67A8-1F25-47A8-8987-3FBCF7D83AF7}">
      <text>
        <r>
          <rPr>
            <b/>
            <sz val="9"/>
            <color rgb="FF000000"/>
            <rFont val="Tahoma"/>
            <family val="2"/>
          </rPr>
          <t>Idea Imaji: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Untuk jumlah Tunjangan Kesehatan dan Ketenagakerjaan  (yg dibayar oleh perusahaan) tidak dimasukkan ?
</t>
        </r>
      </text>
    </comment>
    <comment ref="P13" authorId="0" shapeId="0" xr:uid="{469878D1-BF14-48B7-938A-7F151BAF3105}">
      <text>
        <r>
          <rPr>
            <b/>
            <sz val="9"/>
            <color rgb="FF000000"/>
            <rFont val="Tahoma"/>
            <family val="2"/>
          </rPr>
          <t>Idea Imaji: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mandiri (dengan keluarga besar)</t>
        </r>
      </text>
    </comment>
    <comment ref="P19" authorId="0" shapeId="0" xr:uid="{ABBCCB1D-D0B9-45D5-9723-94BE1FB219B7}">
      <text>
        <r>
          <rPr>
            <b/>
            <sz val="9"/>
            <color indexed="81"/>
            <rFont val="Tahoma"/>
            <family val="2"/>
          </rPr>
          <t>Idea Imaji:</t>
        </r>
        <r>
          <rPr>
            <sz val="9"/>
            <color indexed="81"/>
            <rFont val="Tahoma"/>
            <family val="2"/>
          </rPr>
          <t xml:space="preserve">
ikut di kantor suami</t>
        </r>
      </text>
    </comment>
    <comment ref="S25" authorId="0" shapeId="0" xr:uid="{592541A8-82E0-4C5C-9C07-E757552A2CA0}">
      <text>
        <r>
          <rPr>
            <b/>
            <sz val="9"/>
            <color indexed="81"/>
            <rFont val="Tahoma"/>
            <family val="2"/>
          </rPr>
          <t>Idea Imaji:</t>
        </r>
        <r>
          <rPr>
            <sz val="9"/>
            <color indexed="81"/>
            <rFont val="Tahoma"/>
            <family val="2"/>
          </rPr>
          <t xml:space="preserve">
sedang proses pencairan klaim JHT</t>
        </r>
      </text>
    </comment>
    <comment ref="P28" authorId="0" shapeId="0" xr:uid="{CE958580-128E-4B3C-A6F3-6513C3543B68}">
      <text>
        <r>
          <rPr>
            <b/>
            <sz val="9"/>
            <color indexed="81"/>
            <rFont val="Tahoma"/>
            <family val="2"/>
          </rPr>
          <t>Idea Imaji:</t>
        </r>
        <r>
          <rPr>
            <sz val="9"/>
            <color indexed="81"/>
            <rFont val="Tahoma"/>
            <family val="2"/>
          </rPr>
          <t xml:space="preserve">
ikut suami</t>
        </r>
      </text>
    </comment>
  </commentList>
</comments>
</file>

<file path=xl/sharedStrings.xml><?xml version="1.0" encoding="utf-8"?>
<sst xmlns="http://schemas.openxmlformats.org/spreadsheetml/2006/main" count="191" uniqueCount="127">
  <si>
    <t>NIK</t>
  </si>
  <si>
    <t>Nama</t>
  </si>
  <si>
    <t>Fungsi</t>
  </si>
  <si>
    <t>Pengalaman (bln)</t>
  </si>
  <si>
    <t>Gaji Pokok 2019</t>
  </si>
  <si>
    <t>Tunjangan Profesi 2019</t>
  </si>
  <si>
    <t>Tunjangan Jabatan 2019</t>
  </si>
  <si>
    <t>Tunjangan Kinerja 2019</t>
  </si>
  <si>
    <t>Tunjangan Khusus 2019</t>
  </si>
  <si>
    <t>Tunjangan Transportasi 2019</t>
  </si>
  <si>
    <t>Hari Transport</t>
  </si>
  <si>
    <t>Besaran Tunjangan Transportasi 2019</t>
  </si>
  <si>
    <t>Basic Gaji Perhitungan BPJS Kesehatan</t>
  </si>
  <si>
    <t>Basic Gaji Perhitungan BPJS Ketenagakerjaan</t>
  </si>
  <si>
    <t>BPJS Kesehatan</t>
  </si>
  <si>
    <t xml:space="preserve">BPJS Ketenagakerjaan </t>
  </si>
  <si>
    <t>Insentif</t>
  </si>
  <si>
    <t>Bonus</t>
  </si>
  <si>
    <t>Disinsentif</t>
  </si>
  <si>
    <t>Total Gaji 2019</t>
  </si>
  <si>
    <t>Masa Kerja</t>
  </si>
  <si>
    <t xml:space="preserve">Gaji Setahun </t>
  </si>
  <si>
    <t>Iuran</t>
  </si>
  <si>
    <t>Biaya Jabatan</t>
  </si>
  <si>
    <t>Gaji Setelah Pengurangan Biaya Jabatan dan JHT</t>
  </si>
  <si>
    <t>Status</t>
  </si>
  <si>
    <t>PTKP</t>
  </si>
  <si>
    <t>PKP/th</t>
  </si>
  <si>
    <t>TP</t>
  </si>
  <si>
    <t>NPWP</t>
  </si>
  <si>
    <t>TP real</t>
  </si>
  <si>
    <t>PPh 21 Gaji</t>
  </si>
  <si>
    <t>Potongan</t>
  </si>
  <si>
    <t>Potongan BPJS</t>
  </si>
  <si>
    <t>Dibayar</t>
  </si>
  <si>
    <t>No. Rekening</t>
  </si>
  <si>
    <t>Keterangan Potongan</t>
  </si>
  <si>
    <t>Keterangan Absen, Disinsentif dan Insentif</t>
  </si>
  <si>
    <t>19  HK</t>
  </si>
  <si>
    <t>Perusahaan</t>
  </si>
  <si>
    <t>Karyawan</t>
  </si>
  <si>
    <t xml:space="preserve">JKK </t>
  </si>
  <si>
    <t>JKM</t>
  </si>
  <si>
    <t xml:space="preserve">JHT </t>
  </si>
  <si>
    <t>Total</t>
  </si>
  <si>
    <t>JHT Karyawan</t>
  </si>
  <si>
    <t>TK/2</t>
  </si>
  <si>
    <t>67.931.613.3-429.000</t>
  </si>
  <si>
    <t>120 000 225 9542</t>
  </si>
  <si>
    <t>MANDIRI</t>
  </si>
  <si>
    <t>CC Mega; CC Niaga; CC Mandiri</t>
  </si>
  <si>
    <t>K/1</t>
  </si>
  <si>
    <t>68.296.694.0-416.000</t>
  </si>
  <si>
    <t>155 00 0722931 6</t>
  </si>
  <si>
    <t>Pinjaman (2/2)  20 Maret 2019</t>
  </si>
  <si>
    <t>25.058.992.6-421.000</t>
  </si>
  <si>
    <t>132 000 440 2054</t>
  </si>
  <si>
    <t>3 hari datang diatas jam 9</t>
  </si>
  <si>
    <t>TK/0</t>
  </si>
  <si>
    <t>Tidak Punya</t>
  </si>
  <si>
    <t>233 263 5698</t>
  </si>
  <si>
    <t>BCA</t>
  </si>
  <si>
    <t>STSD (5 April), Cuti Penting (10 April), 1 hari datang diatas jam 9</t>
  </si>
  <si>
    <t>TK/1</t>
  </si>
  <si>
    <t>639 502 2354</t>
  </si>
  <si>
    <r>
      <t xml:space="preserve">Pinjaman (1/1) 01 April 2019; Tiket Nonton </t>
    </r>
    <r>
      <rPr>
        <i/>
        <sz val="10"/>
        <color indexed="8"/>
        <rFont val="Calibri"/>
        <family val="2"/>
      </rPr>
      <t>Avenger End Games</t>
    </r>
    <r>
      <rPr>
        <sz val="10"/>
        <color indexed="8"/>
        <rFont val="Calibri"/>
        <family val="2"/>
      </rPr>
      <t xml:space="preserve"> 2x70.000 (26 April 2019)</t>
    </r>
  </si>
  <si>
    <t>STSD (21-22 Maret &amp; 9 April), Konversi Keterlambatan 16:03 (potong 50% Tunjangan Kinerja), 8 hari datang diatas jam 9</t>
  </si>
  <si>
    <t>777 079 7131</t>
  </si>
  <si>
    <t>Pinjaman (2/5)  20 Maret 2019; Pinjaman (1/5)  23 April 2019</t>
  </si>
  <si>
    <t>9 hari datang diatas jam 9</t>
  </si>
  <si>
    <t>90.394.066.6-421.000</t>
  </si>
  <si>
    <t>278 0265 739</t>
  </si>
  <si>
    <r>
      <t xml:space="preserve">Pinjaman (2/10)  20 Maret 2019; Tiket Nonton </t>
    </r>
    <r>
      <rPr>
        <i/>
        <sz val="10"/>
        <color indexed="8"/>
        <rFont val="Calibri"/>
        <family val="2"/>
      </rPr>
      <t>Avenger End Games</t>
    </r>
    <r>
      <rPr>
        <sz val="10"/>
        <color indexed="8"/>
        <rFont val="Calibri"/>
        <family val="2"/>
      </rPr>
      <t xml:space="preserve"> 2x70.000 (26 April 2019)</t>
    </r>
  </si>
  <si>
    <t>Ijin (18 April), Konversi Keterlambatan 8:20 (potong 25% Tunjangan Kinerja), 1 hari datang diatas jam 9</t>
  </si>
  <si>
    <t>BTPN</t>
  </si>
  <si>
    <t>STSD (1 April), 1 hari datang diatas jam 9</t>
  </si>
  <si>
    <t>86.107.121-5-423.000</t>
  </si>
  <si>
    <t>54.045.253.9-445.000</t>
  </si>
  <si>
    <t>045 274 1159</t>
  </si>
  <si>
    <t>BNI</t>
  </si>
  <si>
    <t>Pinjaman (1/12)  09 April 2019</t>
  </si>
  <si>
    <t>STSD (22 Maret, 4 April), 2 hari datang diatas jam 9</t>
  </si>
  <si>
    <t>K/0</t>
  </si>
  <si>
    <r>
      <t xml:space="preserve">Pinjaman (1/1) 12 April 2019; Tiket Nonton </t>
    </r>
    <r>
      <rPr>
        <i/>
        <sz val="10"/>
        <color indexed="8"/>
        <rFont val="Calibri"/>
        <family val="2"/>
      </rPr>
      <t>Avenger End Games</t>
    </r>
    <r>
      <rPr>
        <sz val="10"/>
        <color indexed="8"/>
        <rFont val="Calibri"/>
        <family val="2"/>
      </rPr>
      <t xml:space="preserve"> 1x70.000 (26 April 2019)</t>
    </r>
  </si>
  <si>
    <t xml:space="preserve">SDSD (9 April), </t>
  </si>
  <si>
    <t>K/3</t>
  </si>
  <si>
    <t>24.851.761.7-013.000</t>
  </si>
  <si>
    <t>086 037 0298</t>
  </si>
  <si>
    <r>
      <t xml:space="preserve">Pinjaman (1/10) 23 April 2019; Tiket Nonton </t>
    </r>
    <r>
      <rPr>
        <i/>
        <sz val="10"/>
        <color indexed="8"/>
        <rFont val="Calibri"/>
        <family val="2"/>
      </rPr>
      <t>Avenger End Games</t>
    </r>
    <r>
      <rPr>
        <sz val="10"/>
        <color indexed="8"/>
        <rFont val="Calibri"/>
        <family val="2"/>
      </rPr>
      <t xml:space="preserve"> 4x70.000 (26 April 2019)</t>
    </r>
  </si>
  <si>
    <t>85.313.305.6-423.000</t>
  </si>
  <si>
    <t>130 001 248 6414</t>
  </si>
  <si>
    <t>Pinjaman (1/1) 11 Maret 2019</t>
  </si>
  <si>
    <t>282 002 9961</t>
  </si>
  <si>
    <t>4 hari datang diatas jam 9</t>
  </si>
  <si>
    <t>398 060 567</t>
  </si>
  <si>
    <t>Ijin (4 April), STSD (8 &amp; 18 April), Cuti Tahunan (16 April), Konversi Keterlambatan 10:20 (potong 25% Tunjangan Kinerja), 4 hari datang diatas jam 9</t>
  </si>
  <si>
    <t>675 500 7904</t>
  </si>
  <si>
    <t>Cuti Penting (18 April)</t>
  </si>
  <si>
    <t>85.405.995.3-423.000</t>
  </si>
  <si>
    <t>131 001 387 3429</t>
  </si>
  <si>
    <t xml:space="preserve">900 1142 2566 </t>
  </si>
  <si>
    <t xml:space="preserve">345 401 002 478 500 </t>
  </si>
  <si>
    <t>BRI</t>
  </si>
  <si>
    <t>Dispensasi (18 April), 4 hari datang diatas jam 9</t>
  </si>
  <si>
    <t>90.641.980.9-422.000</t>
  </si>
  <si>
    <t>639 508 2659</t>
  </si>
  <si>
    <r>
      <t xml:space="preserve">Tiket Nonton </t>
    </r>
    <r>
      <rPr>
        <i/>
        <sz val="10"/>
        <color indexed="8"/>
        <rFont val="Calibri"/>
        <family val="2"/>
      </rPr>
      <t>Avenger End Games</t>
    </r>
    <r>
      <rPr>
        <sz val="10"/>
        <color indexed="8"/>
        <rFont val="Calibri"/>
        <family val="2"/>
      </rPr>
      <t xml:space="preserve"> 1x70.000 (26 April 2019)</t>
    </r>
  </si>
  <si>
    <t>Cuti Penting (2 April), Cuti Tahunan (18 April)</t>
  </si>
  <si>
    <t>4084 01 000507 50 1</t>
  </si>
  <si>
    <t>1 hari datang diatas jam 9</t>
  </si>
  <si>
    <t>Nov-09</t>
  </si>
  <si>
    <t>45.182.800.8-429.999</t>
  </si>
  <si>
    <t>130 001 354 5226</t>
  </si>
  <si>
    <t>Ijin (15 April)</t>
  </si>
  <si>
    <t>25.475.504.4-424.000</t>
  </si>
  <si>
    <t>130 000 977 8625</t>
  </si>
  <si>
    <t>Ijin (2 April &amp; 15 April); 1 hari datang diatas jam 9</t>
  </si>
  <si>
    <t>K/2</t>
  </si>
  <si>
    <t>79.254.823.2-429.000</t>
  </si>
  <si>
    <t>008 507 0784</t>
  </si>
  <si>
    <r>
      <t xml:space="preserve">Pinjaman (1/1) 22 Maret 2019; Tiket Nonton </t>
    </r>
    <r>
      <rPr>
        <i/>
        <sz val="10"/>
        <color indexed="8"/>
        <rFont val="Calibri"/>
        <family val="2"/>
      </rPr>
      <t>Avenger End Games</t>
    </r>
    <r>
      <rPr>
        <sz val="10"/>
        <color indexed="8"/>
        <rFont val="Calibri"/>
        <family val="2"/>
      </rPr>
      <t xml:space="preserve"> 2x70.000 (26 April 2019)</t>
    </r>
  </si>
  <si>
    <t>Cuti Penting (1 &amp; 2 April), SDSD (15 April)</t>
  </si>
  <si>
    <t>CASH</t>
  </si>
  <si>
    <t>137 003 5497</t>
  </si>
  <si>
    <t>Pinjaman (1/1) 18 April 2019</t>
  </si>
  <si>
    <t>Mandiri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</si>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</sst>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\-??_);_(@_)"/>
    <numFmt numFmtId="166" formatCode="_(* #,##0_);_(* \(#,##0\);_(* &quot;-&quot;??_);_(@_)"/>
    <numFmt numFmtId="167" formatCode="_(* #,##0.00_);_(* \(#,##0.00\);_(* \-??_);_(@_)"/>
    <numFmt numFmtId="169" formatCode="_(* #,##0.000_);_(* \(#,##0.000\);_(* \-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indexed="8"/>
      <name val="Calibri"/>
      <family val="2"/>
    </font>
    <font>
      <sz val="11"/>
      <color indexed="8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3"/>
        <bgColor indexed="55"/>
      </patternFill>
    </fill>
    <fill>
      <patternFill patternType="solid">
        <fgColor theme="0" tint="-0.499984740745262"/>
        <bgColor indexed="55"/>
      </patternFill>
    </fill>
    <fill>
      <patternFill patternType="solid">
        <fgColor rgb="FF92D050"/>
        <bgColor indexed="55"/>
      </patternFill>
    </fill>
    <fill>
      <patternFill patternType="solid">
        <fgColor theme="5" tint="-0.249977111117893"/>
        <bgColor indexed="55"/>
      </patternFill>
    </fill>
    <fill>
      <patternFill patternType="solid">
        <fgColor theme="1" tint="0.499984740745262"/>
        <bgColor indexed="55"/>
      </patternFill>
    </fill>
    <fill>
      <patternFill patternType="solid">
        <fgColor theme="9" tint="0.39997558519241921"/>
        <bgColor indexed="55"/>
      </patternFill>
    </fill>
    <fill>
      <patternFill patternType="solid">
        <fgColor rgb="FFFFFF00"/>
        <bgColor indexed="55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9" fillId="0" borderId="0" applyFill="0" applyBorder="0" applyAlignment="0" applyProtection="0"/>
    <xf numFmtId="0" fontId="1" fillId="0" borderId="0"/>
  </cellStyleXfs>
  <cellXfs count="131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2" fillId="3" borderId="2" xfId="1" applyNumberFormat="1" applyFont="1" applyFill="1" applyBorder="1" applyAlignment="1">
      <alignment horizontal="center" vertical="center" wrapText="1"/>
    </xf>
    <xf numFmtId="1" fontId="2" fillId="4" borderId="2" xfId="1" applyNumberFormat="1" applyFont="1" applyFill="1" applyBorder="1" applyAlignment="1">
      <alignment horizontal="center" vertical="center" wrapText="1"/>
    </xf>
    <xf numFmtId="165" fontId="2" fillId="5" borderId="3" xfId="1" applyNumberFormat="1" applyFont="1" applyFill="1" applyBorder="1" applyAlignment="1">
      <alignment horizontal="center" vertical="center" wrapText="1"/>
    </xf>
    <xf numFmtId="165" fontId="2" fillId="5" borderId="3" xfId="1" applyNumberFormat="1" applyFont="1" applyFill="1" applyBorder="1" applyAlignment="1">
      <alignment horizontal="center" vertical="center" wrapText="1"/>
    </xf>
    <xf numFmtId="165" fontId="2" fillId="5" borderId="4" xfId="1" applyNumberFormat="1" applyFont="1" applyFill="1" applyBorder="1" applyAlignment="1">
      <alignment horizontal="center" vertical="center" wrapText="1"/>
    </xf>
    <xf numFmtId="165" fontId="2" fillId="5" borderId="5" xfId="1" applyNumberFormat="1" applyFont="1" applyFill="1" applyBorder="1" applyAlignment="1">
      <alignment horizontal="center" vertical="center" wrapText="1"/>
    </xf>
    <xf numFmtId="165" fontId="2" fillId="5" borderId="4" xfId="1" applyNumberFormat="1" applyFont="1" applyFill="1" applyBorder="1" applyAlignment="1">
      <alignment horizontal="center" vertical="center" wrapText="1"/>
    </xf>
    <xf numFmtId="165" fontId="2" fillId="6" borderId="2" xfId="1" applyNumberFormat="1" applyFont="1" applyFill="1" applyBorder="1" applyAlignment="1">
      <alignment horizontal="center" vertical="center" wrapText="1"/>
    </xf>
    <xf numFmtId="165" fontId="2" fillId="7" borderId="2" xfId="1" applyNumberFormat="1" applyFont="1" applyFill="1" applyBorder="1" applyAlignment="1">
      <alignment horizontal="center" vertical="center" wrapText="1"/>
    </xf>
    <xf numFmtId="165" fontId="2" fillId="2" borderId="2" xfId="1" applyNumberFormat="1" applyFont="1" applyFill="1" applyBorder="1" applyAlignment="1">
      <alignment horizontal="center" vertical="center" wrapText="1"/>
    </xf>
    <xf numFmtId="165" fontId="2" fillId="5" borderId="2" xfId="1" applyNumberFormat="1" applyFont="1" applyFill="1" applyBorder="1" applyAlignment="1">
      <alignment horizontal="center" vertical="center" wrapText="1"/>
    </xf>
    <xf numFmtId="9" fontId="2" fillId="6" borderId="2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2" fillId="2" borderId="6" xfId="1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65" fontId="2" fillId="3" borderId="8" xfId="1" applyNumberFormat="1" applyFont="1" applyFill="1" applyBorder="1" applyAlignment="1">
      <alignment horizontal="center" vertical="center" wrapText="1"/>
    </xf>
    <xf numFmtId="1" fontId="2" fillId="4" borderId="8" xfId="1" applyNumberFormat="1" applyFont="1" applyFill="1" applyBorder="1" applyAlignment="1">
      <alignment horizontal="center" vertical="center" wrapText="1"/>
    </xf>
    <xf numFmtId="165" fontId="2" fillId="5" borderId="8" xfId="1" applyNumberFormat="1" applyFont="1" applyFill="1" applyBorder="1" applyAlignment="1">
      <alignment horizontal="center" vertical="center" wrapText="1"/>
    </xf>
    <xf numFmtId="165" fontId="2" fillId="8" borderId="8" xfId="1" applyNumberFormat="1" applyFont="1" applyFill="1" applyBorder="1" applyAlignment="1">
      <alignment horizontal="center" vertical="center" wrapText="1"/>
    </xf>
    <xf numFmtId="165" fontId="2" fillId="6" borderId="8" xfId="1" applyNumberFormat="1" applyFont="1" applyFill="1" applyBorder="1" applyAlignment="1">
      <alignment horizontal="center" vertical="center" wrapText="1"/>
    </xf>
    <xf numFmtId="165" fontId="2" fillId="7" borderId="8" xfId="1" applyNumberFormat="1" applyFont="1" applyFill="1" applyBorder="1" applyAlignment="1">
      <alignment horizontal="center" vertical="center" wrapText="1"/>
    </xf>
    <xf numFmtId="165" fontId="2" fillId="2" borderId="8" xfId="1" applyNumberFormat="1" applyFont="1" applyFill="1" applyBorder="1" applyAlignment="1">
      <alignment horizontal="center" vertical="center" wrapText="1"/>
    </xf>
    <xf numFmtId="9" fontId="2" fillId="6" borderId="8" xfId="1" applyNumberFormat="1" applyFont="1" applyFill="1" applyBorder="1" applyAlignment="1">
      <alignment horizontal="center" vertical="center" wrapText="1"/>
    </xf>
    <xf numFmtId="0" fontId="2" fillId="2" borderId="8" xfId="1" applyNumberFormat="1" applyFont="1" applyFill="1" applyBorder="1" applyAlignment="1">
      <alignment horizontal="center" vertical="center" wrapText="1"/>
    </xf>
    <xf numFmtId="0" fontId="2" fillId="2" borderId="9" xfId="1" applyNumberFormat="1" applyFont="1" applyFill="1" applyBorder="1" applyAlignment="1">
      <alignment horizontal="center" vertical="center" wrapText="1"/>
    </xf>
    <xf numFmtId="49" fontId="3" fillId="0" borderId="10" xfId="0" applyNumberFormat="1" applyFont="1" applyBorder="1"/>
    <xf numFmtId="0" fontId="4" fillId="0" borderId="11" xfId="0" applyFont="1" applyBorder="1" applyAlignment="1">
      <alignment horizontal="left"/>
    </xf>
    <xf numFmtId="17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2" fontId="3" fillId="0" borderId="11" xfId="0" applyNumberFormat="1" applyFont="1" applyBorder="1"/>
    <xf numFmtId="1" fontId="3" fillId="0" borderId="11" xfId="0" applyNumberFormat="1" applyFont="1" applyBorder="1" applyAlignment="1">
      <alignment horizontal="center"/>
    </xf>
    <xf numFmtId="42" fontId="3" fillId="9" borderId="11" xfId="0" applyNumberFormat="1" applyFont="1" applyFill="1" applyBorder="1"/>
    <xf numFmtId="42" fontId="3" fillId="9" borderId="11" xfId="0" applyNumberFormat="1" applyFont="1" applyFill="1" applyBorder="1" applyAlignment="1">
      <alignment vertical="center"/>
    </xf>
    <xf numFmtId="42" fontId="3" fillId="10" borderId="11" xfId="0" applyNumberFormat="1" applyFont="1" applyFill="1" applyBorder="1"/>
    <xf numFmtId="42" fontId="3" fillId="0" borderId="11" xfId="0" applyNumberFormat="1" applyFont="1" applyBorder="1" applyAlignment="1">
      <alignment vertical="center"/>
    </xf>
    <xf numFmtId="42" fontId="5" fillId="11" borderId="11" xfId="0" applyNumberFormat="1" applyFont="1" applyFill="1" applyBorder="1"/>
    <xf numFmtId="3" fontId="3" fillId="0" borderId="11" xfId="0" applyNumberFormat="1" applyFont="1" applyBorder="1" applyAlignment="1">
      <alignment horizontal="center" vertical="center"/>
    </xf>
    <xf numFmtId="165" fontId="4" fillId="9" borderId="8" xfId="1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42" fontId="3" fillId="0" borderId="11" xfId="1" applyNumberFormat="1" applyFont="1" applyBorder="1"/>
    <xf numFmtId="9" fontId="3" fillId="0" borderId="11" xfId="1" applyNumberFormat="1" applyFont="1" applyBorder="1" applyAlignment="1">
      <alignment horizontal="center"/>
    </xf>
    <xf numFmtId="49" fontId="3" fillId="0" borderId="11" xfId="1" applyNumberFormat="1" applyFont="1" applyBorder="1" applyAlignment="1">
      <alignment horizontal="left" vertical="center"/>
    </xf>
    <xf numFmtId="9" fontId="3" fillId="0" borderId="11" xfId="3" applyFont="1" applyBorder="1" applyAlignment="1">
      <alignment horizontal="right"/>
    </xf>
    <xf numFmtId="42" fontId="3" fillId="0" borderId="11" xfId="1" applyNumberFormat="1" applyFont="1" applyBorder="1" applyAlignment="1">
      <alignment horizontal="center"/>
    </xf>
    <xf numFmtId="166" fontId="3" fillId="0" borderId="11" xfId="0" applyNumberFormat="1" applyFont="1" applyBorder="1"/>
    <xf numFmtId="49" fontId="3" fillId="0" borderId="11" xfId="0" applyNumberFormat="1" applyFont="1" applyBorder="1" applyAlignment="1">
      <alignment horizontal="center" vertical="center"/>
    </xf>
    <xf numFmtId="49" fontId="3" fillId="0" borderId="11" xfId="1" applyNumberFormat="1" applyFont="1" applyBorder="1" applyAlignment="1">
      <alignment horizontal="center" vertical="center"/>
    </xf>
    <xf numFmtId="0" fontId="4" fillId="0" borderId="11" xfId="1" applyNumberFormat="1" applyFont="1" applyBorder="1" applyAlignment="1">
      <alignment horizontal="left" vertical="center"/>
    </xf>
    <xf numFmtId="0" fontId="3" fillId="0" borderId="12" xfId="0" applyFont="1" applyBorder="1" applyAlignment="1">
      <alignment wrapText="1"/>
    </xf>
    <xf numFmtId="0" fontId="3" fillId="0" borderId="11" xfId="0" applyFont="1" applyBorder="1"/>
    <xf numFmtId="49" fontId="3" fillId="0" borderId="11" xfId="0" applyNumberFormat="1" applyFont="1" applyBorder="1" applyAlignment="1">
      <alignment horizontal="center"/>
    </xf>
    <xf numFmtId="0" fontId="3" fillId="0" borderId="12" xfId="1" applyNumberFormat="1" applyFont="1" applyBorder="1" applyAlignment="1">
      <alignment horizontal="left" wrapText="1"/>
    </xf>
    <xf numFmtId="49" fontId="3" fillId="0" borderId="10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9" fontId="3" fillId="0" borderId="11" xfId="3" applyFont="1" applyBorder="1"/>
    <xf numFmtId="0" fontId="3" fillId="0" borderId="11" xfId="0" quotePrefix="1" applyFont="1" applyBorder="1" applyAlignment="1">
      <alignment horizontal="center" vertical="center"/>
    </xf>
    <xf numFmtId="165" fontId="3" fillId="0" borderId="11" xfId="1" applyNumberFormat="1" applyFont="1" applyBorder="1" applyAlignment="1">
      <alignment horizontal="center" vertical="center"/>
    </xf>
    <xf numFmtId="15" fontId="7" fillId="0" borderId="12" xfId="0" applyNumberFormat="1" applyFont="1" applyBorder="1" applyAlignment="1">
      <alignment wrapText="1"/>
    </xf>
    <xf numFmtId="0" fontId="4" fillId="0" borderId="11" xfId="0" applyFont="1" applyBorder="1"/>
    <xf numFmtId="0" fontId="3" fillId="10" borderId="12" xfId="1" applyNumberFormat="1" applyFont="1" applyFill="1" applyBorder="1" applyAlignment="1">
      <alignment horizontal="left" wrapText="1"/>
    </xf>
    <xf numFmtId="49" fontId="3" fillId="0" borderId="10" xfId="0" quotePrefix="1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left" vertical="center"/>
    </xf>
    <xf numFmtId="17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2" fontId="3" fillId="0" borderId="11" xfId="1" applyNumberFormat="1" applyFont="1" applyBorder="1" applyAlignment="1">
      <alignment vertical="center"/>
    </xf>
    <xf numFmtId="9" fontId="3" fillId="0" borderId="11" xfId="1" applyNumberFormat="1" applyFont="1" applyBorder="1" applyAlignment="1">
      <alignment horizontal="center" vertical="center"/>
    </xf>
    <xf numFmtId="9" fontId="3" fillId="0" borderId="11" xfId="3" applyFont="1" applyBorder="1" applyAlignment="1">
      <alignment vertical="center"/>
    </xf>
    <xf numFmtId="42" fontId="3" fillId="0" borderId="11" xfId="1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49" fontId="3" fillId="0" borderId="9" xfId="1" applyNumberFormat="1" applyFont="1" applyBorder="1" applyAlignment="1">
      <alignment horizontal="left" vertical="center" wrapText="1"/>
    </xf>
    <xf numFmtId="49" fontId="3" fillId="0" borderId="10" xfId="0" quotePrefix="1" applyNumberFormat="1" applyFont="1" applyBorder="1"/>
    <xf numFmtId="1" fontId="3" fillId="0" borderId="11" xfId="0" quotePrefix="1" applyNumberFormat="1" applyFont="1" applyBorder="1" applyAlignment="1">
      <alignment horizontal="center" vertical="center" wrapText="1"/>
    </xf>
    <xf numFmtId="165" fontId="3" fillId="0" borderId="11" xfId="4" applyNumberFormat="1" applyFont="1" applyBorder="1" applyAlignment="1">
      <alignment horizontal="center" vertical="center"/>
    </xf>
    <xf numFmtId="0" fontId="4" fillId="0" borderId="10" xfId="5" quotePrefix="1" applyFont="1" applyBorder="1"/>
    <xf numFmtId="49" fontId="3" fillId="0" borderId="12" xfId="1" applyNumberFormat="1" applyFont="1" applyBorder="1" applyAlignment="1">
      <alignment horizontal="left" vertical="center" wrapText="1"/>
    </xf>
    <xf numFmtId="49" fontId="3" fillId="0" borderId="10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9" fontId="3" fillId="0" borderId="11" xfId="3" applyFont="1" applyBorder="1" applyAlignment="1">
      <alignment horizontal="right" vertical="center"/>
    </xf>
    <xf numFmtId="42" fontId="3" fillId="0" borderId="11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42" fontId="3" fillId="10" borderId="11" xfId="0" applyNumberFormat="1" applyFont="1" applyFill="1" applyBorder="1" applyAlignment="1">
      <alignment vertical="center"/>
    </xf>
    <xf numFmtId="42" fontId="5" fillId="11" borderId="11" xfId="0" applyNumberFormat="1" applyFont="1" applyFill="1" applyBorder="1" applyAlignment="1">
      <alignment vertical="center"/>
    </xf>
    <xf numFmtId="166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3" xfId="1" applyNumberFormat="1" applyFont="1" applyBorder="1" applyAlignment="1">
      <alignment horizontal="left" wrapText="1"/>
    </xf>
    <xf numFmtId="0" fontId="3" fillId="0" borderId="14" xfId="0" applyFont="1" applyBorder="1"/>
    <xf numFmtId="0" fontId="3" fillId="0" borderId="9" xfId="1" applyNumberFormat="1" applyFont="1" applyBorder="1" applyAlignment="1">
      <alignment horizontal="left" wrapText="1"/>
    </xf>
    <xf numFmtId="0" fontId="4" fillId="12" borderId="11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  <xf numFmtId="0" fontId="5" fillId="0" borderId="11" xfId="0" applyFont="1" applyBorder="1"/>
    <xf numFmtId="0" fontId="5" fillId="0" borderId="12" xfId="0" applyFont="1" applyBorder="1" applyAlignment="1">
      <alignment wrapText="1"/>
    </xf>
    <xf numFmtId="49" fontId="3" fillId="0" borderId="11" xfId="0" applyNumberFormat="1" applyFont="1" applyBorder="1"/>
    <xf numFmtId="0" fontId="5" fillId="12" borderId="15" xfId="0" applyFont="1" applyFill="1" applyBorder="1" applyAlignment="1">
      <alignment horizontal="center"/>
    </xf>
    <xf numFmtId="42" fontId="3" fillId="0" borderId="11" xfId="2" applyNumberFormat="1" applyFont="1" applyBorder="1"/>
    <xf numFmtId="0" fontId="5" fillId="0" borderId="11" xfId="0" applyFont="1" applyBorder="1" applyAlignment="1">
      <alignment horizontal="center" vertical="center"/>
    </xf>
    <xf numFmtId="1" fontId="3" fillId="0" borderId="11" xfId="4" applyNumberFormat="1" applyFont="1" applyBorder="1" applyAlignment="1">
      <alignment horizontal="center" vertical="center"/>
    </xf>
    <xf numFmtId="49" fontId="3" fillId="0" borderId="11" xfId="4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42" fontId="5" fillId="0" borderId="17" xfId="0" applyNumberFormat="1" applyFont="1" applyBorder="1"/>
    <xf numFmtId="1" fontId="5" fillId="0" borderId="17" xfId="0" applyNumberFormat="1" applyFont="1" applyBorder="1" applyAlignment="1">
      <alignment horizontal="center"/>
    </xf>
    <xf numFmtId="42" fontId="5" fillId="9" borderId="17" xfId="0" applyNumberFormat="1" applyFont="1" applyFill="1" applyBorder="1"/>
    <xf numFmtId="42" fontId="5" fillId="10" borderId="17" xfId="0" applyNumberFormat="1" applyFont="1" applyFill="1" applyBorder="1"/>
    <xf numFmtId="42" fontId="5" fillId="11" borderId="17" xfId="0" applyNumberFormat="1" applyFont="1" applyFill="1" applyBorder="1"/>
    <xf numFmtId="42" fontId="5" fillId="0" borderId="17" xfId="0" applyNumberFormat="1" applyFont="1" applyBorder="1" applyAlignment="1">
      <alignment horizontal="center" vertical="center"/>
    </xf>
    <xf numFmtId="42" fontId="5" fillId="0" borderId="18" xfId="0" applyNumberFormat="1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3" fillId="0" borderId="0" xfId="0" applyNumberFormat="1" applyFont="1"/>
    <xf numFmtId="0" fontId="5" fillId="11" borderId="0" xfId="0" applyFont="1" applyFill="1"/>
    <xf numFmtId="0" fontId="5" fillId="0" borderId="0" xfId="0" applyFont="1" applyAlignment="1">
      <alignment horizontal="center" vertical="center"/>
    </xf>
    <xf numFmtId="0" fontId="5" fillId="9" borderId="0" xfId="0" applyFont="1" applyFill="1"/>
    <xf numFmtId="166" fontId="3" fillId="0" borderId="0" xfId="0" applyNumberFormat="1" applyFont="1"/>
    <xf numFmtId="166" fontId="3" fillId="0" borderId="7" xfId="0" applyNumberFormat="1" applyFont="1" applyBorder="1"/>
    <xf numFmtId="49" fontId="3" fillId="0" borderId="9" xfId="4" applyNumberFormat="1" applyFont="1" applyBorder="1" applyAlignment="1">
      <alignment horizontal="center" vertical="center"/>
    </xf>
    <xf numFmtId="0" fontId="5" fillId="0" borderId="0" xfId="0" applyFont="1" applyAlignment="1">
      <alignment wrapText="1"/>
    </xf>
    <xf numFmtId="169" fontId="3" fillId="0" borderId="0" xfId="0" applyNumberFormat="1" applyFont="1"/>
    <xf numFmtId="41" fontId="5" fillId="0" borderId="0" xfId="2" applyFont="1"/>
    <xf numFmtId="41" fontId="5" fillId="0" borderId="10" xfId="2" applyFont="1" applyBorder="1"/>
    <xf numFmtId="49" fontId="3" fillId="0" borderId="12" xfId="4" applyNumberFormat="1" applyFont="1" applyBorder="1" applyAlignment="1">
      <alignment horizontal="center" vertical="center"/>
    </xf>
    <xf numFmtId="41" fontId="5" fillId="0" borderId="16" xfId="2" applyFont="1" applyBorder="1"/>
    <xf numFmtId="49" fontId="3" fillId="0" borderId="18" xfId="4" applyNumberFormat="1" applyFont="1" applyBorder="1" applyAlignment="1">
      <alignment horizontal="center" vertical="center"/>
    </xf>
  </cellXfs>
  <cellStyles count="6">
    <cellStyle name="Comma" xfId="1" builtinId="3"/>
    <cellStyle name="Comma [0]" xfId="2" builtinId="6"/>
    <cellStyle name="Comma 13" xfId="4" xr:uid="{2ABA7183-00CA-47E0-9A6C-748DB6A341B7}"/>
    <cellStyle name="Normal" xfId="0" builtinId="0"/>
    <cellStyle name="Normal 2" xfId="5" xr:uid="{C4883114-D37C-477F-A003-6AB38D68BC5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dea%20Imaji/HR/Gaji%202019%20THR%20(SLi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si"/>
      <sheetName val="JANUARI"/>
      <sheetName val="JANUARI Rev"/>
      <sheetName val="FEBRUARI"/>
      <sheetName val="MARET"/>
      <sheetName val="APRIL"/>
      <sheetName val="MEI"/>
      <sheetName val="MEI THR"/>
      <sheetName val="THR"/>
      <sheetName val="THR dengan Total Gaji Pokok"/>
    </sheetNames>
    <definedNames>
      <definedName name="TabelPTKP" refersTo="='Simulasi'!$B$5:$D$13" sheetId="0"/>
    </definedNames>
    <sheetDataSet>
      <sheetData sheetId="0">
        <row r="5">
          <cell r="B5" t="str">
            <v>Status</v>
          </cell>
          <cell r="C5" t="str">
            <v>Tarif / Bln</v>
          </cell>
          <cell r="D5" t="str">
            <v>Tarif / Th.</v>
          </cell>
        </row>
        <row r="6">
          <cell r="B6" t="str">
            <v>TK/0</v>
          </cell>
          <cell r="C6">
            <v>4500000</v>
          </cell>
          <cell r="D6">
            <v>54000000</v>
          </cell>
          <cell r="H6">
            <v>50000000</v>
          </cell>
          <cell r="I6">
            <v>0.05</v>
          </cell>
        </row>
        <row r="7">
          <cell r="B7" t="str">
            <v>K/0</v>
          </cell>
          <cell r="C7">
            <v>4875000</v>
          </cell>
          <cell r="D7">
            <v>58500000</v>
          </cell>
          <cell r="H7">
            <v>250000000</v>
          </cell>
          <cell r="I7">
            <v>0.15</v>
          </cell>
        </row>
        <row r="8">
          <cell r="B8" t="str">
            <v>K/1</v>
          </cell>
          <cell r="C8">
            <v>5250000</v>
          </cell>
          <cell r="D8">
            <v>63000000</v>
          </cell>
          <cell r="H8">
            <v>500000000</v>
          </cell>
          <cell r="I8">
            <v>0.25</v>
          </cell>
        </row>
        <row r="9">
          <cell r="B9" t="str">
            <v>K/2</v>
          </cell>
          <cell r="C9">
            <v>5625000</v>
          </cell>
          <cell r="D9">
            <v>67500000</v>
          </cell>
          <cell r="I9">
            <v>0.3</v>
          </cell>
        </row>
        <row r="10">
          <cell r="B10" t="str">
            <v>TK/1</v>
          </cell>
          <cell r="C10">
            <v>4875000</v>
          </cell>
          <cell r="D10">
            <v>58500000</v>
          </cell>
        </row>
        <row r="11">
          <cell r="B11" t="str">
            <v>TK/2</v>
          </cell>
          <cell r="C11">
            <v>5250000</v>
          </cell>
          <cell r="D11">
            <v>63000000</v>
          </cell>
        </row>
        <row r="12">
          <cell r="B12" t="str">
            <v>TK/3</v>
          </cell>
          <cell r="C12">
            <v>5625000</v>
          </cell>
          <cell r="D12">
            <v>67500000</v>
          </cell>
        </row>
        <row r="13">
          <cell r="B13" t="str">
            <v>K/3</v>
          </cell>
          <cell r="C13">
            <v>6000000</v>
          </cell>
          <cell r="D13">
            <v>72000000</v>
          </cell>
        </row>
      </sheetData>
      <sheetData sheetId="1">
        <row r="5">
          <cell r="D5">
            <v>43221</v>
          </cell>
        </row>
        <row r="6">
          <cell r="D6">
            <v>41791</v>
          </cell>
        </row>
        <row r="7">
          <cell r="D7">
            <v>41365</v>
          </cell>
        </row>
        <row r="8">
          <cell r="D8">
            <v>43221</v>
          </cell>
        </row>
        <row r="9">
          <cell r="D9">
            <v>43252</v>
          </cell>
        </row>
        <row r="10">
          <cell r="D10">
            <v>42339</v>
          </cell>
        </row>
        <row r="11">
          <cell r="D11">
            <v>41061</v>
          </cell>
        </row>
        <row r="12">
          <cell r="D12">
            <v>42614</v>
          </cell>
        </row>
        <row r="13">
          <cell r="D13">
            <v>41091</v>
          </cell>
        </row>
      </sheetData>
      <sheetData sheetId="2">
        <row r="5">
          <cell r="D5">
            <v>43221</v>
          </cell>
        </row>
        <row r="6">
          <cell r="D6">
            <v>41791</v>
          </cell>
        </row>
        <row r="7">
          <cell r="D7">
            <v>41365</v>
          </cell>
        </row>
        <row r="8">
          <cell r="D8">
            <v>43221</v>
          </cell>
        </row>
        <row r="9">
          <cell r="D9">
            <v>43252</v>
          </cell>
        </row>
        <row r="10">
          <cell r="D10">
            <v>42339</v>
          </cell>
        </row>
        <row r="11">
          <cell r="D11">
            <v>41061</v>
          </cell>
        </row>
        <row r="12">
          <cell r="D12">
            <v>42614</v>
          </cell>
        </row>
        <row r="13">
          <cell r="D13">
            <v>41091</v>
          </cell>
        </row>
      </sheetData>
      <sheetData sheetId="3">
        <row r="5">
          <cell r="D5">
            <v>43221</v>
          </cell>
        </row>
        <row r="6">
          <cell r="D6">
            <v>41791</v>
          </cell>
        </row>
        <row r="7">
          <cell r="D7">
            <v>41365</v>
          </cell>
        </row>
        <row r="8">
          <cell r="D8">
            <v>43221</v>
          </cell>
        </row>
        <row r="9">
          <cell r="D9">
            <v>43252</v>
          </cell>
        </row>
        <row r="10">
          <cell r="D10">
            <v>42339</v>
          </cell>
        </row>
        <row r="11">
          <cell r="D11">
            <v>41061</v>
          </cell>
        </row>
        <row r="12">
          <cell r="D12">
            <v>42614</v>
          </cell>
        </row>
        <row r="13">
          <cell r="D13">
            <v>41091</v>
          </cell>
        </row>
      </sheetData>
      <sheetData sheetId="4">
        <row r="5">
          <cell r="B5">
            <v>4</v>
          </cell>
          <cell r="D5">
            <v>43221</v>
          </cell>
        </row>
        <row r="6">
          <cell r="B6">
            <v>5</v>
          </cell>
          <cell r="D6">
            <v>41791</v>
          </cell>
        </row>
        <row r="7">
          <cell r="B7">
            <v>6</v>
          </cell>
          <cell r="D7">
            <v>41365</v>
          </cell>
        </row>
        <row r="8">
          <cell r="B8">
            <v>7</v>
          </cell>
          <cell r="D8">
            <v>43221</v>
          </cell>
        </row>
        <row r="9">
          <cell r="B9">
            <v>8</v>
          </cell>
          <cell r="D9">
            <v>43252</v>
          </cell>
        </row>
        <row r="10">
          <cell r="B10">
            <v>9</v>
          </cell>
          <cell r="D10">
            <v>42339</v>
          </cell>
        </row>
        <row r="11">
          <cell r="B11">
            <v>10</v>
          </cell>
          <cell r="D11">
            <v>41061</v>
          </cell>
        </row>
        <row r="12">
          <cell r="B12">
            <v>11</v>
          </cell>
          <cell r="D12">
            <v>42614</v>
          </cell>
        </row>
        <row r="13">
          <cell r="B13">
            <v>12</v>
          </cell>
          <cell r="D13">
            <v>41091</v>
          </cell>
        </row>
      </sheetData>
      <sheetData sheetId="5">
        <row r="5">
          <cell r="B5">
            <v>3</v>
          </cell>
          <cell r="D5">
            <v>42278</v>
          </cell>
        </row>
        <row r="6">
          <cell r="B6">
            <v>4</v>
          </cell>
          <cell r="D6">
            <v>43221</v>
          </cell>
        </row>
        <row r="7">
          <cell r="B7">
            <v>5</v>
          </cell>
          <cell r="D7">
            <v>41791</v>
          </cell>
        </row>
        <row r="8">
          <cell r="B8">
            <v>6</v>
          </cell>
          <cell r="D8">
            <v>41365</v>
          </cell>
        </row>
        <row r="9">
          <cell r="B9">
            <v>7</v>
          </cell>
          <cell r="D9">
            <v>43221</v>
          </cell>
        </row>
        <row r="10">
          <cell r="B10">
            <v>8</v>
          </cell>
          <cell r="D10">
            <v>43252</v>
          </cell>
        </row>
        <row r="11">
          <cell r="B11">
            <v>9</v>
          </cell>
          <cell r="D11">
            <v>42339</v>
          </cell>
        </row>
        <row r="12">
          <cell r="B12">
            <v>10</v>
          </cell>
          <cell r="D12">
            <v>41061</v>
          </cell>
        </row>
        <row r="13">
          <cell r="B13">
            <v>11</v>
          </cell>
          <cell r="D13">
            <v>42614</v>
          </cell>
        </row>
      </sheetData>
      <sheetData sheetId="6">
        <row r="5">
          <cell r="D5">
            <v>42278</v>
          </cell>
        </row>
        <row r="6">
          <cell r="D6">
            <v>43221</v>
          </cell>
        </row>
        <row r="7">
          <cell r="D7">
            <v>41791</v>
          </cell>
        </row>
        <row r="8">
          <cell r="D8">
            <v>41365</v>
          </cell>
        </row>
        <row r="9">
          <cell r="D9">
            <v>43221</v>
          </cell>
        </row>
        <row r="10">
          <cell r="D10">
            <v>43252</v>
          </cell>
        </row>
        <row r="11">
          <cell r="D11">
            <v>42339</v>
          </cell>
        </row>
        <row r="12">
          <cell r="D12">
            <v>41061</v>
          </cell>
        </row>
        <row r="13">
          <cell r="D13">
            <v>42614</v>
          </cell>
        </row>
      </sheetData>
      <sheetData sheetId="7">
        <row r="5">
          <cell r="D5">
            <v>5013333.333333334</v>
          </cell>
        </row>
        <row r="6">
          <cell r="D6">
            <v>3504444.4444444445</v>
          </cell>
        </row>
        <row r="7">
          <cell r="D7">
            <v>4630555.555555556</v>
          </cell>
        </row>
        <row r="8">
          <cell r="D8">
            <v>4655000</v>
          </cell>
        </row>
        <row r="9">
          <cell r="D9">
            <v>3504444.4444444445</v>
          </cell>
        </row>
        <row r="10">
          <cell r="D10">
            <v>3495555.555555556</v>
          </cell>
        </row>
        <row r="11">
          <cell r="D11">
            <v>1962222.2222222222</v>
          </cell>
        </row>
        <row r="12">
          <cell r="D12">
            <v>4368888.888888889</v>
          </cell>
        </row>
        <row r="13">
          <cell r="D13">
            <v>1882222.2222222222</v>
          </cell>
        </row>
      </sheetData>
      <sheetData sheetId="8">
        <row r="5">
          <cell r="D5">
            <v>12</v>
          </cell>
        </row>
        <row r="6">
          <cell r="D6">
            <v>12</v>
          </cell>
        </row>
        <row r="7">
          <cell r="D7">
            <v>12</v>
          </cell>
        </row>
        <row r="8">
          <cell r="D8">
            <v>12</v>
          </cell>
        </row>
        <row r="9">
          <cell r="D9">
            <v>12</v>
          </cell>
        </row>
        <row r="10">
          <cell r="D10">
            <v>11</v>
          </cell>
        </row>
        <row r="11">
          <cell r="D11">
            <v>5</v>
          </cell>
        </row>
        <row r="12">
          <cell r="D12">
            <v>12</v>
          </cell>
        </row>
        <row r="13">
          <cell r="D13">
            <v>5</v>
          </cell>
        </row>
      </sheetData>
      <sheetData sheetId="9">
        <row r="5">
          <cell r="B5" t="str">
            <v>Ikra Amesta Wisnu</v>
          </cell>
          <cell r="C5" t="str">
            <v>Digital Analyst</v>
          </cell>
          <cell r="D5">
            <v>12</v>
          </cell>
        </row>
        <row r="6">
          <cell r="B6" t="str">
            <v>Karisa Aliya</v>
          </cell>
          <cell r="C6" t="str">
            <v>Media Planner</v>
          </cell>
          <cell r="D6">
            <v>12</v>
          </cell>
        </row>
        <row r="7">
          <cell r="B7" t="str">
            <v>Tasya</v>
          </cell>
          <cell r="C7" t="str">
            <v>Content Producer</v>
          </cell>
          <cell r="D7">
            <v>12</v>
          </cell>
        </row>
        <row r="8">
          <cell r="B8" t="str">
            <v>Harrya Muhamad</v>
          </cell>
          <cell r="C8" t="str">
            <v>Creative Associate</v>
          </cell>
          <cell r="D8">
            <v>12</v>
          </cell>
        </row>
        <row r="9">
          <cell r="B9" t="str">
            <v>Winona Octora</v>
          </cell>
          <cell r="C9" t="str">
            <v>Graphic Designer</v>
          </cell>
          <cell r="D9">
            <v>12</v>
          </cell>
        </row>
        <row r="10">
          <cell r="B10" t="str">
            <v>Ibnu Alif Prabowo</v>
          </cell>
          <cell r="C10" t="str">
            <v>Graphic Designer</v>
          </cell>
          <cell r="D10">
            <v>12</v>
          </cell>
        </row>
        <row r="11">
          <cell r="B11" t="str">
            <v>Aripan Nugraha M. Ramdan</v>
          </cell>
          <cell r="C11" t="str">
            <v>Graphic Designer / Videographer</v>
          </cell>
          <cell r="D11">
            <v>6</v>
          </cell>
        </row>
        <row r="12">
          <cell r="B12" t="str">
            <v>Eka Satria</v>
          </cell>
          <cell r="C12" t="str">
            <v>Content Planner</v>
          </cell>
          <cell r="D12">
            <v>12</v>
          </cell>
        </row>
        <row r="13">
          <cell r="B13" t="str">
            <v>Ben Aryandiaz</v>
          </cell>
          <cell r="C13" t="str">
            <v>Content Planner</v>
          </cell>
          <cell r="D13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B4CE-1292-4E9A-B382-7132F57D08FC}">
  <dimension ref="A1:AR36"/>
  <sheetViews>
    <sheetView tabSelected="1" topLeftCell="W1" workbookViewId="0">
      <selection activeCell="AA6" sqref="AA6"/>
    </sheetView>
  </sheetViews>
  <sheetFormatPr defaultRowHeight="14.4" x14ac:dyDescent="0.3"/>
  <cols>
    <col min="1" max="44" width="18.77734375" customWidth="1"/>
  </cols>
  <sheetData>
    <row r="1" spans="1:44" ht="82.8" x14ac:dyDescent="0.3">
      <c r="A1" s="1" t="s">
        <v>0</v>
      </c>
      <c r="B1" s="2" t="s">
        <v>1</v>
      </c>
      <c r="C1" s="2" t="s">
        <v>2</v>
      </c>
      <c r="D1" s="3" t="s">
        <v>3</v>
      </c>
      <c r="E1" s="3"/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10</v>
      </c>
      <c r="M1" s="4" t="s">
        <v>11</v>
      </c>
      <c r="N1" s="6" t="s">
        <v>12</v>
      </c>
      <c r="O1" s="6" t="s">
        <v>13</v>
      </c>
      <c r="P1" s="7" t="s">
        <v>14</v>
      </c>
      <c r="Q1" s="8"/>
      <c r="R1" s="7" t="s">
        <v>15</v>
      </c>
      <c r="S1" s="9"/>
      <c r="T1" s="8"/>
      <c r="U1" s="10"/>
      <c r="V1" s="11" t="s">
        <v>16</v>
      </c>
      <c r="W1" s="11" t="s">
        <v>17</v>
      </c>
      <c r="X1" s="11" t="s">
        <v>18</v>
      </c>
      <c r="Y1" s="12" t="s">
        <v>19</v>
      </c>
      <c r="Z1" s="13" t="s">
        <v>20</v>
      </c>
      <c r="AA1" s="13" t="s">
        <v>21</v>
      </c>
      <c r="AB1" s="14" t="s">
        <v>22</v>
      </c>
      <c r="AC1" s="11" t="s">
        <v>23</v>
      </c>
      <c r="AD1" s="11" t="s">
        <v>24</v>
      </c>
      <c r="AE1" s="11" t="s">
        <v>25</v>
      </c>
      <c r="AF1" s="11" t="s">
        <v>26</v>
      </c>
      <c r="AG1" s="11" t="s">
        <v>27</v>
      </c>
      <c r="AH1" s="11" t="s">
        <v>28</v>
      </c>
      <c r="AI1" s="11" t="s">
        <v>29</v>
      </c>
      <c r="AJ1" s="15" t="s">
        <v>30</v>
      </c>
      <c r="AK1" s="11" t="s">
        <v>31</v>
      </c>
      <c r="AL1" s="13" t="s">
        <v>32</v>
      </c>
      <c r="AM1" s="14" t="s">
        <v>33</v>
      </c>
      <c r="AN1" s="13" t="s">
        <v>34</v>
      </c>
      <c r="AO1" s="2" t="s">
        <v>35</v>
      </c>
      <c r="AP1" s="2"/>
      <c r="AQ1" s="16" t="s">
        <v>36</v>
      </c>
      <c r="AR1" s="17" t="s">
        <v>37</v>
      </c>
    </row>
    <row r="2" spans="1:44" ht="41.4" x14ac:dyDescent="0.3">
      <c r="A2" s="18"/>
      <c r="B2" s="19"/>
      <c r="C2" s="19"/>
      <c r="D2" s="19"/>
      <c r="E2" s="19"/>
      <c r="F2" s="20"/>
      <c r="G2" s="20"/>
      <c r="H2" s="20"/>
      <c r="I2" s="20"/>
      <c r="J2" s="20"/>
      <c r="K2" s="20"/>
      <c r="L2" s="21" t="s">
        <v>38</v>
      </c>
      <c r="M2" s="20"/>
      <c r="N2" s="22"/>
      <c r="O2" s="22"/>
      <c r="P2" s="22" t="s">
        <v>39</v>
      </c>
      <c r="Q2" s="22" t="s">
        <v>40</v>
      </c>
      <c r="R2" s="22" t="s">
        <v>41</v>
      </c>
      <c r="S2" s="22" t="s">
        <v>42</v>
      </c>
      <c r="T2" s="23" t="s">
        <v>43</v>
      </c>
      <c r="U2" s="23" t="s">
        <v>44</v>
      </c>
      <c r="V2" s="24"/>
      <c r="W2" s="24"/>
      <c r="X2" s="24"/>
      <c r="Y2" s="25"/>
      <c r="Z2" s="26"/>
      <c r="AA2" s="26"/>
      <c r="AB2" s="22" t="s">
        <v>45</v>
      </c>
      <c r="AC2" s="24"/>
      <c r="AD2" s="24"/>
      <c r="AE2" s="24"/>
      <c r="AF2" s="24"/>
      <c r="AG2" s="24"/>
      <c r="AH2" s="24"/>
      <c r="AI2" s="24"/>
      <c r="AJ2" s="27"/>
      <c r="AK2" s="24"/>
      <c r="AL2" s="26"/>
      <c r="AM2" s="22"/>
      <c r="AN2" s="26"/>
      <c r="AO2" s="19"/>
      <c r="AP2" s="19"/>
      <c r="AQ2" s="28"/>
      <c r="AR2" s="29"/>
    </row>
    <row r="3" spans="1:44" x14ac:dyDescent="0.3">
      <c r="A3" s="30"/>
      <c r="B3" s="31">
        <v>1</v>
      </c>
      <c r="C3" s="31"/>
      <c r="D3" s="32">
        <v>36892</v>
      </c>
      <c r="E3" s="33">
        <f>(12*17)</f>
        <v>204</v>
      </c>
      <c r="F3" s="34">
        <v>3200000</v>
      </c>
      <c r="G3" s="34">
        <f t="shared" ref="G3:G26" si="0">(E3/12)*F3*8%</f>
        <v>4352000</v>
      </c>
      <c r="H3" s="34">
        <v>12500000</v>
      </c>
      <c r="I3" s="34">
        <v>0</v>
      </c>
      <c r="J3" s="34">
        <v>7000000</v>
      </c>
      <c r="K3" s="34">
        <f t="shared" ref="K3:K26" si="1">L3*M3</f>
        <v>285000</v>
      </c>
      <c r="L3" s="35">
        <v>19</v>
      </c>
      <c r="M3" s="34">
        <v>15000</v>
      </c>
      <c r="N3" s="36">
        <v>4100000</v>
      </c>
      <c r="O3" s="36">
        <v>3340000</v>
      </c>
      <c r="P3" s="36">
        <f t="shared" ref="P3:P27" si="2">4%*N3</f>
        <v>164000</v>
      </c>
      <c r="Q3" s="37">
        <f t="shared" ref="Q3:Q31" si="3">1%*N3</f>
        <v>41000</v>
      </c>
      <c r="R3" s="36">
        <f t="shared" ref="R3:R28" si="4">0.24%*O3</f>
        <v>8015.9999999999991</v>
      </c>
      <c r="S3" s="36">
        <f t="shared" ref="S3:S28" si="5">0.3%*O3</f>
        <v>10020</v>
      </c>
      <c r="T3" s="38">
        <f t="shared" ref="T3:T28" si="6">3.7%*O3</f>
        <v>123580.00000000001</v>
      </c>
      <c r="U3" s="38">
        <f>P3+R3+S3</f>
        <v>182036</v>
      </c>
      <c r="V3" s="34">
        <v>0</v>
      </c>
      <c r="W3" s="34">
        <v>0</v>
      </c>
      <c r="X3" s="39">
        <f>(0/30)*(F3+G3+H3+I3+J3)</f>
        <v>0</v>
      </c>
      <c r="Y3" s="40">
        <f t="shared" ref="Y3:Y31" si="7">F3+G3+H3+I3+J3+K3+P3+R3+S3+W3</f>
        <v>27519036</v>
      </c>
      <c r="Z3" s="41">
        <v>12</v>
      </c>
      <c r="AA3" s="34">
        <f>(Y3-W3)*Z3</f>
        <v>330228432</v>
      </c>
      <c r="AB3" s="42">
        <f t="shared" ref="AB3:AB24" si="8">(2%*O3)*Z3</f>
        <v>801600</v>
      </c>
      <c r="AC3" s="34">
        <f>IF(AA3*5%&gt;6000000,6000000,AA3*5%)</f>
        <v>6000000</v>
      </c>
      <c r="AD3" s="34">
        <f>AA3-AC3-AB3</f>
        <v>323426832</v>
      </c>
      <c r="AE3" s="43" t="s">
        <v>46</v>
      </c>
      <c r="AF3" s="44">
        <f>IF(Y3&gt;0,VLOOKUP(AE3,[1]Simulasi!TabelPTKP,3,0),)</f>
        <v>63000000</v>
      </c>
      <c r="AG3" s="44">
        <f t="shared" ref="AG3:AG26" si="9">(AD3-AF3)</f>
        <v>260426832</v>
      </c>
      <c r="AH3" s="45" t="str">
        <f>IF(AND(AG3&gt;0,AG3&lt;[1]Simulasi!$H$6),[1]Simulasi!$I$6,IF(AG3&gt;[1]Simulasi!$H$6,"Progresif",0))</f>
        <v>Progresif</v>
      </c>
      <c r="AI3" s="46" t="s">
        <v>47</v>
      </c>
      <c r="AJ3" s="47" t="str">
        <f>IF(AND(AI3="Tidak Punya",AH3=0%),0%,IF(AND(AI3="Tidak Punya",AH3&gt;0%),6%,AH3))</f>
        <v>Progresif</v>
      </c>
      <c r="AK3" s="48">
        <f>IF(AG3&lt;=[1]Simulasi!$H$6,AG3*AJ3,IF(AND(AG3&gt;[1]Simulasi!$H$6,AG3&lt;=[1]Simulasi!$H$7),([1]Simulasi!$H$6*[1]Simulasi!$I$6)+(AG3-[1]Simulasi!$H$6)*[1]Simulasi!$I$7,IF(AND(AG3&gt;[1]Simulasi!$H$7,AG3&lt;=[1]Simulasi!$H$8),([1]Simulasi!$H$6*[1]Simulasi!$I$6)+(([1]Simulasi!$H$7-[1]Simulasi!$H$6)*[1]Simulasi!$I$7)+(AG3-[1]Simulasi!$H$7)*[1]Simulasi!$I$8,IF(AG3&gt;[1]Simulasi!$H$8,[1]Simulasi!$H$6*[1]Simulasi!$I$6+[1]Simulasi!$H$7*[1]Simulasi!$I$7+[1]Simulasi!$H$8*[1]Simulasi!$I$8+(AG3-([1]Simulasi!$H$6+[1]Simulasi!$H$7+[1]Simulasi!$H$8))*[1]Simulasi!$I$9))))/12</f>
        <v>2925559</v>
      </c>
      <c r="AL3" s="34">
        <v>11983358</v>
      </c>
      <c r="AM3" s="36">
        <f t="shared" ref="AM3:AM31" si="10">P3+R3+S3+Q3</f>
        <v>223036</v>
      </c>
      <c r="AN3" s="49">
        <f>Y3-AL3-AK3-AM3</f>
        <v>12387083</v>
      </c>
      <c r="AO3" s="50" t="s">
        <v>48</v>
      </c>
      <c r="AP3" s="51" t="s">
        <v>49</v>
      </c>
      <c r="AQ3" s="52" t="s">
        <v>50</v>
      </c>
      <c r="AR3" s="53"/>
    </row>
    <row r="4" spans="1:44" x14ac:dyDescent="0.3">
      <c r="A4" s="30"/>
      <c r="B4" s="54">
        <v>2</v>
      </c>
      <c r="C4" s="31"/>
      <c r="D4" s="32">
        <v>36892</v>
      </c>
      <c r="E4" s="33">
        <f>(12*17)</f>
        <v>204</v>
      </c>
      <c r="F4" s="34">
        <v>3200000</v>
      </c>
      <c r="G4" s="34">
        <f t="shared" si="0"/>
        <v>4352000</v>
      </c>
      <c r="H4" s="34">
        <v>10000000</v>
      </c>
      <c r="I4" s="34">
        <v>0</v>
      </c>
      <c r="J4" s="34">
        <v>7000000</v>
      </c>
      <c r="K4" s="34">
        <f t="shared" si="1"/>
        <v>285000</v>
      </c>
      <c r="L4" s="35">
        <v>19</v>
      </c>
      <c r="M4" s="34">
        <v>15000</v>
      </c>
      <c r="N4" s="36">
        <v>4100000</v>
      </c>
      <c r="O4" s="36">
        <v>3340000</v>
      </c>
      <c r="P4" s="36">
        <f t="shared" si="2"/>
        <v>164000</v>
      </c>
      <c r="Q4" s="37">
        <f t="shared" si="3"/>
        <v>41000</v>
      </c>
      <c r="R4" s="36">
        <f t="shared" si="4"/>
        <v>8015.9999999999991</v>
      </c>
      <c r="S4" s="36">
        <f t="shared" si="5"/>
        <v>10020</v>
      </c>
      <c r="T4" s="38">
        <f t="shared" si="6"/>
        <v>123580.00000000001</v>
      </c>
      <c r="U4" s="38">
        <f>P4+R4+S4</f>
        <v>182036</v>
      </c>
      <c r="V4" s="34">
        <v>0</v>
      </c>
      <c r="W4" s="34">
        <v>0</v>
      </c>
      <c r="X4" s="39">
        <f>(0/30)*(F4+G4+H4+I4+J4)</f>
        <v>0</v>
      </c>
      <c r="Y4" s="40">
        <f t="shared" si="7"/>
        <v>25019036</v>
      </c>
      <c r="Z4" s="41">
        <v>12</v>
      </c>
      <c r="AA4" s="34">
        <f t="shared" ref="AA4:AA31" si="11">(Y4-W4)*Z4</f>
        <v>300228432</v>
      </c>
      <c r="AB4" s="42">
        <f t="shared" si="8"/>
        <v>801600</v>
      </c>
      <c r="AC4" s="34">
        <f t="shared" ref="AC4:AC5" si="12">IF(AA4*5%&gt;6000000,6000000,AA4*5%)</f>
        <v>6000000</v>
      </c>
      <c r="AD4" s="34">
        <f t="shared" ref="AD4:AD31" si="13">AA4-AC4-AB4</f>
        <v>293426832</v>
      </c>
      <c r="AE4" s="43" t="s">
        <v>51</v>
      </c>
      <c r="AF4" s="44">
        <f>IF(Y4&gt;0,VLOOKUP(AE4,[1]Simulasi!TabelPTKP,3,0),)</f>
        <v>63000000</v>
      </c>
      <c r="AG4" s="44">
        <f t="shared" si="9"/>
        <v>230426832</v>
      </c>
      <c r="AH4" s="45" t="str">
        <f>IF(AND(AG4&gt;0,AG4&lt;[1]Simulasi!$H$6),[1]Simulasi!$I$6,IF(AG4&gt;[1]Simulasi!$H$6,"Progresif",0))</f>
        <v>Progresif</v>
      </c>
      <c r="AI4" s="46" t="s">
        <v>52</v>
      </c>
      <c r="AJ4" s="47" t="str">
        <f t="shared" ref="AJ4:AJ31" si="14">IF(AND(AI4="Tidak Punya",AH4=0%),0%,IF(AND(AI4="Tidak Punya",AH4&gt;0%),6%,AH4))</f>
        <v>Progresif</v>
      </c>
      <c r="AK4" s="48">
        <f>IF(AG4&lt;=[1]Simulasi!$H$6,AG4*AJ4,IF(AND(AG4&gt;[1]Simulasi!$H$6,AG4&lt;=[1]Simulasi!$H$7),([1]Simulasi!$H$6*[1]Simulasi!$I$6)+(AG4-[1]Simulasi!$H$6)*[1]Simulasi!$I$7,IF(AND(AG4&gt;[1]Simulasi!$H$7,AG4&lt;=[1]Simulasi!$H$8),([1]Simulasi!$H$6*[1]Simulasi!$I$6)+(([1]Simulasi!$H$7-[1]Simulasi!$H$6)*[1]Simulasi!$I$7)+(AG4-[1]Simulasi!$H$7)*[1]Simulasi!$I$8,IF(AG4&gt;[1]Simulasi!$H$8,[1]Simulasi!$H$6*[1]Simulasi!$I$6+[1]Simulasi!$H$7*[1]Simulasi!$I$7+[1]Simulasi!$H$8*[1]Simulasi!$I$8+(AG4-([1]Simulasi!$H$6+[1]Simulasi!$H$7+[1]Simulasi!$H$8))*[1]Simulasi!$I$9))))/12</f>
        <v>2463668.7333333334</v>
      </c>
      <c r="AL4" s="34">
        <v>2000000</v>
      </c>
      <c r="AM4" s="36">
        <f t="shared" si="10"/>
        <v>223036</v>
      </c>
      <c r="AN4" s="49">
        <f>Y4-AL4-AK4-AM4</f>
        <v>20332331.266666666</v>
      </c>
      <c r="AO4" s="55" t="s">
        <v>53</v>
      </c>
      <c r="AP4" s="51" t="s">
        <v>49</v>
      </c>
      <c r="AQ4" s="54" t="s">
        <v>54</v>
      </c>
      <c r="AR4" s="56"/>
    </row>
    <row r="5" spans="1:44" ht="55.2" x14ac:dyDescent="0.3">
      <c r="A5" s="57"/>
      <c r="B5" s="54">
        <v>3</v>
      </c>
      <c r="C5" s="31"/>
      <c r="D5" s="32">
        <v>42278</v>
      </c>
      <c r="E5" s="33">
        <f>(3*12)+3</f>
        <v>39</v>
      </c>
      <c r="F5" s="34">
        <v>3200000</v>
      </c>
      <c r="G5" s="34">
        <f t="shared" si="0"/>
        <v>832000</v>
      </c>
      <c r="H5" s="34">
        <v>1000000</v>
      </c>
      <c r="I5" s="34">
        <v>940000</v>
      </c>
      <c r="J5" s="34">
        <v>500000</v>
      </c>
      <c r="K5" s="34">
        <f t="shared" si="1"/>
        <v>240000</v>
      </c>
      <c r="L5" s="35">
        <v>16</v>
      </c>
      <c r="M5" s="34">
        <v>15000</v>
      </c>
      <c r="N5" s="36">
        <v>4100000</v>
      </c>
      <c r="O5" s="36">
        <v>3340000</v>
      </c>
      <c r="P5" s="36">
        <f t="shared" si="2"/>
        <v>164000</v>
      </c>
      <c r="Q5" s="37">
        <f t="shared" si="3"/>
        <v>41000</v>
      </c>
      <c r="R5" s="36">
        <f t="shared" si="4"/>
        <v>8015.9999999999991</v>
      </c>
      <c r="S5" s="36">
        <f t="shared" si="5"/>
        <v>10020</v>
      </c>
      <c r="T5" s="38">
        <f t="shared" si="6"/>
        <v>123580.00000000001</v>
      </c>
      <c r="U5" s="38">
        <f>P5+R5+S5</f>
        <v>182036</v>
      </c>
      <c r="V5" s="34">
        <v>0</v>
      </c>
      <c r="W5" s="34">
        <v>0</v>
      </c>
      <c r="X5" s="39">
        <f>(0/30)*(F5+G5+H5+I5+J5)</f>
        <v>0</v>
      </c>
      <c r="Y5" s="40">
        <f t="shared" si="7"/>
        <v>6894036</v>
      </c>
      <c r="Z5" s="41">
        <v>12</v>
      </c>
      <c r="AA5" s="34">
        <f t="shared" si="11"/>
        <v>82728432</v>
      </c>
      <c r="AB5" s="42">
        <f t="shared" si="8"/>
        <v>801600</v>
      </c>
      <c r="AC5" s="34">
        <f t="shared" si="12"/>
        <v>4136421.6</v>
      </c>
      <c r="AD5" s="34">
        <f t="shared" si="13"/>
        <v>77790410.400000006</v>
      </c>
      <c r="AE5" s="43" t="s">
        <v>51</v>
      </c>
      <c r="AF5" s="44">
        <f>IF(Y5&gt;0,VLOOKUP(AE5,[1]Simulasi!TabelPTKP,3,0),)</f>
        <v>63000000</v>
      </c>
      <c r="AG5" s="44">
        <f t="shared" si="9"/>
        <v>14790410.400000006</v>
      </c>
      <c r="AH5" s="45">
        <f>IF(AND(AG5&gt;0,AG5&lt;[1]Simulasi!$H$6),[1]Simulasi!$I$6,IF(AG5&gt;[1]Simulasi!$H$6,"Progresif",0))</f>
        <v>0.05</v>
      </c>
      <c r="AI5" s="58" t="s">
        <v>55</v>
      </c>
      <c r="AJ5" s="59">
        <f t="shared" si="14"/>
        <v>0.05</v>
      </c>
      <c r="AK5" s="48">
        <f>IF(AG5&lt;=[1]Simulasi!$H$6,AG5*AJ5,IF(AND(AG5&gt;[1]Simulasi!$H$6,AG5&lt;=[1]Simulasi!$H$7),([1]Simulasi!$H$6*[1]Simulasi!$I$6)+(AG5-[1]Simulasi!$H$6)*[1]Simulasi!$I$7,IF(AND(AG5&gt;[1]Simulasi!$H$7,AG5&lt;=[1]Simulasi!$H$8),([1]Simulasi!$H$6*[1]Simulasi!$I$6)+(([1]Simulasi!$H$7-[1]Simulasi!$H$6)*[1]Simulasi!$I$7)+(AG5-[1]Simulasi!$H$7)*[1]Simulasi!$I$8,IF(AG5&gt;[1]Simulasi!$H$8,[1]Simulasi!$H$6*[1]Simulasi!$I$6+[1]Simulasi!$H$7*[1]Simulasi!$I$7+[1]Simulasi!$H$8*[1]Simulasi!$I$8+(AG5-([1]Simulasi!$H$6+[1]Simulasi!$H$7+[1]Simulasi!$H$8))*[1]Simulasi!$I$9))))/12</f>
        <v>61626.710000000028</v>
      </c>
      <c r="AL5" s="34">
        <v>0</v>
      </c>
      <c r="AM5" s="36">
        <f t="shared" si="10"/>
        <v>223036</v>
      </c>
      <c r="AN5" s="49">
        <f t="shared" ref="AN5:AN31" si="15">Y5-AL5-AK5-AM5</f>
        <v>6609373.29</v>
      </c>
      <c r="AO5" s="60" t="s">
        <v>56</v>
      </c>
      <c r="AP5" s="61" t="s">
        <v>49</v>
      </c>
      <c r="AQ5" s="54"/>
      <c r="AR5" s="62" t="s">
        <v>57</v>
      </c>
    </row>
    <row r="6" spans="1:44" ht="124.2" x14ac:dyDescent="0.3">
      <c r="A6" s="30"/>
      <c r="B6" s="54">
        <v>4</v>
      </c>
      <c r="C6" s="63"/>
      <c r="D6" s="32">
        <v>43221</v>
      </c>
      <c r="E6" s="33">
        <v>8</v>
      </c>
      <c r="F6" s="34">
        <v>3200000</v>
      </c>
      <c r="G6" s="34">
        <f t="shared" si="0"/>
        <v>170666.66666666666</v>
      </c>
      <c r="H6" s="34">
        <v>0</v>
      </c>
      <c r="I6" s="34">
        <v>940000</v>
      </c>
      <c r="J6" s="34">
        <v>0</v>
      </c>
      <c r="K6" s="34">
        <f t="shared" si="1"/>
        <v>240000</v>
      </c>
      <c r="L6" s="35">
        <v>16</v>
      </c>
      <c r="M6" s="34">
        <v>15000</v>
      </c>
      <c r="N6" s="36">
        <v>3340000</v>
      </c>
      <c r="O6" s="36">
        <v>3340000</v>
      </c>
      <c r="P6" s="36">
        <f t="shared" si="2"/>
        <v>133600</v>
      </c>
      <c r="Q6" s="37">
        <f t="shared" si="3"/>
        <v>33400</v>
      </c>
      <c r="R6" s="36">
        <f t="shared" si="4"/>
        <v>8015.9999999999991</v>
      </c>
      <c r="S6" s="36">
        <f t="shared" si="5"/>
        <v>10020</v>
      </c>
      <c r="T6" s="38">
        <f t="shared" si="6"/>
        <v>123580.00000000001</v>
      </c>
      <c r="U6" s="38">
        <f>P6+R6+S6</f>
        <v>151636</v>
      </c>
      <c r="V6" s="34">
        <v>0</v>
      </c>
      <c r="W6" s="34">
        <v>0</v>
      </c>
      <c r="X6" s="39">
        <f>(0/30)*(F6+G6+H6+I6+J6)</f>
        <v>0</v>
      </c>
      <c r="Y6" s="40">
        <f t="shared" si="7"/>
        <v>4702302.666666666</v>
      </c>
      <c r="Z6" s="41">
        <v>12</v>
      </c>
      <c r="AA6" s="34">
        <f t="shared" si="11"/>
        <v>56427631.999999993</v>
      </c>
      <c r="AB6" s="42">
        <f t="shared" si="8"/>
        <v>801600</v>
      </c>
      <c r="AC6" s="34">
        <f>IF(AA6*5%&gt;6000000,6000000,AA6*5%)</f>
        <v>2821381.5999999996</v>
      </c>
      <c r="AD6" s="34">
        <f t="shared" si="13"/>
        <v>52804650.399999991</v>
      </c>
      <c r="AE6" s="43" t="s">
        <v>58</v>
      </c>
      <c r="AF6" s="44">
        <f>IF(Y6&gt;0,VLOOKUP(AE6,[1]Simulasi!TabelPTKP,3,0),)</f>
        <v>54000000</v>
      </c>
      <c r="AG6" s="44">
        <f>(AD6-AF6)</f>
        <v>-1195349.6000000089</v>
      </c>
      <c r="AH6" s="45">
        <f>IF(AND(AG6&gt;0,AG6&lt;[1]Simulasi!$H$6),[1]Simulasi!$I$6,IF(AG6&gt;[1]Simulasi!$H$6,"Progresif",0))</f>
        <v>0</v>
      </c>
      <c r="AI6" s="58" t="s">
        <v>59</v>
      </c>
      <c r="AJ6" s="59">
        <f>IF(AND(AI6="Tidak Punya",AH6=0%),0%,IF(AND(AI6="Tidak Punya",AH6&gt;0%),6%,AH6))</f>
        <v>0</v>
      </c>
      <c r="AK6" s="48">
        <f>IF(AG6&lt;=[1]Simulasi!$H$6,AG6*AJ6,IF(AND(AG6&gt;[1]Simulasi!$H$6,AG6&lt;=[1]Simulasi!$H$7),([1]Simulasi!$H$6*[1]Simulasi!$I$6)+(AG6-[1]Simulasi!$H$6)*[1]Simulasi!$I$7,IF(AND(AG6&gt;[1]Simulasi!$H$7,AG6&lt;=[1]Simulasi!$H$8),([1]Simulasi!$H$6*[1]Simulasi!$I$6)+(([1]Simulasi!$H$7-[1]Simulasi!$H$6)*[1]Simulasi!$I$7)+(AG6-[1]Simulasi!$H$7)*[1]Simulasi!$I$8,IF(AG6&gt;[1]Simulasi!$H$8,[1]Simulasi!$H$6*[1]Simulasi!$I$6+[1]Simulasi!$H$7*[1]Simulasi!$I$7+[1]Simulasi!$H$8*[1]Simulasi!$I$8+(AG6-([1]Simulasi!$H$6+[1]Simulasi!$H$7+[1]Simulasi!$H$8))*[1]Simulasi!$I$9))))/12</f>
        <v>0</v>
      </c>
      <c r="AL6" s="34">
        <v>0</v>
      </c>
      <c r="AM6" s="36">
        <f t="shared" si="10"/>
        <v>185036</v>
      </c>
      <c r="AN6" s="49">
        <f t="shared" si="15"/>
        <v>4517266.666666666</v>
      </c>
      <c r="AO6" s="51" t="s">
        <v>60</v>
      </c>
      <c r="AP6" s="51" t="s">
        <v>61</v>
      </c>
      <c r="AQ6" s="54"/>
      <c r="AR6" s="56" t="s">
        <v>62</v>
      </c>
    </row>
    <row r="7" spans="1:44" ht="207" x14ac:dyDescent="0.3">
      <c r="A7" s="30"/>
      <c r="B7" s="54">
        <v>5</v>
      </c>
      <c r="C7" s="63"/>
      <c r="D7" s="32">
        <v>41791</v>
      </c>
      <c r="E7" s="33">
        <v>55</v>
      </c>
      <c r="F7" s="34">
        <v>3200000</v>
      </c>
      <c r="G7" s="34">
        <f t="shared" si="0"/>
        <v>1173333.3333333333</v>
      </c>
      <c r="H7" s="34">
        <v>1000000</v>
      </c>
      <c r="I7" s="34">
        <v>940000</v>
      </c>
      <c r="J7" s="34">
        <v>0</v>
      </c>
      <c r="K7" s="34">
        <f t="shared" si="1"/>
        <v>120000</v>
      </c>
      <c r="L7" s="35">
        <v>8</v>
      </c>
      <c r="M7" s="34">
        <v>15000</v>
      </c>
      <c r="N7" s="36">
        <v>4100000</v>
      </c>
      <c r="O7" s="36">
        <v>3340000</v>
      </c>
      <c r="P7" s="36">
        <f t="shared" si="2"/>
        <v>164000</v>
      </c>
      <c r="Q7" s="37">
        <f t="shared" si="3"/>
        <v>41000</v>
      </c>
      <c r="R7" s="36">
        <f t="shared" si="4"/>
        <v>8015.9999999999991</v>
      </c>
      <c r="S7" s="36">
        <f t="shared" si="5"/>
        <v>10020</v>
      </c>
      <c r="T7" s="38">
        <f t="shared" si="6"/>
        <v>123580.00000000001</v>
      </c>
      <c r="U7" s="38">
        <f t="shared" ref="U7:U31" si="16">P7+R7+S7</f>
        <v>182036</v>
      </c>
      <c r="V7" s="34">
        <v>0</v>
      </c>
      <c r="W7" s="34">
        <v>0</v>
      </c>
      <c r="X7" s="39">
        <f>I7*50%</f>
        <v>470000</v>
      </c>
      <c r="Y7" s="40">
        <f t="shared" si="7"/>
        <v>6615369.333333333</v>
      </c>
      <c r="Z7" s="41">
        <v>12</v>
      </c>
      <c r="AA7" s="34">
        <f t="shared" si="11"/>
        <v>79384432</v>
      </c>
      <c r="AB7" s="42">
        <f t="shared" si="8"/>
        <v>801600</v>
      </c>
      <c r="AC7" s="34">
        <f>IF(AA7*5%&gt;6000000,6000000,AA7*5%)</f>
        <v>3969221.6</v>
      </c>
      <c r="AD7" s="34">
        <f t="shared" si="13"/>
        <v>74613610.400000006</v>
      </c>
      <c r="AE7" s="43" t="s">
        <v>63</v>
      </c>
      <c r="AF7" s="44">
        <f>IF(Y7&gt;0,VLOOKUP(AE7,[1]Simulasi!TabelPTKP,3,0),)</f>
        <v>58500000</v>
      </c>
      <c r="AG7" s="44">
        <f t="shared" si="9"/>
        <v>16113610.400000006</v>
      </c>
      <c r="AH7" s="45">
        <f>IF(AND(AG7&gt;0,AG7&lt;[1]Simulasi!$H$6),[1]Simulasi!$I$6,IF(AG7&gt;[1]Simulasi!$H$6,"Progresif",0))</f>
        <v>0.05</v>
      </c>
      <c r="AI7" s="58" t="s">
        <v>59</v>
      </c>
      <c r="AJ7" s="59">
        <f>IF(AND(AI7="Tidak Punya",AH7=0%),0%,IF(AND(AI7="Tidak Punya",AH7&gt;0%),6%,AH7))</f>
        <v>0.06</v>
      </c>
      <c r="AK7" s="48">
        <f>IF(AG7&lt;=[1]Simulasi!$H$6,AG7*AJ7,IF(AND(AG7&gt;[1]Simulasi!$H$6,AG7&lt;=[1]Simulasi!$H$7),([1]Simulasi!$H$6*[1]Simulasi!$I$6)+(AG7-[1]Simulasi!$H$6)*[1]Simulasi!$I$7,IF(AND(AG7&gt;[1]Simulasi!$H$7,AG7&lt;=[1]Simulasi!$H$8),([1]Simulasi!$H$6*[1]Simulasi!$I$6)+(([1]Simulasi!$H$7-[1]Simulasi!$H$6)*[1]Simulasi!$I$7)+(AG7-[1]Simulasi!$H$7)*[1]Simulasi!$I$8,IF(AG7&gt;[1]Simulasi!$H$8,[1]Simulasi!$H$6*[1]Simulasi!$I$6+[1]Simulasi!$H$7*[1]Simulasi!$I$7+[1]Simulasi!$H$8*[1]Simulasi!$I$8+(AG7-([1]Simulasi!$H$6+[1]Simulasi!$H$7+[1]Simulasi!$H$8))*[1]Simulasi!$I$9))))/12</f>
        <v>80568.052000000025</v>
      </c>
      <c r="AL7" s="34">
        <f>140000+100000</f>
        <v>240000</v>
      </c>
      <c r="AM7" s="36">
        <f t="shared" si="10"/>
        <v>223036</v>
      </c>
      <c r="AN7" s="49">
        <f>Y7-AL7-AK7-AM7-X7</f>
        <v>5601765.2813333329</v>
      </c>
      <c r="AO7" s="51" t="s">
        <v>64</v>
      </c>
      <c r="AP7" s="51" t="s">
        <v>61</v>
      </c>
      <c r="AQ7" s="54" t="s">
        <v>65</v>
      </c>
      <c r="AR7" s="64" t="s">
        <v>66</v>
      </c>
    </row>
    <row r="8" spans="1:44" ht="55.2" x14ac:dyDescent="0.3">
      <c r="A8" s="65"/>
      <c r="B8" s="66">
        <v>6</v>
      </c>
      <c r="C8" s="67"/>
      <c r="D8" s="68">
        <v>41365</v>
      </c>
      <c r="E8" s="69">
        <v>69</v>
      </c>
      <c r="F8" s="39">
        <v>3200000</v>
      </c>
      <c r="G8" s="39">
        <f t="shared" si="0"/>
        <v>1472000</v>
      </c>
      <c r="H8" s="39">
        <v>0</v>
      </c>
      <c r="I8" s="39">
        <v>940000</v>
      </c>
      <c r="J8" s="39">
        <v>-500000</v>
      </c>
      <c r="K8" s="34">
        <f>L8*M8</f>
        <v>150000</v>
      </c>
      <c r="L8" s="35">
        <v>10</v>
      </c>
      <c r="M8" s="39">
        <v>15000</v>
      </c>
      <c r="N8" s="36">
        <v>3340000</v>
      </c>
      <c r="O8" s="36">
        <v>3340000</v>
      </c>
      <c r="P8" s="36">
        <f t="shared" si="2"/>
        <v>133600</v>
      </c>
      <c r="Q8" s="37">
        <f t="shared" si="3"/>
        <v>33400</v>
      </c>
      <c r="R8" s="36">
        <f t="shared" si="4"/>
        <v>8015.9999999999991</v>
      </c>
      <c r="S8" s="36">
        <f t="shared" si="5"/>
        <v>10020</v>
      </c>
      <c r="T8" s="38">
        <f t="shared" si="6"/>
        <v>123580.00000000001</v>
      </c>
      <c r="U8" s="38">
        <f t="shared" si="16"/>
        <v>151636</v>
      </c>
      <c r="V8" s="39">
        <v>0</v>
      </c>
      <c r="W8" s="34">
        <v>0</v>
      </c>
      <c r="X8" s="39">
        <f>I8*25%</f>
        <v>235000</v>
      </c>
      <c r="Y8" s="40">
        <f t="shared" si="7"/>
        <v>5413636</v>
      </c>
      <c r="Z8" s="41">
        <v>12</v>
      </c>
      <c r="AA8" s="34">
        <f t="shared" si="11"/>
        <v>64963632</v>
      </c>
      <c r="AB8" s="42">
        <f t="shared" si="8"/>
        <v>801600</v>
      </c>
      <c r="AC8" s="39">
        <f>IF(AA8*5%&gt;6000000,6000000,AA8*5%)</f>
        <v>3248181.6</v>
      </c>
      <c r="AD8" s="34">
        <f t="shared" si="13"/>
        <v>60913850.399999999</v>
      </c>
      <c r="AE8" s="70" t="s">
        <v>58</v>
      </c>
      <c r="AF8" s="71">
        <f>IF(Y8&gt;0,VLOOKUP(AE8,[1]Simulasi!TabelPTKP,3,0),)</f>
        <v>54000000</v>
      </c>
      <c r="AG8" s="71">
        <f t="shared" si="9"/>
        <v>6913850.3999999985</v>
      </c>
      <c r="AH8" s="72">
        <f>IF(AND(AG8&gt;0,AG8&lt;[1]Simulasi!$H$6),[1]Simulasi!$I$6,IF(AG8&gt;[1]Simulasi!$H$6,"Progresif",0))</f>
        <v>0.05</v>
      </c>
      <c r="AI8" s="58" t="s">
        <v>59</v>
      </c>
      <c r="AJ8" s="73">
        <f>IF(AND(AI8="Tidak Punya",AH8=0%),0%,IF(AND(AI8="Tidak Punya",AH8&gt;0%),6%,AH8))</f>
        <v>0.06</v>
      </c>
      <c r="AK8" s="74">
        <f>IF(AG8&lt;=[1]Simulasi!$H$6,AG8*AJ8,IF(AND(AG8&gt;[1]Simulasi!$H$6,AG8&lt;=[1]Simulasi!$H$7),([1]Simulasi!$H$6*[1]Simulasi!$I$6)+(AG8-[1]Simulasi!$H$6)*[1]Simulasi!$I$7,IF(AND(AG8&gt;[1]Simulasi!$H$7,AG8&lt;=[1]Simulasi!$H$8),([1]Simulasi!$H$6*[1]Simulasi!$I$6)+(([1]Simulasi!$H$7-[1]Simulasi!$H$6)*[1]Simulasi!$I$7)+(AG8-[1]Simulasi!$H$7)*[1]Simulasi!$I$8,IF(AG8&gt;[1]Simulasi!$H$8,[1]Simulasi!$H$6*[1]Simulasi!$I$6+[1]Simulasi!$H$7*[1]Simulasi!$I$7+[1]Simulasi!$H$8*[1]Simulasi!$I$8+(AG8-([1]Simulasi!$H$6+[1]Simulasi!$H$7+[1]Simulasi!$H$8))*[1]Simulasi!$I$9))))/12</f>
        <v>34569.251999999993</v>
      </c>
      <c r="AL8" s="39">
        <f>1000000+1000000</f>
        <v>2000000</v>
      </c>
      <c r="AM8" s="36">
        <f t="shared" si="10"/>
        <v>185036</v>
      </c>
      <c r="AN8" s="49">
        <f>Y8-AL8-AK8-AM8-X8</f>
        <v>2959030.7480000001</v>
      </c>
      <c r="AO8" s="75" t="s">
        <v>67</v>
      </c>
      <c r="AP8" s="61" t="s">
        <v>61</v>
      </c>
      <c r="AQ8" s="54" t="s">
        <v>68</v>
      </c>
      <c r="AR8" s="56" t="s">
        <v>69</v>
      </c>
    </row>
    <row r="9" spans="1:44" ht="193.2" x14ac:dyDescent="0.3">
      <c r="A9" s="30"/>
      <c r="B9" s="54">
        <v>7</v>
      </c>
      <c r="C9" s="63"/>
      <c r="D9" s="32">
        <v>43221</v>
      </c>
      <c r="E9" s="33">
        <v>8</v>
      </c>
      <c r="F9" s="34">
        <v>3200000</v>
      </c>
      <c r="G9" s="34">
        <f t="shared" si="0"/>
        <v>170666.66666666666</v>
      </c>
      <c r="H9" s="34">
        <v>0</v>
      </c>
      <c r="I9" s="34">
        <v>940000</v>
      </c>
      <c r="J9" s="34">
        <v>0</v>
      </c>
      <c r="K9" s="34">
        <f t="shared" si="1"/>
        <v>255000</v>
      </c>
      <c r="L9" s="35">
        <v>17</v>
      </c>
      <c r="M9" s="34">
        <v>15000</v>
      </c>
      <c r="N9" s="36">
        <v>3340000</v>
      </c>
      <c r="O9" s="36">
        <v>3340000</v>
      </c>
      <c r="P9" s="36">
        <f t="shared" si="2"/>
        <v>133600</v>
      </c>
      <c r="Q9" s="37">
        <f t="shared" si="3"/>
        <v>33400</v>
      </c>
      <c r="R9" s="36">
        <f t="shared" si="4"/>
        <v>8015.9999999999991</v>
      </c>
      <c r="S9" s="36">
        <f t="shared" si="5"/>
        <v>10020</v>
      </c>
      <c r="T9" s="38">
        <f t="shared" si="6"/>
        <v>123580.00000000001</v>
      </c>
      <c r="U9" s="38">
        <f t="shared" si="16"/>
        <v>151636</v>
      </c>
      <c r="V9" s="34">
        <v>0</v>
      </c>
      <c r="W9" s="34">
        <v>0</v>
      </c>
      <c r="X9" s="39">
        <f>25%*I9</f>
        <v>235000</v>
      </c>
      <c r="Y9" s="40">
        <f t="shared" si="7"/>
        <v>4717302.666666666</v>
      </c>
      <c r="Z9" s="41">
        <v>12</v>
      </c>
      <c r="AA9" s="34">
        <f t="shared" si="11"/>
        <v>56607631.999999993</v>
      </c>
      <c r="AB9" s="42">
        <f t="shared" si="8"/>
        <v>801600</v>
      </c>
      <c r="AC9" s="34">
        <f>IF(AA9*5%&gt;6000000,6000000,AA9*5%)</f>
        <v>2830381.5999999996</v>
      </c>
      <c r="AD9" s="34">
        <f t="shared" si="13"/>
        <v>52975650.399999991</v>
      </c>
      <c r="AE9" s="43" t="s">
        <v>58</v>
      </c>
      <c r="AF9" s="44">
        <f>IF(Y9&gt;0,VLOOKUP(AE9,[1]Simulasi!TabelPTKP,3,0),)</f>
        <v>54000000</v>
      </c>
      <c r="AG9" s="44">
        <f t="shared" si="9"/>
        <v>-1024349.6000000089</v>
      </c>
      <c r="AH9" s="45">
        <f>IF(AND(AG9&gt;0,AG9&lt;[1]Simulasi!$H$6),[1]Simulasi!$I$6,IF(AG9&gt;[1]Simulasi!$H$6,"Progresif",0))</f>
        <v>0</v>
      </c>
      <c r="AI9" s="58" t="s">
        <v>70</v>
      </c>
      <c r="AJ9" s="59">
        <f t="shared" si="14"/>
        <v>0</v>
      </c>
      <c r="AK9" s="48">
        <f>IF(AG9&lt;=[1]Simulasi!$H$6,AG9*AJ9,IF(AND(AG9&gt;[1]Simulasi!$H$6,AG9&lt;=[1]Simulasi!$H$7),([1]Simulasi!$H$6*[1]Simulasi!$I$6)+(AG9-[1]Simulasi!$H$6)*[1]Simulasi!$I$7,IF(AND(AG9&gt;[1]Simulasi!$H$7,AG9&lt;=[1]Simulasi!$H$8),([1]Simulasi!$H$6*[1]Simulasi!$I$6)+(([1]Simulasi!$H$7-[1]Simulasi!$H$6)*[1]Simulasi!$I$7)+(AG9-[1]Simulasi!$H$7)*[1]Simulasi!$I$8,IF(AG9&gt;[1]Simulasi!$H$8,[1]Simulasi!$H$6*[1]Simulasi!$I$6+[1]Simulasi!$H$7*[1]Simulasi!$I$7+[1]Simulasi!$H$8*[1]Simulasi!$I$8+(AG9-([1]Simulasi!$H$6+[1]Simulasi!$H$7+[1]Simulasi!$H$8))*[1]Simulasi!$I$9))))/12</f>
        <v>0</v>
      </c>
      <c r="AL9" s="34">
        <f>500000+140000</f>
        <v>640000</v>
      </c>
      <c r="AM9" s="36">
        <f t="shared" si="10"/>
        <v>185036</v>
      </c>
      <c r="AN9" s="49">
        <f>Y9-AL9-AK9-AM9-X9</f>
        <v>3657266.666666666</v>
      </c>
      <c r="AO9" s="51" t="s">
        <v>71</v>
      </c>
      <c r="AP9" s="51" t="s">
        <v>61</v>
      </c>
      <c r="AQ9" s="54" t="s">
        <v>72</v>
      </c>
      <c r="AR9" s="53" t="s">
        <v>73</v>
      </c>
    </row>
    <row r="10" spans="1:44" ht="82.8" x14ac:dyDescent="0.3">
      <c r="A10" s="30"/>
      <c r="B10" s="54">
        <v>8</v>
      </c>
      <c r="C10" s="63"/>
      <c r="D10" s="32">
        <v>43252</v>
      </c>
      <c r="E10" s="33">
        <v>7</v>
      </c>
      <c r="F10" s="34">
        <v>3200000</v>
      </c>
      <c r="G10" s="34">
        <f t="shared" si="0"/>
        <v>149333.33333333334</v>
      </c>
      <c r="H10" s="34">
        <v>0</v>
      </c>
      <c r="I10" s="34">
        <v>940000</v>
      </c>
      <c r="J10" s="34">
        <v>0</v>
      </c>
      <c r="K10" s="34">
        <f t="shared" si="1"/>
        <v>255000</v>
      </c>
      <c r="L10" s="35">
        <v>17</v>
      </c>
      <c r="M10" s="34">
        <v>15000</v>
      </c>
      <c r="N10" s="36">
        <v>3340000</v>
      </c>
      <c r="O10" s="36">
        <v>3340000</v>
      </c>
      <c r="P10" s="36">
        <f t="shared" si="2"/>
        <v>133600</v>
      </c>
      <c r="Q10" s="37">
        <f t="shared" si="3"/>
        <v>33400</v>
      </c>
      <c r="R10" s="36">
        <f t="shared" si="4"/>
        <v>8015.9999999999991</v>
      </c>
      <c r="S10" s="36">
        <f t="shared" si="5"/>
        <v>10020</v>
      </c>
      <c r="T10" s="38">
        <f t="shared" si="6"/>
        <v>123580.00000000001</v>
      </c>
      <c r="U10" s="38">
        <f t="shared" si="16"/>
        <v>151636</v>
      </c>
      <c r="V10" s="34">
        <v>0</v>
      </c>
      <c r="W10" s="34">
        <v>0</v>
      </c>
      <c r="X10" s="39">
        <f t="shared" ref="X10:X16" si="17">(0/30)*(F10+G10+H10+I10+J10)</f>
        <v>0</v>
      </c>
      <c r="Y10" s="40">
        <f t="shared" si="7"/>
        <v>4695969.333333334</v>
      </c>
      <c r="Z10" s="41">
        <v>12</v>
      </c>
      <c r="AA10" s="34">
        <f t="shared" si="11"/>
        <v>56351632.000000007</v>
      </c>
      <c r="AB10" s="42">
        <f t="shared" si="8"/>
        <v>801600</v>
      </c>
      <c r="AC10" s="34">
        <f t="shared" ref="AC10:AC31" si="18">IF(AA10*5%&gt;6000000,6000000,AA10*5%)</f>
        <v>2817581.6000000006</v>
      </c>
      <c r="AD10" s="34">
        <f t="shared" si="13"/>
        <v>52732450.400000006</v>
      </c>
      <c r="AE10" s="43" t="s">
        <v>58</v>
      </c>
      <c r="AF10" s="44">
        <f>IF(Y10&gt;0,VLOOKUP(AE10,[1]Simulasi!TabelPTKP,3,0),)</f>
        <v>54000000</v>
      </c>
      <c r="AG10" s="44">
        <f t="shared" si="9"/>
        <v>-1267549.599999994</v>
      </c>
      <c r="AH10" s="45">
        <f>IF(AND(AG10&gt;0,AG10&lt;[1]Simulasi!$H$6),[1]Simulasi!$I$6,IF(AG10&gt;[1]Simulasi!$H$6,"Progresif",0))</f>
        <v>0</v>
      </c>
      <c r="AI10" s="58" t="s">
        <v>59</v>
      </c>
      <c r="AJ10" s="59">
        <f t="shared" si="14"/>
        <v>0</v>
      </c>
      <c r="AK10" s="48">
        <f>IF(AG10&lt;=[1]Simulasi!$H$6,AG10*AJ10,IF(AND(AG10&gt;[1]Simulasi!$H$6,AG10&lt;=[1]Simulasi!$H$7),([1]Simulasi!$H$6*[1]Simulasi!$I$6)+(AG10-[1]Simulasi!$H$6)*[1]Simulasi!$I$7,IF(AND(AG10&gt;[1]Simulasi!$H$7,AG10&lt;=[1]Simulasi!$H$8),([1]Simulasi!$H$6*[1]Simulasi!$I$6)+(([1]Simulasi!$H$7-[1]Simulasi!$H$6)*[1]Simulasi!$I$7)+(AG10-[1]Simulasi!$H$7)*[1]Simulasi!$I$8,IF(AG10&gt;[1]Simulasi!$H$8,[1]Simulasi!$H$6*[1]Simulasi!$I$6+[1]Simulasi!$H$7*[1]Simulasi!$I$7+[1]Simulasi!$H$8*[1]Simulasi!$I$8+(AG10-([1]Simulasi!$H$6+[1]Simulasi!$H$7+[1]Simulasi!$H$8))*[1]Simulasi!$I$9))))/12</f>
        <v>0</v>
      </c>
      <c r="AL10" s="34">
        <v>0</v>
      </c>
      <c r="AM10" s="36">
        <f t="shared" si="10"/>
        <v>185036</v>
      </c>
      <c r="AN10" s="49">
        <f t="shared" si="15"/>
        <v>4510933.333333334</v>
      </c>
      <c r="AO10" s="76">
        <v>90012293452</v>
      </c>
      <c r="AP10" s="51" t="s">
        <v>74</v>
      </c>
      <c r="AQ10" s="54"/>
      <c r="AR10" s="77" t="s">
        <v>75</v>
      </c>
    </row>
    <row r="11" spans="1:44" x14ac:dyDescent="0.3">
      <c r="A11" s="78"/>
      <c r="B11" s="63">
        <v>9</v>
      </c>
      <c r="C11" s="63"/>
      <c r="D11" s="32">
        <v>42339</v>
      </c>
      <c r="E11" s="33">
        <v>37</v>
      </c>
      <c r="F11" s="34">
        <v>3200000</v>
      </c>
      <c r="G11" s="34">
        <f t="shared" si="0"/>
        <v>789333.33333333349</v>
      </c>
      <c r="H11" s="34">
        <v>0</v>
      </c>
      <c r="I11" s="34">
        <v>940000</v>
      </c>
      <c r="J11" s="34">
        <v>-500000</v>
      </c>
      <c r="K11" s="34">
        <f t="shared" si="1"/>
        <v>285000</v>
      </c>
      <c r="L11" s="35">
        <v>19</v>
      </c>
      <c r="M11" s="34">
        <v>15000</v>
      </c>
      <c r="N11" s="36">
        <v>3340000</v>
      </c>
      <c r="O11" s="36">
        <v>3340000</v>
      </c>
      <c r="P11" s="36">
        <f t="shared" si="2"/>
        <v>133600</v>
      </c>
      <c r="Q11" s="37">
        <f t="shared" si="3"/>
        <v>33400</v>
      </c>
      <c r="R11" s="36">
        <f t="shared" si="4"/>
        <v>8015.9999999999991</v>
      </c>
      <c r="S11" s="36">
        <f t="shared" si="5"/>
        <v>10020</v>
      </c>
      <c r="T11" s="38">
        <f t="shared" si="6"/>
        <v>123580.00000000001</v>
      </c>
      <c r="U11" s="38">
        <f t="shared" si="16"/>
        <v>151636</v>
      </c>
      <c r="V11" s="34">
        <v>0</v>
      </c>
      <c r="W11" s="34">
        <v>0</v>
      </c>
      <c r="X11" s="39">
        <f t="shared" si="17"/>
        <v>0</v>
      </c>
      <c r="Y11" s="40">
        <f t="shared" si="7"/>
        <v>4865969.333333334</v>
      </c>
      <c r="Z11" s="41">
        <v>12</v>
      </c>
      <c r="AA11" s="34">
        <f t="shared" si="11"/>
        <v>58391632.000000007</v>
      </c>
      <c r="AB11" s="42">
        <f t="shared" si="8"/>
        <v>801600</v>
      </c>
      <c r="AC11" s="34">
        <f>IF(AA11*5%&gt;6000000,6000000,AA11*5%)</f>
        <v>2919581.6000000006</v>
      </c>
      <c r="AD11" s="34">
        <f t="shared" si="13"/>
        <v>54670450.400000006</v>
      </c>
      <c r="AE11" s="43" t="s">
        <v>58</v>
      </c>
      <c r="AF11" s="44">
        <f>IF(Y11&gt;0,VLOOKUP(AE11,[1]Simulasi!TabelPTKP,3,0),)</f>
        <v>54000000</v>
      </c>
      <c r="AG11" s="44">
        <f>(AD11-AF11)</f>
        <v>670450.40000000596</v>
      </c>
      <c r="AH11" s="45">
        <f>IF(AND(AG11&gt;0,AG11&lt;[1]Simulasi!$H$6),[1]Simulasi!$I$6,IF(AG11&gt;[1]Simulasi!$H$6,"Progresif",0))</f>
        <v>0.05</v>
      </c>
      <c r="AI11" s="58" t="s">
        <v>76</v>
      </c>
      <c r="AJ11" s="59">
        <f>IF(AND(AI11="Tidak Punya",AH11=0%),0%,IF(AND(AI11="Tidak Punya",AH11&gt;0%),6%,AH11))</f>
        <v>0.05</v>
      </c>
      <c r="AK11" s="48">
        <f>IF(AG11&lt;=[1]Simulasi!$H$6,AG11*AJ11,IF(AND(AG11&gt;[1]Simulasi!$H$6,AG11&lt;=[1]Simulasi!$H$7),([1]Simulasi!$H$6*[1]Simulasi!$I$6)+(AG11-[1]Simulasi!$H$6)*[1]Simulasi!$I$7,IF(AND(AG11&gt;[1]Simulasi!$H$7,AG11&lt;=[1]Simulasi!$H$8),([1]Simulasi!$H$6*[1]Simulasi!$I$6)+(([1]Simulasi!$H$7-[1]Simulasi!$H$6)*[1]Simulasi!$I$7)+(AG11-[1]Simulasi!$H$7)*[1]Simulasi!$I$8,IF(AG11&gt;[1]Simulasi!$H$8,[1]Simulasi!$H$6*[1]Simulasi!$I$6+[1]Simulasi!$H$7*[1]Simulasi!$I$7+[1]Simulasi!$H$8*[1]Simulasi!$I$8+(AG11-([1]Simulasi!$H$6+[1]Simulasi!$H$7+[1]Simulasi!$H$8))*[1]Simulasi!$I$9))))/12</f>
        <v>2793.5433333333585</v>
      </c>
      <c r="AL11" s="34">
        <v>0</v>
      </c>
      <c r="AM11" s="36">
        <f t="shared" si="10"/>
        <v>185036</v>
      </c>
      <c r="AN11" s="49">
        <f t="shared" si="15"/>
        <v>4678139.790000001</v>
      </c>
      <c r="AO11" s="79">
        <v>7106128728</v>
      </c>
      <c r="AP11" s="80" t="s">
        <v>49</v>
      </c>
      <c r="AQ11" s="54"/>
      <c r="AR11" s="77"/>
    </row>
    <row r="12" spans="1:44" ht="96.6" x14ac:dyDescent="0.3">
      <c r="A12" s="81"/>
      <c r="B12" s="54">
        <v>10</v>
      </c>
      <c r="C12" s="63"/>
      <c r="D12" s="32">
        <v>41061</v>
      </c>
      <c r="E12" s="33">
        <v>79</v>
      </c>
      <c r="F12" s="34">
        <v>3200000</v>
      </c>
      <c r="G12" s="34">
        <f t="shared" si="0"/>
        <v>1685333.3333333333</v>
      </c>
      <c r="H12" s="34">
        <v>0</v>
      </c>
      <c r="I12" s="34">
        <v>940000</v>
      </c>
      <c r="J12" s="34">
        <v>0</v>
      </c>
      <c r="K12" s="34">
        <f t="shared" si="1"/>
        <v>225000</v>
      </c>
      <c r="L12" s="35">
        <v>15</v>
      </c>
      <c r="M12" s="34">
        <v>15000</v>
      </c>
      <c r="N12" s="36">
        <v>3340000</v>
      </c>
      <c r="O12" s="36">
        <v>3340000</v>
      </c>
      <c r="P12" s="36">
        <f t="shared" si="2"/>
        <v>133600</v>
      </c>
      <c r="Q12" s="37">
        <f t="shared" si="3"/>
        <v>33400</v>
      </c>
      <c r="R12" s="36">
        <f t="shared" si="4"/>
        <v>8015.9999999999991</v>
      </c>
      <c r="S12" s="36">
        <f t="shared" si="5"/>
        <v>10020</v>
      </c>
      <c r="T12" s="38">
        <f t="shared" si="6"/>
        <v>123580.00000000001</v>
      </c>
      <c r="U12" s="38">
        <f t="shared" si="16"/>
        <v>151636</v>
      </c>
      <c r="V12" s="34">
        <v>0</v>
      </c>
      <c r="W12" s="34">
        <v>0</v>
      </c>
      <c r="X12" s="39">
        <f t="shared" si="17"/>
        <v>0</v>
      </c>
      <c r="Y12" s="40">
        <f t="shared" si="7"/>
        <v>6201969.333333333</v>
      </c>
      <c r="Z12" s="41">
        <v>12</v>
      </c>
      <c r="AA12" s="34">
        <f t="shared" si="11"/>
        <v>74423632</v>
      </c>
      <c r="AB12" s="42">
        <f t="shared" si="8"/>
        <v>801600</v>
      </c>
      <c r="AC12" s="34">
        <f t="shared" si="18"/>
        <v>3721181.6</v>
      </c>
      <c r="AD12" s="34">
        <f t="shared" si="13"/>
        <v>69900850.400000006</v>
      </c>
      <c r="AE12" s="43" t="s">
        <v>51</v>
      </c>
      <c r="AF12" s="44">
        <f>IF(Y12&gt;0,VLOOKUP(AE12,[1]Simulasi!TabelPTKP,3,0),)</f>
        <v>63000000</v>
      </c>
      <c r="AG12" s="44">
        <f t="shared" si="9"/>
        <v>6900850.400000006</v>
      </c>
      <c r="AH12" s="45">
        <f>IF(AND(AG12&gt;0,AG12&lt;[1]Simulasi!$H$6),[1]Simulasi!$I$6,IF(AG12&gt;[1]Simulasi!$H$6,"Progresif",0))</f>
        <v>0.05</v>
      </c>
      <c r="AI12" s="58" t="s">
        <v>77</v>
      </c>
      <c r="AJ12" s="59">
        <f t="shared" si="14"/>
        <v>0.05</v>
      </c>
      <c r="AK12" s="48">
        <f>IF(AG12&lt;=[1]Simulasi!$H$6,AG12*AJ12,IF(AND(AG12&gt;[1]Simulasi!$H$6,AG12&lt;=[1]Simulasi!$H$7),([1]Simulasi!$H$6*[1]Simulasi!$I$6)+(AG12-[1]Simulasi!$H$6)*[1]Simulasi!$I$7,IF(AND(AG12&gt;[1]Simulasi!$H$7,AG12&lt;=[1]Simulasi!$H$8),([1]Simulasi!$H$6*[1]Simulasi!$I$6)+(([1]Simulasi!$H$7-[1]Simulasi!$H$6)*[1]Simulasi!$I$7)+(AG12-[1]Simulasi!$H$7)*[1]Simulasi!$I$8,IF(AG12&gt;[1]Simulasi!$H$8,[1]Simulasi!$H$6*[1]Simulasi!$I$6+[1]Simulasi!$H$7*[1]Simulasi!$I$7+[1]Simulasi!$H$8*[1]Simulasi!$I$8+(AG12-([1]Simulasi!$H$6+[1]Simulasi!$H$7+[1]Simulasi!$H$8))*[1]Simulasi!$I$9))))/12</f>
        <v>28753.54333333336</v>
      </c>
      <c r="AL12" s="34">
        <v>500000</v>
      </c>
      <c r="AM12" s="36">
        <f t="shared" si="10"/>
        <v>185036</v>
      </c>
      <c r="AN12" s="49">
        <f t="shared" si="15"/>
        <v>5488179.79</v>
      </c>
      <c r="AO12" s="60" t="s">
        <v>78</v>
      </c>
      <c r="AP12" s="51" t="s">
        <v>79</v>
      </c>
      <c r="AQ12" s="54" t="s">
        <v>80</v>
      </c>
      <c r="AR12" s="56" t="s">
        <v>81</v>
      </c>
    </row>
    <row r="13" spans="1:44" ht="27.6" x14ac:dyDescent="0.3">
      <c r="A13" s="81"/>
      <c r="B13" s="54">
        <v>11</v>
      </c>
      <c r="C13" s="63"/>
      <c r="D13" s="32">
        <v>42614</v>
      </c>
      <c r="E13" s="33">
        <v>28</v>
      </c>
      <c r="F13" s="34">
        <v>3200000</v>
      </c>
      <c r="G13" s="34">
        <f t="shared" si="0"/>
        <v>597333.33333333337</v>
      </c>
      <c r="H13" s="34">
        <v>0</v>
      </c>
      <c r="I13" s="34">
        <v>940000</v>
      </c>
      <c r="J13" s="34">
        <v>0</v>
      </c>
      <c r="K13" s="34">
        <f t="shared" si="1"/>
        <v>270000</v>
      </c>
      <c r="L13" s="35">
        <v>18</v>
      </c>
      <c r="M13" s="34">
        <v>15000</v>
      </c>
      <c r="N13" s="36">
        <v>0</v>
      </c>
      <c r="O13" s="36">
        <v>3340000</v>
      </c>
      <c r="P13" s="36">
        <f t="shared" si="2"/>
        <v>0</v>
      </c>
      <c r="Q13" s="37">
        <f t="shared" si="3"/>
        <v>0</v>
      </c>
      <c r="R13" s="36">
        <f t="shared" si="4"/>
        <v>8015.9999999999991</v>
      </c>
      <c r="S13" s="36">
        <f t="shared" si="5"/>
        <v>10020</v>
      </c>
      <c r="T13" s="38">
        <f t="shared" si="6"/>
        <v>123580.00000000001</v>
      </c>
      <c r="U13" s="38">
        <f t="shared" si="16"/>
        <v>18036</v>
      </c>
      <c r="V13" s="34">
        <v>0</v>
      </c>
      <c r="W13" s="34">
        <v>0</v>
      </c>
      <c r="X13" s="39">
        <f t="shared" si="17"/>
        <v>0</v>
      </c>
      <c r="Y13" s="40">
        <f t="shared" si="7"/>
        <v>5025369.333333334</v>
      </c>
      <c r="Z13" s="41">
        <v>12</v>
      </c>
      <c r="AA13" s="34">
        <f t="shared" si="11"/>
        <v>60304432.000000007</v>
      </c>
      <c r="AB13" s="42">
        <f t="shared" si="8"/>
        <v>801600</v>
      </c>
      <c r="AC13" s="34">
        <f>IF(AA13*5%&gt;6000000,6000000,AA13*5%)</f>
        <v>3015221.6000000006</v>
      </c>
      <c r="AD13" s="34">
        <f t="shared" si="13"/>
        <v>56487610.400000006</v>
      </c>
      <c r="AE13" s="43" t="s">
        <v>82</v>
      </c>
      <c r="AF13" s="44">
        <f>IF(Y13&gt;0,VLOOKUP(AE13,[1]Simulasi!TabelPTKP,3,0),)</f>
        <v>58500000</v>
      </c>
      <c r="AG13" s="44">
        <f>(AD13-AF13)</f>
        <v>-2012389.599999994</v>
      </c>
      <c r="AH13" s="45">
        <f>IF(AND(AG13&gt;0,AG13&lt;[1]Simulasi!$H$6),[1]Simulasi!$I$6,IF(AG13&gt;[1]Simulasi!$H$6,"Progresif",0))</f>
        <v>0</v>
      </c>
      <c r="AI13" s="58" t="s">
        <v>59</v>
      </c>
      <c r="AJ13" s="59">
        <f>IF(AND(AI13="Tidak Punya",AH13=0%),0%,IF(AND(AI13="Tidak Punya",AH13&gt;0%),6%,AH13))</f>
        <v>0</v>
      </c>
      <c r="AK13" s="48">
        <f>IF(AG13&lt;=[1]Simulasi!$H$6,AG13*AJ13,IF(AND(AG13&gt;[1]Simulasi!$H$6,AG13&lt;=[1]Simulasi!$H$7),([1]Simulasi!$H$6*[1]Simulasi!$I$6)+(AG13-[1]Simulasi!$H$6)*[1]Simulasi!$I$7,IF(AND(AG13&gt;[1]Simulasi!$H$7,AG13&lt;=[1]Simulasi!$H$8),([1]Simulasi!$H$6*[1]Simulasi!$I$6)+(([1]Simulasi!$H$7-[1]Simulasi!$H$6)*[1]Simulasi!$I$7)+(AG13-[1]Simulasi!$H$7)*[1]Simulasi!$I$8,IF(AG13&gt;[1]Simulasi!$H$8,[1]Simulasi!$H$6*[1]Simulasi!$I$6+[1]Simulasi!$H$7*[1]Simulasi!$I$7+[1]Simulasi!$H$8*[1]Simulasi!$I$8+(AG13-([1]Simulasi!$H$6+[1]Simulasi!$H$7+[1]Simulasi!$H$8))*[1]Simulasi!$I$9))))/12</f>
        <v>0</v>
      </c>
      <c r="AL13" s="34">
        <f>1500000+70000</f>
        <v>1570000</v>
      </c>
      <c r="AM13" s="36">
        <f t="shared" si="10"/>
        <v>18036</v>
      </c>
      <c r="AN13" s="49">
        <f t="shared" si="15"/>
        <v>3437333.333333334</v>
      </c>
      <c r="AO13" s="79">
        <v>1370034270</v>
      </c>
      <c r="AP13" s="80" t="s">
        <v>61</v>
      </c>
      <c r="AQ13" s="54" t="s">
        <v>83</v>
      </c>
      <c r="AR13" s="82" t="s">
        <v>84</v>
      </c>
    </row>
    <row r="14" spans="1:44" x14ac:dyDescent="0.3">
      <c r="A14" s="83"/>
      <c r="B14" s="66">
        <v>12</v>
      </c>
      <c r="C14" s="66"/>
      <c r="D14" s="68">
        <v>41091</v>
      </c>
      <c r="E14" s="69">
        <v>78</v>
      </c>
      <c r="F14" s="39">
        <v>3200000</v>
      </c>
      <c r="G14" s="39">
        <f t="shared" si="0"/>
        <v>1664000</v>
      </c>
      <c r="H14" s="39">
        <v>1000000</v>
      </c>
      <c r="I14" s="39">
        <v>940000</v>
      </c>
      <c r="J14" s="39">
        <v>0</v>
      </c>
      <c r="K14" s="34">
        <f t="shared" si="1"/>
        <v>285000</v>
      </c>
      <c r="L14" s="35">
        <v>19</v>
      </c>
      <c r="M14" s="39">
        <v>15000</v>
      </c>
      <c r="N14" s="36">
        <v>4100000</v>
      </c>
      <c r="O14" s="36">
        <v>3340000</v>
      </c>
      <c r="P14" s="36">
        <f t="shared" si="2"/>
        <v>164000</v>
      </c>
      <c r="Q14" s="37">
        <f t="shared" si="3"/>
        <v>41000</v>
      </c>
      <c r="R14" s="36">
        <f t="shared" si="4"/>
        <v>8015.9999999999991</v>
      </c>
      <c r="S14" s="36">
        <f t="shared" si="5"/>
        <v>10020</v>
      </c>
      <c r="T14" s="38">
        <f t="shared" si="6"/>
        <v>123580.00000000001</v>
      </c>
      <c r="U14" s="38">
        <f t="shared" si="16"/>
        <v>182036</v>
      </c>
      <c r="V14" s="39">
        <v>0</v>
      </c>
      <c r="W14" s="34">
        <v>0</v>
      </c>
      <c r="X14" s="39">
        <f t="shared" si="17"/>
        <v>0</v>
      </c>
      <c r="Y14" s="40">
        <f t="shared" si="7"/>
        <v>7271036</v>
      </c>
      <c r="Z14" s="41">
        <v>12</v>
      </c>
      <c r="AA14" s="34">
        <f t="shared" si="11"/>
        <v>87252432</v>
      </c>
      <c r="AB14" s="42">
        <f t="shared" si="8"/>
        <v>801600</v>
      </c>
      <c r="AC14" s="39">
        <f>IF(AA14*5%&gt;6000000,6000000,AA14*5%)</f>
        <v>4362621.6000000006</v>
      </c>
      <c r="AD14" s="34">
        <f t="shared" si="13"/>
        <v>82088210.400000006</v>
      </c>
      <c r="AE14" s="70" t="s">
        <v>85</v>
      </c>
      <c r="AF14" s="71">
        <f>IF(Y14&gt;0,VLOOKUP(AE14,[1]Simulasi!TabelPTKP,3,0),)</f>
        <v>72000000</v>
      </c>
      <c r="AG14" s="71">
        <f>(AD14-AF14)</f>
        <v>10088210.400000006</v>
      </c>
      <c r="AH14" s="72">
        <f>IF(AND(AG14&gt;0,AG14&lt;[1]Simulasi!$H$6),[1]Simulasi!$I$6,IF(AG14&gt;[1]Simulasi!$H$6,"Progresif",0))</f>
        <v>0.05</v>
      </c>
      <c r="AI14" s="58" t="s">
        <v>86</v>
      </c>
      <c r="AJ14" s="59">
        <f>IF(AND(AI14="Tidak Punya",AH14=0%),0%,IF(AND(AI14="Tidak Punya",AH14&gt;0%),6%,AH14))</f>
        <v>0.05</v>
      </c>
      <c r="AK14" s="48">
        <f>IF(AG14&lt;=[1]Simulasi!$H$6,AG14*AJ14,IF(AND(AG14&gt;[1]Simulasi!$H$6,AG14&lt;=[1]Simulasi!$H$7),([1]Simulasi!$H$6*[1]Simulasi!$I$6)+(AG14-[1]Simulasi!$H$6)*[1]Simulasi!$I$7,IF(AND(AG14&gt;[1]Simulasi!$H$7,AG14&lt;=[1]Simulasi!$H$8),([1]Simulasi!$H$6*[1]Simulasi!$I$6)+(([1]Simulasi!$H$7-[1]Simulasi!$H$6)*[1]Simulasi!$I$7)+(AG14-[1]Simulasi!$H$7)*[1]Simulasi!$I$8,IF(AG14&gt;[1]Simulasi!$H$8,[1]Simulasi!$H$6*[1]Simulasi!$I$6+[1]Simulasi!$H$7*[1]Simulasi!$I$7+[1]Simulasi!$H$8*[1]Simulasi!$I$8+(AG14-([1]Simulasi!$H$6+[1]Simulasi!$H$7+[1]Simulasi!$H$8))*[1]Simulasi!$I$9))))/12</f>
        <v>42034.210000000028</v>
      </c>
      <c r="AL14" s="34">
        <f>650000+280000</f>
        <v>930000</v>
      </c>
      <c r="AM14" s="36">
        <f t="shared" si="10"/>
        <v>223036</v>
      </c>
      <c r="AN14" s="49">
        <f t="shared" si="15"/>
        <v>6075965.79</v>
      </c>
      <c r="AO14" s="51" t="s">
        <v>87</v>
      </c>
      <c r="AP14" s="51" t="s">
        <v>61</v>
      </c>
      <c r="AQ14" s="54" t="s">
        <v>88</v>
      </c>
      <c r="AR14" s="56"/>
    </row>
    <row r="15" spans="1:44" x14ac:dyDescent="0.3">
      <c r="A15" s="83"/>
      <c r="B15" s="84">
        <v>13</v>
      </c>
      <c r="C15" s="63"/>
      <c r="D15" s="68">
        <v>43252</v>
      </c>
      <c r="E15" s="69">
        <v>7</v>
      </c>
      <c r="F15" s="39">
        <v>3200000</v>
      </c>
      <c r="G15" s="34">
        <f t="shared" si="0"/>
        <v>149333.33333333334</v>
      </c>
      <c r="H15" s="39">
        <v>0</v>
      </c>
      <c r="I15" s="39">
        <v>940000</v>
      </c>
      <c r="J15" s="39">
        <v>500000</v>
      </c>
      <c r="K15" s="34">
        <f t="shared" si="1"/>
        <v>285000</v>
      </c>
      <c r="L15" s="35">
        <v>19</v>
      </c>
      <c r="M15" s="39">
        <v>15000</v>
      </c>
      <c r="N15" s="36">
        <v>3340000</v>
      </c>
      <c r="O15" s="36">
        <v>3340000</v>
      </c>
      <c r="P15" s="36">
        <f t="shared" si="2"/>
        <v>133600</v>
      </c>
      <c r="Q15" s="37">
        <f t="shared" si="3"/>
        <v>33400</v>
      </c>
      <c r="R15" s="36">
        <f t="shared" si="4"/>
        <v>8015.9999999999991</v>
      </c>
      <c r="S15" s="36">
        <f t="shared" si="5"/>
        <v>10020</v>
      </c>
      <c r="T15" s="38">
        <f t="shared" si="6"/>
        <v>123580.00000000001</v>
      </c>
      <c r="U15" s="38">
        <f t="shared" si="16"/>
        <v>151636</v>
      </c>
      <c r="V15" s="39">
        <v>0</v>
      </c>
      <c r="W15" s="34">
        <v>0</v>
      </c>
      <c r="X15" s="39">
        <f t="shared" si="17"/>
        <v>0</v>
      </c>
      <c r="Y15" s="40">
        <f t="shared" si="7"/>
        <v>5225969.333333334</v>
      </c>
      <c r="Z15" s="41">
        <v>12</v>
      </c>
      <c r="AA15" s="34">
        <f t="shared" si="11"/>
        <v>62711632.000000007</v>
      </c>
      <c r="AB15" s="42">
        <f t="shared" si="8"/>
        <v>801600</v>
      </c>
      <c r="AC15" s="39">
        <f t="shared" si="18"/>
        <v>3135581.6000000006</v>
      </c>
      <c r="AD15" s="34">
        <f t="shared" si="13"/>
        <v>58774450.400000006</v>
      </c>
      <c r="AE15" s="70" t="s">
        <v>58</v>
      </c>
      <c r="AF15" s="71">
        <f>IF(Y15&gt;0,VLOOKUP(AE15,[1]Simulasi!TabelPTKP,3,0),)</f>
        <v>54000000</v>
      </c>
      <c r="AG15" s="71">
        <f t="shared" si="9"/>
        <v>4774450.400000006</v>
      </c>
      <c r="AH15" s="72">
        <f>IF(AND(AG15&gt;0,AG15&lt;[1]Simulasi!$H$6),[1]Simulasi!$I$6,IF(AG15&gt;[1]Simulasi!$H$6,"Progresif",0))</f>
        <v>0.05</v>
      </c>
      <c r="AI15" s="58" t="s">
        <v>89</v>
      </c>
      <c r="AJ15" s="85">
        <f>IF(AND(AI15="Tidak Punya",AH15=0%),0%,IF(AND(AI15="Tidak Punya",AH15&gt;0%),6%,AH15))</f>
        <v>0.05</v>
      </c>
      <c r="AK15" s="48">
        <f>IF(AG15&lt;=[1]Simulasi!$H$6,AG15*AJ15,IF(AND(AG15&gt;[1]Simulasi!$H$6,AG15&lt;=[1]Simulasi!$H$7),([1]Simulasi!$H$6*[1]Simulasi!$I$6)+(AG15-[1]Simulasi!$H$6)*[1]Simulasi!$I$7,IF(AND(AG15&gt;[1]Simulasi!$H$7,AG15&lt;=[1]Simulasi!$H$8),([1]Simulasi!$H$6*[1]Simulasi!$I$6)+(([1]Simulasi!$H$7-[1]Simulasi!$H$6)*[1]Simulasi!$I$7)+(AG15-[1]Simulasi!$H$7)*[1]Simulasi!$I$8,IF(AG15&gt;[1]Simulasi!$H$8,[1]Simulasi!$H$6*[1]Simulasi!$I$6+[1]Simulasi!$H$7*[1]Simulasi!$I$7+[1]Simulasi!$H$8*[1]Simulasi!$I$8+(AG15-([1]Simulasi!$H$6+[1]Simulasi!$H$7+[1]Simulasi!$H$8))*[1]Simulasi!$I$9))))/12</f>
        <v>19893.54333333336</v>
      </c>
      <c r="AL15" s="86">
        <v>2500000</v>
      </c>
      <c r="AM15" s="36">
        <f t="shared" si="10"/>
        <v>185036</v>
      </c>
      <c r="AN15" s="49">
        <f t="shared" si="15"/>
        <v>2521039.7900000005</v>
      </c>
      <c r="AO15" s="60" t="s">
        <v>90</v>
      </c>
      <c r="AP15" s="51" t="s">
        <v>49</v>
      </c>
      <c r="AQ15" s="54" t="s">
        <v>91</v>
      </c>
      <c r="AR15" s="82"/>
    </row>
    <row r="16" spans="1:44" ht="55.2" x14ac:dyDescent="0.3">
      <c r="A16" s="30"/>
      <c r="B16" s="54">
        <v>14</v>
      </c>
      <c r="C16" s="63"/>
      <c r="D16" s="32">
        <v>41122</v>
      </c>
      <c r="E16" s="33">
        <v>77</v>
      </c>
      <c r="F16" s="34">
        <v>3200000</v>
      </c>
      <c r="G16" s="34">
        <f t="shared" si="0"/>
        <v>1642666.666666667</v>
      </c>
      <c r="H16" s="34">
        <v>1000000</v>
      </c>
      <c r="I16" s="34">
        <v>940000</v>
      </c>
      <c r="J16" s="34">
        <v>0</v>
      </c>
      <c r="K16" s="34">
        <f t="shared" si="1"/>
        <v>225000</v>
      </c>
      <c r="L16" s="35">
        <v>15</v>
      </c>
      <c r="M16" s="34">
        <v>15000</v>
      </c>
      <c r="N16" s="36">
        <v>4100000</v>
      </c>
      <c r="O16" s="36">
        <v>3340000</v>
      </c>
      <c r="P16" s="36">
        <f t="shared" si="2"/>
        <v>164000</v>
      </c>
      <c r="Q16" s="37">
        <f t="shared" si="3"/>
        <v>41000</v>
      </c>
      <c r="R16" s="36">
        <f t="shared" si="4"/>
        <v>8015.9999999999991</v>
      </c>
      <c r="S16" s="36">
        <f t="shared" si="5"/>
        <v>10020</v>
      </c>
      <c r="T16" s="38">
        <f t="shared" si="6"/>
        <v>123580.00000000001</v>
      </c>
      <c r="U16" s="38">
        <f t="shared" si="16"/>
        <v>182036</v>
      </c>
      <c r="V16" s="34">
        <v>0</v>
      </c>
      <c r="W16" s="34">
        <v>0</v>
      </c>
      <c r="X16" s="39">
        <f t="shared" si="17"/>
        <v>0</v>
      </c>
      <c r="Y16" s="40">
        <f t="shared" si="7"/>
        <v>7189702.666666667</v>
      </c>
      <c r="Z16" s="41">
        <v>12</v>
      </c>
      <c r="AA16" s="34">
        <f t="shared" si="11"/>
        <v>86276432</v>
      </c>
      <c r="AB16" s="42">
        <f t="shared" si="8"/>
        <v>801600</v>
      </c>
      <c r="AC16" s="34">
        <f t="shared" si="18"/>
        <v>4313821.6000000006</v>
      </c>
      <c r="AD16" s="34">
        <f t="shared" si="13"/>
        <v>81161010.400000006</v>
      </c>
      <c r="AE16" s="43" t="s">
        <v>51</v>
      </c>
      <c r="AF16" s="44">
        <f>IF(Y16&gt;0,VLOOKUP(AE16,[1]Simulasi!TabelPTKP,3,0),)</f>
        <v>63000000</v>
      </c>
      <c r="AG16" s="44">
        <f t="shared" si="9"/>
        <v>18161010.400000006</v>
      </c>
      <c r="AH16" s="45">
        <f>IF(AND(AG16&gt;0,AG16&lt;[1]Simulasi!$H$6),[1]Simulasi!$I$6,IF(AG16&gt;[1]Simulasi!$H$6,"Progresif",0))</f>
        <v>0.05</v>
      </c>
      <c r="AI16" s="58" t="s">
        <v>59</v>
      </c>
      <c r="AJ16" s="59">
        <f t="shared" si="14"/>
        <v>0.06</v>
      </c>
      <c r="AK16" s="48">
        <f>IF(AG16&lt;=[1]Simulasi!$H$6,AG16*AJ16,IF(AND(AG16&gt;[1]Simulasi!$H$6,AG16&lt;=[1]Simulasi!$H$7),([1]Simulasi!$H$6*[1]Simulasi!$I$6)+(AG16-[1]Simulasi!$H$6)*[1]Simulasi!$I$7,IF(AND(AG16&gt;[1]Simulasi!$H$7,AG16&lt;=[1]Simulasi!$H$8),([1]Simulasi!$H$6*[1]Simulasi!$I$6)+(([1]Simulasi!$H$7-[1]Simulasi!$H$6)*[1]Simulasi!$I$7)+(AG16-[1]Simulasi!$H$7)*[1]Simulasi!$I$8,IF(AG16&gt;[1]Simulasi!$H$8,[1]Simulasi!$H$6*[1]Simulasi!$I$6+[1]Simulasi!$H$7*[1]Simulasi!$I$7+[1]Simulasi!$H$8*[1]Simulasi!$I$8+(AG16-([1]Simulasi!$H$6+[1]Simulasi!$H$7+[1]Simulasi!$H$8))*[1]Simulasi!$I$9))))/12</f>
        <v>90805.052000000025</v>
      </c>
      <c r="AL16" s="34">
        <v>0</v>
      </c>
      <c r="AM16" s="36">
        <f t="shared" si="10"/>
        <v>223036</v>
      </c>
      <c r="AN16" s="49">
        <f t="shared" si="15"/>
        <v>6875861.6146666668</v>
      </c>
      <c r="AO16" s="51" t="s">
        <v>92</v>
      </c>
      <c r="AP16" s="51" t="s">
        <v>61</v>
      </c>
      <c r="AQ16" s="54"/>
      <c r="AR16" s="82" t="s">
        <v>93</v>
      </c>
    </row>
    <row r="17" spans="1:44" ht="262.2" x14ac:dyDescent="0.3">
      <c r="A17" s="65"/>
      <c r="B17" s="84">
        <v>15</v>
      </c>
      <c r="C17" s="66"/>
      <c r="D17" s="68">
        <v>42461</v>
      </c>
      <c r="E17" s="69">
        <v>33</v>
      </c>
      <c r="F17" s="39">
        <v>3200000</v>
      </c>
      <c r="G17" s="39">
        <f t="shared" si="0"/>
        <v>704000</v>
      </c>
      <c r="H17" s="39">
        <v>0</v>
      </c>
      <c r="I17" s="39">
        <f>940000</f>
        <v>940000</v>
      </c>
      <c r="J17" s="39">
        <v>0</v>
      </c>
      <c r="K17" s="39">
        <f t="shared" si="1"/>
        <v>165000</v>
      </c>
      <c r="L17" s="87">
        <v>11</v>
      </c>
      <c r="M17" s="39">
        <v>15000</v>
      </c>
      <c r="N17" s="37">
        <v>3340000</v>
      </c>
      <c r="O17" s="37">
        <v>3340000</v>
      </c>
      <c r="P17" s="37">
        <f t="shared" si="2"/>
        <v>133600</v>
      </c>
      <c r="Q17" s="37">
        <f t="shared" si="3"/>
        <v>33400</v>
      </c>
      <c r="R17" s="37">
        <f t="shared" si="4"/>
        <v>8015.9999999999991</v>
      </c>
      <c r="S17" s="37">
        <f t="shared" si="5"/>
        <v>10020</v>
      </c>
      <c r="T17" s="88">
        <f t="shared" si="6"/>
        <v>123580.00000000001</v>
      </c>
      <c r="U17" s="38">
        <f t="shared" si="16"/>
        <v>151636</v>
      </c>
      <c r="V17" s="39">
        <v>0</v>
      </c>
      <c r="W17" s="39">
        <v>0</v>
      </c>
      <c r="X17" s="39">
        <f>25%*I17</f>
        <v>235000</v>
      </c>
      <c r="Y17" s="89">
        <f t="shared" si="7"/>
        <v>5160636</v>
      </c>
      <c r="Z17" s="41">
        <v>12</v>
      </c>
      <c r="AA17" s="39">
        <f t="shared" si="11"/>
        <v>61927632</v>
      </c>
      <c r="AB17" s="42">
        <f t="shared" si="8"/>
        <v>801600</v>
      </c>
      <c r="AC17" s="39">
        <f t="shared" si="18"/>
        <v>3096381.6</v>
      </c>
      <c r="AD17" s="39">
        <f t="shared" si="13"/>
        <v>58029650.399999999</v>
      </c>
      <c r="AE17" s="70" t="s">
        <v>58</v>
      </c>
      <c r="AF17" s="71">
        <f>IF(Y17&gt;0,VLOOKUP(AE17,[1]Simulasi!TabelPTKP,3,0),)</f>
        <v>54000000</v>
      </c>
      <c r="AG17" s="71">
        <f t="shared" si="9"/>
        <v>4029650.3999999985</v>
      </c>
      <c r="AH17" s="72">
        <f>IF(AND(AG17&gt;0,AG17&lt;[1]Simulasi!$H$6),[1]Simulasi!$I$6,IF(AG17&gt;[1]Simulasi!$H$6,"Progresif",0))</f>
        <v>0.05</v>
      </c>
      <c r="AI17" s="58" t="s">
        <v>59</v>
      </c>
      <c r="AJ17" s="73">
        <f t="shared" si="14"/>
        <v>0.06</v>
      </c>
      <c r="AK17" s="74">
        <f>IF(AG17&lt;=[1]Simulasi!$H$6,AG17*AJ17,IF(AND(AG17&gt;[1]Simulasi!$H$6,AG17&lt;=[1]Simulasi!$H$7),([1]Simulasi!$H$6*[1]Simulasi!$I$6)+(AG17-[1]Simulasi!$H$6)*[1]Simulasi!$I$7,IF(AND(AG17&gt;[1]Simulasi!$H$7,AG17&lt;=[1]Simulasi!$H$8),([1]Simulasi!$H$6*[1]Simulasi!$I$6)+(([1]Simulasi!$H$7-[1]Simulasi!$H$6)*[1]Simulasi!$I$7)+(AG17-[1]Simulasi!$H$7)*[1]Simulasi!$I$8,IF(AG17&gt;[1]Simulasi!$H$8,[1]Simulasi!$H$6*[1]Simulasi!$I$6+[1]Simulasi!$H$7*[1]Simulasi!$I$7+[1]Simulasi!$H$8*[1]Simulasi!$I$8+(AG17-([1]Simulasi!$H$6+[1]Simulasi!$H$7+[1]Simulasi!$H$8))*[1]Simulasi!$I$9))))/12</f>
        <v>20148.251999999989</v>
      </c>
      <c r="AL17" s="39">
        <v>0</v>
      </c>
      <c r="AM17" s="37">
        <f t="shared" si="10"/>
        <v>185036</v>
      </c>
      <c r="AN17" s="90">
        <f>Y17-AL17-AK17-AM17-X17</f>
        <v>4720451.7479999997</v>
      </c>
      <c r="AO17" s="91" t="s">
        <v>94</v>
      </c>
      <c r="AP17" s="51" t="s">
        <v>79</v>
      </c>
      <c r="AQ17" s="84"/>
      <c r="AR17" s="82" t="s">
        <v>95</v>
      </c>
    </row>
    <row r="18" spans="1:44" ht="41.4" x14ac:dyDescent="0.3">
      <c r="A18" s="30"/>
      <c r="B18" s="54">
        <v>16</v>
      </c>
      <c r="C18" s="63"/>
      <c r="D18" s="32">
        <v>43525</v>
      </c>
      <c r="E18" s="33">
        <v>0</v>
      </c>
      <c r="F18" s="34">
        <v>3200000</v>
      </c>
      <c r="G18" s="34">
        <f t="shared" si="0"/>
        <v>0</v>
      </c>
      <c r="H18" s="34">
        <v>0</v>
      </c>
      <c r="I18" s="34">
        <v>940000</v>
      </c>
      <c r="J18" s="34">
        <v>0</v>
      </c>
      <c r="K18" s="34">
        <f t="shared" si="1"/>
        <v>0</v>
      </c>
      <c r="L18" s="35">
        <v>12</v>
      </c>
      <c r="M18" s="34">
        <v>0</v>
      </c>
      <c r="N18" s="36">
        <v>3340000</v>
      </c>
      <c r="O18" s="36">
        <v>3340000</v>
      </c>
      <c r="P18" s="36">
        <f t="shared" si="2"/>
        <v>133600</v>
      </c>
      <c r="Q18" s="37">
        <f t="shared" si="3"/>
        <v>33400</v>
      </c>
      <c r="R18" s="36">
        <f t="shared" si="4"/>
        <v>8015.9999999999991</v>
      </c>
      <c r="S18" s="36">
        <f t="shared" si="5"/>
        <v>10020</v>
      </c>
      <c r="T18" s="38">
        <f t="shared" si="6"/>
        <v>123580.00000000001</v>
      </c>
      <c r="U18" s="38">
        <f t="shared" si="16"/>
        <v>151636</v>
      </c>
      <c r="V18" s="34">
        <v>0</v>
      </c>
      <c r="W18" s="34">
        <v>0</v>
      </c>
      <c r="X18" s="39">
        <f t="shared" ref="X18:X31" si="19">(0/30)*(F18+G18+H18+I18+J18)</f>
        <v>0</v>
      </c>
      <c r="Y18" s="40">
        <f t="shared" si="7"/>
        <v>4291636</v>
      </c>
      <c r="Z18" s="41">
        <v>10</v>
      </c>
      <c r="AA18" s="34">
        <f t="shared" si="11"/>
        <v>42916360</v>
      </c>
      <c r="AB18" s="42">
        <f t="shared" si="8"/>
        <v>668000</v>
      </c>
      <c r="AC18" s="34">
        <f t="shared" si="18"/>
        <v>2145818</v>
      </c>
      <c r="AD18" s="34">
        <f t="shared" si="13"/>
        <v>40102542</v>
      </c>
      <c r="AE18" s="43" t="s">
        <v>58</v>
      </c>
      <c r="AF18" s="44">
        <f>IF(Y18&gt;0,VLOOKUP(AE18,[1]Simulasi!TabelPTKP,3,0),)</f>
        <v>54000000</v>
      </c>
      <c r="AG18" s="44">
        <f t="shared" si="9"/>
        <v>-13897458</v>
      </c>
      <c r="AH18" s="45">
        <f>IF(AND(AG18&gt;0,AG18&lt;[1]Simulasi!$H$6),[1]Simulasi!$I$6,IF(AG18&gt;[1]Simulasi!$H$6,"Progresif",0))</f>
        <v>0</v>
      </c>
      <c r="AI18" s="58" t="s">
        <v>59</v>
      </c>
      <c r="AJ18" s="59">
        <f t="shared" si="14"/>
        <v>0</v>
      </c>
      <c r="AK18" s="48">
        <f>IF(AG18&lt;=[1]Simulasi!$H$6,AG18*AJ18,IF(AND(AG18&gt;[1]Simulasi!$H$6,AG18&lt;=[1]Simulasi!$H$7),([1]Simulasi!$H$6*[1]Simulasi!$I$6)+(AG18-[1]Simulasi!$H$6)*[1]Simulasi!$I$7,IF(AND(AG18&gt;[1]Simulasi!$H$7,AG18&lt;=[1]Simulasi!$H$8),([1]Simulasi!$H$6*[1]Simulasi!$I$6)+(([1]Simulasi!$H$7-[1]Simulasi!$H$6)*[1]Simulasi!$I$7)+(AG18-[1]Simulasi!$H$7)*[1]Simulasi!$I$8,IF(AG18&gt;[1]Simulasi!$H$8,[1]Simulasi!$H$6*[1]Simulasi!$I$6+[1]Simulasi!$H$7*[1]Simulasi!$I$7+[1]Simulasi!$H$8*[1]Simulasi!$I$8+(AG18-([1]Simulasi!$H$6+[1]Simulasi!$H$7+[1]Simulasi!$H$8))*[1]Simulasi!$I$9))))/12</f>
        <v>0</v>
      </c>
      <c r="AL18" s="34">
        <v>0</v>
      </c>
      <c r="AM18" s="36">
        <f t="shared" si="10"/>
        <v>185036</v>
      </c>
      <c r="AN18" s="49">
        <f t="shared" si="15"/>
        <v>4106600</v>
      </c>
      <c r="AO18" s="91" t="s">
        <v>96</v>
      </c>
      <c r="AP18" s="51" t="s">
        <v>61</v>
      </c>
      <c r="AQ18" s="54"/>
      <c r="AR18" s="82" t="s">
        <v>97</v>
      </c>
    </row>
    <row r="19" spans="1:44" x14ac:dyDescent="0.3">
      <c r="A19" s="30"/>
      <c r="B19" s="54">
        <v>17</v>
      </c>
      <c r="C19" s="63"/>
      <c r="D19" s="32">
        <v>42217</v>
      </c>
      <c r="E19" s="33">
        <v>41</v>
      </c>
      <c r="F19" s="34">
        <v>3200000</v>
      </c>
      <c r="G19" s="34">
        <f t="shared" si="0"/>
        <v>874666.66666666663</v>
      </c>
      <c r="H19" s="34">
        <v>0</v>
      </c>
      <c r="I19" s="34">
        <v>940000</v>
      </c>
      <c r="J19" s="34">
        <v>0</v>
      </c>
      <c r="K19" s="34">
        <f t="shared" si="1"/>
        <v>135000</v>
      </c>
      <c r="L19" s="35">
        <v>9</v>
      </c>
      <c r="M19" s="34">
        <v>15000</v>
      </c>
      <c r="N19" s="36">
        <v>0</v>
      </c>
      <c r="O19" s="36">
        <v>3340000</v>
      </c>
      <c r="P19" s="36">
        <f t="shared" si="2"/>
        <v>0</v>
      </c>
      <c r="Q19" s="37">
        <f t="shared" si="3"/>
        <v>0</v>
      </c>
      <c r="R19" s="36">
        <f t="shared" si="4"/>
        <v>8015.9999999999991</v>
      </c>
      <c r="S19" s="36">
        <f t="shared" si="5"/>
        <v>10020</v>
      </c>
      <c r="T19" s="38">
        <f t="shared" si="6"/>
        <v>123580.00000000001</v>
      </c>
      <c r="U19" s="38">
        <f t="shared" si="16"/>
        <v>18036</v>
      </c>
      <c r="V19" s="34">
        <v>0</v>
      </c>
      <c r="W19" s="34">
        <v>0</v>
      </c>
      <c r="X19" s="39">
        <f t="shared" si="19"/>
        <v>0</v>
      </c>
      <c r="Y19" s="40">
        <f t="shared" si="7"/>
        <v>5167702.666666666</v>
      </c>
      <c r="Z19" s="41">
        <v>12</v>
      </c>
      <c r="AA19" s="34">
        <f t="shared" si="11"/>
        <v>62012431.999999993</v>
      </c>
      <c r="AB19" s="42">
        <f t="shared" si="8"/>
        <v>801600</v>
      </c>
      <c r="AC19" s="34">
        <f t="shared" si="18"/>
        <v>3100621.5999999996</v>
      </c>
      <c r="AD19" s="34">
        <f t="shared" si="13"/>
        <v>58110210.399999991</v>
      </c>
      <c r="AE19" s="43" t="s">
        <v>58</v>
      </c>
      <c r="AF19" s="44">
        <f>IF(Y19&gt;0,VLOOKUP(AE19,[1]Simulasi!TabelPTKP,3,0),)</f>
        <v>54000000</v>
      </c>
      <c r="AG19" s="44">
        <f t="shared" si="9"/>
        <v>4110210.3999999911</v>
      </c>
      <c r="AH19" s="45">
        <f>IF(AND(AG19&gt;0,AG19&lt;[1]Simulasi!$H$6),[1]Simulasi!$I$6,IF(AG19&gt;[1]Simulasi!$H$6,"Progresif",0))</f>
        <v>0.05</v>
      </c>
      <c r="AI19" s="58" t="s">
        <v>98</v>
      </c>
      <c r="AJ19" s="59">
        <f t="shared" si="14"/>
        <v>0.05</v>
      </c>
      <c r="AK19" s="48">
        <f>IF(AG19&lt;=[1]Simulasi!$H$6,AG19*AJ19,IF(AND(AG19&gt;[1]Simulasi!$H$6,AG19&lt;=[1]Simulasi!$H$7),([1]Simulasi!$H$6*[1]Simulasi!$I$6)+(AG19-[1]Simulasi!$H$6)*[1]Simulasi!$I$7,IF(AND(AG19&gt;[1]Simulasi!$H$7,AG19&lt;=[1]Simulasi!$H$8),([1]Simulasi!$H$6*[1]Simulasi!$I$6)+(([1]Simulasi!$H$7-[1]Simulasi!$H$6)*[1]Simulasi!$I$7)+(AG19-[1]Simulasi!$H$7)*[1]Simulasi!$I$8,IF(AG19&gt;[1]Simulasi!$H$8,[1]Simulasi!$H$6*[1]Simulasi!$I$6+[1]Simulasi!$H$7*[1]Simulasi!$I$7+[1]Simulasi!$H$8*[1]Simulasi!$I$8+(AG19-([1]Simulasi!$H$6+[1]Simulasi!$H$7+[1]Simulasi!$H$8))*[1]Simulasi!$I$9))))/12</f>
        <v>17125.876666666631</v>
      </c>
      <c r="AL19" s="34">
        <v>0</v>
      </c>
      <c r="AM19" s="36">
        <f t="shared" si="10"/>
        <v>18036</v>
      </c>
      <c r="AN19" s="49">
        <f t="shared" si="15"/>
        <v>5132540.7899999991</v>
      </c>
      <c r="AO19" s="60" t="s">
        <v>99</v>
      </c>
      <c r="AP19" s="51" t="s">
        <v>49</v>
      </c>
      <c r="AQ19" s="54"/>
      <c r="AR19" s="56"/>
    </row>
    <row r="20" spans="1:44" x14ac:dyDescent="0.3">
      <c r="A20" s="78"/>
      <c r="B20" s="54">
        <v>18</v>
      </c>
      <c r="C20" s="63"/>
      <c r="D20" s="32">
        <v>43132</v>
      </c>
      <c r="E20" s="33">
        <v>11</v>
      </c>
      <c r="F20" s="34">
        <v>3200000</v>
      </c>
      <c r="G20" s="34">
        <f t="shared" si="0"/>
        <v>234666.66666666666</v>
      </c>
      <c r="H20" s="34">
        <v>0</v>
      </c>
      <c r="I20" s="34">
        <v>940000</v>
      </c>
      <c r="J20" s="34">
        <v>-500000</v>
      </c>
      <c r="K20" s="34">
        <f t="shared" si="1"/>
        <v>150000</v>
      </c>
      <c r="L20" s="35">
        <v>10</v>
      </c>
      <c r="M20" s="34">
        <v>15000</v>
      </c>
      <c r="N20" s="36">
        <v>3340000</v>
      </c>
      <c r="O20" s="36">
        <v>3340000</v>
      </c>
      <c r="P20" s="36">
        <f t="shared" si="2"/>
        <v>133600</v>
      </c>
      <c r="Q20" s="37">
        <f t="shared" si="3"/>
        <v>33400</v>
      </c>
      <c r="R20" s="36">
        <f t="shared" si="4"/>
        <v>8015.9999999999991</v>
      </c>
      <c r="S20" s="36">
        <f t="shared" si="5"/>
        <v>10020</v>
      </c>
      <c r="T20" s="38">
        <f t="shared" si="6"/>
        <v>123580.00000000001</v>
      </c>
      <c r="U20" s="38">
        <f t="shared" si="16"/>
        <v>151636</v>
      </c>
      <c r="V20" s="34">
        <v>0</v>
      </c>
      <c r="W20" s="34">
        <v>0</v>
      </c>
      <c r="X20" s="39">
        <f t="shared" si="19"/>
        <v>0</v>
      </c>
      <c r="Y20" s="40">
        <f t="shared" si="7"/>
        <v>4176302.666666666</v>
      </c>
      <c r="Z20" s="41">
        <v>12</v>
      </c>
      <c r="AA20" s="34">
        <f t="shared" si="11"/>
        <v>50115631.999999993</v>
      </c>
      <c r="AB20" s="42">
        <f t="shared" si="8"/>
        <v>801600</v>
      </c>
      <c r="AC20" s="34">
        <f t="shared" si="18"/>
        <v>2505781.5999999996</v>
      </c>
      <c r="AD20" s="34">
        <f t="shared" si="13"/>
        <v>46808250.399999991</v>
      </c>
      <c r="AE20" s="43" t="s">
        <v>58</v>
      </c>
      <c r="AF20" s="44">
        <f>IF(Y20&gt;0,VLOOKUP(AE20,[1]Simulasi!TabelPTKP,3,0),)</f>
        <v>54000000</v>
      </c>
      <c r="AG20" s="44">
        <f t="shared" si="9"/>
        <v>-7191749.6000000089</v>
      </c>
      <c r="AH20" s="45">
        <f>IF(AND(AG20&gt;0,AG20&lt;[1]Simulasi!$H$6),[1]Simulasi!$I$6,IF(AG20&gt;[1]Simulasi!$H$6,"Progresif",0))</f>
        <v>0</v>
      </c>
      <c r="AI20" s="58" t="s">
        <v>59</v>
      </c>
      <c r="AJ20" s="59">
        <f>IF(AND(AI20="Tidak Punya",AH20=0%),0%,IF(AND(AI20="Tidak Punya",AH20&gt;0%),6%,AH20))</f>
        <v>0</v>
      </c>
      <c r="AK20" s="48">
        <f>IF(AG20&lt;=[1]Simulasi!$H$6,AG20*AJ20,IF(AND(AG20&gt;[1]Simulasi!$H$6,AG20&lt;=[1]Simulasi!$H$7),([1]Simulasi!$H$6*[1]Simulasi!$I$6)+(AG20-[1]Simulasi!$H$6)*[1]Simulasi!$I$7,IF(AND(AG20&gt;[1]Simulasi!$H$7,AG20&lt;=[1]Simulasi!$H$8),([1]Simulasi!$H$6*[1]Simulasi!$I$6)+(([1]Simulasi!$H$7-[1]Simulasi!$H$6)*[1]Simulasi!$I$7)+(AG20-[1]Simulasi!$H$7)*[1]Simulasi!$I$8,IF(AG20&gt;[1]Simulasi!$H$8,[1]Simulasi!$H$6*[1]Simulasi!$I$6+[1]Simulasi!$H$7*[1]Simulasi!$I$7+[1]Simulasi!$H$8*[1]Simulasi!$I$8+(AG20-([1]Simulasi!$H$6+[1]Simulasi!$H$7+[1]Simulasi!$H$8))*[1]Simulasi!$I$9))))/12</f>
        <v>0</v>
      </c>
      <c r="AL20" s="34">
        <v>0</v>
      </c>
      <c r="AM20" s="36">
        <f t="shared" si="10"/>
        <v>185036</v>
      </c>
      <c r="AN20" s="49">
        <f t="shared" si="15"/>
        <v>3991266.666666666</v>
      </c>
      <c r="AO20" s="51" t="s">
        <v>100</v>
      </c>
      <c r="AP20" s="51" t="s">
        <v>74</v>
      </c>
      <c r="AQ20" s="54"/>
      <c r="AR20" s="56"/>
    </row>
    <row r="21" spans="1:44" ht="96.6" x14ac:dyDescent="0.3">
      <c r="A21" s="78"/>
      <c r="B21" s="54">
        <v>19</v>
      </c>
      <c r="C21" s="63"/>
      <c r="D21" s="32">
        <v>43132</v>
      </c>
      <c r="E21" s="33">
        <v>11</v>
      </c>
      <c r="F21" s="34">
        <v>3200000</v>
      </c>
      <c r="G21" s="34">
        <f t="shared" si="0"/>
        <v>234666.66666666666</v>
      </c>
      <c r="H21" s="34">
        <v>0</v>
      </c>
      <c r="I21" s="34">
        <v>940000</v>
      </c>
      <c r="J21" s="34">
        <v>0</v>
      </c>
      <c r="K21" s="34">
        <f t="shared" si="1"/>
        <v>135000</v>
      </c>
      <c r="L21" s="35">
        <v>9</v>
      </c>
      <c r="M21" s="34">
        <v>15000</v>
      </c>
      <c r="N21" s="36">
        <v>3340000</v>
      </c>
      <c r="O21" s="36">
        <v>3340000</v>
      </c>
      <c r="P21" s="36">
        <f t="shared" si="2"/>
        <v>133600</v>
      </c>
      <c r="Q21" s="37">
        <f t="shared" si="3"/>
        <v>33400</v>
      </c>
      <c r="R21" s="36">
        <f t="shared" si="4"/>
        <v>8015.9999999999991</v>
      </c>
      <c r="S21" s="36">
        <f t="shared" si="5"/>
        <v>10020</v>
      </c>
      <c r="T21" s="38">
        <f t="shared" si="6"/>
        <v>123580.00000000001</v>
      </c>
      <c r="U21" s="38">
        <f t="shared" si="16"/>
        <v>151636</v>
      </c>
      <c r="V21" s="34">
        <v>0</v>
      </c>
      <c r="W21" s="34">
        <v>0</v>
      </c>
      <c r="X21" s="39">
        <f t="shared" si="19"/>
        <v>0</v>
      </c>
      <c r="Y21" s="40">
        <f t="shared" si="7"/>
        <v>4661302.666666666</v>
      </c>
      <c r="Z21" s="41">
        <v>12</v>
      </c>
      <c r="AA21" s="34">
        <f t="shared" si="11"/>
        <v>55935631.999999993</v>
      </c>
      <c r="AB21" s="42">
        <f t="shared" si="8"/>
        <v>801600</v>
      </c>
      <c r="AC21" s="34">
        <f>IF(AA21*5%&gt;6000000,6000000,AA21*5%)</f>
        <v>2796781.5999999996</v>
      </c>
      <c r="AD21" s="34">
        <f t="shared" si="13"/>
        <v>52337250.399999991</v>
      </c>
      <c r="AE21" s="43" t="s">
        <v>58</v>
      </c>
      <c r="AF21" s="44">
        <f>IF(Y21&gt;0,VLOOKUP(AE21,[1]Simulasi!TabelPTKP,3,0),)</f>
        <v>54000000</v>
      </c>
      <c r="AG21" s="44">
        <f t="shared" si="9"/>
        <v>-1662749.6000000089</v>
      </c>
      <c r="AH21" s="45">
        <f>IF(AND(AG21&gt;0,AG21&lt;[1]Simulasi!$H$6),[1]Simulasi!$I$6,IF(AG21&gt;[1]Simulasi!$H$6,"Progresif",0))</f>
        <v>0</v>
      </c>
      <c r="AI21" s="58" t="s">
        <v>59</v>
      </c>
      <c r="AJ21" s="59">
        <f>IF(AND(AI21="Tidak Punya",AH21=0%),0%,IF(AND(AI21="Tidak Punya",AH21&gt;0%),6%,AH21))</f>
        <v>0</v>
      </c>
      <c r="AK21" s="48">
        <f>IF(AG21&lt;=[1]Simulasi!$H$6,AG21*AJ21,IF(AND(AG21&gt;[1]Simulasi!$H$6,AG21&lt;=[1]Simulasi!$H$7),([1]Simulasi!$H$6*[1]Simulasi!$I$6)+(AG21-[1]Simulasi!$H$6)*[1]Simulasi!$I$7,IF(AND(AG21&gt;[1]Simulasi!$H$7,AG21&lt;=[1]Simulasi!$H$8),([1]Simulasi!$H$6*[1]Simulasi!$I$6)+(([1]Simulasi!$H$7-[1]Simulasi!$H$6)*[1]Simulasi!$I$7)+(AG21-[1]Simulasi!$H$7)*[1]Simulasi!$I$8,IF(AG21&gt;[1]Simulasi!$H$8,[1]Simulasi!$H$6*[1]Simulasi!$I$6+[1]Simulasi!$H$7*[1]Simulasi!$I$7+[1]Simulasi!$H$8*[1]Simulasi!$I$8+(AG21-([1]Simulasi!$H$6+[1]Simulasi!$H$7+[1]Simulasi!$H$8))*[1]Simulasi!$I$9))))/12</f>
        <v>0</v>
      </c>
      <c r="AL21" s="34">
        <v>0</v>
      </c>
      <c r="AM21" s="36">
        <f t="shared" si="10"/>
        <v>185036</v>
      </c>
      <c r="AN21" s="49">
        <f t="shared" si="15"/>
        <v>4476266.666666666</v>
      </c>
      <c r="AO21" s="51" t="s">
        <v>101</v>
      </c>
      <c r="AP21" s="51" t="s">
        <v>102</v>
      </c>
      <c r="AQ21" s="54"/>
      <c r="AR21" s="56" t="s">
        <v>103</v>
      </c>
    </row>
    <row r="22" spans="1:44" ht="82.8" x14ac:dyDescent="0.3">
      <c r="A22" s="30"/>
      <c r="B22" s="54">
        <v>20</v>
      </c>
      <c r="C22" s="63"/>
      <c r="D22" s="32">
        <v>41944</v>
      </c>
      <c r="E22" s="33">
        <v>50</v>
      </c>
      <c r="F22" s="34">
        <v>3200000</v>
      </c>
      <c r="G22" s="34">
        <f t="shared" si="0"/>
        <v>1066666.6666666667</v>
      </c>
      <c r="H22" s="34">
        <v>0</v>
      </c>
      <c r="I22" s="34">
        <v>940000</v>
      </c>
      <c r="J22" s="34">
        <v>500000</v>
      </c>
      <c r="K22" s="34">
        <f t="shared" si="1"/>
        <v>255000</v>
      </c>
      <c r="L22" s="35">
        <v>17</v>
      </c>
      <c r="M22" s="34">
        <v>15000</v>
      </c>
      <c r="N22" s="36">
        <v>3340000</v>
      </c>
      <c r="O22" s="36">
        <v>3340000</v>
      </c>
      <c r="P22" s="36">
        <f t="shared" si="2"/>
        <v>133600</v>
      </c>
      <c r="Q22" s="37">
        <f t="shared" si="3"/>
        <v>33400</v>
      </c>
      <c r="R22" s="36">
        <f t="shared" si="4"/>
        <v>8015.9999999999991</v>
      </c>
      <c r="S22" s="36">
        <f t="shared" si="5"/>
        <v>10020</v>
      </c>
      <c r="T22" s="38">
        <f t="shared" si="6"/>
        <v>123580.00000000001</v>
      </c>
      <c r="U22" s="38">
        <f t="shared" si="16"/>
        <v>151636</v>
      </c>
      <c r="V22" s="34">
        <v>0</v>
      </c>
      <c r="W22" s="34">
        <v>0</v>
      </c>
      <c r="X22" s="39">
        <f t="shared" si="19"/>
        <v>0</v>
      </c>
      <c r="Y22" s="40">
        <f t="shared" si="7"/>
        <v>6113302.666666667</v>
      </c>
      <c r="Z22" s="41">
        <v>12</v>
      </c>
      <c r="AA22" s="34">
        <f t="shared" si="11"/>
        <v>73359632</v>
      </c>
      <c r="AB22" s="42">
        <f t="shared" si="8"/>
        <v>801600</v>
      </c>
      <c r="AC22" s="34">
        <f t="shared" si="18"/>
        <v>3667981.6</v>
      </c>
      <c r="AD22" s="34">
        <f t="shared" si="13"/>
        <v>68890050.400000006</v>
      </c>
      <c r="AE22" s="43" t="s">
        <v>58</v>
      </c>
      <c r="AF22" s="44">
        <f>IF(Y22&gt;0,VLOOKUP(AE22,[1]Simulasi!TabelPTKP,3,0),)</f>
        <v>54000000</v>
      </c>
      <c r="AG22" s="44">
        <f t="shared" si="9"/>
        <v>14890050.400000006</v>
      </c>
      <c r="AH22" s="45">
        <f>IF(AND(AG22&gt;0,AG22&lt;[1]Simulasi!$H$6),[1]Simulasi!$I$6,IF(AG22&gt;[1]Simulasi!$H$6,"Progresif",0))</f>
        <v>0.05</v>
      </c>
      <c r="AI22" s="58" t="s">
        <v>104</v>
      </c>
      <c r="AJ22" s="59">
        <f t="shared" ref="AJ22" si="20">IF(AND(AI22="Tidak Punya",AH22=0%),0%,IF(AND(AI22="Tidak Punya",AH22&gt;0%),6%,AH22))</f>
        <v>0.05</v>
      </c>
      <c r="AK22" s="48">
        <f>IF(AG22&lt;=[1]Simulasi!$H$6,AG22*AJ22,IF(AND(AG22&gt;[1]Simulasi!$H$6,AG22&lt;=[1]Simulasi!$H$7),([1]Simulasi!$H$6*[1]Simulasi!$I$6)+(AG22-[1]Simulasi!$H$6)*[1]Simulasi!$I$7,IF(AND(AG22&gt;[1]Simulasi!$H$7,AG22&lt;=[1]Simulasi!$H$8),([1]Simulasi!$H$6*[1]Simulasi!$I$6)+(([1]Simulasi!$H$7-[1]Simulasi!$H$6)*[1]Simulasi!$I$7)+(AG22-[1]Simulasi!$H$7)*[1]Simulasi!$I$8,IF(AG22&gt;[1]Simulasi!$H$8,[1]Simulasi!$H$6*[1]Simulasi!$I$6+[1]Simulasi!$H$7*[1]Simulasi!$I$7+[1]Simulasi!$H$8*[1]Simulasi!$I$8+(AG22-([1]Simulasi!$H$6+[1]Simulasi!$H$7+[1]Simulasi!$H$8))*[1]Simulasi!$I$9))))/12</f>
        <v>62041.8766666667</v>
      </c>
      <c r="AL22" s="34">
        <v>70000</v>
      </c>
      <c r="AM22" s="36">
        <f t="shared" si="10"/>
        <v>185036</v>
      </c>
      <c r="AN22" s="49">
        <f t="shared" si="15"/>
        <v>5796224.79</v>
      </c>
      <c r="AO22" s="51" t="s">
        <v>105</v>
      </c>
      <c r="AP22" s="51" t="s">
        <v>61</v>
      </c>
      <c r="AQ22" s="54" t="s">
        <v>106</v>
      </c>
      <c r="AR22" s="92" t="s">
        <v>107</v>
      </c>
    </row>
    <row r="23" spans="1:44" ht="55.2" x14ac:dyDescent="0.3">
      <c r="A23" s="30"/>
      <c r="B23" s="54">
        <v>21</v>
      </c>
      <c r="C23" s="63"/>
      <c r="D23" s="32">
        <v>43313</v>
      </c>
      <c r="E23" s="33">
        <v>5</v>
      </c>
      <c r="F23" s="34">
        <v>3200000</v>
      </c>
      <c r="G23" s="34">
        <f t="shared" si="0"/>
        <v>106666.66666666669</v>
      </c>
      <c r="H23" s="34">
        <v>0</v>
      </c>
      <c r="I23" s="34">
        <v>940000</v>
      </c>
      <c r="J23" s="34">
        <v>500000</v>
      </c>
      <c r="K23" s="34">
        <f t="shared" si="1"/>
        <v>270000</v>
      </c>
      <c r="L23" s="35">
        <v>18</v>
      </c>
      <c r="M23" s="34">
        <v>15000</v>
      </c>
      <c r="N23" s="36">
        <v>3340000</v>
      </c>
      <c r="O23" s="36">
        <v>3340000</v>
      </c>
      <c r="P23" s="36">
        <f t="shared" si="2"/>
        <v>133600</v>
      </c>
      <c r="Q23" s="37">
        <f t="shared" si="3"/>
        <v>33400</v>
      </c>
      <c r="R23" s="36">
        <f t="shared" si="4"/>
        <v>8015.9999999999991</v>
      </c>
      <c r="S23" s="36">
        <f t="shared" si="5"/>
        <v>10020</v>
      </c>
      <c r="T23" s="38">
        <f t="shared" si="6"/>
        <v>123580.00000000001</v>
      </c>
      <c r="U23" s="38">
        <f t="shared" si="16"/>
        <v>151636</v>
      </c>
      <c r="V23" s="34">
        <v>0</v>
      </c>
      <c r="W23" s="34">
        <v>0</v>
      </c>
      <c r="X23" s="39">
        <f t="shared" si="19"/>
        <v>0</v>
      </c>
      <c r="Y23" s="40">
        <f t="shared" si="7"/>
        <v>5168302.666666666</v>
      </c>
      <c r="Z23" s="41">
        <v>12</v>
      </c>
      <c r="AA23" s="34">
        <f t="shared" si="11"/>
        <v>62019631.999999993</v>
      </c>
      <c r="AB23" s="42">
        <f t="shared" si="8"/>
        <v>801600</v>
      </c>
      <c r="AC23" s="34">
        <f t="shared" si="18"/>
        <v>3100981.5999999996</v>
      </c>
      <c r="AD23" s="34">
        <f t="shared" si="13"/>
        <v>58117050.399999991</v>
      </c>
      <c r="AE23" s="43" t="s">
        <v>58</v>
      </c>
      <c r="AF23" s="44">
        <f>IF(Y23&gt;0,VLOOKUP(AE23,[1]Simulasi!TabelPTKP,3,0),)</f>
        <v>54000000</v>
      </c>
      <c r="AG23" s="44">
        <f t="shared" si="9"/>
        <v>4117050.3999999911</v>
      </c>
      <c r="AH23" s="45">
        <f>IF(AND(AG23&gt;0,AG23&lt;[1]Simulasi!$H$6),[1]Simulasi!$I$6,IF(AG23&gt;[1]Simulasi!$H$6,"Progresif",0))</f>
        <v>0.05</v>
      </c>
      <c r="AI23" s="58" t="s">
        <v>59</v>
      </c>
      <c r="AJ23" s="59">
        <f t="shared" si="14"/>
        <v>0.06</v>
      </c>
      <c r="AK23" s="48">
        <f>IF(AG23&lt;=[1]Simulasi!$H$6,AG23*AJ23,IF(AND(AG23&gt;[1]Simulasi!$H$6,AG23&lt;=[1]Simulasi!$H$7),([1]Simulasi!$H$6*[1]Simulasi!$I$6)+(AG23-[1]Simulasi!$H$6)*[1]Simulasi!$I$7,IF(AND(AG23&gt;[1]Simulasi!$H$7,AG23&lt;=[1]Simulasi!$H$8),([1]Simulasi!$H$6*[1]Simulasi!$I$6)+(([1]Simulasi!$H$7-[1]Simulasi!$H$6)*[1]Simulasi!$I$7)+(AG23-[1]Simulasi!$H$7)*[1]Simulasi!$I$8,IF(AG23&gt;[1]Simulasi!$H$8,[1]Simulasi!$H$6*[1]Simulasi!$I$6+[1]Simulasi!$H$7*[1]Simulasi!$I$7+[1]Simulasi!$H$8*[1]Simulasi!$I$8+(AG23-([1]Simulasi!$H$6+[1]Simulasi!$H$7+[1]Simulasi!$H$8))*[1]Simulasi!$I$9))))/12</f>
        <v>20585.251999999953</v>
      </c>
      <c r="AL23" s="34">
        <v>0</v>
      </c>
      <c r="AM23" s="36">
        <f t="shared" si="10"/>
        <v>185036</v>
      </c>
      <c r="AN23" s="49">
        <f t="shared" si="15"/>
        <v>4962681.4146666657</v>
      </c>
      <c r="AO23" s="51" t="s">
        <v>108</v>
      </c>
      <c r="AP23" s="51" t="s">
        <v>102</v>
      </c>
      <c r="AQ23" s="93"/>
      <c r="AR23" s="56" t="s">
        <v>109</v>
      </c>
    </row>
    <row r="24" spans="1:44" ht="27.6" x14ac:dyDescent="0.3">
      <c r="A24" s="30"/>
      <c r="B24" s="54">
        <v>22</v>
      </c>
      <c r="C24" s="63"/>
      <c r="D24" s="32" t="s">
        <v>110</v>
      </c>
      <c r="E24" s="33">
        <v>110</v>
      </c>
      <c r="F24" s="34">
        <v>3200000</v>
      </c>
      <c r="G24" s="34">
        <f t="shared" si="0"/>
        <v>2346666.6666666665</v>
      </c>
      <c r="H24" s="34">
        <v>1000000</v>
      </c>
      <c r="I24" s="34">
        <v>940000</v>
      </c>
      <c r="J24" s="34">
        <v>0</v>
      </c>
      <c r="K24" s="34">
        <f t="shared" si="1"/>
        <v>0</v>
      </c>
      <c r="L24" s="35">
        <v>18</v>
      </c>
      <c r="M24" s="34">
        <v>0</v>
      </c>
      <c r="N24" s="36">
        <v>4100000</v>
      </c>
      <c r="O24" s="36">
        <v>3340000</v>
      </c>
      <c r="P24" s="36">
        <f t="shared" si="2"/>
        <v>164000</v>
      </c>
      <c r="Q24" s="37">
        <f t="shared" si="3"/>
        <v>41000</v>
      </c>
      <c r="R24" s="36">
        <f t="shared" si="4"/>
        <v>8015.9999999999991</v>
      </c>
      <c r="S24" s="36">
        <f t="shared" si="5"/>
        <v>10020</v>
      </c>
      <c r="T24" s="38">
        <f t="shared" si="6"/>
        <v>123580.00000000001</v>
      </c>
      <c r="U24" s="38">
        <f t="shared" si="16"/>
        <v>182036</v>
      </c>
      <c r="V24" s="34">
        <v>0</v>
      </c>
      <c r="W24" s="34">
        <v>0</v>
      </c>
      <c r="X24" s="39">
        <f t="shared" si="19"/>
        <v>0</v>
      </c>
      <c r="Y24" s="40">
        <f t="shared" si="7"/>
        <v>7668702.666666666</v>
      </c>
      <c r="Z24" s="41">
        <v>11</v>
      </c>
      <c r="AA24" s="34">
        <f t="shared" si="11"/>
        <v>84355729.333333328</v>
      </c>
      <c r="AB24" s="42">
        <f t="shared" si="8"/>
        <v>734800</v>
      </c>
      <c r="AC24" s="34">
        <f t="shared" si="18"/>
        <v>4217786.4666666668</v>
      </c>
      <c r="AD24" s="34">
        <f t="shared" si="13"/>
        <v>79403142.86666666</v>
      </c>
      <c r="AE24" s="43" t="s">
        <v>58</v>
      </c>
      <c r="AF24" s="44">
        <f>IF(Y24&gt;0,VLOOKUP(AE24,[1]Simulasi!TabelPTKP,3,0),)</f>
        <v>54000000</v>
      </c>
      <c r="AG24" s="44">
        <f t="shared" si="9"/>
        <v>25403142.86666666</v>
      </c>
      <c r="AH24" s="45">
        <f>IF(AND(AG24&gt;0,AG24&lt;[1]Simulasi!$H$6),[1]Simulasi!$I$6,IF(AG24&gt;[1]Simulasi!$H$6,"Progresif",0))</f>
        <v>0.05</v>
      </c>
      <c r="AI24" s="58" t="s">
        <v>111</v>
      </c>
      <c r="AJ24" s="59">
        <f t="shared" si="14"/>
        <v>0.05</v>
      </c>
      <c r="AK24" s="48">
        <f>IF(AG24&lt;=[1]Simulasi!$H$6,AG24*AJ24,IF(AND(AG24&gt;[1]Simulasi!$H$6,AG24&lt;=[1]Simulasi!$H$7),([1]Simulasi!$H$6*[1]Simulasi!$I$6)+(AG24-[1]Simulasi!$H$6)*[1]Simulasi!$I$7,IF(AND(AG24&gt;[1]Simulasi!$H$7,AG24&lt;=[1]Simulasi!$H$8),([1]Simulasi!$H$6*[1]Simulasi!$I$6)+(([1]Simulasi!$H$7-[1]Simulasi!$H$6)*[1]Simulasi!$I$7)+(AG24-[1]Simulasi!$H$7)*[1]Simulasi!$I$8,IF(AG24&gt;[1]Simulasi!$H$8,[1]Simulasi!$H$6*[1]Simulasi!$I$6+[1]Simulasi!$H$7*[1]Simulasi!$I$7+[1]Simulasi!$H$8*[1]Simulasi!$I$8+(AG24-([1]Simulasi!$H$6+[1]Simulasi!$H$7+[1]Simulasi!$H$8))*[1]Simulasi!$I$9))))/12</f>
        <v>105846.42861111109</v>
      </c>
      <c r="AL24" s="34">
        <v>0</v>
      </c>
      <c r="AM24" s="36">
        <f t="shared" si="10"/>
        <v>223036</v>
      </c>
      <c r="AN24" s="49">
        <f t="shared" si="15"/>
        <v>7339820.2380555551</v>
      </c>
      <c r="AO24" s="51" t="s">
        <v>112</v>
      </c>
      <c r="AP24" s="51" t="s">
        <v>49</v>
      </c>
      <c r="AQ24" s="93"/>
      <c r="AR24" s="94" t="s">
        <v>113</v>
      </c>
    </row>
    <row r="25" spans="1:44" ht="96.6" x14ac:dyDescent="0.3">
      <c r="A25" s="30"/>
      <c r="B25" s="54">
        <v>23</v>
      </c>
      <c r="C25" s="63"/>
      <c r="D25" s="32">
        <v>39600</v>
      </c>
      <c r="E25" s="33">
        <v>127</v>
      </c>
      <c r="F25" s="34">
        <v>3200000</v>
      </c>
      <c r="G25" s="34">
        <f>(E25/12)*F25*8%</f>
        <v>2709333.333333334</v>
      </c>
      <c r="H25" s="34">
        <v>1000000</v>
      </c>
      <c r="I25" s="34">
        <v>940000</v>
      </c>
      <c r="J25" s="34">
        <v>0</v>
      </c>
      <c r="K25" s="34">
        <f t="shared" si="1"/>
        <v>240000</v>
      </c>
      <c r="L25" s="35">
        <v>16</v>
      </c>
      <c r="M25" s="34">
        <v>15000</v>
      </c>
      <c r="N25" s="36">
        <v>4100000</v>
      </c>
      <c r="O25" s="36">
        <v>0</v>
      </c>
      <c r="P25" s="36">
        <f t="shared" si="2"/>
        <v>164000</v>
      </c>
      <c r="Q25" s="37">
        <f t="shared" si="3"/>
        <v>41000</v>
      </c>
      <c r="R25" s="36">
        <f t="shared" si="4"/>
        <v>0</v>
      </c>
      <c r="S25" s="36">
        <f t="shared" si="5"/>
        <v>0</v>
      </c>
      <c r="T25" s="38">
        <f t="shared" si="6"/>
        <v>0</v>
      </c>
      <c r="U25" s="38">
        <f t="shared" si="16"/>
        <v>164000</v>
      </c>
      <c r="V25" s="34">
        <v>0</v>
      </c>
      <c r="W25" s="34">
        <v>0</v>
      </c>
      <c r="X25" s="39">
        <f t="shared" si="19"/>
        <v>0</v>
      </c>
      <c r="Y25" s="40">
        <f t="shared" si="7"/>
        <v>8253333.333333334</v>
      </c>
      <c r="Z25" s="41">
        <v>12</v>
      </c>
      <c r="AA25" s="34">
        <f t="shared" si="11"/>
        <v>99040000</v>
      </c>
      <c r="AB25" s="42">
        <f>(2%*O25)*12</f>
        <v>0</v>
      </c>
      <c r="AC25" s="34">
        <f t="shared" si="18"/>
        <v>4952000</v>
      </c>
      <c r="AD25" s="34">
        <f t="shared" si="13"/>
        <v>94088000</v>
      </c>
      <c r="AE25" s="43" t="s">
        <v>58</v>
      </c>
      <c r="AF25" s="44">
        <f>IF(Y25&gt;0,VLOOKUP(AE25,[1]Simulasi!TabelPTKP,3,0),)</f>
        <v>54000000</v>
      </c>
      <c r="AG25" s="44">
        <f t="shared" si="9"/>
        <v>40088000</v>
      </c>
      <c r="AH25" s="45">
        <f>IF(AND(AG25&gt;0,AG25&lt;[1]Simulasi!$H$6),[1]Simulasi!$I$6,IF(AG25&gt;[1]Simulasi!$H$6,"Progresif",0))</f>
        <v>0.05</v>
      </c>
      <c r="AI25" s="58" t="s">
        <v>114</v>
      </c>
      <c r="AJ25" s="59">
        <f t="shared" si="14"/>
        <v>0.05</v>
      </c>
      <c r="AK25" s="48">
        <f>IF(AG25&lt;=[1]Simulasi!$H$6,AG25*AJ25,IF(AND(AG25&gt;[1]Simulasi!$H$6,AG25&lt;=[1]Simulasi!$H$7),([1]Simulasi!$H$6*[1]Simulasi!$I$6)+(AG25-[1]Simulasi!$H$6)*[1]Simulasi!$I$7,IF(AND(AG25&gt;[1]Simulasi!$H$7,AG25&lt;=[1]Simulasi!$H$8),([1]Simulasi!$H$6*[1]Simulasi!$I$6)+(([1]Simulasi!$H$7-[1]Simulasi!$H$6)*[1]Simulasi!$I$7)+(AG25-[1]Simulasi!$H$7)*[1]Simulasi!$I$8,IF(AG25&gt;[1]Simulasi!$H$8,[1]Simulasi!$H$6*[1]Simulasi!$I$6+[1]Simulasi!$H$7*[1]Simulasi!$I$7+[1]Simulasi!$H$8*[1]Simulasi!$I$8+(AG25-([1]Simulasi!$H$6+[1]Simulasi!$H$7+[1]Simulasi!$H$8))*[1]Simulasi!$I$9))))/12</f>
        <v>167033.33333333334</v>
      </c>
      <c r="AL25" s="34">
        <f>0</f>
        <v>0</v>
      </c>
      <c r="AM25" s="36">
        <f t="shared" si="10"/>
        <v>205000</v>
      </c>
      <c r="AN25" s="49">
        <f t="shared" si="15"/>
        <v>7881300.0000000009</v>
      </c>
      <c r="AO25" s="51" t="s">
        <v>115</v>
      </c>
      <c r="AP25" s="51" t="s">
        <v>49</v>
      </c>
      <c r="AQ25" s="54"/>
      <c r="AR25" s="94" t="s">
        <v>116</v>
      </c>
    </row>
    <row r="26" spans="1:44" ht="69" x14ac:dyDescent="0.3">
      <c r="A26" s="30"/>
      <c r="B26" s="54">
        <v>24</v>
      </c>
      <c r="C26" s="63"/>
      <c r="D26" s="32">
        <v>40940</v>
      </c>
      <c r="E26" s="33">
        <v>83</v>
      </c>
      <c r="F26" s="34">
        <v>3200000</v>
      </c>
      <c r="G26" s="34">
        <f t="shared" si="0"/>
        <v>1770666.666666667</v>
      </c>
      <c r="H26" s="34">
        <v>0</v>
      </c>
      <c r="I26" s="34">
        <v>940000</v>
      </c>
      <c r="J26" s="34">
        <v>0</v>
      </c>
      <c r="K26" s="34">
        <f t="shared" si="1"/>
        <v>240000</v>
      </c>
      <c r="L26" s="35">
        <v>16</v>
      </c>
      <c r="M26" s="34">
        <v>15000</v>
      </c>
      <c r="N26" s="36">
        <v>3340000</v>
      </c>
      <c r="O26" s="36">
        <v>3340000</v>
      </c>
      <c r="P26" s="36">
        <f t="shared" si="2"/>
        <v>133600</v>
      </c>
      <c r="Q26" s="37">
        <f t="shared" si="3"/>
        <v>33400</v>
      </c>
      <c r="R26" s="36">
        <f t="shared" si="4"/>
        <v>8015.9999999999991</v>
      </c>
      <c r="S26" s="36">
        <f t="shared" si="5"/>
        <v>10020</v>
      </c>
      <c r="T26" s="38">
        <f t="shared" si="6"/>
        <v>123580.00000000001</v>
      </c>
      <c r="U26" s="38">
        <f t="shared" si="16"/>
        <v>151636</v>
      </c>
      <c r="V26" s="34">
        <v>0</v>
      </c>
      <c r="W26" s="34">
        <v>0</v>
      </c>
      <c r="X26" s="39">
        <f t="shared" si="19"/>
        <v>0</v>
      </c>
      <c r="Y26" s="40">
        <f t="shared" si="7"/>
        <v>6302302.666666667</v>
      </c>
      <c r="Z26" s="41">
        <v>12</v>
      </c>
      <c r="AA26" s="34">
        <f t="shared" si="11"/>
        <v>75627632</v>
      </c>
      <c r="AB26" s="42">
        <f>(2%*O26)*Z26</f>
        <v>801600</v>
      </c>
      <c r="AC26" s="34">
        <f t="shared" si="18"/>
        <v>3781381.6</v>
      </c>
      <c r="AD26" s="34">
        <f t="shared" si="13"/>
        <v>71044650.400000006</v>
      </c>
      <c r="AE26" s="43" t="s">
        <v>117</v>
      </c>
      <c r="AF26" s="44">
        <f>IF(Y26&gt;0,VLOOKUP(AE26,[1]Simulasi!TabelPTKP,3,0),)</f>
        <v>67500000</v>
      </c>
      <c r="AG26" s="44">
        <f t="shared" si="9"/>
        <v>3544650.400000006</v>
      </c>
      <c r="AH26" s="45">
        <f>IF(AND(AG26&gt;0,AG26&lt;[1]Simulasi!$H$6),[1]Simulasi!$I$6,IF(AG26&gt;[1]Simulasi!$H$6,"Progresif",0))</f>
        <v>0.05</v>
      </c>
      <c r="AI26" s="58" t="s">
        <v>118</v>
      </c>
      <c r="AJ26" s="59">
        <f>IF(AND(AI26="Tidak Punya",AH26=0%),0%,IF(AND(AI26="Tidak Punya",AH26&gt;0%),6%,AH26))</f>
        <v>0.05</v>
      </c>
      <c r="AK26" s="48">
        <f>IF(AG26&lt;=[1]Simulasi!$H$6,AG26*AJ26,IF(AND(AG26&gt;[1]Simulasi!$H$6,AG26&lt;=[1]Simulasi!$H$7),([1]Simulasi!$H$6*[1]Simulasi!$I$6)+(AG26-[1]Simulasi!$H$6)*[1]Simulasi!$I$7,IF(AND(AG26&gt;[1]Simulasi!$H$7,AG26&lt;=[1]Simulasi!$H$8),([1]Simulasi!$H$6*[1]Simulasi!$I$6)+(([1]Simulasi!$H$7-[1]Simulasi!$H$6)*[1]Simulasi!$I$7)+(AG26-[1]Simulasi!$H$7)*[1]Simulasi!$I$8,IF(AG26&gt;[1]Simulasi!$H$8,[1]Simulasi!$H$6*[1]Simulasi!$I$6+[1]Simulasi!$H$7*[1]Simulasi!$I$7+[1]Simulasi!$H$8*[1]Simulasi!$I$8+(AG26-([1]Simulasi!$H$6+[1]Simulasi!$H$7+[1]Simulasi!$H$8))*[1]Simulasi!$I$9))))/12</f>
        <v>14769.376666666692</v>
      </c>
      <c r="AL26" s="34">
        <f>2000000+140000</f>
        <v>2140000</v>
      </c>
      <c r="AM26" s="36">
        <f t="shared" si="10"/>
        <v>185036</v>
      </c>
      <c r="AN26" s="49">
        <f t="shared" si="15"/>
        <v>3962497.2900000005</v>
      </c>
      <c r="AO26" s="51" t="s">
        <v>119</v>
      </c>
      <c r="AP26" s="51" t="s">
        <v>61</v>
      </c>
      <c r="AQ26" s="54" t="s">
        <v>120</v>
      </c>
      <c r="AR26" s="56" t="s">
        <v>121</v>
      </c>
    </row>
    <row r="27" spans="1:44" x14ac:dyDescent="0.3">
      <c r="A27" s="78"/>
      <c r="B27" s="54">
        <v>25</v>
      </c>
      <c r="C27" s="63"/>
      <c r="D27" s="95"/>
      <c r="E27" s="95"/>
      <c r="F27" s="34">
        <v>3200000</v>
      </c>
      <c r="G27" s="34">
        <v>150000</v>
      </c>
      <c r="H27" s="34">
        <v>0</v>
      </c>
      <c r="I27" s="34">
        <v>0</v>
      </c>
      <c r="J27" s="34">
        <v>0</v>
      </c>
      <c r="K27" s="34">
        <v>0</v>
      </c>
      <c r="L27" s="35"/>
      <c r="M27" s="34">
        <v>0</v>
      </c>
      <c r="N27" s="36">
        <v>3340000</v>
      </c>
      <c r="O27" s="36">
        <v>3340000</v>
      </c>
      <c r="P27" s="36">
        <f t="shared" si="2"/>
        <v>133600</v>
      </c>
      <c r="Q27" s="37">
        <f t="shared" si="3"/>
        <v>33400</v>
      </c>
      <c r="R27" s="36">
        <f t="shared" si="4"/>
        <v>8015.9999999999991</v>
      </c>
      <c r="S27" s="36">
        <f t="shared" si="5"/>
        <v>10020</v>
      </c>
      <c r="T27" s="38">
        <f t="shared" si="6"/>
        <v>123580.00000000001</v>
      </c>
      <c r="U27" s="38">
        <f t="shared" si="16"/>
        <v>151636</v>
      </c>
      <c r="V27" s="34">
        <v>0</v>
      </c>
      <c r="W27" s="34">
        <v>0</v>
      </c>
      <c r="X27" s="39">
        <f t="shared" si="19"/>
        <v>0</v>
      </c>
      <c r="Y27" s="40">
        <f t="shared" si="7"/>
        <v>3501636</v>
      </c>
      <c r="Z27" s="41">
        <v>12</v>
      </c>
      <c r="AA27" s="34">
        <f t="shared" si="11"/>
        <v>42019632</v>
      </c>
      <c r="AB27" s="42">
        <f>(2%*O27)*Z27</f>
        <v>801600</v>
      </c>
      <c r="AC27" s="34">
        <f>IF(AA27*5%&gt;6000000,6000000,AA27*5%)</f>
        <v>2100981.6</v>
      </c>
      <c r="AD27" s="34">
        <f t="shared" si="13"/>
        <v>39117050.399999999</v>
      </c>
      <c r="AE27" s="43" t="s">
        <v>51</v>
      </c>
      <c r="AF27" s="44">
        <f>IF(Y27&gt;0,VLOOKUP(AE27,[1]Simulasi!TabelPTKP,3,0),)</f>
        <v>63000000</v>
      </c>
      <c r="AG27" s="44">
        <f>(AD27-AF27)</f>
        <v>-23882949.600000001</v>
      </c>
      <c r="AH27" s="45">
        <f>IF(AND(AG27&gt;0,AG27&lt;[1]Simulasi!$H$6),[1]Simulasi!$I$6,IF(AG27&gt;[1]Simulasi!$H$6,"Progresif",0))</f>
        <v>0</v>
      </c>
      <c r="AI27" s="58" t="s">
        <v>59</v>
      </c>
      <c r="AJ27" s="59">
        <f>IF(AND(AI27="Tidak Punya",AH27=0%),0%,IF(AND(AI27="Tidak Punya",AH27&gt;0%),6%,AH27))</f>
        <v>0</v>
      </c>
      <c r="AK27" s="48">
        <f>IF(AG27&lt;=[1]Simulasi!$H$6,AG27*AJ27,IF(AND(AG27&gt;[1]Simulasi!$H$6,AG27&lt;=[1]Simulasi!$H$7),([1]Simulasi!$H$6*[1]Simulasi!$I$6)+(AG27-[1]Simulasi!$H$6)*[1]Simulasi!$I$7,IF(AND(AG27&gt;[1]Simulasi!$H$7,AG27&lt;=[1]Simulasi!$H$8),([1]Simulasi!$H$6*[1]Simulasi!$I$6)+(([1]Simulasi!$H$7-[1]Simulasi!$H$6)*[1]Simulasi!$I$7)+(AG27-[1]Simulasi!$H$7)*[1]Simulasi!$I$8,IF(AG27&gt;[1]Simulasi!$H$8,[1]Simulasi!$H$6*[1]Simulasi!$I$6+[1]Simulasi!$H$7*[1]Simulasi!$I$7+[1]Simulasi!$H$8*[1]Simulasi!$I$8+(AG27-([1]Simulasi!$H$6+[1]Simulasi!$H$7+[1]Simulasi!$H$8))*[1]Simulasi!$I$9))))/12</f>
        <v>0</v>
      </c>
      <c r="AL27" s="34">
        <v>0</v>
      </c>
      <c r="AM27" s="36">
        <f t="shared" si="10"/>
        <v>185036</v>
      </c>
      <c r="AN27" s="49">
        <f t="shared" si="15"/>
        <v>3316600</v>
      </c>
      <c r="AO27" s="51" t="s">
        <v>122</v>
      </c>
      <c r="AP27" s="51" t="s">
        <v>122</v>
      </c>
      <c r="AQ27" s="54"/>
      <c r="AR27" s="56"/>
    </row>
    <row r="28" spans="1:44" x14ac:dyDescent="0.3">
      <c r="A28" s="30"/>
      <c r="B28" s="54">
        <v>26</v>
      </c>
      <c r="C28" s="63"/>
      <c r="D28" s="95"/>
      <c r="E28" s="96"/>
      <c r="F28" s="34">
        <v>3200000</v>
      </c>
      <c r="G28" s="34">
        <v>150000</v>
      </c>
      <c r="H28" s="34">
        <v>0</v>
      </c>
      <c r="I28" s="34">
        <v>0</v>
      </c>
      <c r="J28" s="34">
        <v>0</v>
      </c>
      <c r="K28" s="34">
        <v>0</v>
      </c>
      <c r="L28" s="35"/>
      <c r="M28" s="34">
        <v>0</v>
      </c>
      <c r="N28" s="36"/>
      <c r="O28" s="36">
        <v>3340000</v>
      </c>
      <c r="P28" s="36">
        <v>0</v>
      </c>
      <c r="Q28" s="37">
        <f t="shared" si="3"/>
        <v>0</v>
      </c>
      <c r="R28" s="36">
        <f t="shared" si="4"/>
        <v>8015.9999999999991</v>
      </c>
      <c r="S28" s="36">
        <f t="shared" si="5"/>
        <v>10020</v>
      </c>
      <c r="T28" s="38">
        <f t="shared" si="6"/>
        <v>123580.00000000001</v>
      </c>
      <c r="U28" s="38">
        <f t="shared" si="16"/>
        <v>18036</v>
      </c>
      <c r="V28" s="34">
        <v>0</v>
      </c>
      <c r="W28" s="34">
        <v>0</v>
      </c>
      <c r="X28" s="39">
        <f t="shared" si="19"/>
        <v>0</v>
      </c>
      <c r="Y28" s="40">
        <f t="shared" si="7"/>
        <v>3368036</v>
      </c>
      <c r="Z28" s="41">
        <v>12</v>
      </c>
      <c r="AA28" s="34">
        <f t="shared" si="11"/>
        <v>40416432</v>
      </c>
      <c r="AB28" s="42">
        <f>(2%*O28)*Z28</f>
        <v>801600</v>
      </c>
      <c r="AC28" s="34">
        <f>IF(AA28*5%&gt;6000000,6000000,AA28*5%)</f>
        <v>2020821.6</v>
      </c>
      <c r="AD28" s="34">
        <f t="shared" si="13"/>
        <v>37594010.399999999</v>
      </c>
      <c r="AE28" s="43" t="s">
        <v>51</v>
      </c>
      <c r="AF28" s="44">
        <f>IF(Y28&gt;0,VLOOKUP(AE28,[1]Simulasi!TabelPTKP,3,0),)</f>
        <v>63000000</v>
      </c>
      <c r="AG28" s="44">
        <f>(AD28-AF28)</f>
        <v>-25405989.600000001</v>
      </c>
      <c r="AH28" s="45">
        <f>IF(AND(AG28&gt;0,AG28&lt;[1]Simulasi!$H$6),[1]Simulasi!$I$6,IF(AG28&gt;[1]Simulasi!$H$6,"Progresif",0))</f>
        <v>0</v>
      </c>
      <c r="AI28" s="58" t="s">
        <v>59</v>
      </c>
      <c r="AJ28" s="59">
        <f>IF(AND(AI28="Tidak Punya",AH28=0%),0%,IF(AND(AI28="Tidak Punya",AH28&gt;0%),6%,AH28))</f>
        <v>0</v>
      </c>
      <c r="AK28" s="48">
        <f>IF(AG28&lt;=[1]Simulasi!$H$6,AG28*AJ28,IF(AND(AG28&gt;[1]Simulasi!$H$6,AG28&lt;=[1]Simulasi!$H$7),([1]Simulasi!$H$6*[1]Simulasi!$I$6)+(AG28-[1]Simulasi!$H$6)*[1]Simulasi!$I$7,IF(AND(AG28&gt;[1]Simulasi!$H$7,AG28&lt;=[1]Simulasi!$H$8),([1]Simulasi!$H$6*[1]Simulasi!$I$6)+(([1]Simulasi!$H$7-[1]Simulasi!$H$6)*[1]Simulasi!$I$7)+(AG28-[1]Simulasi!$H$7)*[1]Simulasi!$I$8,IF(AG28&gt;[1]Simulasi!$H$8,[1]Simulasi!$H$6*[1]Simulasi!$I$6+[1]Simulasi!$H$7*[1]Simulasi!$I$7+[1]Simulasi!$H$8*[1]Simulasi!$I$8+(AG28-([1]Simulasi!$H$6+[1]Simulasi!$H$7+[1]Simulasi!$H$8))*[1]Simulasi!$I$9))))/12</f>
        <v>0</v>
      </c>
      <c r="AL28" s="34">
        <v>0</v>
      </c>
      <c r="AM28" s="36">
        <f t="shared" si="10"/>
        <v>18036</v>
      </c>
      <c r="AN28" s="49">
        <f t="shared" si="15"/>
        <v>3350000</v>
      </c>
      <c r="AO28" s="51" t="s">
        <v>122</v>
      </c>
      <c r="AP28" s="51" t="s">
        <v>122</v>
      </c>
      <c r="AQ28" s="97"/>
      <c r="AR28" s="98"/>
    </row>
    <row r="29" spans="1:44" x14ac:dyDescent="0.3">
      <c r="A29" s="99"/>
      <c r="B29" s="54">
        <v>27</v>
      </c>
      <c r="C29" s="63"/>
      <c r="D29" s="100"/>
      <c r="E29" s="100"/>
      <c r="F29" s="101">
        <v>3500000</v>
      </c>
      <c r="G29" s="101">
        <v>0</v>
      </c>
      <c r="H29" s="34">
        <v>0</v>
      </c>
      <c r="I29" s="34">
        <v>0</v>
      </c>
      <c r="J29" s="34">
        <v>0</v>
      </c>
      <c r="K29" s="34">
        <v>0</v>
      </c>
      <c r="L29" s="35"/>
      <c r="M29" s="34">
        <v>0</v>
      </c>
      <c r="N29" s="36"/>
      <c r="O29" s="36"/>
      <c r="P29" s="36">
        <v>0</v>
      </c>
      <c r="Q29" s="37">
        <f t="shared" si="3"/>
        <v>0</v>
      </c>
      <c r="R29" s="36"/>
      <c r="S29" s="36">
        <v>0</v>
      </c>
      <c r="T29" s="38">
        <v>0</v>
      </c>
      <c r="U29" s="38">
        <f t="shared" si="16"/>
        <v>0</v>
      </c>
      <c r="V29" s="34">
        <v>0</v>
      </c>
      <c r="W29" s="34">
        <v>0</v>
      </c>
      <c r="X29" s="39">
        <f t="shared" si="19"/>
        <v>0</v>
      </c>
      <c r="Y29" s="40">
        <f t="shared" si="7"/>
        <v>3500000</v>
      </c>
      <c r="Z29" s="102">
        <v>12</v>
      </c>
      <c r="AA29" s="34">
        <f t="shared" si="11"/>
        <v>42000000</v>
      </c>
      <c r="AB29" s="42">
        <f>(2%*O29)*12</f>
        <v>0</v>
      </c>
      <c r="AC29" s="34">
        <f>IF(AA29*5%&gt;6000000,6000000,AA29*5%)</f>
        <v>2100000</v>
      </c>
      <c r="AD29" s="34">
        <f t="shared" si="13"/>
        <v>39900000</v>
      </c>
      <c r="AE29" s="43" t="s">
        <v>58</v>
      </c>
      <c r="AF29" s="44">
        <f>IF(Y29&gt;0,VLOOKUP(AE29,[1]Simulasi!TabelPTKP,3,0),)</f>
        <v>54000000</v>
      </c>
      <c r="AG29" s="44">
        <f>(AD29-AF29)</f>
        <v>-14100000</v>
      </c>
      <c r="AH29" s="45">
        <f>IF(AND(AG29&gt;0,AG29&lt;[1]Simulasi!$H$6),[1]Simulasi!$I$6,IF(AG29&gt;[1]Simulasi!$H$6,"Progresif",0))</f>
        <v>0</v>
      </c>
      <c r="AI29" s="58" t="s">
        <v>59</v>
      </c>
      <c r="AJ29" s="59">
        <f>IF(AND(AI29="Tidak Punya",AH29=0%),0%,IF(AND(AI29="Tidak Punya",AH29&gt;0%),6%,AH29))</f>
        <v>0</v>
      </c>
      <c r="AK29" s="48">
        <f>IF(AG29&lt;=[1]Simulasi!$H$6,AG29*AJ29,IF(AND(AG29&gt;[1]Simulasi!$H$6,AG29&lt;=[1]Simulasi!$H$7),([1]Simulasi!$H$6*[1]Simulasi!$I$6)+(AG29-[1]Simulasi!$H$6)*[1]Simulasi!$I$7,IF(AND(AG29&gt;[1]Simulasi!$H$7,AG29&lt;=[1]Simulasi!$H$8),([1]Simulasi!$H$6*[1]Simulasi!$I$6)+(([1]Simulasi!$H$7-[1]Simulasi!$H$6)*[1]Simulasi!$I$7)+(AG29-[1]Simulasi!$H$7)*[1]Simulasi!$I$8,IF(AG29&gt;[1]Simulasi!$H$8,[1]Simulasi!$H$6*[1]Simulasi!$I$6+[1]Simulasi!$H$7*[1]Simulasi!$I$7+[1]Simulasi!$H$8*[1]Simulasi!$I$8+(AG29-([1]Simulasi!$H$6+[1]Simulasi!$H$7+[1]Simulasi!$H$8))*[1]Simulasi!$I$9))))/12</f>
        <v>0</v>
      </c>
      <c r="AL29" s="34">
        <v>0</v>
      </c>
      <c r="AM29" s="36">
        <f t="shared" si="10"/>
        <v>0</v>
      </c>
      <c r="AN29" s="49">
        <f t="shared" si="15"/>
        <v>3500000</v>
      </c>
      <c r="AO29" s="103">
        <v>3460295300</v>
      </c>
      <c r="AP29" s="104" t="s">
        <v>61</v>
      </c>
      <c r="AQ29" s="97"/>
      <c r="AR29" s="56"/>
    </row>
    <row r="30" spans="1:44" x14ac:dyDescent="0.3">
      <c r="A30" s="99"/>
      <c r="B30" s="54">
        <v>28</v>
      </c>
      <c r="C30" s="63"/>
      <c r="D30" s="100"/>
      <c r="E30" s="100"/>
      <c r="F30" s="101">
        <v>3500000</v>
      </c>
      <c r="G30" s="101">
        <v>0</v>
      </c>
      <c r="H30" s="34">
        <v>0</v>
      </c>
      <c r="I30" s="34">
        <v>0</v>
      </c>
      <c r="J30" s="34">
        <v>0</v>
      </c>
      <c r="K30" s="34">
        <v>0</v>
      </c>
      <c r="L30" s="35"/>
      <c r="M30" s="34">
        <v>0</v>
      </c>
      <c r="N30" s="36"/>
      <c r="O30" s="36"/>
      <c r="P30" s="36">
        <v>0</v>
      </c>
      <c r="Q30" s="37">
        <f t="shared" si="3"/>
        <v>0</v>
      </c>
      <c r="R30" s="36"/>
      <c r="S30" s="36">
        <v>0</v>
      </c>
      <c r="T30" s="38">
        <v>0</v>
      </c>
      <c r="U30" s="38">
        <f t="shared" si="16"/>
        <v>0</v>
      </c>
      <c r="V30" s="34">
        <v>0</v>
      </c>
      <c r="W30" s="34">
        <v>0</v>
      </c>
      <c r="X30" s="39">
        <f t="shared" si="19"/>
        <v>0</v>
      </c>
      <c r="Y30" s="40">
        <f t="shared" si="7"/>
        <v>3500000</v>
      </c>
      <c r="Z30" s="102">
        <v>12</v>
      </c>
      <c r="AA30" s="34">
        <f t="shared" si="11"/>
        <v>42000000</v>
      </c>
      <c r="AB30" s="42">
        <f>(2%*O30)*12</f>
        <v>0</v>
      </c>
      <c r="AC30" s="34">
        <f>IF(AA30*5%&gt;6000000,6000000,AA30*5%)</f>
        <v>2100000</v>
      </c>
      <c r="AD30" s="34">
        <f t="shared" si="13"/>
        <v>39900000</v>
      </c>
      <c r="AE30" s="43" t="s">
        <v>58</v>
      </c>
      <c r="AF30" s="44">
        <f>IF(Y30&gt;0,VLOOKUP(AE30,[1]Simulasi!TabelPTKP,3,0),)</f>
        <v>54000000</v>
      </c>
      <c r="AG30" s="44">
        <f>(AD30-AF30)</f>
        <v>-14100000</v>
      </c>
      <c r="AH30" s="45">
        <f>IF(AND(AG30&gt;0,AG30&lt;[1]Simulasi!$H$6),[1]Simulasi!$I$6,IF(AG30&gt;[1]Simulasi!$H$6,"Progresif",0))</f>
        <v>0</v>
      </c>
      <c r="AI30" s="58" t="s">
        <v>59</v>
      </c>
      <c r="AJ30" s="59">
        <f>IF(AND(AI30="Tidak Punya",AH30=0%),0%,IF(AND(AI30="Tidak Punya",AH30&gt;0%),6%,AH30))</f>
        <v>0</v>
      </c>
      <c r="AK30" s="48">
        <f>IF(AG30&lt;=[1]Simulasi!$H$6,AG30*AJ30,IF(AND(AG30&gt;[1]Simulasi!$H$6,AG30&lt;=[1]Simulasi!$H$7),([1]Simulasi!$H$6*[1]Simulasi!$I$6)+(AG30-[1]Simulasi!$H$6)*[1]Simulasi!$I$7,IF(AND(AG30&gt;[1]Simulasi!$H$7,AG30&lt;=[1]Simulasi!$H$8),([1]Simulasi!$H$6*[1]Simulasi!$I$6)+(([1]Simulasi!$H$7-[1]Simulasi!$H$6)*[1]Simulasi!$I$7)+(AG30-[1]Simulasi!$H$7)*[1]Simulasi!$I$8,IF(AG30&gt;[1]Simulasi!$H$8,[1]Simulasi!$H$6*[1]Simulasi!$I$6+[1]Simulasi!$H$7*[1]Simulasi!$I$7+[1]Simulasi!$H$8*[1]Simulasi!$I$8+(AG30-([1]Simulasi!$H$6+[1]Simulasi!$H$7+[1]Simulasi!$H$8))*[1]Simulasi!$I$9))))/12</f>
        <v>0</v>
      </c>
      <c r="AL30" s="34">
        <v>0</v>
      </c>
      <c r="AM30" s="36">
        <f t="shared" si="10"/>
        <v>0</v>
      </c>
      <c r="AN30" s="49">
        <f t="shared" si="15"/>
        <v>3500000</v>
      </c>
      <c r="AO30" s="103">
        <v>3460295300</v>
      </c>
      <c r="AP30" s="104" t="s">
        <v>61</v>
      </c>
      <c r="AQ30" s="97"/>
      <c r="AR30" s="56"/>
    </row>
    <row r="31" spans="1:44" x14ac:dyDescent="0.3">
      <c r="A31" s="30"/>
      <c r="B31" s="54">
        <v>29</v>
      </c>
      <c r="C31" s="99"/>
      <c r="D31" s="96"/>
      <c r="E31" s="96"/>
      <c r="F31" s="101">
        <v>3500000</v>
      </c>
      <c r="G31" s="101">
        <v>0</v>
      </c>
      <c r="H31" s="34">
        <v>0</v>
      </c>
      <c r="I31" s="34">
        <v>0</v>
      </c>
      <c r="J31" s="34">
        <v>0</v>
      </c>
      <c r="K31" s="34">
        <v>0</v>
      </c>
      <c r="L31" s="35"/>
      <c r="M31" s="34">
        <v>0</v>
      </c>
      <c r="N31" s="36"/>
      <c r="O31" s="36"/>
      <c r="P31" s="36">
        <v>0</v>
      </c>
      <c r="Q31" s="37">
        <f t="shared" si="3"/>
        <v>0</v>
      </c>
      <c r="R31" s="36"/>
      <c r="S31" s="36">
        <v>0</v>
      </c>
      <c r="T31" s="38">
        <v>0</v>
      </c>
      <c r="U31" s="38">
        <f t="shared" si="16"/>
        <v>0</v>
      </c>
      <c r="V31" s="34">
        <v>0</v>
      </c>
      <c r="W31" s="34">
        <v>0</v>
      </c>
      <c r="X31" s="39">
        <f t="shared" si="19"/>
        <v>0</v>
      </c>
      <c r="Y31" s="40">
        <f t="shared" si="7"/>
        <v>3500000</v>
      </c>
      <c r="Z31" s="102">
        <v>2</v>
      </c>
      <c r="AA31" s="34">
        <f t="shared" si="11"/>
        <v>7000000</v>
      </c>
      <c r="AB31" s="42">
        <f>(2%*O31)*12</f>
        <v>0</v>
      </c>
      <c r="AC31" s="34">
        <f t="shared" si="18"/>
        <v>350000</v>
      </c>
      <c r="AD31" s="34">
        <f t="shared" si="13"/>
        <v>6650000</v>
      </c>
      <c r="AE31" s="43" t="s">
        <v>58</v>
      </c>
      <c r="AF31" s="44">
        <f>IF(Y31&gt;0,VLOOKUP(AE31,[1]Simulasi!TabelPTKP,3,0),)</f>
        <v>54000000</v>
      </c>
      <c r="AG31" s="44">
        <f t="shared" ref="AG31" si="21">(AD31-AF31)</f>
        <v>-47350000</v>
      </c>
      <c r="AH31" s="45">
        <f>IF(AND(AG31&gt;0,AG31&lt;[1]Simulasi!$H$6),[1]Simulasi!$I$6,IF(AG31&gt;[1]Simulasi!$H$6,"Progresif",0))</f>
        <v>0</v>
      </c>
      <c r="AI31" s="58" t="s">
        <v>59</v>
      </c>
      <c r="AJ31" s="59">
        <f t="shared" si="14"/>
        <v>0</v>
      </c>
      <c r="AK31" s="48">
        <f>IF(AG31&lt;=[1]Simulasi!$H$6,AG31*AJ31,IF(AND(AG31&gt;[1]Simulasi!$H$6,AG31&lt;=[1]Simulasi!$H$7),([1]Simulasi!$H$6*[1]Simulasi!$I$6)+(AG31-[1]Simulasi!$H$6)*[1]Simulasi!$I$7,IF(AND(AG31&gt;[1]Simulasi!$H$7,AG31&lt;=[1]Simulasi!$H$8),([1]Simulasi!$H$6*[1]Simulasi!$I$6)+(([1]Simulasi!$H$7-[1]Simulasi!$H$6)*[1]Simulasi!$I$7)+(AG31-[1]Simulasi!$H$7)*[1]Simulasi!$I$8,IF(AG31&gt;[1]Simulasi!$H$8,[1]Simulasi!$H$6*[1]Simulasi!$I$6+[1]Simulasi!$H$7*[1]Simulasi!$I$7+[1]Simulasi!$H$8*[1]Simulasi!$I$8+(AG31-([1]Simulasi!$H$6+[1]Simulasi!$H$7+[1]Simulasi!$H$8))*[1]Simulasi!$I$9))))/12</f>
        <v>0</v>
      </c>
      <c r="AL31" s="34">
        <v>1500000</v>
      </c>
      <c r="AM31" s="36">
        <f t="shared" si="10"/>
        <v>0</v>
      </c>
      <c r="AN31" s="49">
        <f t="shared" si="15"/>
        <v>2000000</v>
      </c>
      <c r="AO31" s="104" t="s">
        <v>123</v>
      </c>
      <c r="AP31" s="104" t="s">
        <v>61</v>
      </c>
      <c r="AQ31" s="97" t="s">
        <v>124</v>
      </c>
      <c r="AR31" s="56"/>
    </row>
    <row r="32" spans="1:44" ht="15" thickBot="1" x14ac:dyDescent="0.35">
      <c r="A32" s="105" t="s">
        <v>44</v>
      </c>
      <c r="B32" s="106"/>
      <c r="C32" s="106"/>
      <c r="D32" s="106"/>
      <c r="E32" s="106"/>
      <c r="F32" s="107">
        <f t="shared" ref="F32:K32" si="22">SUM(F3:F31)</f>
        <v>93700000</v>
      </c>
      <c r="G32" s="107">
        <f t="shared" si="22"/>
        <v>29548000.000000011</v>
      </c>
      <c r="H32" s="107">
        <f t="shared" si="22"/>
        <v>28500000</v>
      </c>
      <c r="I32" s="107">
        <f t="shared" si="22"/>
        <v>20680000</v>
      </c>
      <c r="J32" s="107">
        <f t="shared" si="22"/>
        <v>14500000</v>
      </c>
      <c r="K32" s="107">
        <f t="shared" si="22"/>
        <v>4995000</v>
      </c>
      <c r="L32" s="108"/>
      <c r="M32" s="107">
        <f>SUM(M3:M31)</f>
        <v>330000</v>
      </c>
      <c r="N32" s="109"/>
      <c r="O32" s="109"/>
      <c r="P32" s="109">
        <f t="shared" ref="P32:T32" si="23">SUM(P3:P31)</f>
        <v>3316000</v>
      </c>
      <c r="Q32" s="109">
        <v>829000</v>
      </c>
      <c r="R32" s="109"/>
      <c r="S32" s="109">
        <f>SUM(S3:S31)</f>
        <v>250500</v>
      </c>
      <c r="T32" s="110">
        <f t="shared" si="23"/>
        <v>3089500.0000000005</v>
      </c>
      <c r="U32" s="110"/>
      <c r="V32" s="107">
        <f t="shared" ref="V32:AD32" si="24">SUM(V3:V31)</f>
        <v>0</v>
      </c>
      <c r="W32" s="107">
        <f t="shared" si="24"/>
        <v>0</v>
      </c>
      <c r="X32" s="107">
        <f t="shared" si="24"/>
        <v>1175000</v>
      </c>
      <c r="Y32" s="111">
        <f t="shared" si="24"/>
        <v>195689899.99999994</v>
      </c>
      <c r="Z32" s="112">
        <f t="shared" si="24"/>
        <v>335</v>
      </c>
      <c r="AA32" s="107">
        <f t="shared" si="24"/>
        <v>2297026825.333333</v>
      </c>
      <c r="AB32" s="109">
        <f t="shared" si="24"/>
        <v>19839600</v>
      </c>
      <c r="AC32" s="107">
        <f t="shared" si="24"/>
        <v>95328498.066666663</v>
      </c>
      <c r="AD32" s="107">
        <f t="shared" si="24"/>
        <v>2181858727.2666674</v>
      </c>
      <c r="AE32" s="107"/>
      <c r="AF32" s="107">
        <f>SUM(AF3:AF31)</f>
        <v>1669500000</v>
      </c>
      <c r="AG32" s="107">
        <f>SUM(AG3:AG31)</f>
        <v>512358727.26666617</v>
      </c>
      <c r="AH32" s="107"/>
      <c r="AI32" s="107"/>
      <c r="AJ32" s="107"/>
      <c r="AK32" s="107">
        <f>SUM(AK3:AK31)</f>
        <v>6157822.0352777783</v>
      </c>
      <c r="AL32" s="107">
        <f>SUM(AL3:AL31)</f>
        <v>26073358</v>
      </c>
      <c r="AM32" s="109">
        <f>SUM(AM3:AM31)</f>
        <v>4595900</v>
      </c>
      <c r="AN32" s="107">
        <f>SUM(AN3:AN31)</f>
        <v>157687819.96472225</v>
      </c>
      <c r="AO32" s="107"/>
      <c r="AP32" s="107"/>
      <c r="AQ32" s="107"/>
      <c r="AR32" s="113"/>
    </row>
    <row r="33" spans="1:44" x14ac:dyDescent="0.3">
      <c r="A33" s="114"/>
      <c r="B33" s="114"/>
      <c r="C33" s="114"/>
      <c r="D33" s="115"/>
      <c r="E33" s="115"/>
      <c r="F33" s="114"/>
      <c r="G33" s="114"/>
      <c r="H33" s="114"/>
      <c r="I33" s="114"/>
      <c r="J33" s="114"/>
      <c r="K33" s="114"/>
      <c r="L33" s="116"/>
      <c r="M33" s="114"/>
      <c r="N33" s="114"/>
      <c r="O33" s="114"/>
      <c r="P33" s="114"/>
      <c r="Q33" s="117"/>
      <c r="R33" s="114"/>
      <c r="S33" s="114"/>
      <c r="T33" s="114"/>
      <c r="U33" s="114"/>
      <c r="V33" s="117"/>
      <c r="W33" s="117"/>
      <c r="X33" s="117"/>
      <c r="Y33" s="118"/>
      <c r="Z33" s="119"/>
      <c r="AA33" s="114"/>
      <c r="AB33" s="120"/>
      <c r="AC33" s="114"/>
      <c r="AD33" s="114"/>
      <c r="AE33" s="115"/>
      <c r="AF33" s="114"/>
      <c r="AG33" s="114"/>
      <c r="AH33" s="114"/>
      <c r="AI33" s="114"/>
      <c r="AJ33" s="114"/>
      <c r="AK33" s="114"/>
      <c r="AL33" s="114"/>
      <c r="AM33" s="114"/>
      <c r="AN33" s="121"/>
      <c r="AO33" s="122">
        <f>AN7+AN8+AN9+AN16+AN22+AN26+AN6+AN13+AN14+AN31+AN29+AN30+AN18</f>
        <v>55989812.180666663</v>
      </c>
      <c r="AP33" s="123" t="s">
        <v>61</v>
      </c>
      <c r="AQ33" s="114"/>
      <c r="AR33" s="124"/>
    </row>
    <row r="34" spans="1:44" x14ac:dyDescent="0.3">
      <c r="A34" s="114"/>
      <c r="B34" s="114"/>
      <c r="C34" s="114"/>
      <c r="D34" s="115"/>
      <c r="E34" s="115"/>
      <c r="F34" s="114"/>
      <c r="G34" s="114"/>
      <c r="H34" s="114"/>
      <c r="I34" s="114"/>
      <c r="J34" s="114"/>
      <c r="K34" s="114"/>
      <c r="L34" s="116"/>
      <c r="M34" s="114"/>
      <c r="N34" s="114"/>
      <c r="O34" s="114"/>
      <c r="P34" s="114">
        <f>0.3%</f>
        <v>3.0000000000000001E-3</v>
      </c>
      <c r="Q34" s="125">
        <v>2.3999999999999998E-3</v>
      </c>
      <c r="R34" s="114"/>
      <c r="S34" s="114">
        <f>3.7%</f>
        <v>3.7000000000000005E-2</v>
      </c>
      <c r="T34" s="114">
        <f>2%</f>
        <v>0.02</v>
      </c>
      <c r="U34" s="114"/>
      <c r="V34" s="125"/>
      <c r="W34" s="125"/>
      <c r="X34" s="125"/>
      <c r="Y34" s="118"/>
      <c r="Z34" s="119"/>
      <c r="AA34" s="114"/>
      <c r="AB34" s="120"/>
      <c r="AC34" s="114"/>
      <c r="AD34" s="114"/>
      <c r="AE34" s="115"/>
      <c r="AF34" s="114"/>
      <c r="AG34" s="114"/>
      <c r="AH34" s="114"/>
      <c r="AI34" s="114"/>
      <c r="AJ34" s="114"/>
      <c r="AK34" s="114"/>
      <c r="AL34" s="114"/>
      <c r="AM34" s="114"/>
      <c r="AN34" s="126"/>
      <c r="AO34" s="127">
        <f>AN3+AN4+AN5+AN10+AN11+AN12+AN15+AN17+AN19+AN20+AN21+AN23+AN24+AN25</f>
        <v>95031407.784055561</v>
      </c>
      <c r="AP34" s="128" t="s">
        <v>125</v>
      </c>
      <c r="AQ34" s="114"/>
      <c r="AR34" s="124"/>
    </row>
    <row r="35" spans="1:44" ht="15" thickBot="1" x14ac:dyDescent="0.35">
      <c r="A35" s="114"/>
      <c r="B35" s="114"/>
      <c r="C35" s="114"/>
      <c r="D35" s="115"/>
      <c r="E35" s="115"/>
      <c r="F35" s="114"/>
      <c r="G35" s="114"/>
      <c r="H35" s="114"/>
      <c r="I35" s="114"/>
      <c r="J35" s="114"/>
      <c r="K35" s="114"/>
      <c r="L35" s="116"/>
      <c r="M35" s="114"/>
      <c r="N35" s="114"/>
      <c r="O35" s="114"/>
      <c r="P35" s="126"/>
      <c r="Q35" s="114"/>
      <c r="R35" s="126"/>
      <c r="S35" s="126"/>
      <c r="T35" s="126"/>
      <c r="U35" s="126"/>
      <c r="V35" s="126"/>
      <c r="W35" s="126"/>
      <c r="X35" s="114"/>
      <c r="Y35" s="118"/>
      <c r="Z35" s="119"/>
      <c r="AA35" s="114"/>
      <c r="AB35" s="120"/>
      <c r="AC35" s="114"/>
      <c r="AD35" s="114"/>
      <c r="AE35" s="115"/>
      <c r="AF35" s="114"/>
      <c r="AG35" s="114"/>
      <c r="AH35" s="114"/>
      <c r="AI35" s="114"/>
      <c r="AJ35" s="114"/>
      <c r="AK35" s="114"/>
      <c r="AL35" s="114"/>
      <c r="AM35" s="114"/>
      <c r="AN35" s="126"/>
      <c r="AO35" s="129">
        <f>AN27+AN28</f>
        <v>6666600</v>
      </c>
      <c r="AP35" s="130" t="s">
        <v>126</v>
      </c>
      <c r="AQ35" s="114"/>
      <c r="AR35" s="124"/>
    </row>
    <row r="36" spans="1:44" x14ac:dyDescent="0.3">
      <c r="A36" s="114"/>
      <c r="B36" s="114"/>
      <c r="C36" s="114"/>
      <c r="D36" s="115"/>
      <c r="E36" s="115"/>
      <c r="F36" s="114"/>
      <c r="G36" s="114"/>
      <c r="H36" s="114"/>
      <c r="I36" s="114"/>
      <c r="J36" s="114"/>
      <c r="K36" s="114"/>
      <c r="L36" s="116"/>
      <c r="M36" s="114">
        <f>3340000</f>
        <v>3340000</v>
      </c>
      <c r="N36" s="114"/>
      <c r="O36" s="114"/>
      <c r="P36" s="126">
        <f>M36*P34</f>
        <v>10020</v>
      </c>
      <c r="Q36" s="114">
        <v>8015.9999999999991</v>
      </c>
      <c r="R36" s="126"/>
      <c r="S36" s="126">
        <f>M36*S34</f>
        <v>123580.00000000001</v>
      </c>
      <c r="T36" s="126">
        <f>M36*T34</f>
        <v>66800</v>
      </c>
      <c r="U36" s="126"/>
      <c r="V36" s="126">
        <f>SUM(P36:T36)</f>
        <v>208416</v>
      </c>
      <c r="W36" s="126"/>
      <c r="X36" s="114"/>
      <c r="Y36" s="118"/>
      <c r="Z36" s="119"/>
      <c r="AA36" s="114"/>
      <c r="AB36" s="120"/>
      <c r="AC36" s="114"/>
      <c r="AD36" s="114"/>
      <c r="AE36" s="115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24"/>
    </row>
  </sheetData>
  <mergeCells count="4">
    <mergeCell ref="D1:E1"/>
    <mergeCell ref="P1:Q1"/>
    <mergeCell ref="R1:T1"/>
    <mergeCell ref="A32:E32"/>
  </mergeCells>
  <dataValidations count="1">
    <dataValidation type="list" allowBlank="1" showInputMessage="1" showErrorMessage="1" sqref="AE3:AE27 AE29:AE31" xr:uid="{354124C4-7326-403C-98BF-EE9A1C551747}">
      <formula1>Stats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MIFTAHUL FIRDAUS</dc:creator>
  <cp:lastModifiedBy>MIFTAHUL FIRDAUS</cp:lastModifiedBy>
  <dcterms:created xsi:type="dcterms:W3CDTF">2019-08-05T16:14:01Z</dcterms:created>
  <dcterms:modified xsi:type="dcterms:W3CDTF">2019-08-05T16:15:43Z</dcterms:modified>
</cp:coreProperties>
</file>