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dmin/Desktop/workspace/DA8410 Fiscal and Monetary Policy Analysis/DA8410 Part 2/"/>
    </mc:Choice>
  </mc:AlternateContent>
  <bookViews>
    <workbookView xWindow="0" yWindow="460" windowWidth="27320" windowHeight="13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E57" i="1"/>
  <c r="F57" i="1"/>
  <c r="G57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C57" i="1"/>
  <c r="C63" i="1"/>
  <c r="C62" i="1"/>
  <c r="C61" i="1"/>
  <c r="C60" i="1"/>
  <c r="G55" i="1"/>
  <c r="G54" i="1"/>
  <c r="G53" i="1"/>
  <c r="G52" i="1"/>
  <c r="G51" i="1"/>
  <c r="F55" i="1"/>
  <c r="F54" i="1"/>
  <c r="F53" i="1"/>
  <c r="F52" i="1"/>
  <c r="F51" i="1"/>
  <c r="E55" i="1"/>
  <c r="E54" i="1"/>
  <c r="E53" i="1"/>
  <c r="E52" i="1"/>
  <c r="E51" i="1"/>
  <c r="D55" i="1"/>
  <c r="D54" i="1"/>
  <c r="D53" i="1"/>
  <c r="D52" i="1"/>
  <c r="D51" i="1"/>
  <c r="E56" i="1"/>
  <c r="F56" i="1"/>
  <c r="G56" i="1"/>
  <c r="M73" i="1"/>
  <c r="N73" i="1"/>
  <c r="O73" i="1"/>
  <c r="P73" i="1"/>
  <c r="L73" i="1"/>
  <c r="P70" i="1"/>
  <c r="M70" i="1"/>
  <c r="N70" i="1"/>
  <c r="O70" i="1"/>
  <c r="L70" i="1"/>
  <c r="P72" i="1"/>
  <c r="L72" i="1"/>
  <c r="M72" i="1"/>
  <c r="N72" i="1"/>
  <c r="O72" i="1"/>
  <c r="P74" i="1"/>
  <c r="O74" i="1"/>
  <c r="N74" i="1"/>
  <c r="M74" i="1"/>
  <c r="L74" i="1"/>
  <c r="P71" i="1"/>
  <c r="O71" i="1"/>
  <c r="N71" i="1"/>
  <c r="M71" i="1"/>
  <c r="L71" i="1"/>
  <c r="M66" i="1"/>
  <c r="N66" i="1"/>
  <c r="O66" i="1"/>
  <c r="P66" i="1"/>
  <c r="L66" i="1"/>
  <c r="M63" i="1"/>
  <c r="N63" i="1"/>
  <c r="O63" i="1"/>
  <c r="P63" i="1"/>
  <c r="L63" i="1"/>
  <c r="P65" i="1"/>
  <c r="L65" i="1"/>
  <c r="M65" i="1"/>
  <c r="N65" i="1"/>
  <c r="O65" i="1"/>
  <c r="P67" i="1"/>
  <c r="O67" i="1"/>
  <c r="N67" i="1"/>
  <c r="M67" i="1"/>
  <c r="L67" i="1"/>
  <c r="P64" i="1"/>
  <c r="O64" i="1"/>
  <c r="N64" i="1"/>
  <c r="M64" i="1"/>
  <c r="L64" i="1"/>
  <c r="M59" i="1"/>
  <c r="N59" i="1"/>
  <c r="O59" i="1"/>
  <c r="P59" i="1"/>
  <c r="L59" i="1"/>
  <c r="P58" i="1"/>
  <c r="O58" i="1"/>
  <c r="N58" i="1"/>
  <c r="M58" i="1"/>
  <c r="L58" i="1"/>
  <c r="P51" i="1"/>
  <c r="O51" i="1"/>
  <c r="N51" i="1"/>
  <c r="M51" i="1"/>
  <c r="L51" i="1"/>
  <c r="M56" i="1"/>
  <c r="N56" i="1"/>
  <c r="O56" i="1"/>
  <c r="P56" i="1"/>
  <c r="M57" i="1"/>
  <c r="N57" i="1"/>
  <c r="O57" i="1"/>
  <c r="P57" i="1"/>
  <c r="L56" i="1"/>
  <c r="P60" i="1"/>
  <c r="O60" i="1"/>
  <c r="N60" i="1"/>
  <c r="M60" i="1"/>
  <c r="L60" i="1"/>
  <c r="L57" i="1"/>
  <c r="L52" i="1"/>
  <c r="M52" i="1"/>
  <c r="N52" i="1"/>
  <c r="O52" i="1"/>
  <c r="P52" i="1"/>
  <c r="P53" i="1"/>
  <c r="O53" i="1"/>
  <c r="N53" i="1"/>
  <c r="M53" i="1"/>
  <c r="L53" i="1"/>
  <c r="D56" i="1"/>
  <c r="N49" i="1"/>
  <c r="O49" i="1"/>
  <c r="P49" i="1"/>
  <c r="N50" i="1"/>
  <c r="O50" i="1"/>
  <c r="P50" i="1"/>
  <c r="M49" i="1"/>
  <c r="M50" i="1"/>
  <c r="L50" i="1"/>
  <c r="L49" i="1"/>
  <c r="H40" i="1"/>
  <c r="H41" i="1"/>
  <c r="H42" i="1"/>
  <c r="H43" i="1"/>
  <c r="H44" i="1"/>
  <c r="H39" i="1"/>
  <c r="C39" i="1"/>
  <c r="D44" i="1"/>
  <c r="E44" i="1"/>
  <c r="F44" i="1"/>
  <c r="G44" i="1"/>
  <c r="C44" i="1"/>
  <c r="C41" i="1"/>
  <c r="D41" i="1"/>
  <c r="E41" i="1"/>
  <c r="F41" i="1"/>
  <c r="G41" i="1"/>
  <c r="D40" i="1"/>
  <c r="E40" i="1"/>
  <c r="F40" i="1"/>
  <c r="G40" i="1"/>
  <c r="G39" i="1"/>
  <c r="F39" i="1"/>
  <c r="E39" i="1"/>
  <c r="D39" i="1"/>
  <c r="C40" i="1"/>
  <c r="H29" i="1"/>
  <c r="E28" i="1"/>
  <c r="D27" i="1"/>
  <c r="E27" i="1"/>
  <c r="E29" i="1"/>
  <c r="E32" i="1"/>
  <c r="C32" i="1"/>
  <c r="E33" i="1"/>
  <c r="F27" i="1"/>
  <c r="F28" i="1"/>
  <c r="F29" i="1"/>
  <c r="F32" i="1"/>
  <c r="F33" i="1"/>
  <c r="G27" i="1"/>
  <c r="G28" i="1"/>
  <c r="G29" i="1"/>
  <c r="G32" i="1"/>
  <c r="G33" i="1"/>
  <c r="H27" i="1"/>
  <c r="H28" i="1"/>
  <c r="H32" i="1"/>
  <c r="H33" i="1"/>
  <c r="D28" i="1"/>
  <c r="D29" i="1"/>
  <c r="D32" i="1"/>
  <c r="I32" i="1"/>
  <c r="I33" i="1"/>
  <c r="D33" i="1"/>
  <c r="D21" i="1"/>
  <c r="E21" i="1"/>
  <c r="F21" i="1"/>
  <c r="C21" i="1"/>
  <c r="E9" i="1"/>
  <c r="F4" i="1"/>
  <c r="F5" i="1"/>
  <c r="F6" i="1"/>
  <c r="F7" i="1"/>
  <c r="F8" i="1"/>
  <c r="F9" i="1"/>
  <c r="C9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<sst xmlns="http://schemas.openxmlformats.org/spreadsheetml/2006/main" count="97" uniqueCount="64">
  <si>
    <t>Income Class</t>
  </si>
  <si>
    <t>% of household</t>
  </si>
  <si>
    <t>% of Income</t>
  </si>
  <si>
    <t>Lowest Income</t>
  </si>
  <si>
    <t>Amount of household</t>
  </si>
  <si>
    <t>Low Income</t>
  </si>
  <si>
    <t>Middle Income</t>
  </si>
  <si>
    <t>High Income</t>
  </si>
  <si>
    <t>Highest Income</t>
  </si>
  <si>
    <t>Total</t>
  </si>
  <si>
    <t>Income per month (avg)</t>
  </si>
  <si>
    <t>Propotion of PIT</t>
  </si>
  <si>
    <t>Proportion on GC</t>
  </si>
  <si>
    <t>Propotion on L &amp; T</t>
  </si>
  <si>
    <t>Propotion on T</t>
  </si>
  <si>
    <t>Type of Tax</t>
  </si>
  <si>
    <t>Total Amount (2010)</t>
  </si>
  <si>
    <t>Personal Income</t>
  </si>
  <si>
    <t>Corporate Income</t>
  </si>
  <si>
    <t>VAT</t>
  </si>
  <si>
    <t>Excise Tax</t>
  </si>
  <si>
    <t>Import Tax</t>
  </si>
  <si>
    <t>Percent</t>
  </si>
  <si>
    <t>Lowest income</t>
  </si>
  <si>
    <t>Low income</t>
  </si>
  <si>
    <t>High income</t>
  </si>
  <si>
    <t>Highest income</t>
  </si>
  <si>
    <t>Income class</t>
  </si>
  <si>
    <t>Table 4: Effective Tax Rate</t>
  </si>
  <si>
    <t>Table 3: The distributional effect of tax by income class</t>
  </si>
  <si>
    <t>in million baht</t>
  </si>
  <si>
    <t>Table 2: Consumption Expenditure Spent by Each Income Class</t>
  </si>
  <si>
    <t>Table 1: Household Income Distribution</t>
  </si>
  <si>
    <t>Average</t>
  </si>
  <si>
    <t>Table 5: Income Distribution Before and After Tax (% of total income)</t>
  </si>
  <si>
    <t>Pre-tax</t>
  </si>
  <si>
    <t>Post-tax (PIT)</t>
  </si>
  <si>
    <t>Post-tax (CIT)</t>
  </si>
  <si>
    <t>Post-tax (VAT)</t>
  </si>
  <si>
    <t>Post-tax (Total)</t>
  </si>
  <si>
    <t>Gini coefficient</t>
  </si>
  <si>
    <t>Personal Income Tax</t>
  </si>
  <si>
    <t>Lowest</t>
  </si>
  <si>
    <t>low</t>
  </si>
  <si>
    <t>middle</t>
  </si>
  <si>
    <t>high</t>
  </si>
  <si>
    <t>highest</t>
  </si>
  <si>
    <t>annual income</t>
  </si>
  <si>
    <t>annual income after tax</t>
  </si>
  <si>
    <t>percentage after tax</t>
  </si>
  <si>
    <t>Corporate Income Tax</t>
  </si>
  <si>
    <t>Total Tax</t>
  </si>
  <si>
    <t>Total Tax on household</t>
  </si>
  <si>
    <t>Total VAT on household</t>
  </si>
  <si>
    <t>annual income after VAT</t>
  </si>
  <si>
    <t>annual income after CIT</t>
  </si>
  <si>
    <t>Total CIT on household</t>
  </si>
  <si>
    <t>Total PIT on household</t>
  </si>
  <si>
    <t>percentage after VAT</t>
  </si>
  <si>
    <t>percentage after CIT</t>
  </si>
  <si>
    <t>percentage after PIT</t>
  </si>
  <si>
    <t>(1+1/5)</t>
  </si>
  <si>
    <t>sum tuple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</si>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</sst>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8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8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</a:t>
            </a:r>
            <a:r>
              <a:rPr lang="en-US" baseline="0"/>
              <a:t> Tax Rate (ETR)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Personal Income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Sheet1!$C$39:$G$39</c:f>
              <c:numCache>
                <c:formatCode>_(* #,##0.00_);_(* \(#,##0.00\);_(* "-"??_);_(@_)</c:formatCode>
                <c:ptCount val="5"/>
                <c:pt idx="0">
                  <c:v>1.808545183469406</c:v>
                </c:pt>
                <c:pt idx="1">
                  <c:v>1.348916631780195</c:v>
                </c:pt>
                <c:pt idx="2">
                  <c:v>7.920139960893279</c:v>
                </c:pt>
                <c:pt idx="3">
                  <c:v>7.399105839873435</c:v>
                </c:pt>
                <c:pt idx="4">
                  <c:v>11.25733650159847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Corporate Income 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Sheet1!$C$40:$G$40</c:f>
              <c:numCache>
                <c:formatCode>_(* #,##0.00_);_(* \(#,##0.00\);_(* "-"??_);_(@_)</c:formatCode>
                <c:ptCount val="5"/>
                <c:pt idx="0">
                  <c:v>18.43569321667376</c:v>
                </c:pt>
                <c:pt idx="1">
                  <c:v>16.0209382876843</c:v>
                </c:pt>
                <c:pt idx="2">
                  <c:v>17.04641476329134</c:v>
                </c:pt>
                <c:pt idx="3">
                  <c:v>13.65940933133268</c:v>
                </c:pt>
                <c:pt idx="4">
                  <c:v>13.42966431617783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VAT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Sheet1!$C$41:$G$41</c:f>
              <c:numCache>
                <c:formatCode>_(* #,##0.00_);_(* \(#,##0.00\);_(* "-"??_);_(@_)</c:formatCode>
                <c:ptCount val="5"/>
                <c:pt idx="0">
                  <c:v>24.052668723591</c:v>
                </c:pt>
                <c:pt idx="1">
                  <c:v>20.90218776944323</c:v>
                </c:pt>
                <c:pt idx="2">
                  <c:v>22.2401057778262</c:v>
                </c:pt>
                <c:pt idx="3">
                  <c:v>17.821149644068</c:v>
                </c:pt>
                <c:pt idx="4">
                  <c:v>17.52140606103756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_(* #,##0.00_);_(* \(#,##0.00\);_(* "-"??_);_(@_)</c:formatCode>
                <c:ptCount val="5"/>
                <c:pt idx="0">
                  <c:v>44.29690712373415</c:v>
                </c:pt>
                <c:pt idx="1">
                  <c:v>38.27204268890772</c:v>
                </c:pt>
                <c:pt idx="2">
                  <c:v>47.20666050201082</c:v>
                </c:pt>
                <c:pt idx="3">
                  <c:v>38.87966481527411</c:v>
                </c:pt>
                <c:pt idx="4">
                  <c:v>42.20840687881386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23712"/>
        <c:axId val="239666864"/>
      </c:lineChart>
      <c:catAx>
        <c:axId val="2399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66864"/>
        <c:crosses val="autoZero"/>
        <c:auto val="1"/>
        <c:lblAlgn val="ctr"/>
        <c:lblOffset val="100"/>
        <c:noMultiLvlLbl val="0"/>
      </c:catAx>
      <c:valAx>
        <c:axId val="2396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24</xdr:row>
      <xdr:rowOff>88900</xdr:rowOff>
    </xdr:from>
    <xdr:to>
      <xdr:col>12</xdr:col>
      <xdr:colOff>762000</xdr:colOff>
      <xdr:row>37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48" workbookViewId="0">
      <selection activeCell="G59" sqref="G59"/>
    </sheetView>
  </sheetViews>
  <sheetFormatPr baseColWidth="10" defaultRowHeight="16" x14ac:dyDescent="0.2"/>
  <cols>
    <col min="1" max="1" width="3" customWidth="1"/>
    <col min="2" max="2" width="18.83203125" customWidth="1"/>
    <col min="3" max="3" width="20.5" customWidth="1"/>
    <col min="4" max="4" width="15.1640625" customWidth="1"/>
    <col min="5" max="5" width="21.1640625" customWidth="1"/>
    <col min="6" max="6" width="14.5" customWidth="1"/>
    <col min="7" max="7" width="15.33203125" customWidth="1"/>
    <col min="8" max="8" width="16" customWidth="1"/>
    <col min="9" max="9" width="11.33203125" bestFit="1" customWidth="1"/>
    <col min="11" max="11" width="21.83203125" customWidth="1"/>
    <col min="12" max="12" width="23.5" bestFit="1" customWidth="1"/>
    <col min="13" max="13" width="18.33203125" customWidth="1"/>
    <col min="14" max="14" width="19.33203125" customWidth="1"/>
    <col min="15" max="15" width="19.1640625" customWidth="1"/>
    <col min="16" max="16" width="18.83203125" customWidth="1"/>
  </cols>
  <sheetData>
    <row r="1" spans="1:6" x14ac:dyDescent="0.2">
      <c r="B1" t="s">
        <v>32</v>
      </c>
    </row>
    <row r="3" spans="1:6" x14ac:dyDescent="0.2">
      <c r="B3" t="s">
        <v>0</v>
      </c>
      <c r="C3" t="s">
        <v>4</v>
      </c>
      <c r="D3" t="s">
        <v>1</v>
      </c>
      <c r="E3" t="s">
        <v>10</v>
      </c>
      <c r="F3" t="s">
        <v>2</v>
      </c>
    </row>
    <row r="4" spans="1:6" x14ac:dyDescent="0.2">
      <c r="A4">
        <v>1</v>
      </c>
      <c r="B4" t="s">
        <v>3</v>
      </c>
      <c r="C4" s="2">
        <v>3160000</v>
      </c>
      <c r="D4">
        <f>C4/C$9*100</f>
        <v>20</v>
      </c>
      <c r="E4" s="2">
        <v>4197</v>
      </c>
      <c r="F4" s="4">
        <f>E4/E$9*100</f>
        <v>8.1599720029552429</v>
      </c>
    </row>
    <row r="5" spans="1:6" x14ac:dyDescent="0.2">
      <c r="A5">
        <v>2</v>
      </c>
      <c r="B5" t="s">
        <v>5</v>
      </c>
      <c r="C5" s="2">
        <v>3160000</v>
      </c>
      <c r="D5">
        <f t="shared" ref="D5:D8" si="0">C5/C$9*100</f>
        <v>20</v>
      </c>
      <c r="E5" s="2">
        <v>6259</v>
      </c>
      <c r="F5" s="4">
        <f t="shared" ref="F5:F8" si="1">E5/E$9*100</f>
        <v>12.168993272932301</v>
      </c>
    </row>
    <row r="6" spans="1:6" x14ac:dyDescent="0.2">
      <c r="A6">
        <v>3</v>
      </c>
      <c r="B6" t="s">
        <v>6</v>
      </c>
      <c r="C6" s="2">
        <v>3160000</v>
      </c>
      <c r="D6">
        <f t="shared" si="0"/>
        <v>20</v>
      </c>
      <c r="E6" s="2">
        <v>8364</v>
      </c>
      <c r="F6" s="4">
        <f t="shared" si="1"/>
        <v>16.261616829334681</v>
      </c>
    </row>
    <row r="7" spans="1:6" x14ac:dyDescent="0.2">
      <c r="A7">
        <v>4</v>
      </c>
      <c r="B7" t="s">
        <v>7</v>
      </c>
      <c r="C7" s="2">
        <v>3160000</v>
      </c>
      <c r="D7">
        <f t="shared" si="0"/>
        <v>20</v>
      </c>
      <c r="E7" s="2">
        <v>11279</v>
      </c>
      <c r="F7" s="4">
        <f t="shared" si="1"/>
        <v>21.929074153283821</v>
      </c>
    </row>
    <row r="8" spans="1:6" x14ac:dyDescent="0.2">
      <c r="A8">
        <v>5</v>
      </c>
      <c r="B8" t="s">
        <v>8</v>
      </c>
      <c r="C8" s="2">
        <v>3160000</v>
      </c>
      <c r="D8">
        <f t="shared" si="0"/>
        <v>20</v>
      </c>
      <c r="E8" s="2">
        <v>21335</v>
      </c>
      <c r="F8" s="4">
        <f t="shared" si="1"/>
        <v>41.480343741493954</v>
      </c>
    </row>
    <row r="9" spans="1:6" x14ac:dyDescent="0.2">
      <c r="B9" t="s">
        <v>9</v>
      </c>
      <c r="C9" s="3">
        <f>SUM(C4:C8)</f>
        <v>15800000</v>
      </c>
      <c r="D9">
        <f>SUM(D4:D8)</f>
        <v>100</v>
      </c>
      <c r="E9" s="3">
        <f>SUM(E4:E8)</f>
        <v>51434</v>
      </c>
      <c r="F9" s="4">
        <f>SUM(F4:F8)</f>
        <v>100</v>
      </c>
    </row>
    <row r="13" spans="1:6" x14ac:dyDescent="0.2">
      <c r="B13" t="s">
        <v>31</v>
      </c>
    </row>
    <row r="15" spans="1:6" x14ac:dyDescent="0.2">
      <c r="B15" t="s">
        <v>0</v>
      </c>
      <c r="C15" t="s">
        <v>11</v>
      </c>
      <c r="D15" t="s">
        <v>12</v>
      </c>
      <c r="E15" t="s">
        <v>13</v>
      </c>
      <c r="F15" t="s">
        <v>14</v>
      </c>
    </row>
    <row r="16" spans="1:6" x14ac:dyDescent="0.2">
      <c r="A16">
        <v>1</v>
      </c>
      <c r="B16" t="s">
        <v>3</v>
      </c>
      <c r="C16">
        <v>1.87</v>
      </c>
      <c r="D16">
        <v>10.17</v>
      </c>
      <c r="E16">
        <v>9.1</v>
      </c>
      <c r="F16">
        <v>8.6999999999999993</v>
      </c>
    </row>
    <row r="17" spans="1:9" x14ac:dyDescent="0.2">
      <c r="A17">
        <v>2</v>
      </c>
      <c r="B17" t="s">
        <v>5</v>
      </c>
      <c r="C17">
        <v>2.08</v>
      </c>
      <c r="D17">
        <v>13.18</v>
      </c>
      <c r="E17">
        <v>11.2</v>
      </c>
      <c r="F17">
        <v>10.1</v>
      </c>
    </row>
    <row r="18" spans="1:9" x14ac:dyDescent="0.2">
      <c r="A18">
        <v>3</v>
      </c>
      <c r="B18" t="s">
        <v>6</v>
      </c>
      <c r="C18">
        <v>16.32</v>
      </c>
      <c r="D18">
        <v>18.739999999999998</v>
      </c>
      <c r="E18">
        <v>15.6</v>
      </c>
      <c r="F18">
        <v>14.7</v>
      </c>
    </row>
    <row r="19" spans="1:9" x14ac:dyDescent="0.2">
      <c r="A19">
        <v>4</v>
      </c>
      <c r="B19" t="s">
        <v>7</v>
      </c>
      <c r="C19">
        <v>20.56</v>
      </c>
      <c r="D19">
        <v>20.25</v>
      </c>
      <c r="E19">
        <v>26.9</v>
      </c>
      <c r="F19">
        <v>20</v>
      </c>
    </row>
    <row r="20" spans="1:9" x14ac:dyDescent="0.2">
      <c r="A20">
        <v>5</v>
      </c>
      <c r="B20" t="s">
        <v>8</v>
      </c>
      <c r="C20">
        <v>59.17</v>
      </c>
      <c r="D20">
        <v>37.659999999999997</v>
      </c>
      <c r="E20">
        <v>37.200000000000003</v>
      </c>
      <c r="F20">
        <v>46.5</v>
      </c>
    </row>
    <row r="21" spans="1:9" x14ac:dyDescent="0.2">
      <c r="B21" t="s">
        <v>9</v>
      </c>
      <c r="C21">
        <f>SUM(C16:C20)</f>
        <v>100</v>
      </c>
      <c r="D21">
        <f t="shared" ref="D21:F21" si="2">SUM(D16:D20)</f>
        <v>100</v>
      </c>
      <c r="E21">
        <f t="shared" si="2"/>
        <v>100</v>
      </c>
      <c r="F21">
        <f t="shared" si="2"/>
        <v>100</v>
      </c>
    </row>
    <row r="24" spans="1:9" x14ac:dyDescent="0.2">
      <c r="B24" t="s">
        <v>29</v>
      </c>
    </row>
    <row r="25" spans="1:9" x14ac:dyDescent="0.2">
      <c r="B25" t="s">
        <v>30</v>
      </c>
    </row>
    <row r="26" spans="1:9" x14ac:dyDescent="0.2">
      <c r="B26" t="s">
        <v>15</v>
      </c>
      <c r="C26" t="s">
        <v>16</v>
      </c>
      <c r="D26" t="s">
        <v>3</v>
      </c>
      <c r="E26" t="s">
        <v>5</v>
      </c>
      <c r="F26" t="s">
        <v>6</v>
      </c>
      <c r="G26" t="s">
        <v>7</v>
      </c>
      <c r="H26" t="s">
        <v>8</v>
      </c>
    </row>
    <row r="27" spans="1:9" x14ac:dyDescent="0.2">
      <c r="A27">
        <v>1</v>
      </c>
      <c r="B27" t="s">
        <v>17</v>
      </c>
      <c r="C27" s="5">
        <v>153920</v>
      </c>
      <c r="D27" s="1">
        <f>$C16*$C$27/100</f>
        <v>2878.3040000000001</v>
      </c>
      <c r="E27" s="1">
        <f>$C17*$C$27/100</f>
        <v>3201.5360000000005</v>
      </c>
      <c r="F27" s="1">
        <f>$C18*$C$27/100</f>
        <v>25119.743999999999</v>
      </c>
      <c r="G27" s="1">
        <f>$C19*$C$27/100</f>
        <v>31645.951999999997</v>
      </c>
      <c r="H27" s="1">
        <f>$C20*$C$27/100</f>
        <v>91074.464000000007</v>
      </c>
    </row>
    <row r="28" spans="1:9" x14ac:dyDescent="0.2">
      <c r="A28">
        <v>2</v>
      </c>
      <c r="B28" t="s">
        <v>18</v>
      </c>
      <c r="C28" s="5">
        <v>288500</v>
      </c>
      <c r="D28" s="6">
        <f>$D16*$C$28/100</f>
        <v>29340.45</v>
      </c>
      <c r="E28" s="6">
        <f>$D17*$C$28/100</f>
        <v>38024.300000000003</v>
      </c>
      <c r="F28" s="6">
        <f>$D18*$C$28/100</f>
        <v>54064.9</v>
      </c>
      <c r="G28" s="6">
        <f>$D19*$C$28/100</f>
        <v>58421.25</v>
      </c>
      <c r="H28" s="6">
        <f>$D20*$C$28/100</f>
        <v>108649.09999999998</v>
      </c>
    </row>
    <row r="29" spans="1:9" x14ac:dyDescent="0.2">
      <c r="A29">
        <v>3</v>
      </c>
      <c r="B29" t="s">
        <v>19</v>
      </c>
      <c r="C29" s="5">
        <v>376400</v>
      </c>
      <c r="D29" s="1">
        <f>$D16*$C$29/100</f>
        <v>38279.879999999997</v>
      </c>
      <c r="E29" s="1">
        <f>$D17*$C$29/100</f>
        <v>49609.52</v>
      </c>
      <c r="F29" s="1">
        <f>$D18*$C$29/100</f>
        <v>70537.359999999986</v>
      </c>
      <c r="G29" s="1">
        <f>$D19*$C$29/100</f>
        <v>76221</v>
      </c>
      <c r="H29" s="1">
        <f>$D20*$C$29/100</f>
        <v>141752.24</v>
      </c>
    </row>
    <row r="30" spans="1:9" x14ac:dyDescent="0.2">
      <c r="A30">
        <v>4</v>
      </c>
      <c r="B30" t="s">
        <v>20</v>
      </c>
      <c r="C30" s="5">
        <v>0</v>
      </c>
    </row>
    <row r="31" spans="1:9" x14ac:dyDescent="0.2">
      <c r="A31">
        <v>5</v>
      </c>
      <c r="B31" t="s">
        <v>21</v>
      </c>
      <c r="C31" s="5">
        <v>0</v>
      </c>
    </row>
    <row r="32" spans="1:9" x14ac:dyDescent="0.2">
      <c r="B32" t="s">
        <v>9</v>
      </c>
      <c r="C32" s="5">
        <f>SUM(C27:C31)</f>
        <v>818820</v>
      </c>
      <c r="D32" s="7">
        <f>SUM(D27:D31)</f>
        <v>70498.633999999991</v>
      </c>
      <c r="E32" s="7">
        <f t="shared" ref="E32:H32" si="3">SUM(E27:E31)</f>
        <v>90835.356</v>
      </c>
      <c r="F32" s="7">
        <f t="shared" si="3"/>
        <v>149722.00399999999</v>
      </c>
      <c r="G32" s="7">
        <f t="shared" si="3"/>
        <v>166288.20199999999</v>
      </c>
      <c r="H32" s="7">
        <f t="shared" si="3"/>
        <v>341475.804</v>
      </c>
      <c r="I32" s="7">
        <f>SUM(D32:H32)</f>
        <v>818820</v>
      </c>
    </row>
    <row r="33" spans="1:16" x14ac:dyDescent="0.2">
      <c r="B33" t="s">
        <v>22</v>
      </c>
      <c r="C33" s="5">
        <v>100</v>
      </c>
      <c r="D33" s="8">
        <f>D32/$C32</f>
        <v>8.6097840795290773E-2</v>
      </c>
      <c r="E33" s="8">
        <f t="shared" ref="E33:I33" si="4">E32/$C32</f>
        <v>0.11093446178647322</v>
      </c>
      <c r="F33" s="8">
        <f t="shared" si="4"/>
        <v>0.18285093671380767</v>
      </c>
      <c r="G33" s="8">
        <f t="shared" si="4"/>
        <v>0.20308273124740478</v>
      </c>
      <c r="H33" s="8">
        <f t="shared" si="4"/>
        <v>0.4170340294570235</v>
      </c>
      <c r="I33" s="8">
        <f t="shared" si="4"/>
        <v>1</v>
      </c>
    </row>
    <row r="36" spans="1:16" x14ac:dyDescent="0.2">
      <c r="B36" t="s">
        <v>28</v>
      </c>
    </row>
    <row r="37" spans="1:16" x14ac:dyDescent="0.2">
      <c r="C37" s="9" t="s">
        <v>27</v>
      </c>
      <c r="D37" s="9"/>
      <c r="E37" s="9"/>
      <c r="F37" s="9"/>
      <c r="G37" s="9"/>
    </row>
    <row r="38" spans="1:16" x14ac:dyDescent="0.2">
      <c r="B38" t="s">
        <v>15</v>
      </c>
      <c r="C38" t="s">
        <v>23</v>
      </c>
      <c r="D38" t="s">
        <v>24</v>
      </c>
      <c r="E38" t="s">
        <v>6</v>
      </c>
      <c r="F38" t="s">
        <v>25</v>
      </c>
      <c r="G38" t="s">
        <v>26</v>
      </c>
      <c r="H38" s="11" t="s">
        <v>33</v>
      </c>
    </row>
    <row r="39" spans="1:16" x14ac:dyDescent="0.2">
      <c r="A39">
        <v>1</v>
      </c>
      <c r="B39" t="s">
        <v>41</v>
      </c>
      <c r="C39" s="7">
        <f>(D27*100*1000000)/((E$4*12)*(C$4))</f>
        <v>1.808545183469406</v>
      </c>
      <c r="D39" s="7">
        <f>(E27*100*1000000)/((E$5*12)*(C$5))</f>
        <v>1.3489166317801946</v>
      </c>
      <c r="E39" s="7">
        <f>(F27*100*1000000)/((E$6*12)*(C$6))</f>
        <v>7.9201399608932794</v>
      </c>
      <c r="F39" s="7">
        <f>(G27*100*1000000)/((E$7*12)*(C$7))</f>
        <v>7.3991058398734353</v>
      </c>
      <c r="G39" s="7">
        <f>(H27*100*1000000)/((E$8*12)*(C$8))</f>
        <v>11.257336501598472</v>
      </c>
      <c r="H39" s="7">
        <f>SUM(C39:G39)/5</f>
        <v>5.9468088235229573</v>
      </c>
    </row>
    <row r="40" spans="1:16" x14ac:dyDescent="0.2">
      <c r="A40">
        <v>2</v>
      </c>
      <c r="B40" t="s">
        <v>50</v>
      </c>
      <c r="C40" s="7">
        <f>(D28*100*1000000)/((E$4*12)*(C$4))</f>
        <v>18.435693216673755</v>
      </c>
      <c r="D40" s="7">
        <f>(E28*100*1000000)/((E$5*12)*(C$5))</f>
        <v>16.020938287684302</v>
      </c>
      <c r="E40" s="7">
        <f>(F28*100*1000000)/((E$6*12)*(C$6))</f>
        <v>17.046414763291342</v>
      </c>
      <c r="F40" s="7">
        <f>(G28*100*1000000)/((E$7*12)*(C$7))</f>
        <v>13.659409331332677</v>
      </c>
      <c r="G40" s="7">
        <f>(H28*100*1000000)/((E$8*12)*(C$8))</f>
        <v>13.429664316177828</v>
      </c>
      <c r="H40" s="7">
        <f t="shared" ref="H40:H44" si="5">SUM(C40:G40)/5</f>
        <v>15.718423983031983</v>
      </c>
    </row>
    <row r="41" spans="1:16" x14ac:dyDescent="0.2">
      <c r="A41">
        <v>3</v>
      </c>
      <c r="B41" t="s">
        <v>19</v>
      </c>
      <c r="C41" s="7">
        <f>(D29*100*1000000)/((E$4*12)*(C$4))</f>
        <v>24.05266872359099</v>
      </c>
      <c r="D41" s="7">
        <f>(E29*100*1000000)/((E$5*12)*(C$5))</f>
        <v>20.902187769443227</v>
      </c>
      <c r="E41" s="7">
        <f>(F29*100*1000000)/((E$6*12)*(C$6))</f>
        <v>22.240105777826201</v>
      </c>
      <c r="F41" s="7">
        <f>(G29*100*1000000)/((E$7*12)*(C$7))</f>
        <v>17.821149644068004</v>
      </c>
      <c r="G41" s="7">
        <f>(H29*100*1000000)/((E$8*12)*(C$8))</f>
        <v>17.521406061037556</v>
      </c>
      <c r="H41" s="7">
        <f t="shared" si="5"/>
        <v>20.507503595193192</v>
      </c>
    </row>
    <row r="42" spans="1:16" x14ac:dyDescent="0.2">
      <c r="A42">
        <v>4</v>
      </c>
      <c r="B42" t="s">
        <v>20</v>
      </c>
      <c r="H42" s="7">
        <f t="shared" si="5"/>
        <v>0</v>
      </c>
    </row>
    <row r="43" spans="1:16" x14ac:dyDescent="0.2">
      <c r="A43">
        <v>5</v>
      </c>
      <c r="B43" t="s">
        <v>21</v>
      </c>
      <c r="H43" s="7">
        <f t="shared" si="5"/>
        <v>0</v>
      </c>
    </row>
    <row r="44" spans="1:16" x14ac:dyDescent="0.2">
      <c r="B44" t="s">
        <v>9</v>
      </c>
      <c r="C44" s="7">
        <f>SUM(C39:C43)</f>
        <v>44.296907123734151</v>
      </c>
      <c r="D44" s="7">
        <f t="shared" ref="D44:G44" si="6">SUM(D39:D43)</f>
        <v>38.272042688907725</v>
      </c>
      <c r="E44" s="7">
        <f t="shared" si="6"/>
        <v>47.20666050201082</v>
      </c>
      <c r="F44" s="7">
        <f t="shared" si="6"/>
        <v>38.879664815274111</v>
      </c>
      <c r="G44" s="7">
        <f t="shared" si="6"/>
        <v>42.208406878813861</v>
      </c>
      <c r="H44" s="7">
        <f t="shared" si="5"/>
        <v>42.172736401748132</v>
      </c>
    </row>
    <row r="48" spans="1:16" x14ac:dyDescent="0.2">
      <c r="L48" t="s">
        <v>42</v>
      </c>
      <c r="M48" t="s">
        <v>43</v>
      </c>
      <c r="N48" t="s">
        <v>44</v>
      </c>
      <c r="O48" t="s">
        <v>45</v>
      </c>
      <c r="P48" t="s">
        <v>46</v>
      </c>
    </row>
    <row r="49" spans="1:16" x14ac:dyDescent="0.2">
      <c r="B49" t="s">
        <v>34</v>
      </c>
      <c r="K49" t="s">
        <v>41</v>
      </c>
      <c r="L49" s="7">
        <f>D27</f>
        <v>2878.3040000000001</v>
      </c>
      <c r="M49" s="7">
        <f>E27</f>
        <v>3201.5360000000005</v>
      </c>
      <c r="N49" s="7">
        <f t="shared" ref="N49:P49" si="7">F27</f>
        <v>25119.743999999999</v>
      </c>
      <c r="O49" s="7">
        <f t="shared" si="7"/>
        <v>31645.951999999997</v>
      </c>
      <c r="P49" s="7">
        <f t="shared" si="7"/>
        <v>91074.464000000007</v>
      </c>
    </row>
    <row r="50" spans="1:16" x14ac:dyDescent="0.2">
      <c r="B50" t="s">
        <v>0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K50" s="4" t="s">
        <v>57</v>
      </c>
      <c r="L50" s="7">
        <f>L49*1000000</f>
        <v>2878304000</v>
      </c>
      <c r="M50" s="7">
        <f>M49*1000000</f>
        <v>3201536000.0000005</v>
      </c>
      <c r="N50" s="7">
        <f t="shared" ref="N50:P50" si="8">N49*1000000</f>
        <v>25119744000</v>
      </c>
      <c r="O50" s="7">
        <f t="shared" si="8"/>
        <v>31645951999.999996</v>
      </c>
      <c r="P50" s="7">
        <f t="shared" si="8"/>
        <v>91074464000</v>
      </c>
    </row>
    <row r="51" spans="1:16" x14ac:dyDescent="0.2">
      <c r="A51">
        <v>1</v>
      </c>
      <c r="B51" t="s">
        <v>3</v>
      </c>
      <c r="C51">
        <v>8.16</v>
      </c>
      <c r="D51" s="4">
        <f>$L$53*100</f>
        <v>8.6988951944351278</v>
      </c>
      <c r="E51" s="4">
        <f>$L$60*100</f>
        <v>7.811033435633707</v>
      </c>
      <c r="F51" s="4">
        <f>$L$67*100</f>
        <v>7.6792950912226638</v>
      </c>
      <c r="G51" s="4">
        <f>$L$74*100</f>
        <v>7.8344779859487108</v>
      </c>
      <c r="K51" s="4" t="s">
        <v>47</v>
      </c>
      <c r="L51" s="7">
        <f>$E$4*12*$C$4</f>
        <v>159150240000</v>
      </c>
      <c r="M51" s="7">
        <f>$E$5*12*$C$5</f>
        <v>237341280000</v>
      </c>
      <c r="N51" s="7">
        <f>$E$6*12*$C$6</f>
        <v>317162880000</v>
      </c>
      <c r="O51" s="7">
        <f>$E$7*12*$C$7</f>
        <v>427699680000</v>
      </c>
      <c r="P51" s="7">
        <f>$E$8*12*$C$8</f>
        <v>809023200000</v>
      </c>
    </row>
    <row r="52" spans="1:16" x14ac:dyDescent="0.2">
      <c r="A52">
        <v>2</v>
      </c>
      <c r="B52" t="s">
        <v>5</v>
      </c>
      <c r="C52">
        <v>12.17</v>
      </c>
      <c r="D52" s="4">
        <f>$M$53*100</f>
        <v>13.03341563457607</v>
      </c>
      <c r="E52" s="4">
        <f>$M$60*100</f>
        <v>11.993483658432348</v>
      </c>
      <c r="F52" s="4">
        <f>$M$67*100</f>
        <v>11.927221719490131</v>
      </c>
      <c r="G52" s="4">
        <f>$M$74*100</f>
        <v>12.947283057557634</v>
      </c>
      <c r="K52" t="s">
        <v>48</v>
      </c>
      <c r="L52" s="7">
        <f>L51-(D27*1000000)</f>
        <v>156271936000</v>
      </c>
      <c r="M52" s="7">
        <f>M51-(E27*1000000)</f>
        <v>234139744000</v>
      </c>
      <c r="N52" s="7">
        <f t="shared" ref="N52:P52" si="9">N51-(F27*1000000)</f>
        <v>292043136000</v>
      </c>
      <c r="O52" s="7">
        <f t="shared" si="9"/>
        <v>396053728000</v>
      </c>
      <c r="P52" s="7">
        <f t="shared" si="9"/>
        <v>717948736000</v>
      </c>
    </row>
    <row r="53" spans="1:16" x14ac:dyDescent="0.2">
      <c r="A53">
        <v>3</v>
      </c>
      <c r="B53" t="s">
        <v>6</v>
      </c>
      <c r="C53">
        <v>16.260000000000002</v>
      </c>
      <c r="D53" s="4">
        <f>$N$53*100</f>
        <v>16.256614574213533</v>
      </c>
      <c r="E53" s="4">
        <f>$N$60*100</f>
        <v>15.831372338154836</v>
      </c>
      <c r="F53" s="4">
        <f>$N$67*100</f>
        <v>15.668937737144464</v>
      </c>
      <c r="G53" s="4">
        <f>$N$74*100</f>
        <v>14.79738400869994</v>
      </c>
      <c r="K53" t="s">
        <v>60</v>
      </c>
      <c r="L53" s="8">
        <f>L52/SUM($L52:$P52)</f>
        <v>8.6988951944351273E-2</v>
      </c>
      <c r="M53" s="8">
        <f t="shared" ref="M53:P53" si="10">M52/SUM($L52:$P52)</f>
        <v>0.1303341563457607</v>
      </c>
      <c r="N53" s="8">
        <f t="shared" si="10"/>
        <v>0.16256614574213532</v>
      </c>
      <c r="O53" s="8">
        <f t="shared" si="10"/>
        <v>0.22046376076362917</v>
      </c>
      <c r="P53" s="8">
        <f t="shared" si="10"/>
        <v>0.39964698520412351</v>
      </c>
    </row>
    <row r="54" spans="1:16" x14ac:dyDescent="0.2">
      <c r="A54">
        <v>4</v>
      </c>
      <c r="B54" t="s">
        <v>7</v>
      </c>
      <c r="C54">
        <v>21.91</v>
      </c>
      <c r="D54" s="4">
        <f>$O$53*100</f>
        <v>22.046376076362918</v>
      </c>
      <c r="E54" s="4">
        <f>$O$60*100</f>
        <v>22.220559510868334</v>
      </c>
      <c r="F54" s="4">
        <f>$O$67*100</f>
        <v>22.330606957681116</v>
      </c>
      <c r="G54" s="4">
        <f>$O$74*100</f>
        <v>23.101921804612491</v>
      </c>
    </row>
    <row r="55" spans="1:16" x14ac:dyDescent="0.2">
      <c r="A55">
        <v>5</v>
      </c>
      <c r="B55" t="s">
        <v>8</v>
      </c>
      <c r="C55">
        <v>41.48</v>
      </c>
      <c r="D55" s="4">
        <f>$P$53*100</f>
        <v>39.964698520412348</v>
      </c>
      <c r="E55" s="4">
        <f>$P$60*100</f>
        <v>42.143551056910773</v>
      </c>
      <c r="F55" s="4">
        <f>$P$67*100</f>
        <v>42.393938494461622</v>
      </c>
      <c r="G55" s="4">
        <f>$P$74*100</f>
        <v>41.318933143181226</v>
      </c>
    </row>
    <row r="56" spans="1:16" x14ac:dyDescent="0.2">
      <c r="B56" t="s">
        <v>9</v>
      </c>
      <c r="C56">
        <v>100</v>
      </c>
      <c r="D56" s="10">
        <f>SUM(D51:D55)</f>
        <v>100</v>
      </c>
      <c r="E56" s="10">
        <f t="shared" ref="E56:G56" si="11">SUM(E51:E55)</f>
        <v>100</v>
      </c>
      <c r="F56" s="10">
        <f t="shared" si="11"/>
        <v>100</v>
      </c>
      <c r="G56" s="10">
        <f t="shared" si="11"/>
        <v>100</v>
      </c>
      <c r="K56" t="s">
        <v>50</v>
      </c>
      <c r="L56" s="7">
        <f>D28</f>
        <v>29340.45</v>
      </c>
      <c r="M56" s="7">
        <f t="shared" ref="M56:P56" si="12">E28</f>
        <v>38024.300000000003</v>
      </c>
      <c r="N56" s="7">
        <f t="shared" si="12"/>
        <v>54064.9</v>
      </c>
      <c r="O56" s="7">
        <f t="shared" si="12"/>
        <v>58421.25</v>
      </c>
      <c r="P56" s="7">
        <f t="shared" si="12"/>
        <v>108649.09999999998</v>
      </c>
    </row>
    <row r="57" spans="1:16" x14ac:dyDescent="0.2">
      <c r="B57" t="s">
        <v>40</v>
      </c>
      <c r="C57" s="12">
        <f>C63</f>
        <v>0.30576000000000003</v>
      </c>
      <c r="D57" s="12">
        <f t="shared" ref="D57:G57" si="13">D63</f>
        <v>0.28617826837496518</v>
      </c>
      <c r="E57" s="12">
        <f t="shared" si="13"/>
        <v>0.31556844437996046</v>
      </c>
      <c r="F57" s="12">
        <f t="shared" si="13"/>
        <v>0.3193306881786756</v>
      </c>
      <c r="G57" s="12">
        <f t="shared" si="13"/>
        <v>0.30849419624607943</v>
      </c>
      <c r="K57" s="4" t="s">
        <v>56</v>
      </c>
      <c r="L57" s="7">
        <f>L56*1000000</f>
        <v>29340450000</v>
      </c>
      <c r="M57" s="7">
        <f t="shared" ref="M57:P57" si="14">M56*1000000</f>
        <v>38024300000</v>
      </c>
      <c r="N57" s="7">
        <f t="shared" si="14"/>
        <v>54064900000</v>
      </c>
      <c r="O57" s="7">
        <f t="shared" si="14"/>
        <v>58421250000</v>
      </c>
      <c r="P57" s="7">
        <f t="shared" si="14"/>
        <v>108649099999.99997</v>
      </c>
    </row>
    <row r="58" spans="1:16" x14ac:dyDescent="0.2">
      <c r="C58">
        <v>0.30580000000000002</v>
      </c>
      <c r="K58" s="4" t="s">
        <v>47</v>
      </c>
      <c r="L58" s="7">
        <f>$E$4*12*$C$4</f>
        <v>159150240000</v>
      </c>
      <c r="M58" s="7">
        <f>$E$5*12*$C$5</f>
        <v>237341280000</v>
      </c>
      <c r="N58" s="7">
        <f>$E$6*12*$C$6</f>
        <v>317162880000</v>
      </c>
      <c r="O58" s="7">
        <f>$E$7*12*$C$7</f>
        <v>427699680000</v>
      </c>
      <c r="P58" s="7">
        <f>$E$8*12*$C$8</f>
        <v>809023200000</v>
      </c>
    </row>
    <row r="59" spans="1:16" x14ac:dyDescent="0.2">
      <c r="K59" t="s">
        <v>55</v>
      </c>
      <c r="L59" s="7">
        <f>L58-(D28*1000000)</f>
        <v>129809790000</v>
      </c>
      <c r="M59" s="7">
        <f t="shared" ref="M59:P59" si="15">M58-(E28*1000000)</f>
        <v>199316980000</v>
      </c>
      <c r="N59" s="7">
        <f t="shared" si="15"/>
        <v>263097980000</v>
      </c>
      <c r="O59" s="7">
        <f t="shared" si="15"/>
        <v>369278430000</v>
      </c>
      <c r="P59" s="7">
        <f t="shared" si="15"/>
        <v>700374100000</v>
      </c>
    </row>
    <row r="60" spans="1:16" x14ac:dyDescent="0.2">
      <c r="B60" t="s">
        <v>61</v>
      </c>
      <c r="C60">
        <f>1+(1/5)</f>
        <v>1.2</v>
      </c>
      <c r="D60">
        <f t="shared" ref="D60:G60" si="16">1+(1/5)</f>
        <v>1.2</v>
      </c>
      <c r="E60">
        <f t="shared" si="16"/>
        <v>1.2</v>
      </c>
      <c r="F60">
        <f t="shared" si="16"/>
        <v>1.2</v>
      </c>
      <c r="G60">
        <f t="shared" si="16"/>
        <v>1.2</v>
      </c>
      <c r="K60" t="s">
        <v>59</v>
      </c>
      <c r="L60" s="8">
        <f>L59/SUM($L59:$P59)</f>
        <v>7.8110334356337074E-2</v>
      </c>
      <c r="M60" s="8">
        <f t="shared" ref="M60" si="17">M59/SUM($L59:$P59)</f>
        <v>0.11993483658432348</v>
      </c>
      <c r="N60" s="8">
        <f t="shared" ref="N60" si="18">N59/SUM($L59:$P59)</f>
        <v>0.15831372338154837</v>
      </c>
      <c r="O60" s="8">
        <f t="shared" ref="O60" si="19">O59/SUM($L59:$P59)</f>
        <v>0.22220559510868335</v>
      </c>
      <c r="P60" s="8">
        <f t="shared" ref="P60" si="20">P59/SUM($L59:$P59)</f>
        <v>0.42143551056910772</v>
      </c>
    </row>
    <row r="61" spans="1:16" x14ac:dyDescent="0.2">
      <c r="B61" t="s">
        <v>62</v>
      </c>
      <c r="C61">
        <f>(5*C51)+(4*C52)+(3*C53)+(2*C54)+C55</f>
        <v>223.55999999999997</v>
      </c>
      <c r="D61">
        <f t="shared" ref="D61:G61" si="21">(5*D51)+(4*D52)+(3*D53)+(2*D54)+D55</f>
        <v>228.45543290625869</v>
      </c>
      <c r="E61">
        <f t="shared" si="21"/>
        <v>221.10788890500987</v>
      </c>
      <c r="F61">
        <f t="shared" si="21"/>
        <v>220.16732795533107</v>
      </c>
      <c r="G61">
        <f t="shared" si="21"/>
        <v>222.87645093848013</v>
      </c>
    </row>
    <row r="62" spans="1:16" x14ac:dyDescent="0.2">
      <c r="C62">
        <f>2*(C61/(5*100))</f>
        <v>0.89423999999999992</v>
      </c>
      <c r="D62">
        <f t="shared" ref="D62:G62" si="22">2*(D61/(5*100))</f>
        <v>0.91382173162503477</v>
      </c>
      <c r="E62">
        <f t="shared" si="22"/>
        <v>0.8844315556200395</v>
      </c>
      <c r="F62">
        <f t="shared" si="22"/>
        <v>0.88066931182132435</v>
      </c>
      <c r="G62">
        <f t="shared" si="22"/>
        <v>0.89150580375392052</v>
      </c>
    </row>
    <row r="63" spans="1:16" x14ac:dyDescent="0.2">
      <c r="B63" t="s">
        <v>63</v>
      </c>
      <c r="C63">
        <f>C60-C62</f>
        <v>0.30576000000000003</v>
      </c>
      <c r="D63">
        <f t="shared" ref="D63:G63" si="23">D60-D62</f>
        <v>0.28617826837496518</v>
      </c>
      <c r="E63">
        <f t="shared" si="23"/>
        <v>0.31556844437996046</v>
      </c>
      <c r="F63">
        <f t="shared" si="23"/>
        <v>0.3193306881786756</v>
      </c>
      <c r="G63">
        <f t="shared" si="23"/>
        <v>0.30849419624607943</v>
      </c>
      <c r="K63" t="s">
        <v>19</v>
      </c>
      <c r="L63" s="7">
        <f>D29</f>
        <v>38279.879999999997</v>
      </c>
      <c r="M63" s="7">
        <f t="shared" ref="M63:P63" si="24">E29</f>
        <v>49609.52</v>
      </c>
      <c r="N63" s="7">
        <f t="shared" si="24"/>
        <v>70537.359999999986</v>
      </c>
      <c r="O63" s="7">
        <f t="shared" si="24"/>
        <v>76221</v>
      </c>
      <c r="P63" s="7">
        <f t="shared" si="24"/>
        <v>141752.24</v>
      </c>
    </row>
    <row r="64" spans="1:16" x14ac:dyDescent="0.2">
      <c r="K64" s="4" t="s">
        <v>53</v>
      </c>
      <c r="L64" s="7">
        <f>L63*1000000</f>
        <v>38279880000</v>
      </c>
      <c r="M64" s="7">
        <f t="shared" ref="M64" si="25">M63*1000000</f>
        <v>49609520000</v>
      </c>
      <c r="N64" s="7">
        <f t="shared" ref="N64" si="26">N63*1000000</f>
        <v>70537359999.999985</v>
      </c>
      <c r="O64" s="7">
        <f t="shared" ref="O64" si="27">O63*1000000</f>
        <v>76221000000</v>
      </c>
      <c r="P64" s="7">
        <f t="shared" ref="P64" si="28">P63*1000000</f>
        <v>141752240000</v>
      </c>
    </row>
    <row r="65" spans="11:16" x14ac:dyDescent="0.2">
      <c r="K65" s="4" t="s">
        <v>47</v>
      </c>
      <c r="L65" s="7">
        <f>$E$4*12*$C$4</f>
        <v>159150240000</v>
      </c>
      <c r="M65" s="7">
        <f>$E$5*12*$C$5</f>
        <v>237341280000</v>
      </c>
      <c r="N65" s="7">
        <f>$E$6*12*$C$6</f>
        <v>317162880000</v>
      </c>
      <c r="O65" s="7">
        <f>$E$7*12*$C$7</f>
        <v>427699680000</v>
      </c>
      <c r="P65" s="7">
        <f>$E$8*12*$C$8</f>
        <v>809023200000</v>
      </c>
    </row>
    <row r="66" spans="11:16" x14ac:dyDescent="0.2">
      <c r="K66" t="s">
        <v>54</v>
      </c>
      <c r="L66" s="7">
        <f>L65-(D29*1000000)</f>
        <v>120870360000</v>
      </c>
      <c r="M66" s="7">
        <f t="shared" ref="M66:P66" si="29">M65-(E29*1000000)</f>
        <v>187731760000</v>
      </c>
      <c r="N66" s="7">
        <f t="shared" si="29"/>
        <v>246625520000</v>
      </c>
      <c r="O66" s="7">
        <f t="shared" si="29"/>
        <v>351478680000</v>
      </c>
      <c r="P66" s="7">
        <f t="shared" si="29"/>
        <v>667270960000</v>
      </c>
    </row>
    <row r="67" spans="11:16" x14ac:dyDescent="0.2">
      <c r="K67" t="s">
        <v>58</v>
      </c>
      <c r="L67" s="8">
        <f>L66/SUM($L66:$P66)</f>
        <v>7.679295091222664E-2</v>
      </c>
      <c r="M67" s="8">
        <f t="shared" ref="M67" si="30">M66/SUM($L66:$P66)</f>
        <v>0.11927221719490132</v>
      </c>
      <c r="N67" s="8">
        <f t="shared" ref="N67" si="31">N66/SUM($L66:$P66)</f>
        <v>0.15668937737144464</v>
      </c>
      <c r="O67" s="8">
        <f t="shared" ref="O67" si="32">O66/SUM($L66:$P66)</f>
        <v>0.22330606957681118</v>
      </c>
      <c r="P67" s="8">
        <f t="shared" ref="P67" si="33">P66/SUM($L66:$P66)</f>
        <v>0.42393938494461625</v>
      </c>
    </row>
    <row r="70" spans="11:16" x14ac:dyDescent="0.2">
      <c r="K70" t="s">
        <v>51</v>
      </c>
      <c r="L70" s="7">
        <f>D32</f>
        <v>70498.633999999991</v>
      </c>
      <c r="M70" s="7">
        <f t="shared" ref="M70:O70" si="34">E32</f>
        <v>90835.356</v>
      </c>
      <c r="N70" s="7">
        <f t="shared" si="34"/>
        <v>149722.00399999999</v>
      </c>
      <c r="O70" s="7">
        <f t="shared" si="34"/>
        <v>166288.20199999999</v>
      </c>
      <c r="P70" s="7">
        <f>H32</f>
        <v>341475.804</v>
      </c>
    </row>
    <row r="71" spans="11:16" x14ac:dyDescent="0.2">
      <c r="K71" s="4" t="s">
        <v>52</v>
      </c>
      <c r="L71" s="7">
        <f>L70*1000000</f>
        <v>70498633999.999985</v>
      </c>
      <c r="M71" s="7">
        <f t="shared" ref="M71" si="35">M70*1000000</f>
        <v>90835356000</v>
      </c>
      <c r="N71" s="7">
        <f t="shared" ref="N71" si="36">N70*1000000</f>
        <v>149722004000</v>
      </c>
      <c r="O71" s="7">
        <f t="shared" ref="O71" si="37">O70*1000000</f>
        <v>166288202000</v>
      </c>
      <c r="P71" s="7">
        <f t="shared" ref="P71" si="38">P70*1000000</f>
        <v>341475804000</v>
      </c>
    </row>
    <row r="72" spans="11:16" x14ac:dyDescent="0.2">
      <c r="K72" s="4" t="s">
        <v>47</v>
      </c>
      <c r="L72" s="7">
        <f>$E$4*12*$C$4</f>
        <v>159150240000</v>
      </c>
      <c r="M72" s="7">
        <f>$E$5*12*$C$5</f>
        <v>237341280000</v>
      </c>
      <c r="N72" s="7">
        <f>$E$6*12*$C$6</f>
        <v>317162880000</v>
      </c>
      <c r="O72" s="7">
        <f>$E$7*12*$C$7</f>
        <v>427699680000</v>
      </c>
      <c r="P72" s="7">
        <f>$E$8*12*$C$8</f>
        <v>809023200000</v>
      </c>
    </row>
    <row r="73" spans="11:16" x14ac:dyDescent="0.2">
      <c r="K73" t="s">
        <v>48</v>
      </c>
      <c r="L73" s="7">
        <f>L72-L71</f>
        <v>88651606000.000015</v>
      </c>
      <c r="M73" s="7">
        <f t="shared" ref="M73:P73" si="39">M72-M71</f>
        <v>146505924000</v>
      </c>
      <c r="N73" s="7">
        <f t="shared" si="39"/>
        <v>167440876000</v>
      </c>
      <c r="O73" s="7">
        <f t="shared" si="39"/>
        <v>261411478000</v>
      </c>
      <c r="P73" s="7">
        <f t="shared" si="39"/>
        <v>467547396000</v>
      </c>
    </row>
    <row r="74" spans="11:16" x14ac:dyDescent="0.2">
      <c r="K74" t="s">
        <v>49</v>
      </c>
      <c r="L74" s="8">
        <f>L73/SUM($L73:$P73)</f>
        <v>7.834477985948711E-2</v>
      </c>
      <c r="M74" s="8">
        <f t="shared" ref="M74" si="40">M73/SUM($L73:$P73)</f>
        <v>0.12947283057557635</v>
      </c>
      <c r="N74" s="8">
        <f t="shared" ref="N74" si="41">N73/SUM($L73:$P73)</f>
        <v>0.1479738400869994</v>
      </c>
      <c r="O74" s="8">
        <f t="shared" ref="O74" si="42">O73/SUM($L73:$P73)</f>
        <v>0.23101921804612491</v>
      </c>
      <c r="P74" s="8">
        <f t="shared" ref="P74" si="43">P73/SUM($L73:$P73)</f>
        <v>0.41318933143181225</v>
      </c>
    </row>
  </sheetData>
  <mergeCells count="1">
    <mergeCell ref="C37:G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2021-05-01T16:34:52Z</dcterms:created>
  <dcterms:modified xsi:type="dcterms:W3CDTF">2021-05-06T13:37:23Z</dcterms:modified>
</cp:coreProperties>
</file>