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hul\Dropbox\DOT Fintech\DOT Fintech Product Development\DotCast\Research and Reports\"/>
    </mc:Choice>
  </mc:AlternateContent>
  <xr:revisionPtr revIDLastSave="0" documentId="13_ncr:1_{5BCE5C90-7959-48FF-9CA8-7AFCAF75512E}" xr6:coauthVersionLast="45" xr6:coauthVersionMax="45" xr10:uidLastSave="{00000000-0000-0000-0000-000000000000}"/>
  <bookViews>
    <workbookView xWindow="-108" yWindow="-108" windowWidth="23256" windowHeight="12576" xr2:uid="{1773FBD8-644D-4464-9745-8C3CA6C41E8C}"/>
  </bookViews>
  <sheets>
    <sheet name="Profit Summary" sheetId="1" r:id="rId1"/>
    <sheet name="Profit &amp; loss account detail" sheetId="2" r:id="rId2"/>
    <sheet name="Balance sheet" sheetId="3" r:id="rId3"/>
    <sheet name="Cash Flow statement" sheetId="5" r:id="rId4"/>
    <sheet name="Fixed assets" sheetId="4" r:id="rId5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\" localSheetId="2">TEXT(Comparative_Period+1,"d mmmm yyyy")</definedName>
    <definedName name="\" localSheetId="4">TEXT(Comparative_Period+1,"d mmmm yyyy")</definedName>
    <definedName name="\" localSheetId="1">TEXT(Comparative_Period+1,"d mmmm yyyy")</definedName>
    <definedName name="\">TEXT(Comparative_Period+1,"d mmmm yyyy")</definedName>
    <definedName name="____ABC1">TEXT(Current_Period,"d mmmm")</definedName>
    <definedName name="____ABC4">TEXT(Comparative_Period+1,"d mmmm yyyy")</definedName>
    <definedName name="____ABC5">TEXT(Comparative_Period+1,"d mmmm")</definedName>
    <definedName name="____ABC6">TEXT(Comparative_Period+1,"d mmm yyyy")</definedName>
    <definedName name="____ABC7">TEXT(Comparative_Period+1,"d mmmm yyyy")</definedName>
    <definedName name="___ABC1">TEXT(Current_Period,"d mmmm")</definedName>
    <definedName name="___ABC2">TEXT(Current_Period,"d mmm yyyy")</definedName>
    <definedName name="___ABC4">TEXT(Comparative_Period+1,"d mmmm yyyy")</definedName>
    <definedName name="___ABC5">TEXT(Comparative_Period+1,"d mmmm")</definedName>
    <definedName name="___ABC6">TEXT(Comparative_Period+1,"d mmm yyyy")</definedName>
    <definedName name="___ABC7">TEXT(Comparative_Period+1,"d mmmm yyyy")</definedName>
    <definedName name="__ABC1">TEXT(Current_Period,"d mmmm")</definedName>
    <definedName name="__ABC2">TEXT(Current_Period,"d mmm yyyy")</definedName>
    <definedName name="__ABC4">TEXT(Comparative_Period+1,"d mmmm yyyy")</definedName>
    <definedName name="__ABC5">TEXT(Comparative_Period+1,"d mmmm")</definedName>
    <definedName name="__ABC6">TEXT(Comparative_Period+1,"d mmm yyyy")</definedName>
    <definedName name="__ABC7">TEXT(Comparative_Period+1,"d mmmm yyyy")</definedName>
    <definedName name="_ABC1" localSheetId="1">TEXT(Current_Period,"d mmmm")</definedName>
    <definedName name="_ABC2" localSheetId="1">TEXT(Current_Period,"d mmm yyyy")</definedName>
    <definedName name="_ABC4" localSheetId="1">TEXT(Comparative_Period+1,"d mmmm yyyy")</definedName>
    <definedName name="_ABC5" localSheetId="1">TEXT(Comparative_Period+1,"d mmmm")</definedName>
    <definedName name="_ABC6" localSheetId="1">TEXT(Comparative_Period+1,"d mmm yyyy")</definedName>
    <definedName name="_ABC7" localSheetId="1">TEXT(Comparative_Period+1,"d mmmm yyyy")</definedName>
    <definedName name="a" localSheetId="2">TEXT(Comparative_Period+1,"d mmmm")</definedName>
    <definedName name="a" localSheetId="4">TEXT(Comparative_Period+1,"d mmmm")</definedName>
    <definedName name="a" localSheetId="1">TEXT(Comparative_Period+1,"d mmmm")</definedName>
    <definedName name="a">TEXT(Comparative_Period+1,"d mmmm")</definedName>
    <definedName name="abc">#REF!</definedName>
    <definedName name="abcd">#REF!</definedName>
    <definedName name="abcd2">#REF!</definedName>
    <definedName name="AnnualLowerEarningsLimit">3484</definedName>
    <definedName name="AnnualPrimaryThreshold">4628</definedName>
    <definedName name="AnnualSecondaryThreshold">4615</definedName>
    <definedName name="AnnualUpperEarningsLimit">30940</definedName>
    <definedName name="archana">[1]Summary!$A$65:$A$66</definedName>
    <definedName name="BalTest_Abbreviated.balance.sheet.foot.totals">[2]AbbBS!$E$31,[2]AbbBS!$E$40</definedName>
    <definedName name="BalTest_Abbreviated.balance.sheet.foot.totals.Comparatives">[2]AbbBS!$H$31,[2]AbbBS!$H$40</definedName>
    <definedName name="BalTest_Balance.sheet.foot.totals">[2]BS!$E$31,[2]BS!$E$40</definedName>
    <definedName name="BalTest_Balance.sheet.foot.totals.Comparatives">[2]BS!$H$31,[2]BS!$H$40</definedName>
    <definedName name="BalTest_Capital.redemption.reserve.brought.forward.IfVisible">[2]Notes!$I$277,[2]Notes!$G$274</definedName>
    <definedName name="BalTest_Cash.flow.foot.totals">[2]CF!$E$40,[2]CF!$E$46</definedName>
    <definedName name="BalTest_Cash.flow.foot.totals.Comparatives">[2]CF!$G$40,[2]CF!$G$46</definedName>
    <definedName name="BalTest_Deferred.tax.brought.forward.IfVisible">[2]Notes!$G$226,[2]Notes!$I$229</definedName>
    <definedName name="BalTest_Fixed.assets.brought.forward.IfVisible">[2]Workings!$H$47,[2]Workings!$H$67</definedName>
    <definedName name="BalTest_Intangible.fixed.assets.brought.forward.IfVisible">[2]Workings!$F$21,[2]Workings!$F$23</definedName>
    <definedName name="BalTest_Investments.brought.forward.IfVisible">[2]Workings!$H$78,[2]Workings!$H$95</definedName>
    <definedName name="BalTest_PL.compared.with.DetailPL">[2]PL!$G$32,[2]DetailPL1!$C$26</definedName>
    <definedName name="BalTest_PL.compared.with.DetailPL.Comparatives">[2]PL!$I$32,[2]DetailPL1!$E$26</definedName>
    <definedName name="BalTest_Profit.and.loss.account.brought.forward.IfVisible">[2]Notes!$I$288,[2]Notes!$G$283</definedName>
    <definedName name="BalTest_Revaluation.reserve.brought.forward.IfVisible">[2]Notes!$I$268,[2]Notes!$G$265</definedName>
    <definedName name="BalTest_Share.capital.brought.forward.IfVisible">[2]Notes!#REF!,[2]Notes!#REF!</definedName>
    <definedName name="BalTest_Share.premium.brought.forward.IfVisible">[2]Notes!$I$259,[2]Notes!$G$255</definedName>
    <definedName name="BasicRate">0.22</definedName>
    <definedName name="BasicRateThreshold">1920</definedName>
    <definedName name="BP1_An">[3]BP1!$I$7:$I$46</definedName>
    <definedName name="BP1_Clrd">[4]BP1!$E$7:$E$46</definedName>
    <definedName name="BP1_Gr">[4]BP1!$F$7:$F$46</definedName>
    <definedName name="BP1_Gross">[3]BP1!$F$47</definedName>
    <definedName name="BP1_Net">[3]BP1!$H$7:$H$46</definedName>
    <definedName name="BP1_VAT">[3]BP1!$G$47</definedName>
    <definedName name="BP10_An">[3]BP10!$I$7:$I$46</definedName>
    <definedName name="BP10_Clrd">[4]BP10!$E$7:$E$46</definedName>
    <definedName name="BP10_Gr">[4]BP10!$F$7:$F$46</definedName>
    <definedName name="BP10_Gross">[3]BP10!$F$47</definedName>
    <definedName name="BP10_Net">[3]BP10!$H$7:$H$46</definedName>
    <definedName name="BP10_VAT">[3]BP10!$G$47</definedName>
    <definedName name="BP11_An">[3]BP11!$I$7:$I$46</definedName>
    <definedName name="BP11_Clrd">[4]BP11!$E$7:$E$46</definedName>
    <definedName name="BP11_Gr">[4]BP11!$F$7:$F$46</definedName>
    <definedName name="BP11_Gross">[3]BP11!$F$47</definedName>
    <definedName name="BP11_Net">[3]BP11!$H$7:$H$46</definedName>
    <definedName name="BP11_VAT">[3]BP11!$G$47</definedName>
    <definedName name="BP12_An">[3]BP12!$I$7:$I$46</definedName>
    <definedName name="BP12_Clrd">[4]BP12!$E$7:$E$46</definedName>
    <definedName name="BP12_Gr">[4]BP12!$F$7:$F$46</definedName>
    <definedName name="BP12_Gross">[3]BP12!$F$47</definedName>
    <definedName name="BP12_Net">[3]BP12!$H$7:$H$46</definedName>
    <definedName name="BP12_VAT">[3]BP12!$G$47</definedName>
    <definedName name="BP2_An">[3]BP2!$I$7:$I$46</definedName>
    <definedName name="BP2_Clrd">[4]BP2!$E$7:$E$46</definedName>
    <definedName name="BP2_Gr">[4]BP2!$F$7:$F$46</definedName>
    <definedName name="BP2_Gross">[3]BP2!$F$47</definedName>
    <definedName name="BP2_Net">[3]BP2!$H$7:$H$46</definedName>
    <definedName name="BP2_VAT">[3]BP2!$G$47</definedName>
    <definedName name="BP3_An">[3]BP3!$I$7:$I$46</definedName>
    <definedName name="BP3_Clrd">[4]BP3!$E$7:$E$46</definedName>
    <definedName name="BP3_Gr">[4]BP3!$F$7:$F$46</definedName>
    <definedName name="BP3_Gross">[3]BP3!$F$47</definedName>
    <definedName name="BP3_Net">[3]BP3!$H$7:$H$46</definedName>
    <definedName name="BP3_VAT">[3]BP3!$G$47</definedName>
    <definedName name="BP4_An">[3]BP4!$I$7:$I$46</definedName>
    <definedName name="BP4_Clrd">[4]BP4!$E$7:$E$46</definedName>
    <definedName name="BP4_Gr">[4]BP4!$F$7:$F$46</definedName>
    <definedName name="BP4_Gross">[3]BP4!$F$47</definedName>
    <definedName name="BP4_Net">[3]BP4!$H$7:$H$46</definedName>
    <definedName name="BP4_VAT">[3]BP4!$G$47</definedName>
    <definedName name="BP5_An">[3]BP5!$I$7:$I$46</definedName>
    <definedName name="BP5_Clrd">[4]BP5!$E$7:$E$46</definedName>
    <definedName name="BP5_Gr">[4]BP5!$F$7:$F$46</definedName>
    <definedName name="BP5_Gross">[3]BP5!$F$47</definedName>
    <definedName name="BP5_Net">[3]BP5!$H$7:$H$46</definedName>
    <definedName name="BP5_VAT">[3]BP5!$G$47</definedName>
    <definedName name="BP6_An">[3]BP6!$I$7:$I$46</definedName>
    <definedName name="BP6_Clrd">[4]BP6!$E$7:$E$46</definedName>
    <definedName name="BP6_Gr">[4]BP6!$F$7:$F$46</definedName>
    <definedName name="BP6_Gross">[3]BP6!$F$47</definedName>
    <definedName name="BP6_Net">[3]BP6!$H$7:$H$46</definedName>
    <definedName name="BP6_VAT">[3]BP6!$G$47</definedName>
    <definedName name="BP7_An">[3]BP7!$I$7:$I$46</definedName>
    <definedName name="BP7_Clrd">[4]BP7!$E$7:$E$46</definedName>
    <definedName name="BP7_Gr">[4]BP7!$F$7:$F$46</definedName>
    <definedName name="BP7_Gross">[3]BP7!$F$47</definedName>
    <definedName name="BP7_Net">[3]BP7!$H$7:$H$46</definedName>
    <definedName name="BP7_VAT">[3]BP7!$G$47</definedName>
    <definedName name="BP8_An">[3]BP8!$I$7:$I$46</definedName>
    <definedName name="BP8_Clrd">[4]BP8!$E$7:$E$46</definedName>
    <definedName name="BP8_Gr">[4]BP8!$F$7:$F$46</definedName>
    <definedName name="BP8_Gross">[3]BP8!$F$47</definedName>
    <definedName name="BP8_Net">[3]BP8!$H$7:$H$46</definedName>
    <definedName name="BP8_VAT">[3]BP8!$G$47</definedName>
    <definedName name="BP9_An">[3]BP9!$I$7:$I$46</definedName>
    <definedName name="BP9_Clrd">[4]BP9!$E$7:$E$46</definedName>
    <definedName name="BP9_Gr">[4]BP9!$F$7:$F$46</definedName>
    <definedName name="BP9_Gross">[3]BP9!$F$47</definedName>
    <definedName name="BP9_Net">[3]BP9!$H$7:$H$46</definedName>
    <definedName name="BP9_VAT">[3]BP9!$G$47</definedName>
    <definedName name="BR1_An">[3]BR1!$I$7:$I$46</definedName>
    <definedName name="BR1_Clrd">[4]BR1!$E$7:$E$46</definedName>
    <definedName name="BR1_Gr">[4]BR1!$F$7:$F$46</definedName>
    <definedName name="BR1_Gross">[3]BR1!$F$47</definedName>
    <definedName name="BR1_Month">[3]BR1!$C$3</definedName>
    <definedName name="BR1_Net">[3]BR1!$H$7:$H$46</definedName>
    <definedName name="BR1_VAT">[3]BR1!$G$47</definedName>
    <definedName name="BR10_An">[3]BR10!$I$7:$I$46</definedName>
    <definedName name="BR10_Clrd">[4]BR10!$E$7:$E$46</definedName>
    <definedName name="BR10_Gr">[4]BR10!$F$7:$F$46</definedName>
    <definedName name="BR10_Gross">[3]BR10!$F$47</definedName>
    <definedName name="BR10_Month">[3]BR10!$C$3</definedName>
    <definedName name="BR10_Net">[3]BR10!$H$7:$H$46</definedName>
    <definedName name="BR10_VAT">[3]BR10!$G$47</definedName>
    <definedName name="BR11_An">[3]BR11!$I$7:$I$46</definedName>
    <definedName name="BR11_Clrd">[4]BR11!$E$7:$E$46</definedName>
    <definedName name="BR11_Gr">[4]BR11!$F$7:$F$46</definedName>
    <definedName name="BR11_Gross">[3]BR11!$F$47</definedName>
    <definedName name="BR11_Month">[3]BR11!$C$3</definedName>
    <definedName name="BR11_Net">[3]BR11!$H$7:$H$46</definedName>
    <definedName name="BR11_VAT">[3]BR11!$G$47</definedName>
    <definedName name="BR12_An">[3]BR12!$I$7:$I$46</definedName>
    <definedName name="BR12_Clrd">[4]BR12!$E$7:$E$46</definedName>
    <definedName name="BR12_Gr">[4]BR12!$F$7:$F$46</definedName>
    <definedName name="BR12_Gross">[3]BR12!$F$47</definedName>
    <definedName name="BR12_Month">[3]BR12!$C$3</definedName>
    <definedName name="BR12_Net">[3]BR12!$H$7:$H$46</definedName>
    <definedName name="BR12_VAT">[3]BR12!$G$47</definedName>
    <definedName name="BR2_An">[3]BR2!$I$7:$I$46</definedName>
    <definedName name="BR2_Clrd">[4]BR2!$E$7:$E$46</definedName>
    <definedName name="BR2_Gr">[4]BR2!$F$7:$F$46</definedName>
    <definedName name="BR2_Gross">[3]BR2!$F$47</definedName>
    <definedName name="BR2_Month">[3]BR2!$C$3</definedName>
    <definedName name="BR2_Net">[3]BR2!$H$7:$H$46</definedName>
    <definedName name="BR2_VAT">[3]BR2!$G$47</definedName>
    <definedName name="BR3_An">[3]BR3!$I$7:$I$46</definedName>
    <definedName name="BR3_Clrd">[4]BR3!$E$7:$E$46</definedName>
    <definedName name="BR3_Gr">[4]BR3!$F$7:$F$46</definedName>
    <definedName name="BR3_Gross">[3]BR3!$F$47</definedName>
    <definedName name="BR3_Month">[3]BR3!$C$3</definedName>
    <definedName name="BR3_Net">[3]BR3!$H$7:$H$46</definedName>
    <definedName name="BR3_VAT">[3]BR3!$G$47</definedName>
    <definedName name="BR4_An">[3]BR4!$I$7:$I$46</definedName>
    <definedName name="BR4_Clrd">[4]BR4!$E$7:$E$46</definedName>
    <definedName name="BR4_Gr">[4]BR4!$F$7:$F$46</definedName>
    <definedName name="BR4_Gross">[3]BR4!$F$47</definedName>
    <definedName name="BR4_Month">[3]BR4!$C$3</definedName>
    <definedName name="BR4_Net">[3]BR4!$H$7:$H$46</definedName>
    <definedName name="BR4_VAT">[3]BR4!$G$47</definedName>
    <definedName name="BR5_An">[3]BR5!$I$7:$I$46</definedName>
    <definedName name="BR5_Clrd">[4]BR5!$E$7:$E$46</definedName>
    <definedName name="BR5_Gr">[4]BR5!$F$7:$F$46</definedName>
    <definedName name="BR5_Gross">[3]BR5!$F$47</definedName>
    <definedName name="BR5_Month">[3]BR5!$C$3</definedName>
    <definedName name="BR5_Net">[3]BR5!$H$7:$H$46</definedName>
    <definedName name="BR5_VAT">[3]BR5!$G$47</definedName>
    <definedName name="BR6_An">[3]BR6!$I$7:$I$46</definedName>
    <definedName name="BR6_Clrd">[4]BR6!$E$7:$E$46</definedName>
    <definedName name="BR6_Gr">[4]BR6!$F$7:$F$46</definedName>
    <definedName name="BR6_Gross">[3]BR6!$F$47</definedName>
    <definedName name="BR6_Month">[3]BR6!$C$3</definedName>
    <definedName name="BR6_Net">[3]BR6!$H$7:$H$46</definedName>
    <definedName name="BR6_VAT">[3]BR6!$G$47</definedName>
    <definedName name="BR7_An">[3]BR7!$I$7:$I$46</definedName>
    <definedName name="BR7_Clrd">[4]BR7!$E$7:$E$46</definedName>
    <definedName name="BR7_Gr">[4]BR7!$F$7:$F$46</definedName>
    <definedName name="BR7_Gross">[3]BR7!$F$47</definedName>
    <definedName name="BR7_Month">[3]BR7!$C$3</definedName>
    <definedName name="BR7_Net">[3]BR7!$H$7:$H$46</definedName>
    <definedName name="BR7_VAT">[3]BR7!$G$47</definedName>
    <definedName name="BR8_An">[3]BR8!$I$7:$I$46</definedName>
    <definedName name="BR8_Clrd">[4]BR8!$E$7:$E$46</definedName>
    <definedName name="BR8_Gr">[4]BR8!$F$7:$F$46</definedName>
    <definedName name="BR8_Gross">[3]BR8!$F$47</definedName>
    <definedName name="BR8_Month">[3]BR8!$C$3</definedName>
    <definedName name="BR8_Net">[3]BR8!$H$7:$H$46</definedName>
    <definedName name="BR8_VAT">[3]BR8!$G$47</definedName>
    <definedName name="BR9_An">[3]BR9!$I$7:$I$46</definedName>
    <definedName name="BR9_Clrd">[4]BR9!$E$7:$E$46</definedName>
    <definedName name="BR9_Gr">[4]BR9!$F$7:$F$46</definedName>
    <definedName name="BR9_Gross">[3]BR9!$F$47</definedName>
    <definedName name="BR9_Month">[3]BR9!$C$3</definedName>
    <definedName name="BR9_Net">[3]BR9!$H$7:$H$46</definedName>
    <definedName name="BR9_VAT">[3]BR9!$G$47</definedName>
    <definedName name="brs" localSheetId="2">TEXT(Comparative_Period+1,"d mmmm yyyy")</definedName>
    <definedName name="brs" localSheetId="4">TEXT(Comparative_Period+1,"d mmmm yyyy")</definedName>
    <definedName name="brs" localSheetId="1">TEXT(Comparative_Period+1,"d mmmm yyyy")</definedName>
    <definedName name="brs">TEXT(Comparative_Period+1,"d mmmm yyyy")</definedName>
    <definedName name="comp" localSheetId="2">TEXT(Comparative_Period,"d mmmm yyyy")</definedName>
    <definedName name="comp" localSheetId="4">TEXT(Comparative_Period,"d mmmm yyyy")</definedName>
    <definedName name="comp" localSheetId="1">TEXT(Comparative_Period,"d mmmm yyyy")</definedName>
    <definedName name="comp">TEXT(Comparative_Period,"d mmmm yyyy")</definedName>
    <definedName name="CompanyName">'[3]Company information'!$D$5</definedName>
    <definedName name="Comparative_Period" hidden="1">[2]Settings!$C$58</definedName>
    <definedName name="COMPDATE" localSheetId="2">TEXT(Comparative_Period,"d mmmm yyyy")</definedName>
    <definedName name="COMPDATE" localSheetId="4">TEXT(Comparative_Period,"d mmmm yyyy")</definedName>
    <definedName name="COMPDATE" localSheetId="1">TEXT(Comparative_Period,"d mmmm yyyy")</definedName>
    <definedName name="COMPDATE">TEXT(Comparative_Period,"d mmmm yyyy")</definedName>
    <definedName name="CURRDATE" localSheetId="2">TEXT(Current_Period,"d mmmm yyyy")</definedName>
    <definedName name="CURRDATE" localSheetId="4">TEXT(Current_Period,"d mmmm yyyy")</definedName>
    <definedName name="CURRDATE" localSheetId="1">TEXT(Current_Period,"d mmmm yyyy")</definedName>
    <definedName name="CURRDATE">TEXT(Current_Period,"d mmmm yyyy")</definedName>
    <definedName name="CURRDAY" localSheetId="2">TEXT(Current_Period,"d mmmm")</definedName>
    <definedName name="CURRDAY" localSheetId="4">TEXT(Current_Period,"d mmmm")</definedName>
    <definedName name="CURRDAY" localSheetId="1">TEXT(Current_Period,"d mmmm")</definedName>
    <definedName name="CURRDAY">TEXT(Current_Period,"d mmmm")</definedName>
    <definedName name="Current_Period" hidden="1">[2]Settings!$C$57</definedName>
    <definedName name="CURRSHORT" localSheetId="2">TEXT(Current_Period,"d mmm yyyy")</definedName>
    <definedName name="CURRSHORT" localSheetId="4">TEXT(Current_Period,"d mmm yyyy")</definedName>
    <definedName name="CURRSHORT" localSheetId="1">TEXT(Current_Period,"d mmm yyyy")</definedName>
    <definedName name="CURRSHORT">TEXT(Current_Period,"d mmm yyyy")</definedName>
    <definedName name="dsd" localSheetId="2">TEXT(Current_Period,"d mmm yyyy")</definedName>
    <definedName name="dsd" localSheetId="4">TEXT(Current_Period,"d mmm yyyy")</definedName>
    <definedName name="dsd" localSheetId="1">TEXT(Current_Period,"d mmm yyyy")</definedName>
    <definedName name="dsd">TEXT(Current_Period,"d mmm yyyy")</definedName>
    <definedName name="EmployeeNIRate">0.11</definedName>
    <definedName name="EmployerNIRate">0.128</definedName>
    <definedName name="ExemptSection">"249A(1)"</definedName>
    <definedName name="FIRSTDATE" localSheetId="2">TEXT(Comparative_Period+1,"d mmmm yyyy")</definedName>
    <definedName name="FIRSTDATE" localSheetId="4">TEXT(Comparative_Period+1,"d mmmm yyyy")</definedName>
    <definedName name="FIRSTDATE" localSheetId="1">TEXT(Comparative_Period+1,"d mmmm yyyy")</definedName>
    <definedName name="FIRSTDATE">TEXT(Comparative_Period+1,"d mmmm yyyy")</definedName>
    <definedName name="FIRSTDAY" localSheetId="2">TEXT(Comparative_Period+1,"d mmmm")</definedName>
    <definedName name="FIRSTDAY" localSheetId="4">TEXT(Comparative_Period+1,"d mmmm")</definedName>
    <definedName name="FIRSTDAY" localSheetId="1">TEXT(Comparative_Period+1,"d mmmm")</definedName>
    <definedName name="FIRSTDAY">TEXT(Comparative_Period+1,"d mmmm")</definedName>
    <definedName name="FirstDays">#REF!</definedName>
    <definedName name="FirstDaysSub">OFFSET([3]Summary!$C$73:$C$84,0,0,'[3]VAT return'!$E$6,1)</definedName>
    <definedName name="FIRSTSHORT" localSheetId="2">TEXT(Comparative_Period+1,"d mmm yyyy")</definedName>
    <definedName name="FIRSTSHORT" localSheetId="4">TEXT(Comparative_Period+1,"d mmm yyyy")</definedName>
    <definedName name="FIRSTSHORT" localSheetId="1">TEXT(Comparative_Period+1,"d mmm yyyy")</definedName>
    <definedName name="FIRSTSHORT">TEXT(Comparative_Period+1,"d mmm yyyy")</definedName>
    <definedName name="HigherRate">0.4</definedName>
    <definedName name="HigherRateThreshold">29900</definedName>
    <definedName name="kkkk" localSheetId="2">TEXT(Comparative_Period+1,"d mmmm yyyy")</definedName>
    <definedName name="kkkk" localSheetId="4">TEXT(Comparative_Period+1,"d mmmm yyyy")</definedName>
    <definedName name="kkkk" localSheetId="1">TEXT(Comparative_Period+1,"d mmmm yyyy")</definedName>
    <definedName name="kkkk">TEXT(Comparative_Period+1,"d mmmm yyyy")</definedName>
    <definedName name="LastDays">#REF!</definedName>
    <definedName name="LowerRate">0.1</definedName>
    <definedName name="MonthsList">#REF!</definedName>
    <definedName name="no">#REF!</definedName>
    <definedName name="PaymentNL">#REF!</definedName>
    <definedName name="PaymentsNL">#REF!</definedName>
    <definedName name="PaymentsSummary">#REF!</definedName>
    <definedName name="PaymentsVAT">#REF!</definedName>
    <definedName name="PaymentsVATable">#REF!</definedName>
    <definedName name="PC1_An">[3]PC1!$I$7:$I$46</definedName>
    <definedName name="PC1_Gross">[3]PC1!$F$47</definedName>
    <definedName name="PC1_Net">[3]PC1!$H$7:$H$46</definedName>
    <definedName name="PC1_VAT">[3]PC1!$G$47</definedName>
    <definedName name="PC10_An">[3]PC10!$I$7:$I$46</definedName>
    <definedName name="PC10_Gross">[3]PC10!$F$47</definedName>
    <definedName name="PC10_Net">[3]PC10!$H$7:$H$46</definedName>
    <definedName name="PC10_VAT">[3]PC10!$G$47</definedName>
    <definedName name="PC11_An">[3]PC11!$I$7:$I$46</definedName>
    <definedName name="PC11_Gross">[3]PC11!$F$47</definedName>
    <definedName name="PC11_Net">[3]PC11!$H$7:$H$46</definedName>
    <definedName name="PC11_VAT">[3]PC11!$G$47</definedName>
    <definedName name="PC12_An">[3]PC12!$I$7:$I$46</definedName>
    <definedName name="PC12_Gross">[3]PC12!$F$47</definedName>
    <definedName name="PC12_Net">[3]PC12!$H$7:$H$46</definedName>
    <definedName name="PC12_VAT">[3]PC12!$G$47</definedName>
    <definedName name="PC2_An">[3]PC2!$I$7:$I$46</definedName>
    <definedName name="PC2_Gross">[3]PC2!$F$47</definedName>
    <definedName name="PC2_Net">[3]PC2!$H$7:$H$46</definedName>
    <definedName name="PC2_VAT">[3]PC2!$G$47</definedName>
    <definedName name="PC3_An">[3]PC3!$I$7:$I$46</definedName>
    <definedName name="PC3_Gross">[3]PC3!$F$47</definedName>
    <definedName name="PC3_Net">[3]PC3!$H$7:$H$46</definedName>
    <definedName name="PC3_VAT">[3]PC3!$G$47</definedName>
    <definedName name="PC4_An">[3]PC4!$I$7:$I$46</definedName>
    <definedName name="PC4_Gross">[3]PC4!$F$47</definedName>
    <definedName name="PC4_Net">[3]PC4!$H$7:$H$46</definedName>
    <definedName name="PC4_VAT">[3]PC4!$G$47</definedName>
    <definedName name="PC5_An">[3]PC5!$I$7:$I$46</definedName>
    <definedName name="PC5_Gross">[3]PC5!$F$47</definedName>
    <definedName name="PC5_Net">[3]PC5!$H$7:$H$46</definedName>
    <definedName name="PC5_VAT">[3]PC5!$G$47</definedName>
    <definedName name="PC6_An">[3]PC6!$I$7:$I$46</definedName>
    <definedName name="PC6_Gross">[3]PC6!$F$47</definedName>
    <definedName name="PC6_Net">[3]PC6!$H$7:$H$46</definedName>
    <definedName name="PC6_VAT">[3]PC6!$G$47</definedName>
    <definedName name="PC7_An">[3]PC7!$I$7:$I$46</definedName>
    <definedName name="PC7_Gross">[3]PC7!$F$47</definedName>
    <definedName name="PC7_Net">[3]PC7!$H$7:$H$46</definedName>
    <definedName name="PC7_VAT">[3]PC7!$G$47</definedName>
    <definedName name="PC8_An">[3]PC8!$I$7:$I$46</definedName>
    <definedName name="PC8_Gross">[3]PC8!$F$47</definedName>
    <definedName name="PC8_Net">[3]PC8!$H$7:$H$46</definedName>
    <definedName name="PC8_VAT">[3]PC8!$G$47</definedName>
    <definedName name="PC9_An">[3]PC9!$I$7:$I$46</definedName>
    <definedName name="PC9_Gross">[3]PC9!$F$47</definedName>
    <definedName name="PC9_Net">[3]PC9!$H$7:$H$46</definedName>
    <definedName name="PC9_VAT">[3]PC9!$G$47</definedName>
    <definedName name="PCsummary">#REF!</definedName>
    <definedName name="PCVAT">#REF!</definedName>
    <definedName name="_xlnm.Print_Area" localSheetId="2">'Balance sheet'!$B$3:$C$58</definedName>
    <definedName name="_xlnm.Print_Area" localSheetId="4">'Fixed assets'!$B$2:$S$30</definedName>
    <definedName name="_xlnm.Print_Area" localSheetId="1">'Profit &amp; loss account detail'!$B$4:$K$96</definedName>
    <definedName name="_xlnm.Print_Titles" localSheetId="1">'Profit &amp; loss account detail'!$4:$6</definedName>
    <definedName name="ReceiptsNL">#REF!</definedName>
    <definedName name="ReceiptsSummary">#REF!</definedName>
    <definedName name="ReceiptsVAT">#REF!</definedName>
    <definedName name="ReceiptsVATable">#REF!</definedName>
    <definedName name="TaxFreeAllowance">#REF!</definedName>
    <definedName name="VATQuarter">'[3]Company information'!#REF!</definedName>
    <definedName name="vt_autohide">[2]Settings!$C$14</definedName>
    <definedName name="vt_comphidden">[2]Settings!$C$25</definedName>
    <definedName name="vt_showcontents">[2]Settings!$C$27</definedName>
    <definedName name="vt_versionid">[2]Settings!$C$16</definedName>
    <definedName name="Wonder" localSheetId="1">TEXT(Current_Period,"d mmm yyyy")</definedName>
    <definedName name="Year_Period">#REF!</definedName>
    <definedName name="yesn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1" i="5" l="1"/>
  <c r="C14" i="5"/>
  <c r="I88" i="2"/>
  <c r="C42" i="5"/>
  <c r="C48" i="5"/>
  <c r="C39" i="5"/>
  <c r="C44" i="5" s="1"/>
  <c r="C35" i="5"/>
  <c r="C25" i="5"/>
  <c r="C24" i="5"/>
  <c r="C23" i="5"/>
  <c r="C22" i="5"/>
  <c r="C21" i="5"/>
  <c r="I26" i="3"/>
  <c r="C20" i="5"/>
  <c r="C27" i="5" s="1"/>
  <c r="C14" i="2"/>
  <c r="C12" i="2"/>
  <c r="C12" i="5"/>
  <c r="H52" i="3"/>
  <c r="H45" i="3"/>
  <c r="I36" i="3"/>
  <c r="H36" i="3"/>
  <c r="H35" i="3"/>
  <c r="H34" i="3"/>
  <c r="H33" i="3"/>
  <c r="H32" i="3"/>
  <c r="H31" i="3"/>
  <c r="H26" i="3"/>
  <c r="H25" i="3"/>
  <c r="H24" i="3"/>
  <c r="H23" i="3"/>
  <c r="H22" i="3"/>
  <c r="C32" i="5"/>
  <c r="H14" i="3"/>
  <c r="C16" i="5" l="1"/>
  <c r="C46" i="5" s="1"/>
  <c r="C50" i="5" s="1"/>
  <c r="F51" i="5" s="1"/>
  <c r="E15" i="1"/>
  <c r="E23" i="1" s="1"/>
  <c r="E28" i="1" s="1"/>
  <c r="G15" i="1"/>
  <c r="C60" i="3"/>
  <c r="E47" i="3"/>
  <c r="E58" i="3"/>
  <c r="E41" i="3"/>
  <c r="E39" i="3"/>
  <c r="E28" i="3"/>
  <c r="E14" i="3"/>
  <c r="C47" i="3"/>
  <c r="E34" i="1" l="1"/>
  <c r="E38" i="1" s="1"/>
  <c r="E30" i="1"/>
  <c r="E17" i="1"/>
  <c r="C15" i="1"/>
  <c r="C17" i="1" s="1"/>
  <c r="G23" i="1"/>
  <c r="G28" i="1" s="1"/>
  <c r="G17" i="1"/>
  <c r="E60" i="3"/>
  <c r="I87" i="2"/>
  <c r="K83" i="2"/>
  <c r="H81" i="2"/>
  <c r="C23" i="1" l="1"/>
  <c r="C28" i="1" s="1"/>
  <c r="C30" i="1" s="1"/>
  <c r="G34" i="1"/>
  <c r="G38" i="1" s="1"/>
  <c r="G30" i="1"/>
  <c r="K23" i="4"/>
  <c r="K25" i="4" s="1"/>
  <c r="F23" i="4"/>
  <c r="F25" i="4" s="1"/>
  <c r="E23" i="4"/>
  <c r="E25" i="4" s="1"/>
  <c r="G21" i="4"/>
  <c r="P21" i="4" s="1"/>
  <c r="G20" i="4"/>
  <c r="Q20" i="4" s="1"/>
  <c r="M19" i="4"/>
  <c r="G19" i="4"/>
  <c r="P19" i="4" s="1"/>
  <c r="G18" i="4"/>
  <c r="Q18" i="4" s="1"/>
  <c r="G17" i="4"/>
  <c r="O17" i="4" s="1"/>
  <c r="G16" i="4"/>
  <c r="P16" i="4" s="1"/>
  <c r="Q15" i="4"/>
  <c r="O15" i="4"/>
  <c r="G15" i="4"/>
  <c r="L15" i="4" s="1"/>
  <c r="O14" i="4"/>
  <c r="N14" i="4"/>
  <c r="M14" i="4"/>
  <c r="G14" i="4"/>
  <c r="Q14" i="4" s="1"/>
  <c r="P13" i="4"/>
  <c r="G13" i="4"/>
  <c r="N13" i="4" s="1"/>
  <c r="Q9" i="4"/>
  <c r="P9" i="4"/>
  <c r="N9" i="4"/>
  <c r="G9" i="4"/>
  <c r="O9" i="4" s="1"/>
  <c r="C58" i="3"/>
  <c r="C45" i="3"/>
  <c r="C36" i="3"/>
  <c r="C35" i="3"/>
  <c r="C34" i="3"/>
  <c r="C33" i="3"/>
  <c r="C32" i="3"/>
  <c r="C31" i="3"/>
  <c r="C26" i="3"/>
  <c r="C25" i="3"/>
  <c r="C24" i="3"/>
  <c r="C23" i="3"/>
  <c r="C22" i="3"/>
  <c r="C19" i="3"/>
  <c r="C14" i="3"/>
  <c r="H80" i="2"/>
  <c r="H79" i="2"/>
  <c r="D78" i="2"/>
  <c r="C78" i="2"/>
  <c r="H77" i="2"/>
  <c r="E76" i="2"/>
  <c r="H76" i="2" s="1"/>
  <c r="H75" i="2"/>
  <c r="H74" i="2"/>
  <c r="H73" i="2"/>
  <c r="H72" i="2"/>
  <c r="H71" i="2"/>
  <c r="F70" i="2"/>
  <c r="H70" i="2" s="1"/>
  <c r="D69" i="2"/>
  <c r="C69" i="2"/>
  <c r="D68" i="2"/>
  <c r="H68" i="2" s="1"/>
  <c r="I67" i="2"/>
  <c r="G67" i="2"/>
  <c r="E67" i="2"/>
  <c r="D67" i="2"/>
  <c r="C67" i="2"/>
  <c r="H66" i="2"/>
  <c r="H65" i="2"/>
  <c r="F64" i="2"/>
  <c r="H64" i="2" s="1"/>
  <c r="H63" i="2"/>
  <c r="H62" i="2"/>
  <c r="D61" i="2"/>
  <c r="C61" i="2"/>
  <c r="H60" i="2"/>
  <c r="H59" i="2"/>
  <c r="H58" i="2"/>
  <c r="H57" i="2"/>
  <c r="H56" i="2"/>
  <c r="H55" i="2"/>
  <c r="H54" i="2"/>
  <c r="H53" i="2"/>
  <c r="H52" i="2"/>
  <c r="H51" i="2"/>
  <c r="H50" i="2"/>
  <c r="I49" i="2"/>
  <c r="D49" i="2"/>
  <c r="H48" i="2"/>
  <c r="I47" i="2"/>
  <c r="G47" i="2"/>
  <c r="F47" i="2"/>
  <c r="D47" i="2"/>
  <c r="I46" i="2"/>
  <c r="G46" i="2"/>
  <c r="F46" i="2"/>
  <c r="E46" i="2"/>
  <c r="D46" i="2"/>
  <c r="D45" i="2"/>
  <c r="C45" i="2"/>
  <c r="H44" i="2"/>
  <c r="F43" i="2"/>
  <c r="H43" i="2" s="1"/>
  <c r="E42" i="2"/>
  <c r="H42" i="2" s="1"/>
  <c r="H41" i="2"/>
  <c r="H40" i="2"/>
  <c r="G39" i="2"/>
  <c r="F39" i="2"/>
  <c r="E39" i="2"/>
  <c r="D39" i="2"/>
  <c r="C39" i="2"/>
  <c r="K35" i="2"/>
  <c r="I35" i="2"/>
  <c r="G35" i="2"/>
  <c r="F35" i="2"/>
  <c r="E35" i="2"/>
  <c r="D35" i="2"/>
  <c r="C33" i="2"/>
  <c r="C35" i="2" s="1"/>
  <c r="H32" i="2"/>
  <c r="K25" i="2"/>
  <c r="H23" i="2"/>
  <c r="I23" i="2" s="1"/>
  <c r="E23" i="2"/>
  <c r="F18" i="2" s="1"/>
  <c r="F25" i="2" s="1"/>
  <c r="D23" i="2"/>
  <c r="E18" i="2" s="1"/>
  <c r="C23" i="2"/>
  <c r="D18" i="2" s="1"/>
  <c r="H22" i="2"/>
  <c r="H21" i="2"/>
  <c r="G20" i="2"/>
  <c r="D20" i="2"/>
  <c r="C20" i="2"/>
  <c r="H19" i="2"/>
  <c r="I18" i="2"/>
  <c r="H18" i="2"/>
  <c r="G18" i="2"/>
  <c r="D14" i="2"/>
  <c r="I12" i="2"/>
  <c r="F12" i="2"/>
  <c r="K11" i="2"/>
  <c r="K14" i="2" s="1"/>
  <c r="I11" i="2"/>
  <c r="G11" i="2"/>
  <c r="G14" i="2" s="1"/>
  <c r="F11" i="2"/>
  <c r="E11" i="2"/>
  <c r="E14" i="2" s="1"/>
  <c r="P14" i="4" l="1"/>
  <c r="L16" i="4"/>
  <c r="R14" i="4"/>
  <c r="S14" i="4" s="1"/>
  <c r="O13" i="4"/>
  <c r="M16" i="4"/>
  <c r="Q19" i="4"/>
  <c r="M15" i="4"/>
  <c r="O16" i="4"/>
  <c r="N20" i="4"/>
  <c r="N16" i="4"/>
  <c r="L9" i="4"/>
  <c r="L14" i="4"/>
  <c r="N15" i="4"/>
  <c r="N23" i="4" s="1"/>
  <c r="N25" i="4" s="1"/>
  <c r="P20" i="4"/>
  <c r="C34" i="1"/>
  <c r="C38" i="1" s="1"/>
  <c r="C28" i="3"/>
  <c r="C41" i="3" s="1"/>
  <c r="C39" i="3"/>
  <c r="D83" i="2"/>
  <c r="D85" i="2" s="1"/>
  <c r="D90" i="2" s="1"/>
  <c r="E83" i="2"/>
  <c r="E85" i="2" s="1"/>
  <c r="E90" i="2" s="1"/>
  <c r="F83" i="2"/>
  <c r="I83" i="2"/>
  <c r="G83" i="2"/>
  <c r="F14" i="2"/>
  <c r="F27" i="2" s="1"/>
  <c r="H67" i="2"/>
  <c r="D25" i="2"/>
  <c r="D27" i="2" s="1"/>
  <c r="H11" i="2"/>
  <c r="E25" i="2"/>
  <c r="E27" i="2" s="1"/>
  <c r="C25" i="2"/>
  <c r="C27" i="2" s="1"/>
  <c r="H45" i="2"/>
  <c r="H78" i="2"/>
  <c r="H20" i="2"/>
  <c r="H25" i="2" s="1"/>
  <c r="I25" i="2"/>
  <c r="H69" i="2"/>
  <c r="H12" i="2"/>
  <c r="H47" i="2"/>
  <c r="H61" i="2"/>
  <c r="G25" i="2"/>
  <c r="G27" i="2" s="1"/>
  <c r="H39" i="2"/>
  <c r="K27" i="2"/>
  <c r="K85" i="2" s="1"/>
  <c r="K90" i="2" s="1"/>
  <c r="H33" i="2"/>
  <c r="H35" i="2" s="1"/>
  <c r="H46" i="2"/>
  <c r="H49" i="2"/>
  <c r="L17" i="4"/>
  <c r="Q13" i="4"/>
  <c r="M17" i="4"/>
  <c r="L18" i="4"/>
  <c r="G23" i="4"/>
  <c r="G25" i="4" s="1"/>
  <c r="P15" i="4"/>
  <c r="N17" i="4"/>
  <c r="M18" i="4"/>
  <c r="L19" i="4"/>
  <c r="O21" i="4"/>
  <c r="M9" i="4"/>
  <c r="L13" i="4"/>
  <c r="Q16" i="4"/>
  <c r="P17" i="4"/>
  <c r="O18" i="4"/>
  <c r="O23" i="4" s="1"/>
  <c r="O25" i="4" s="1"/>
  <c r="N19" i="4"/>
  <c r="O20" i="4"/>
  <c r="Q21" i="4"/>
  <c r="M13" i="4"/>
  <c r="Q17" i="4"/>
  <c r="P18" i="4"/>
  <c r="O19" i="4"/>
  <c r="N18" i="4"/>
  <c r="C83" i="2"/>
  <c r="I14" i="2"/>
  <c r="M23" i="4" l="1"/>
  <c r="M25" i="4" s="1"/>
  <c r="P23" i="4"/>
  <c r="P25" i="4" s="1"/>
  <c r="R16" i="4"/>
  <c r="S16" i="4" s="1"/>
  <c r="R20" i="4"/>
  <c r="S20" i="4" s="1"/>
  <c r="C85" i="2"/>
  <c r="C90" i="2" s="1"/>
  <c r="C96" i="2" s="1"/>
  <c r="C100" i="2" s="1"/>
  <c r="G85" i="2"/>
  <c r="G90" i="2" s="1"/>
  <c r="G96" i="2" s="1"/>
  <c r="G100" i="2" s="1"/>
  <c r="D92" i="2"/>
  <c r="D96" i="2"/>
  <c r="D100" i="2" s="1"/>
  <c r="F85" i="2"/>
  <c r="F90" i="2" s="1"/>
  <c r="E96" i="2"/>
  <c r="E100" i="2" s="1"/>
  <c r="E92" i="2"/>
  <c r="K96" i="2"/>
  <c r="K100" i="2" s="1"/>
  <c r="K92" i="2"/>
  <c r="H83" i="2"/>
  <c r="G92" i="2"/>
  <c r="D29" i="2"/>
  <c r="C29" i="2"/>
  <c r="E29" i="2"/>
  <c r="H14" i="2"/>
  <c r="H27" i="2" s="1"/>
  <c r="K29" i="2"/>
  <c r="I27" i="2"/>
  <c r="I85" i="2" s="1"/>
  <c r="I90" i="2" s="1"/>
  <c r="R21" i="4"/>
  <c r="S21" i="4" s="1"/>
  <c r="R18" i="4"/>
  <c r="S18" i="4" s="1"/>
  <c r="R19" i="4"/>
  <c r="S19" i="4" s="1"/>
  <c r="Q23" i="4"/>
  <c r="Q25" i="4" s="1"/>
  <c r="R15" i="4"/>
  <c r="S15" i="4" s="1"/>
  <c r="R17" i="4"/>
  <c r="S17" i="4" s="1"/>
  <c r="L23" i="4"/>
  <c r="L25" i="4" s="1"/>
  <c r="R13" i="4"/>
  <c r="R9" i="4"/>
  <c r="F29" i="2"/>
  <c r="G29" i="2"/>
  <c r="C92" i="2" l="1"/>
  <c r="I96" i="2"/>
  <c r="I100" i="2" s="1"/>
  <c r="I92" i="2"/>
  <c r="F96" i="2"/>
  <c r="F100" i="2" s="1"/>
  <c r="F92" i="2"/>
  <c r="H85" i="2"/>
  <c r="H90" i="2" s="1"/>
  <c r="H29" i="2"/>
  <c r="I29" i="2"/>
  <c r="S9" i="4"/>
  <c r="R23" i="4"/>
  <c r="R25" i="4" s="1"/>
  <c r="S13" i="4"/>
  <c r="S23" i="4" s="1"/>
  <c r="S25" i="4" l="1"/>
  <c r="H92" i="2"/>
  <c r="H96" i="2"/>
  <c r="H100" i="2" s="1"/>
</calcChain>
</file>

<file path=xl/sharedStrings.xml><?xml version="1.0" encoding="utf-8"?>
<sst xmlns="http://schemas.openxmlformats.org/spreadsheetml/2006/main" count="238" uniqueCount="180">
  <si>
    <t>PROFIT AND LOSS ACCOUNT</t>
  </si>
  <si>
    <t>Total</t>
  </si>
  <si>
    <t>YTD</t>
  </si>
  <si>
    <t>Sales :</t>
  </si>
  <si>
    <t>Commissions Received</t>
  </si>
  <si>
    <t>TOTAL SALES</t>
  </si>
  <si>
    <t>Cost of Sales</t>
  </si>
  <si>
    <t>Opening Stock</t>
  </si>
  <si>
    <t>Preparation Costs</t>
  </si>
  <si>
    <t xml:space="preserve">Delivery charges of vehicles </t>
  </si>
  <si>
    <t>Purchases of RFL</t>
  </si>
  <si>
    <t>Closing Stock</t>
  </si>
  <si>
    <t>Direct Cost of Sales - Total</t>
  </si>
  <si>
    <t>Gross Profit</t>
  </si>
  <si>
    <t>G P Margin</t>
  </si>
  <si>
    <t xml:space="preserve"> </t>
  </si>
  <si>
    <t>Other Income :</t>
  </si>
  <si>
    <t>Rent Income</t>
  </si>
  <si>
    <t>Miscellaneous Income</t>
  </si>
  <si>
    <t>Other Income</t>
  </si>
  <si>
    <t>Overheads</t>
  </si>
  <si>
    <t>Gross Wages</t>
  </si>
  <si>
    <t>Directors Remuneration</t>
  </si>
  <si>
    <t>Employers NI</t>
  </si>
  <si>
    <t xml:space="preserve">Rent </t>
  </si>
  <si>
    <t>General Rates</t>
  </si>
  <si>
    <t>Premises Insurance</t>
  </si>
  <si>
    <t>Cleaning</t>
  </si>
  <si>
    <t>Premises Expenses</t>
  </si>
  <si>
    <t>Advertising/Sales Promotions</t>
  </si>
  <si>
    <t>Commissions</t>
  </si>
  <si>
    <t>Fuel and Oil</t>
  </si>
  <si>
    <t>Licences</t>
  </si>
  <si>
    <t>Electricity</t>
  </si>
  <si>
    <t>Water Charges</t>
  </si>
  <si>
    <t>Miscellaneous Motor Exp</t>
  </si>
  <si>
    <t>Vehicle Insurance</t>
  </si>
  <si>
    <t>Hotels</t>
  </si>
  <si>
    <t>Travelling &amp; Subsistence</t>
  </si>
  <si>
    <t>Car Hire</t>
  </si>
  <si>
    <t>U.K Entertainment</t>
  </si>
  <si>
    <t>Printing</t>
  </si>
  <si>
    <t>Postage and Carriage</t>
  </si>
  <si>
    <t>Telephone</t>
  </si>
  <si>
    <t>Office Stationery</t>
  </si>
  <si>
    <t>Legal Fees</t>
  </si>
  <si>
    <t>Audit and Accountancy Fees</t>
  </si>
  <si>
    <t>Professional Fees</t>
  </si>
  <si>
    <t>Equipment Hire</t>
  </si>
  <si>
    <t>Computer/IT Costs</t>
  </si>
  <si>
    <t>Repairs &amp; Renewals</t>
  </si>
  <si>
    <t>Bank Interest</t>
  </si>
  <si>
    <t>Bank Charges</t>
  </si>
  <si>
    <t>Loan Interest</t>
  </si>
  <si>
    <t>Interest on HP</t>
  </si>
  <si>
    <t>Credit Charges</t>
  </si>
  <si>
    <t>Stocking Charges</t>
  </si>
  <si>
    <t>Donations</t>
  </si>
  <si>
    <t>Subscriptions &amp; Membership</t>
  </si>
  <si>
    <t>Clothing Costs</t>
  </si>
  <si>
    <t>Insurance</t>
  </si>
  <si>
    <t>Refreshments</t>
  </si>
  <si>
    <t>Other Interest</t>
  </si>
  <si>
    <t>Miscellaneous Expenses</t>
  </si>
  <si>
    <t>Corporation tax</t>
  </si>
  <si>
    <t>Depreciation</t>
  </si>
  <si>
    <t>Total Overheads</t>
  </si>
  <si>
    <t>Net Profit %</t>
  </si>
  <si>
    <t>Fixed Assets</t>
  </si>
  <si>
    <t>Description</t>
  </si>
  <si>
    <t>Furniture &amp; Fixtures</t>
  </si>
  <si>
    <t>Office Equipment</t>
  </si>
  <si>
    <t>Bank &amp; Cash Balances</t>
  </si>
  <si>
    <t>Other Current Assets</t>
  </si>
  <si>
    <t>Trade Debtors</t>
  </si>
  <si>
    <t>Other Debtors</t>
  </si>
  <si>
    <t>Prepayments</t>
  </si>
  <si>
    <t>Stock</t>
  </si>
  <si>
    <t xml:space="preserve">Directors Loan Account </t>
  </si>
  <si>
    <t>Current Liabilities</t>
  </si>
  <si>
    <t>Trade Creditors</t>
  </si>
  <si>
    <t>Accruals</t>
  </si>
  <si>
    <t>VAT Liability</t>
  </si>
  <si>
    <t>Net Wages</t>
  </si>
  <si>
    <t>PAYE</t>
  </si>
  <si>
    <t>Other Creditors</t>
  </si>
  <si>
    <t>Bank Loans &amp; HP Liability</t>
  </si>
  <si>
    <t>Profit &amp; Loss Account</t>
  </si>
  <si>
    <t>Brought forward</t>
  </si>
  <si>
    <t>Period to date</t>
  </si>
  <si>
    <t>FIXED ASSETS SCHEDULE</t>
  </si>
  <si>
    <t>Date</t>
  </si>
  <si>
    <t xml:space="preserve">Opening </t>
  </si>
  <si>
    <t>Additions</t>
  </si>
  <si>
    <t>Dep Rate</t>
  </si>
  <si>
    <t>Accum</t>
  </si>
  <si>
    <t>Total Depn</t>
  </si>
  <si>
    <t>W.D.V</t>
  </si>
  <si>
    <t>Balance</t>
  </si>
  <si>
    <t>25% RBM</t>
  </si>
  <si>
    <t>Dep</t>
  </si>
  <si>
    <t>£</t>
  </si>
  <si>
    <t>Furntiure,Fix &amp; Equipments</t>
  </si>
  <si>
    <t>Laptop</t>
  </si>
  <si>
    <t>Steel Woodtop</t>
  </si>
  <si>
    <t>Refrigerator &amp; Catering Equipments</t>
  </si>
  <si>
    <t>CCTV Camera</t>
  </si>
  <si>
    <t>Electric Shutter</t>
  </si>
  <si>
    <t>Computer</t>
  </si>
  <si>
    <t>HP Printer</t>
  </si>
  <si>
    <t>Airconditoner</t>
  </si>
  <si>
    <t>SQL Limited</t>
  </si>
  <si>
    <t>Details</t>
  </si>
  <si>
    <t>Last</t>
  </si>
  <si>
    <t>Current</t>
  </si>
  <si>
    <t>Purchases</t>
  </si>
  <si>
    <t>EBITDA</t>
  </si>
  <si>
    <t>Net Profit/(Loss) before tax</t>
  </si>
  <si>
    <t>Net Profit/(Loss) after tax</t>
  </si>
  <si>
    <t>Dividends</t>
  </si>
  <si>
    <t>Net Profit/(Loss) carried forward</t>
  </si>
  <si>
    <t xml:space="preserve">BALANCE SHEET </t>
  </si>
  <si>
    <t>Called up Share Capital</t>
  </si>
  <si>
    <t>Fixed Asset Total</t>
  </si>
  <si>
    <t>drop down option</t>
  </si>
  <si>
    <t>Current Assets</t>
  </si>
  <si>
    <t>Total Current Assets</t>
  </si>
  <si>
    <t xml:space="preserve">Total Current Liabilities                          </t>
  </si>
  <si>
    <t>Total Assets less current liabilites</t>
  </si>
  <si>
    <t>Long Term Liabilities</t>
  </si>
  <si>
    <t>NET ASSET/ (NET LIABILITY)</t>
  </si>
  <si>
    <t>Capital &amp; Reserves</t>
  </si>
  <si>
    <t>Equity</t>
  </si>
  <si>
    <t>Budget</t>
  </si>
  <si>
    <t>Cash flow from operating activites</t>
  </si>
  <si>
    <t>Current Asset</t>
  </si>
  <si>
    <t>Stock movement (increase)/decrease</t>
  </si>
  <si>
    <t>Other debtors (increase)/decrease</t>
  </si>
  <si>
    <t>Current Asset (Prepayment, Other deposit, sundry debtors, short term loan)</t>
  </si>
  <si>
    <t>Current Liability</t>
  </si>
  <si>
    <t>Other creditors increase/(decrease)</t>
  </si>
  <si>
    <t>Current Liability (Accruals, Other creditors, Net wages, PAYE/NI, Pension, short term loan)</t>
  </si>
  <si>
    <t>VAT increase/(decrease)</t>
  </si>
  <si>
    <t>Total cash in operating activities</t>
  </si>
  <si>
    <t>A</t>
  </si>
  <si>
    <t>B</t>
  </si>
  <si>
    <t xml:space="preserve">Fixed Asset </t>
  </si>
  <si>
    <t>Investment (addition)/sell</t>
  </si>
  <si>
    <t>Fixed Asset/Current Asset</t>
  </si>
  <si>
    <t>Total capital expenditure</t>
  </si>
  <si>
    <t>C</t>
  </si>
  <si>
    <t>Cashflow from Financing activities</t>
  </si>
  <si>
    <t>Cashflow from Investing activities</t>
  </si>
  <si>
    <t>Non Current liabilities, less if repaid</t>
  </si>
  <si>
    <t xml:space="preserve">Total cash from finance </t>
  </si>
  <si>
    <t>Net Cash Increase/(Decrease)</t>
  </si>
  <si>
    <t>Cash at the beginning of the month/year</t>
  </si>
  <si>
    <t>Cash at the end of month/year</t>
  </si>
  <si>
    <t>D</t>
  </si>
  <si>
    <t>Opening balance of the month or year</t>
  </si>
  <si>
    <t>CASH FLOW Statement</t>
  </si>
  <si>
    <t>others: proceeds from capital introduce</t>
  </si>
  <si>
    <t>link with nominal account</t>
  </si>
  <si>
    <t>Trade debtors (increase)/decrease</t>
  </si>
  <si>
    <t>Trade creditors increase/(decrease)</t>
  </si>
  <si>
    <t>Operating profit, add dep individually</t>
  </si>
  <si>
    <t>Less: Interest paid</t>
  </si>
  <si>
    <t>Cash flow forecast working</t>
  </si>
  <si>
    <t>LY - CY</t>
  </si>
  <si>
    <t>formula</t>
  </si>
  <si>
    <t>CY - LY</t>
  </si>
  <si>
    <t>Borrowing of long term loan - Add</t>
  </si>
  <si>
    <t>Dividend payment - Less</t>
  </si>
  <si>
    <t>Corporation tax payment - Less</t>
  </si>
  <si>
    <t>E</t>
  </si>
  <si>
    <t>A + B + C+ D</t>
  </si>
  <si>
    <t>A + B + C + D + E</t>
  </si>
  <si>
    <t>Change in equity</t>
  </si>
  <si>
    <t>Earnings after interest</t>
  </si>
  <si>
    <t>Fixed asset disposal - Add/(Less)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</si>
</sst>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(* #,##0_);_(* \(#,##0\);_(* &quot;-&quot;_);_(@_)"/>
    <numFmt numFmtId="165" formatCode="#,##0.0"/>
    <numFmt numFmtId="166" formatCode="_(* #,##0.00_);_(* \(#,##0.00\);_(* &quot;-&quot;??_);_(@_)"/>
    <numFmt numFmtId="167" formatCode="_(* #,##0_);_(* \(#,##0\);_(* &quot;-&quot;??_);_(@_)"/>
    <numFmt numFmtId="168" formatCode="_-* #,##0_-;\-* #,##0_-;_-* &quot;-&quot;??_-;_-@_-"/>
    <numFmt numFmtId="169" formatCode="_(* #,##0.00_);_(* \(#,##0.00\);_(* &quot;-&quot;_);_(@_)"/>
    <numFmt numFmtId="170" formatCode="* #,##0_);* \(#,##0\);* \-"/>
    <numFmt numFmtId="171" formatCode="_ * #,##0.00_ ;_ * \-#,##0.00_ ;_ * &quot;-&quot;??_ ;_ @_ "/>
  </numFmts>
  <fonts count="35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color indexed="18"/>
      <name val="Verdana"/>
      <family val="2"/>
    </font>
    <font>
      <sz val="10"/>
      <name val="Arial"/>
      <family val="2"/>
    </font>
    <font>
      <b/>
      <sz val="10"/>
      <color indexed="10"/>
      <name val="Verdana"/>
      <family val="2"/>
    </font>
    <font>
      <sz val="10"/>
      <name val="Verdana"/>
      <family val="2"/>
    </font>
    <font>
      <sz val="10"/>
      <name val="Arial"/>
      <family val="2"/>
    </font>
    <font>
      <sz val="10"/>
      <name val="Tahoma"/>
      <family val="2"/>
    </font>
    <font>
      <b/>
      <sz val="10"/>
      <color indexed="23"/>
      <name val="Verdana"/>
      <family val="2"/>
    </font>
    <font>
      <u/>
      <sz val="10"/>
      <color indexed="12"/>
      <name val="Arial"/>
      <family val="2"/>
    </font>
    <font>
      <b/>
      <sz val="10"/>
      <color indexed="9"/>
      <name val="Verdana"/>
      <family val="2"/>
    </font>
    <font>
      <b/>
      <sz val="10"/>
      <color indexed="56"/>
      <name val="Verdana"/>
      <family val="2"/>
    </font>
    <font>
      <sz val="10"/>
      <color indexed="18"/>
      <name val="Verdana"/>
      <family val="2"/>
    </font>
    <font>
      <sz val="10"/>
      <name val="Marlett"/>
      <charset val="2"/>
    </font>
    <font>
      <sz val="10"/>
      <color indexed="56"/>
      <name val="Verdana"/>
      <family val="2"/>
    </font>
    <font>
      <sz val="11"/>
      <color indexed="8"/>
      <name val="Calibri"/>
      <family val="2"/>
    </font>
    <font>
      <sz val="10"/>
      <color indexed="8"/>
      <name val="Verdana"/>
      <family val="2"/>
    </font>
    <font>
      <sz val="10"/>
      <color indexed="18"/>
      <name val="Arial"/>
      <family val="2"/>
    </font>
    <font>
      <u/>
      <sz val="10"/>
      <color indexed="12"/>
      <name val="Verdana"/>
      <family val="2"/>
    </font>
    <font>
      <b/>
      <sz val="10"/>
      <name val="Verdana"/>
      <family val="2"/>
    </font>
    <font>
      <sz val="10"/>
      <color indexed="18"/>
      <name val="Marlett"/>
      <charset val="2"/>
    </font>
    <font>
      <u/>
      <sz val="10"/>
      <color indexed="18"/>
      <name val="Verdana"/>
      <family val="2"/>
    </font>
    <font>
      <b/>
      <sz val="10"/>
      <color indexed="12"/>
      <name val="Verdana"/>
      <family val="2"/>
    </font>
    <font>
      <u/>
      <sz val="10"/>
      <color indexed="18"/>
      <name val="Marlett"/>
      <charset val="2"/>
    </font>
    <font>
      <b/>
      <sz val="14"/>
      <color indexed="56"/>
      <name val="Verdana"/>
      <family val="2"/>
    </font>
    <font>
      <b/>
      <u/>
      <sz val="10"/>
      <color indexed="55"/>
      <name val="Verdana"/>
      <family val="2"/>
    </font>
    <font>
      <b/>
      <u/>
      <sz val="12"/>
      <color indexed="55"/>
      <name val="Verdana"/>
      <family val="2"/>
    </font>
    <font>
      <b/>
      <sz val="12"/>
      <color indexed="18"/>
      <name val="Verdana"/>
      <family val="2"/>
    </font>
    <font>
      <sz val="11"/>
      <color theme="1"/>
      <name val="Calibri"/>
      <family val="2"/>
      <scheme val="minor"/>
    </font>
    <font>
      <b/>
      <u/>
      <sz val="10"/>
      <name val="Verdana"/>
      <family val="2"/>
    </font>
    <font>
      <b/>
      <sz val="12"/>
      <name val="Verdana"/>
      <family val="2"/>
    </font>
    <font>
      <b/>
      <sz val="12"/>
      <name val="Trebuchet MS"/>
      <family val="2"/>
    </font>
    <font>
      <b/>
      <sz val="11"/>
      <name val="Verdana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8">
    <xf numFmtId="0" fontId="0" fillId="0" borderId="0"/>
    <xf numFmtId="0" fontId="1" fillId="0" borderId="0"/>
    <xf numFmtId="164" fontId="3" fillId="0" borderId="0"/>
    <xf numFmtId="166" fontId="6" fillId="0" borderId="0" applyFont="0" applyFill="0" applyBorder="0" applyAlignment="0" applyProtection="0"/>
    <xf numFmtId="0" fontId="7" fillId="0" borderId="0"/>
    <xf numFmtId="0" fontId="9" fillId="0" borderId="0" applyNumberFormat="0" applyFill="0" applyBorder="0" applyAlignment="0" applyProtection="0">
      <alignment vertical="top"/>
      <protection locked="0"/>
    </xf>
    <xf numFmtId="164" fontId="6" fillId="0" borderId="0"/>
    <xf numFmtId="166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3" fillId="0" borderId="0"/>
    <xf numFmtId="9" fontId="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6" fillId="0" borderId="0"/>
    <xf numFmtId="43" fontId="3" fillId="0" borderId="0" applyFont="0" applyFill="0" applyBorder="0" applyAlignment="0" applyProtection="0"/>
    <xf numFmtId="44" fontId="6" fillId="0" borderId="0" applyFont="0" applyFill="0" applyBorder="0" applyAlignment="0" applyProtection="0"/>
    <xf numFmtId="171" fontId="3" fillId="0" borderId="0" applyFont="0" applyFill="0" applyBorder="0" applyAlignment="0" applyProtection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</cellStyleXfs>
  <cellXfs count="249">
    <xf numFmtId="0" fontId="0" fillId="0" borderId="0" xfId="0"/>
    <xf numFmtId="165" fontId="4" fillId="0" borderId="0" xfId="2" applyNumberFormat="1" applyFont="1" applyAlignment="1">
      <alignment horizontal="center"/>
    </xf>
    <xf numFmtId="165" fontId="5" fillId="0" borderId="0" xfId="2" applyNumberFormat="1" applyFont="1" applyAlignment="1">
      <alignment horizontal="right"/>
    </xf>
    <xf numFmtId="165" fontId="5" fillId="0" borderId="0" xfId="2" applyNumberFormat="1" applyFont="1"/>
    <xf numFmtId="164" fontId="5" fillId="0" borderId="0" xfId="2" applyFont="1"/>
    <xf numFmtId="166" fontId="5" fillId="0" borderId="0" xfId="3" applyFont="1" applyFill="1" applyAlignment="1"/>
    <xf numFmtId="17" fontId="8" fillId="0" borderId="0" xfId="4" applyNumberFormat="1" applyFont="1" applyAlignment="1">
      <alignment horizontal="left"/>
    </xf>
    <xf numFmtId="165" fontId="10" fillId="0" borderId="0" xfId="7" quotePrefix="1" applyNumberFormat="1" applyFont="1" applyFill="1" applyBorder="1" applyAlignment="1">
      <alignment horizontal="center"/>
    </xf>
    <xf numFmtId="165" fontId="10" fillId="0" borderId="0" xfId="7" applyNumberFormat="1" applyFont="1" applyFill="1" applyBorder="1" applyAlignment="1">
      <alignment horizontal="center"/>
    </xf>
    <xf numFmtId="164" fontId="13" fillId="0" borderId="0" xfId="2" applyFont="1"/>
    <xf numFmtId="166" fontId="14" fillId="0" borderId="0" xfId="3" applyFont="1" applyFill="1" applyBorder="1" applyAlignment="1"/>
    <xf numFmtId="166" fontId="14" fillId="0" borderId="0" xfId="3" applyFont="1" applyFill="1" applyAlignment="1"/>
    <xf numFmtId="164" fontId="14" fillId="0" borderId="0" xfId="2" applyFont="1"/>
    <xf numFmtId="166" fontId="12" fillId="0" borderId="0" xfId="3" applyFont="1" applyFill="1" applyBorder="1" applyAlignment="1">
      <alignment horizontal="fill"/>
    </xf>
    <xf numFmtId="166" fontId="2" fillId="0" borderId="0" xfId="3" applyFont="1" applyFill="1" applyBorder="1" applyAlignment="1"/>
    <xf numFmtId="166" fontId="5" fillId="0" borderId="0" xfId="3" applyFont="1" applyFill="1" applyBorder="1" applyAlignment="1"/>
    <xf numFmtId="166" fontId="2" fillId="0" borderId="4" xfId="3" applyFont="1" applyFill="1" applyBorder="1" applyAlignment="1">
      <alignment horizontal="center"/>
    </xf>
    <xf numFmtId="166" fontId="14" fillId="0" borderId="0" xfId="3" applyFont="1" applyFill="1" applyBorder="1"/>
    <xf numFmtId="166" fontId="12" fillId="0" borderId="4" xfId="3" applyFont="1" applyBorder="1"/>
    <xf numFmtId="166" fontId="2" fillId="0" borderId="0" xfId="3" applyFont="1" applyFill="1" applyBorder="1" applyAlignment="1">
      <alignment horizontal="right"/>
    </xf>
    <xf numFmtId="9" fontId="2" fillId="0" borderId="0" xfId="10" applyFont="1" applyFill="1" applyBorder="1" applyAlignment="1">
      <alignment horizontal="center"/>
    </xf>
    <xf numFmtId="166" fontId="11" fillId="0" borderId="0" xfId="3" applyFont="1" applyFill="1" applyBorder="1"/>
    <xf numFmtId="166" fontId="11" fillId="0" borderId="0" xfId="3" applyFont="1" applyFill="1" applyBorder="1" applyAlignment="1">
      <alignment horizontal="fill"/>
    </xf>
    <xf numFmtId="166" fontId="11" fillId="0" borderId="0" xfId="3" applyFont="1" applyFill="1" applyBorder="1" applyAlignment="1"/>
    <xf numFmtId="169" fontId="14" fillId="0" borderId="0" xfId="2" applyNumberFormat="1" applyFont="1"/>
    <xf numFmtId="165" fontId="12" fillId="0" borderId="4" xfId="2" applyNumberFormat="1" applyFont="1" applyBorder="1" applyAlignment="1">
      <alignment horizontal="fill"/>
    </xf>
    <xf numFmtId="166" fontId="17" fillId="0" borderId="0" xfId="3" applyFont="1"/>
    <xf numFmtId="166" fontId="12" fillId="0" borderId="0" xfId="3" applyFont="1"/>
    <xf numFmtId="166" fontId="5" fillId="0" borderId="0" xfId="3" applyFont="1" applyFill="1" applyBorder="1"/>
    <xf numFmtId="166" fontId="5" fillId="0" borderId="0" xfId="3" applyFont="1"/>
    <xf numFmtId="0" fontId="5" fillId="0" borderId="0" xfId="12" applyFont="1"/>
    <xf numFmtId="165" fontId="5" fillId="0" borderId="0" xfId="12" applyNumberFormat="1" applyFont="1"/>
    <xf numFmtId="43" fontId="5" fillId="0" borderId="0" xfId="3" applyNumberFormat="1" applyFont="1" applyFill="1"/>
    <xf numFmtId="167" fontId="5" fillId="0" borderId="0" xfId="3" applyNumberFormat="1" applyFont="1"/>
    <xf numFmtId="0" fontId="18" fillId="0" borderId="0" xfId="5" applyFont="1" applyAlignment="1" applyProtection="1"/>
    <xf numFmtId="0" fontId="19" fillId="0" borderId="0" xfId="12" applyFont="1" applyAlignment="1">
      <alignment horizontal="center" vertical="top" wrapText="1"/>
    </xf>
    <xf numFmtId="0" fontId="12" fillId="0" borderId="0" xfId="12" applyFont="1"/>
    <xf numFmtId="0" fontId="20" fillId="0" borderId="0" xfId="12" applyFont="1"/>
    <xf numFmtId="0" fontId="14" fillId="0" borderId="0" xfId="12" applyFont="1"/>
    <xf numFmtId="0" fontId="13" fillId="0" borderId="0" xfId="12" applyFont="1"/>
    <xf numFmtId="41" fontId="13" fillId="0" borderId="0" xfId="12" applyNumberFormat="1" applyFont="1"/>
    <xf numFmtId="166" fontId="5" fillId="0" borderId="0" xfId="3" applyFont="1" applyFill="1"/>
    <xf numFmtId="0" fontId="20" fillId="0" borderId="0" xfId="5" applyFont="1" applyFill="1" applyAlignment="1" applyProtection="1"/>
    <xf numFmtId="0" fontId="23" fillId="0" borderId="0" xfId="5" applyFont="1" applyFill="1" applyAlignment="1" applyProtection="1"/>
    <xf numFmtId="167" fontId="5" fillId="0" borderId="0" xfId="12" applyNumberFormat="1" applyFont="1"/>
    <xf numFmtId="166" fontId="13" fillId="0" borderId="0" xfId="12" applyNumberFormat="1" applyFont="1"/>
    <xf numFmtId="43" fontId="20" fillId="0" borderId="0" xfId="12" applyNumberFormat="1" applyFont="1"/>
    <xf numFmtId="170" fontId="20" fillId="0" borderId="0" xfId="12" applyNumberFormat="1" applyFont="1"/>
    <xf numFmtId="43" fontId="5" fillId="0" borderId="0" xfId="12" applyNumberFormat="1" applyFont="1"/>
    <xf numFmtId="170" fontId="5" fillId="0" borderId="0" xfId="12" applyNumberFormat="1" applyFont="1"/>
    <xf numFmtId="166" fontId="5" fillId="0" borderId="0" xfId="12" applyNumberFormat="1" applyFont="1"/>
    <xf numFmtId="0" fontId="24" fillId="0" borderId="0" xfId="1" applyFont="1"/>
    <xf numFmtId="43" fontId="12" fillId="0" borderId="0" xfId="13" applyFont="1"/>
    <xf numFmtId="0" fontId="21" fillId="0" borderId="0" xfId="5" applyFont="1" applyAlignment="1" applyProtection="1"/>
    <xf numFmtId="0" fontId="25" fillId="0" borderId="0" xfId="12" applyFont="1"/>
    <xf numFmtId="0" fontId="26" fillId="0" borderId="0" xfId="12" applyFont="1"/>
    <xf numFmtId="43" fontId="27" fillId="0" borderId="0" xfId="13" applyFont="1" applyAlignment="1"/>
    <xf numFmtId="0" fontId="27" fillId="0" borderId="0" xfId="12" applyFont="1"/>
    <xf numFmtId="0" fontId="14" fillId="0" borderId="4" xfId="12" applyFont="1" applyBorder="1"/>
    <xf numFmtId="0" fontId="14" fillId="0" borderId="5" xfId="12" applyFont="1" applyBorder="1"/>
    <xf numFmtId="166" fontId="5" fillId="0" borderId="4" xfId="3" applyFont="1" applyBorder="1"/>
    <xf numFmtId="166" fontId="14" fillId="0" borderId="4" xfId="3" applyFont="1" applyBorder="1"/>
    <xf numFmtId="166" fontId="14" fillId="0" borderId="5" xfId="3" applyFont="1" applyBorder="1"/>
    <xf numFmtId="9" fontId="14" fillId="0" borderId="5" xfId="12" applyNumberFormat="1" applyFont="1" applyBorder="1" applyAlignment="1">
      <alignment horizontal="center"/>
    </xf>
    <xf numFmtId="171" fontId="14" fillId="0" borderId="4" xfId="15" applyFont="1" applyBorder="1"/>
    <xf numFmtId="0" fontId="12" fillId="0" borderId="4" xfId="12" applyFont="1" applyBorder="1"/>
    <xf numFmtId="0" fontId="12" fillId="0" borderId="5" xfId="12" applyFont="1" applyBorder="1"/>
    <xf numFmtId="166" fontId="12" fillId="0" borderId="4" xfId="3" applyFont="1" applyFill="1" applyBorder="1" applyAlignment="1">
      <alignment horizontal="center"/>
    </xf>
    <xf numFmtId="166" fontId="12" fillId="0" borderId="4" xfId="3" applyFont="1" applyBorder="1" applyAlignment="1">
      <alignment horizontal="center"/>
    </xf>
    <xf numFmtId="166" fontId="12" fillId="0" borderId="5" xfId="3" applyFont="1" applyBorder="1" applyAlignment="1">
      <alignment horizontal="center"/>
    </xf>
    <xf numFmtId="9" fontId="12" fillId="0" borderId="5" xfId="12" applyNumberFormat="1" applyFont="1" applyBorder="1" applyAlignment="1">
      <alignment horizontal="center"/>
    </xf>
    <xf numFmtId="0" fontId="21" fillId="0" borderId="4" xfId="12" applyFont="1" applyBorder="1"/>
    <xf numFmtId="14" fontId="12" fillId="0" borderId="5" xfId="12" applyNumberFormat="1" applyFont="1" applyBorder="1" applyAlignment="1">
      <alignment horizontal="center"/>
    </xf>
    <xf numFmtId="166" fontId="12" fillId="0" borderId="6" xfId="3" applyFont="1" applyFill="1" applyBorder="1" applyAlignment="1">
      <alignment horizontal="center"/>
    </xf>
    <xf numFmtId="166" fontId="12" fillId="0" borderId="5" xfId="3" applyFont="1" applyFill="1" applyBorder="1" applyAlignment="1">
      <alignment horizontal="center"/>
    </xf>
    <xf numFmtId="166" fontId="12" fillId="0" borderId="5" xfId="3" applyFont="1" applyBorder="1"/>
    <xf numFmtId="0" fontId="2" fillId="0" borderId="4" xfId="12" applyFont="1" applyBorder="1"/>
    <xf numFmtId="166" fontId="2" fillId="0" borderId="11" xfId="3" applyFont="1" applyFill="1" applyBorder="1" applyAlignment="1">
      <alignment horizontal="center"/>
    </xf>
    <xf numFmtId="166" fontId="2" fillId="0" borderId="5" xfId="3" applyFont="1" applyFill="1" applyBorder="1" applyAlignment="1">
      <alignment horizontal="center"/>
    </xf>
    <xf numFmtId="0" fontId="2" fillId="0" borderId="5" xfId="12" applyFont="1" applyBorder="1"/>
    <xf numFmtId="0" fontId="12" fillId="0" borderId="8" xfId="12" applyFont="1" applyBorder="1"/>
    <xf numFmtId="14" fontId="12" fillId="0" borderId="10" xfId="12" applyNumberFormat="1" applyFont="1" applyBorder="1"/>
    <xf numFmtId="167" fontId="12" fillId="0" borderId="8" xfId="3" applyNumberFormat="1" applyFont="1" applyBorder="1"/>
    <xf numFmtId="167" fontId="12" fillId="0" borderId="10" xfId="3" applyNumberFormat="1" applyFont="1" applyBorder="1"/>
    <xf numFmtId="0" fontId="12" fillId="0" borderId="10" xfId="12" applyFont="1" applyBorder="1"/>
    <xf numFmtId="166" fontId="12" fillId="0" borderId="8" xfId="3" applyFont="1" applyBorder="1"/>
    <xf numFmtId="167" fontId="12" fillId="0" borderId="0" xfId="3" applyNumberFormat="1" applyFont="1"/>
    <xf numFmtId="167" fontId="12" fillId="0" borderId="0" xfId="12" applyNumberFormat="1" applyFont="1"/>
    <xf numFmtId="3" fontId="19" fillId="0" borderId="4" xfId="2" applyNumberFormat="1" applyFont="1" applyBorder="1"/>
    <xf numFmtId="165" fontId="19" fillId="0" borderId="4" xfId="2" applyNumberFormat="1" applyFont="1" applyBorder="1" applyAlignment="1">
      <alignment horizontal="center"/>
    </xf>
    <xf numFmtId="3" fontId="5" fillId="0" borderId="4" xfId="2" applyNumberFormat="1" applyFont="1" applyBorder="1"/>
    <xf numFmtId="3" fontId="19" fillId="2" borderId="6" xfId="2" applyNumberFormat="1" applyFont="1" applyFill="1" applyBorder="1"/>
    <xf numFmtId="0" fontId="29" fillId="0" borderId="4" xfId="9" applyFont="1" applyBorder="1"/>
    <xf numFmtId="0" fontId="5" fillId="0" borderId="4" xfId="9" applyFont="1" applyBorder="1"/>
    <xf numFmtId="9" fontId="19" fillId="3" borderId="6" xfId="10" applyFont="1" applyFill="1" applyBorder="1" applyAlignment="1">
      <alignment horizontal="center"/>
    </xf>
    <xf numFmtId="3" fontId="29" fillId="0" borderId="1" xfId="2" applyNumberFormat="1" applyFont="1" applyBorder="1"/>
    <xf numFmtId="3" fontId="29" fillId="0" borderId="4" xfId="2" applyNumberFormat="1" applyFont="1" applyBorder="1"/>
    <xf numFmtId="165" fontId="5" fillId="0" borderId="4" xfId="2" applyNumberFormat="1" applyFont="1" applyBorder="1" applyAlignment="1">
      <alignment horizontal="fill"/>
    </xf>
    <xf numFmtId="3" fontId="19" fillId="3" borderId="6" xfId="2" applyNumberFormat="1" applyFont="1" applyFill="1" applyBorder="1"/>
    <xf numFmtId="2" fontId="31" fillId="4" borderId="1" xfId="6" applyNumberFormat="1" applyFont="1" applyFill="1" applyBorder="1" applyAlignment="1">
      <alignment horizontal="left"/>
    </xf>
    <xf numFmtId="165" fontId="31" fillId="4" borderId="1" xfId="7" applyNumberFormat="1" applyFont="1" applyFill="1" applyBorder="1" applyAlignment="1">
      <alignment horizontal="center"/>
    </xf>
    <xf numFmtId="165" fontId="31" fillId="4" borderId="4" xfId="7" applyNumberFormat="1" applyFont="1" applyFill="1" applyBorder="1" applyAlignment="1">
      <alignment horizontal="center"/>
    </xf>
    <xf numFmtId="165" fontId="31" fillId="4" borderId="5" xfId="7" applyNumberFormat="1" applyFont="1" applyFill="1" applyBorder="1" applyAlignment="1">
      <alignment horizontal="center"/>
    </xf>
    <xf numFmtId="3" fontId="31" fillId="4" borderId="4" xfId="6" applyNumberFormat="1" applyFont="1" applyFill="1" applyBorder="1"/>
    <xf numFmtId="165" fontId="31" fillId="4" borderId="3" xfId="7" applyNumberFormat="1" applyFont="1" applyFill="1" applyBorder="1" applyAlignment="1">
      <alignment horizontal="center"/>
    </xf>
    <xf numFmtId="165" fontId="5" fillId="0" borderId="5" xfId="7" applyNumberFormat="1" applyFont="1" applyFill="1" applyBorder="1" applyAlignment="1">
      <alignment horizontal="right"/>
    </xf>
    <xf numFmtId="165" fontId="5" fillId="0" borderId="5" xfId="2" applyNumberFormat="1" applyFont="1" applyBorder="1" applyAlignment="1">
      <alignment horizontal="fill"/>
    </xf>
    <xf numFmtId="168" fontId="5" fillId="0" borderId="4" xfId="16" applyNumberFormat="1" applyFont="1" applyFill="1" applyBorder="1"/>
    <xf numFmtId="168" fontId="19" fillId="0" borderId="4" xfId="16" applyNumberFormat="1" applyFont="1" applyFill="1" applyBorder="1" applyAlignment="1">
      <alignment horizontal="right"/>
    </xf>
    <xf numFmtId="168" fontId="19" fillId="0" borderId="5" xfId="16" applyNumberFormat="1" applyFont="1" applyFill="1" applyBorder="1" applyAlignment="1">
      <alignment horizontal="right"/>
    </xf>
    <xf numFmtId="168" fontId="5" fillId="0" borderId="4" xfId="16" applyNumberFormat="1" applyFont="1" applyFill="1" applyBorder="1" applyAlignment="1">
      <alignment horizontal="fill"/>
    </xf>
    <xf numFmtId="168" fontId="5" fillId="0" borderId="5" xfId="16" applyNumberFormat="1" applyFont="1" applyFill="1" applyBorder="1" applyAlignment="1">
      <alignment horizontal="fill"/>
    </xf>
    <xf numFmtId="168" fontId="19" fillId="2" borderId="6" xfId="16" applyNumberFormat="1" applyFont="1" applyFill="1" applyBorder="1" applyAlignment="1"/>
    <xf numFmtId="168" fontId="19" fillId="2" borderId="7" xfId="16" applyNumberFormat="1" applyFont="1" applyFill="1" applyBorder="1" applyAlignment="1"/>
    <xf numFmtId="168" fontId="5" fillId="0" borderId="4" xfId="16" applyNumberFormat="1" applyFont="1" applyFill="1" applyBorder="1" applyAlignment="1">
      <alignment horizontal="right"/>
    </xf>
    <xf numFmtId="168" fontId="5" fillId="0" borderId="5" xfId="16" applyNumberFormat="1" applyFont="1" applyFill="1" applyBorder="1" applyAlignment="1">
      <alignment horizontal="right"/>
    </xf>
    <xf numFmtId="168" fontId="19" fillId="0" borderId="4" xfId="16" applyNumberFormat="1" applyFont="1" applyFill="1" applyBorder="1" applyAlignment="1">
      <alignment horizontal="center"/>
    </xf>
    <xf numFmtId="168" fontId="5" fillId="0" borderId="5" xfId="16" applyNumberFormat="1" applyFont="1" applyFill="1" applyBorder="1"/>
    <xf numFmtId="168" fontId="5" fillId="0" borderId="4" xfId="16" applyNumberFormat="1" applyFont="1" applyFill="1" applyBorder="1" applyAlignment="1"/>
    <xf numFmtId="168" fontId="5" fillId="0" borderId="4" xfId="16" applyNumberFormat="1" applyFont="1" applyBorder="1"/>
    <xf numFmtId="168" fontId="19" fillId="2" borderId="6" xfId="16" applyNumberFormat="1" applyFont="1" applyFill="1" applyBorder="1" applyAlignment="1">
      <alignment horizontal="right"/>
    </xf>
    <xf numFmtId="168" fontId="19" fillId="2" borderId="7" xfId="16" applyNumberFormat="1" applyFont="1" applyFill="1" applyBorder="1" applyAlignment="1">
      <alignment horizontal="right"/>
    </xf>
    <xf numFmtId="168" fontId="19" fillId="0" borderId="4" xfId="16" applyNumberFormat="1" applyFont="1" applyFill="1" applyBorder="1" applyAlignment="1"/>
    <xf numFmtId="168" fontId="5" fillId="0" borderId="5" xfId="16" applyNumberFormat="1" applyFont="1" applyFill="1" applyBorder="1" applyAlignment="1">
      <alignment horizontal="center"/>
    </xf>
    <xf numFmtId="168" fontId="19" fillId="0" borderId="0" xfId="16" applyNumberFormat="1" applyFont="1" applyFill="1" applyBorder="1" applyAlignment="1">
      <alignment horizontal="right"/>
    </xf>
    <xf numFmtId="168" fontId="19" fillId="0" borderId="1" xfId="16" applyNumberFormat="1" applyFont="1" applyFill="1" applyBorder="1" applyAlignment="1"/>
    <xf numFmtId="168" fontId="19" fillId="0" borderId="1" xfId="16" applyNumberFormat="1" applyFont="1" applyFill="1" applyBorder="1" applyAlignment="1">
      <alignment horizontal="right"/>
    </xf>
    <xf numFmtId="168" fontId="19" fillId="0" borderId="3" xfId="16" applyNumberFormat="1" applyFont="1" applyFill="1" applyBorder="1" applyAlignment="1">
      <alignment horizontal="right"/>
    </xf>
    <xf numFmtId="168" fontId="5" fillId="0" borderId="8" xfId="16" applyNumberFormat="1" applyFont="1" applyFill="1" applyBorder="1" applyAlignment="1"/>
    <xf numFmtId="168" fontId="19" fillId="0" borderId="4" xfId="16" applyNumberFormat="1" applyFont="1" applyFill="1" applyBorder="1" applyAlignment="1">
      <alignment horizontal="fill"/>
    </xf>
    <xf numFmtId="168" fontId="19" fillId="0" borderId="5" xfId="16" applyNumberFormat="1" applyFont="1" applyFill="1" applyBorder="1" applyAlignment="1">
      <alignment horizontal="fill"/>
    </xf>
    <xf numFmtId="3" fontId="19" fillId="5" borderId="4" xfId="2" applyNumberFormat="1" applyFont="1" applyFill="1" applyBorder="1"/>
    <xf numFmtId="9" fontId="19" fillId="5" borderId="6" xfId="17" applyFont="1" applyFill="1" applyBorder="1" applyAlignment="1">
      <alignment horizontal="center"/>
    </xf>
    <xf numFmtId="3" fontId="5" fillId="5" borderId="4" xfId="2" applyNumberFormat="1" applyFont="1" applyFill="1" applyBorder="1"/>
    <xf numFmtId="168" fontId="19" fillId="6" borderId="6" xfId="16" applyNumberFormat="1" applyFont="1" applyFill="1" applyBorder="1"/>
    <xf numFmtId="164" fontId="19" fillId="2" borderId="7" xfId="16" applyNumberFormat="1" applyFont="1" applyFill="1" applyBorder="1" applyAlignment="1"/>
    <xf numFmtId="164" fontId="5" fillId="0" borderId="5" xfId="2" applyFont="1" applyBorder="1"/>
    <xf numFmtId="165" fontId="12" fillId="0" borderId="5" xfId="2" applyNumberFormat="1" applyFont="1" applyBorder="1" applyAlignment="1">
      <alignment horizontal="fill"/>
    </xf>
    <xf numFmtId="9" fontId="19" fillId="5" borderId="7" xfId="17" applyFont="1" applyFill="1" applyBorder="1" applyAlignment="1">
      <alignment horizontal="center"/>
    </xf>
    <xf numFmtId="168" fontId="19" fillId="6" borderId="7" xfId="16" applyNumberFormat="1" applyFont="1" applyFill="1" applyBorder="1"/>
    <xf numFmtId="9" fontId="19" fillId="3" borderId="7" xfId="10" applyFont="1" applyFill="1" applyBorder="1" applyAlignment="1">
      <alignment horizontal="center"/>
    </xf>
    <xf numFmtId="168" fontId="19" fillId="0" borderId="5" xfId="16" applyNumberFormat="1" applyFont="1" applyFill="1" applyBorder="1" applyAlignment="1"/>
    <xf numFmtId="165" fontId="19" fillId="0" borderId="5" xfId="2" applyNumberFormat="1" applyFont="1" applyBorder="1" applyAlignment="1">
      <alignment horizontal="center"/>
    </xf>
    <xf numFmtId="168" fontId="19" fillId="0" borderId="5" xfId="16" applyNumberFormat="1" applyFont="1" applyFill="1" applyBorder="1" applyAlignment="1">
      <alignment horizontal="center"/>
    </xf>
    <xf numFmtId="168" fontId="5" fillId="0" borderId="5" xfId="16" applyNumberFormat="1" applyFont="1" applyBorder="1"/>
    <xf numFmtId="168" fontId="19" fillId="0" borderId="3" xfId="16" applyNumberFormat="1" applyFont="1" applyFill="1" applyBorder="1" applyAlignment="1"/>
    <xf numFmtId="164" fontId="5" fillId="0" borderId="4" xfId="2" applyFont="1" applyBorder="1"/>
    <xf numFmtId="164" fontId="12" fillId="0" borderId="4" xfId="2" applyFont="1" applyBorder="1"/>
    <xf numFmtId="164" fontId="19" fillId="2" borderId="6" xfId="16" applyNumberFormat="1" applyFont="1" applyFill="1" applyBorder="1" applyAlignment="1"/>
    <xf numFmtId="0" fontId="30" fillId="0" borderId="0" xfId="1" applyFont="1"/>
    <xf numFmtId="0" fontId="32" fillId="0" borderId="0" xfId="1" applyFont="1"/>
    <xf numFmtId="17" fontId="32" fillId="0" borderId="0" xfId="4" applyNumberFormat="1" applyFont="1" applyAlignment="1">
      <alignment horizontal="left"/>
    </xf>
    <xf numFmtId="17" fontId="31" fillId="4" borderId="4" xfId="7" applyNumberFormat="1" applyFont="1" applyFill="1" applyBorder="1" applyAlignment="1">
      <alignment horizontal="center"/>
    </xf>
    <xf numFmtId="17" fontId="31" fillId="4" borderId="5" xfId="7" applyNumberFormat="1" applyFont="1" applyFill="1" applyBorder="1" applyAlignment="1">
      <alignment horizontal="center"/>
    </xf>
    <xf numFmtId="167" fontId="5" fillId="0" borderId="4" xfId="16" applyNumberFormat="1" applyFont="1" applyFill="1" applyBorder="1"/>
    <xf numFmtId="167" fontId="5" fillId="0" borderId="5" xfId="16" applyNumberFormat="1" applyFont="1" applyFill="1" applyBorder="1"/>
    <xf numFmtId="167" fontId="19" fillId="0" borderId="5" xfId="16" applyNumberFormat="1" applyFont="1" applyFill="1" applyBorder="1" applyAlignment="1">
      <alignment horizontal="right"/>
    </xf>
    <xf numFmtId="167" fontId="19" fillId="0" borderId="0" xfId="16" applyNumberFormat="1" applyFont="1" applyFill="1" applyBorder="1" applyAlignment="1">
      <alignment horizontal="right"/>
    </xf>
    <xf numFmtId="168" fontId="5" fillId="0" borderId="0" xfId="16" applyNumberFormat="1" applyFont="1" applyFill="1" applyBorder="1" applyAlignment="1">
      <alignment horizontal="center"/>
    </xf>
    <xf numFmtId="165" fontId="31" fillId="4" borderId="1" xfId="7" quotePrefix="1" applyNumberFormat="1" applyFont="1" applyFill="1" applyBorder="1" applyAlignment="1">
      <alignment horizontal="center"/>
    </xf>
    <xf numFmtId="165" fontId="5" fillId="0" borderId="4" xfId="2" applyNumberFormat="1" applyFont="1" applyBorder="1"/>
    <xf numFmtId="168" fontId="5" fillId="0" borderId="4" xfId="16" applyNumberFormat="1" applyFont="1" applyBorder="1" applyAlignment="1">
      <alignment horizontal="fill"/>
    </xf>
    <xf numFmtId="168" fontId="12" fillId="0" borderId="4" xfId="16" applyNumberFormat="1" applyFont="1" applyBorder="1" applyAlignment="1">
      <alignment horizontal="fill"/>
    </xf>
    <xf numFmtId="0" fontId="10" fillId="4" borderId="0" xfId="1" applyFont="1" applyFill="1"/>
    <xf numFmtId="0" fontId="2" fillId="0" borderId="0" xfId="12" applyFont="1"/>
    <xf numFmtId="0" fontId="32" fillId="4" borderId="0" xfId="1" applyFont="1" applyFill="1" applyAlignment="1">
      <alignment horizontal="left"/>
    </xf>
    <xf numFmtId="0" fontId="19" fillId="4" borderId="0" xfId="12" applyFont="1" applyFill="1"/>
    <xf numFmtId="0" fontId="19" fillId="4" borderId="0" xfId="12" applyFont="1" applyFill="1" applyAlignment="1">
      <alignment horizontal="left"/>
    </xf>
    <xf numFmtId="0" fontId="32" fillId="4" borderId="0" xfId="1" applyFont="1" applyFill="1"/>
    <xf numFmtId="0" fontId="32" fillId="4" borderId="0" xfId="12" applyFont="1" applyFill="1"/>
    <xf numFmtId="168" fontId="5" fillId="0" borderId="0" xfId="16" applyNumberFormat="1" applyFont="1" applyFill="1"/>
    <xf numFmtId="166" fontId="19" fillId="0" borderId="4" xfId="3" applyFont="1" applyBorder="1" applyAlignment="1">
      <alignment horizontal="center" vertical="top" wrapText="1"/>
    </xf>
    <xf numFmtId="168" fontId="12" fillId="0" borderId="4" xfId="16" applyNumberFormat="1" applyFont="1" applyFill="1" applyBorder="1"/>
    <xf numFmtId="168" fontId="22" fillId="0" borderId="4" xfId="16" applyNumberFormat="1" applyFont="1" applyBorder="1"/>
    <xf numFmtId="168" fontId="19" fillId="4" borderId="4" xfId="16" applyNumberFormat="1" applyFont="1" applyFill="1" applyBorder="1"/>
    <xf numFmtId="168" fontId="14" fillId="0" borderId="4" xfId="16" applyNumberFormat="1" applyFont="1" applyFill="1" applyBorder="1"/>
    <xf numFmtId="168" fontId="13" fillId="0" borderId="4" xfId="16" applyNumberFormat="1" applyFont="1" applyBorder="1"/>
    <xf numFmtId="168" fontId="14" fillId="0" borderId="4" xfId="16" applyNumberFormat="1" applyFont="1" applyBorder="1"/>
    <xf numFmtId="168" fontId="19" fillId="4" borderId="12" xfId="16" applyNumberFormat="1" applyFont="1" applyFill="1" applyBorder="1"/>
    <xf numFmtId="168" fontId="5" fillId="4" borderId="4" xfId="16" applyNumberFormat="1" applyFont="1" applyFill="1" applyBorder="1"/>
    <xf numFmtId="168" fontId="32" fillId="4" borderId="4" xfId="16" applyNumberFormat="1" applyFont="1" applyFill="1" applyBorder="1" applyAlignment="1">
      <alignment horizontal="center" wrapText="1"/>
    </xf>
    <xf numFmtId="168" fontId="12" fillId="0" borderId="4" xfId="16" applyNumberFormat="1" applyFont="1" applyBorder="1"/>
    <xf numFmtId="168" fontId="12" fillId="0" borderId="8" xfId="16" applyNumberFormat="1" applyFont="1" applyBorder="1"/>
    <xf numFmtId="168" fontId="5" fillId="0" borderId="8" xfId="16" applyNumberFormat="1" applyFont="1" applyBorder="1"/>
    <xf numFmtId="0" fontId="5" fillId="0" borderId="4" xfId="12" applyFont="1" applyBorder="1"/>
    <xf numFmtId="165" fontId="31" fillId="7" borderId="1" xfId="7" quotePrefix="1" applyNumberFormat="1" applyFont="1" applyFill="1" applyBorder="1" applyAlignment="1">
      <alignment horizontal="center"/>
    </xf>
    <xf numFmtId="165" fontId="31" fillId="7" borderId="4" xfId="7" applyNumberFormat="1" applyFont="1" applyFill="1" applyBorder="1" applyAlignment="1">
      <alignment horizontal="center"/>
    </xf>
    <xf numFmtId="168" fontId="19" fillId="7" borderId="4" xfId="16" applyNumberFormat="1" applyFont="1" applyFill="1" applyBorder="1"/>
    <xf numFmtId="168" fontId="19" fillId="7" borderId="12" xfId="16" applyNumberFormat="1" applyFont="1" applyFill="1" applyBorder="1"/>
    <xf numFmtId="168" fontId="5" fillId="7" borderId="4" xfId="16" applyNumberFormat="1" applyFont="1" applyFill="1" applyBorder="1"/>
    <xf numFmtId="168" fontId="32" fillId="7" borderId="4" xfId="16" applyNumberFormat="1" applyFont="1" applyFill="1" applyBorder="1" applyAlignment="1">
      <alignment horizontal="center" wrapText="1"/>
    </xf>
    <xf numFmtId="3" fontId="19" fillId="0" borderId="4" xfId="2" applyNumberFormat="1" applyFont="1" applyFill="1" applyBorder="1"/>
    <xf numFmtId="0" fontId="5" fillId="0" borderId="4" xfId="9" applyFont="1" applyFill="1" applyBorder="1"/>
    <xf numFmtId="164" fontId="5" fillId="0" borderId="0" xfId="2" applyFont="1" applyBorder="1"/>
    <xf numFmtId="168" fontId="19" fillId="2" borderId="4" xfId="16" applyNumberFormat="1" applyFont="1" applyFill="1" applyBorder="1" applyAlignment="1">
      <alignment horizontal="right"/>
    </xf>
    <xf numFmtId="9" fontId="19" fillId="5" borderId="4" xfId="17" applyFont="1" applyFill="1" applyBorder="1" applyAlignment="1">
      <alignment horizontal="center"/>
    </xf>
    <xf numFmtId="168" fontId="19" fillId="0" borderId="4" xfId="16" applyNumberFormat="1" applyFont="1" applyFill="1" applyBorder="1"/>
    <xf numFmtId="164" fontId="19" fillId="2" borderId="4" xfId="16" applyNumberFormat="1" applyFont="1" applyFill="1" applyBorder="1" applyAlignment="1"/>
    <xf numFmtId="168" fontId="19" fillId="2" borderId="4" xfId="16" applyNumberFormat="1" applyFont="1" applyFill="1" applyBorder="1" applyAlignment="1"/>
    <xf numFmtId="9" fontId="19" fillId="3" borderId="4" xfId="10" applyFont="1" applyFill="1" applyBorder="1" applyAlignment="1">
      <alignment horizontal="center"/>
    </xf>
    <xf numFmtId="168" fontId="19" fillId="2" borderId="8" xfId="16" applyNumberFormat="1" applyFont="1" applyFill="1" applyBorder="1" applyAlignment="1"/>
    <xf numFmtId="165" fontId="31" fillId="8" borderId="1" xfId="7" quotePrefix="1" applyNumberFormat="1" applyFont="1" applyFill="1" applyBorder="1" applyAlignment="1">
      <alignment horizontal="center"/>
    </xf>
    <xf numFmtId="168" fontId="19" fillId="0" borderId="2" xfId="16" applyNumberFormat="1" applyFont="1" applyFill="1" applyBorder="1" applyAlignment="1">
      <alignment horizontal="right"/>
    </xf>
    <xf numFmtId="165" fontId="31" fillId="4" borderId="8" xfId="7" applyNumberFormat="1" applyFont="1" applyFill="1" applyBorder="1" applyAlignment="1">
      <alignment horizontal="center"/>
    </xf>
    <xf numFmtId="168" fontId="19" fillId="0" borderId="9" xfId="16" applyNumberFormat="1" applyFont="1" applyFill="1" applyBorder="1" applyAlignment="1">
      <alignment horizontal="right"/>
    </xf>
    <xf numFmtId="165" fontId="31" fillId="8" borderId="8" xfId="7" applyNumberFormat="1" applyFont="1" applyFill="1" applyBorder="1" applyAlignment="1">
      <alignment horizontal="center"/>
    </xf>
    <xf numFmtId="165" fontId="31" fillId="7" borderId="8" xfId="7" applyNumberFormat="1" applyFont="1" applyFill="1" applyBorder="1" applyAlignment="1">
      <alignment horizontal="center"/>
    </xf>
    <xf numFmtId="2" fontId="31" fillId="0" borderId="1" xfId="6" applyNumberFormat="1" applyFont="1" applyFill="1" applyBorder="1" applyAlignment="1">
      <alignment horizontal="left"/>
    </xf>
    <xf numFmtId="3" fontId="31" fillId="0" borderId="8" xfId="6" applyNumberFormat="1" applyFont="1" applyFill="1" applyBorder="1"/>
    <xf numFmtId="3" fontId="19" fillId="0" borderId="8" xfId="2" applyNumberFormat="1" applyFont="1" applyFill="1" applyBorder="1"/>
    <xf numFmtId="0" fontId="19" fillId="4" borderId="1" xfId="12" applyFont="1" applyFill="1" applyBorder="1" applyAlignment="1">
      <alignment horizontal="center"/>
    </xf>
    <xf numFmtId="0" fontId="19" fillId="4" borderId="2" xfId="12" applyFont="1" applyFill="1" applyBorder="1" applyAlignment="1">
      <alignment horizontal="center"/>
    </xf>
    <xf numFmtId="43" fontId="19" fillId="4" borderId="1" xfId="13" applyFont="1" applyFill="1" applyBorder="1" applyAlignment="1">
      <alignment horizontal="center"/>
    </xf>
    <xf numFmtId="43" fontId="19" fillId="4" borderId="2" xfId="13" applyFont="1" applyFill="1" applyBorder="1" applyAlignment="1">
      <alignment horizontal="center"/>
    </xf>
    <xf numFmtId="0" fontId="19" fillId="4" borderId="3" xfId="12" applyFont="1" applyFill="1" applyBorder="1" applyAlignment="1">
      <alignment horizontal="center"/>
    </xf>
    <xf numFmtId="0" fontId="5" fillId="4" borderId="8" xfId="12" applyFont="1" applyFill="1" applyBorder="1"/>
    <xf numFmtId="0" fontId="5" fillId="4" borderId="9" xfId="12" applyFont="1" applyFill="1" applyBorder="1"/>
    <xf numFmtId="43" fontId="19" fillId="4" borderId="9" xfId="13" applyFont="1" applyFill="1" applyBorder="1" applyAlignment="1">
      <alignment horizontal="center"/>
    </xf>
    <xf numFmtId="0" fontId="19" fillId="4" borderId="9" xfId="12" applyFont="1" applyFill="1" applyBorder="1" applyAlignment="1">
      <alignment horizontal="center"/>
    </xf>
    <xf numFmtId="44" fontId="19" fillId="4" borderId="9" xfId="14" applyFont="1" applyFill="1" applyBorder="1" applyAlignment="1">
      <alignment horizontal="center"/>
    </xf>
    <xf numFmtId="44" fontId="19" fillId="4" borderId="10" xfId="14" applyFont="1" applyFill="1" applyBorder="1" applyAlignment="1">
      <alignment horizontal="center"/>
    </xf>
    <xf numFmtId="0" fontId="19" fillId="4" borderId="8" xfId="12" applyFont="1" applyFill="1" applyBorder="1" applyAlignment="1">
      <alignment horizontal="center"/>
    </xf>
    <xf numFmtId="17" fontId="19" fillId="4" borderId="2" xfId="12" applyNumberFormat="1" applyFont="1" applyFill="1" applyBorder="1" applyAlignment="1">
      <alignment horizontal="center"/>
    </xf>
    <xf numFmtId="0" fontId="33" fillId="0" borderId="0" xfId="0" applyFont="1"/>
    <xf numFmtId="0" fontId="0" fillId="0" borderId="0" xfId="0" applyAlignment="1">
      <alignment horizontal="right"/>
    </xf>
    <xf numFmtId="0" fontId="33" fillId="0" borderId="0" xfId="0" applyFont="1" applyAlignment="1">
      <alignment horizontal="right"/>
    </xf>
    <xf numFmtId="0" fontId="0" fillId="9" borderId="0" xfId="0" applyFill="1"/>
    <xf numFmtId="168" fontId="14" fillId="0" borderId="0" xfId="12" applyNumberFormat="1" applyFont="1"/>
    <xf numFmtId="168" fontId="11" fillId="0" borderId="0" xfId="12" applyNumberFormat="1" applyFont="1"/>
    <xf numFmtId="168" fontId="19" fillId="8" borderId="0" xfId="12" applyNumberFormat="1" applyFont="1" applyFill="1"/>
    <xf numFmtId="168" fontId="11" fillId="8" borderId="0" xfId="12" applyNumberFormat="1" applyFont="1" applyFill="1"/>
    <xf numFmtId="168" fontId="14" fillId="8" borderId="4" xfId="16" applyNumberFormat="1" applyFont="1" applyFill="1" applyBorder="1"/>
    <xf numFmtId="168" fontId="12" fillId="8" borderId="4" xfId="16" applyNumberFormat="1" applyFont="1" applyFill="1" applyBorder="1"/>
    <xf numFmtId="168" fontId="0" fillId="0" borderId="0" xfId="0" applyNumberFormat="1"/>
    <xf numFmtId="168" fontId="19" fillId="8" borderId="5" xfId="16" applyNumberFormat="1" applyFont="1" applyFill="1" applyBorder="1" applyAlignment="1">
      <alignment horizontal="fill"/>
    </xf>
    <xf numFmtId="0" fontId="0" fillId="0" borderId="0" xfId="0" applyFont="1"/>
    <xf numFmtId="0" fontId="0" fillId="0" borderId="5" xfId="0" applyBorder="1"/>
    <xf numFmtId="168" fontId="0" fillId="0" borderId="7" xfId="16" applyNumberFormat="1" applyFont="1" applyBorder="1"/>
    <xf numFmtId="168" fontId="0" fillId="0" borderId="5" xfId="16" applyNumberFormat="1" applyFont="1" applyBorder="1"/>
    <xf numFmtId="167" fontId="0" fillId="0" borderId="5" xfId="16" applyNumberFormat="1" applyFont="1" applyBorder="1"/>
    <xf numFmtId="167" fontId="0" fillId="0" borderId="7" xfId="16" applyNumberFormat="1" applyFont="1" applyBorder="1"/>
    <xf numFmtId="168" fontId="0" fillId="0" borderId="13" xfId="16" applyNumberFormat="1" applyFont="1" applyBorder="1"/>
    <xf numFmtId="0" fontId="0" fillId="0" borderId="10" xfId="0" applyBorder="1"/>
    <xf numFmtId="168" fontId="33" fillId="0" borderId="14" xfId="16" applyNumberFormat="1" applyFont="1" applyBorder="1"/>
    <xf numFmtId="0" fontId="0" fillId="0" borderId="4" xfId="0" applyBorder="1"/>
    <xf numFmtId="0" fontId="33" fillId="0" borderId="4" xfId="0" applyFont="1" applyBorder="1"/>
    <xf numFmtId="0" fontId="34" fillId="0" borderId="4" xfId="0" applyFont="1" applyBorder="1"/>
    <xf numFmtId="0" fontId="0" fillId="0" borderId="8" xfId="0" applyBorder="1"/>
    <xf numFmtId="0" fontId="0" fillId="9" borderId="4" xfId="0" applyFill="1" applyBorder="1"/>
  </cellXfs>
  <cellStyles count="18">
    <cellStyle name="Comma" xfId="16" builtinId="3"/>
    <cellStyle name="Comma 10" xfId="8" xr:uid="{34787D24-17F5-42AF-9BC4-20F9E3445FAE}"/>
    <cellStyle name="Comma 2" xfId="3" xr:uid="{13FC82A4-0CF1-4C98-AE6D-EC8EBE5E70D3}"/>
    <cellStyle name="Comma 2 3" xfId="7" xr:uid="{05A24303-58EE-4386-B0EB-0FDFA2A720E0}"/>
    <cellStyle name="Comma 5" xfId="11" xr:uid="{A52E6CB8-F8AA-4B02-ABEF-39ADCCDD64B1}"/>
    <cellStyle name="Comma_Cash &amp; sales Summary May 07" xfId="13" xr:uid="{964951A4-39B7-4A2B-8BAF-9654C7024B71}"/>
    <cellStyle name="Comma_Query" xfId="15" xr:uid="{19CB75D5-3D97-4CAE-A605-D5A8AAF1A71C}"/>
    <cellStyle name="Currency 2" xfId="14" xr:uid="{8A2255BD-C49B-49AC-9A16-26C0C8A5147D}"/>
    <cellStyle name="Hyperlink 2" xfId="5" xr:uid="{638E539C-3786-428B-B342-749F963A0C80}"/>
    <cellStyle name="Normal" xfId="0" builtinId="0"/>
    <cellStyle name="Normal 2" xfId="12" xr:uid="{03419E29-BF45-4609-BC12-1A9893EA37EA}"/>
    <cellStyle name="Normal 2 2" xfId="9" xr:uid="{CD1C5CB8-4777-4F67-B076-7D822AB5C2BB}"/>
    <cellStyle name="Normal_FAP Benefits per Stuart" xfId="1" xr:uid="{115605CF-FB2B-44FA-AEBE-BEE6A2066454}"/>
    <cellStyle name="Normal_MIS Aug 07  - Darlington" xfId="6" xr:uid="{9348160F-14B0-45E8-B8CE-B271A2C7935B}"/>
    <cellStyle name="Normal_MIS Aug 07  - Darlington 2" xfId="2" xr:uid="{AC0E1C2F-5466-4AF4-B635-FBD4535D7C7B}"/>
    <cellStyle name="Normal_Partnership Meeting - May 2005 2" xfId="4" xr:uid="{1917F6F8-B398-484B-B9EC-62C278E1315F}"/>
    <cellStyle name="Percent" xfId="17" builtinId="5"/>
    <cellStyle name="Percent 2" xfId="10" xr:uid="{50F60129-4E47-4B27-894A-51F5500E5CE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SERVER\client%20data\My%20Documents\archana\BKL\B2-039A%20Mann's%20Project%20Management%20Services%20Ltd\Datat%20Sent%20by%20Client\M758%20records\BRP\BRP2%2031%20MPMS%202004-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turgess%20Hutchinson%20H2/H2-098%20E%20Taylor%20Skip%20Hire%20&amp;%20Recylcing%20Ltd/Final%20Repor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SERVER\client%20data\My%20Documents\archana\B2-032%20Cassel%20Consulting%20Ltd\workings%202004-05\data%20sent%20by%20client\BRP2.31%20Cassel%208.1.04%20to%2031.12.0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SERVER\client%20data\My%20Documents\archana\B2-036%20R280%20Rick%20Smith%20Associates%20Limited\Data%20sent%20by%20client\r280%20brp\BRP%201.5.04%20to%2030.4.0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lenovo%20X240%2026-04-2020\Documents\From%20Old%20Computer\TEMP\GI%20Marketing%20and%20Legal\Marketing%20-%20Presentation\Promotional%20to%20new%20clients\MIS%20samples\ABC%20Ltd%20-%20CAR%20MI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"/>
      <sheetName val="Introduction"/>
      <sheetName val="Instructions"/>
      <sheetName val="Company information"/>
      <sheetName val="BR1"/>
      <sheetName val="BR2"/>
      <sheetName val="BR3"/>
      <sheetName val="BR4"/>
      <sheetName val="BR5"/>
      <sheetName val="BR6"/>
      <sheetName val="BR7"/>
      <sheetName val="BR8"/>
      <sheetName val="BR9"/>
      <sheetName val="BR10"/>
      <sheetName val="BR11"/>
      <sheetName val="BR12"/>
      <sheetName val="BP1"/>
      <sheetName val="BP2"/>
      <sheetName val="BP3"/>
      <sheetName val="BP4"/>
      <sheetName val="BP5"/>
      <sheetName val="BP6"/>
      <sheetName val="BP7"/>
      <sheetName val="BP8"/>
      <sheetName val="BP9"/>
      <sheetName val="BP10"/>
      <sheetName val="BP11"/>
      <sheetName val="BP12"/>
      <sheetName val="PC1"/>
      <sheetName val="PC2"/>
      <sheetName val="PC3"/>
      <sheetName val="PC4"/>
      <sheetName val="PC5"/>
      <sheetName val="PC6"/>
      <sheetName val="PC7"/>
      <sheetName val="PC8"/>
      <sheetName val="PC9"/>
      <sheetName val="PC10"/>
      <sheetName val="PC11"/>
      <sheetName val="PC12"/>
      <sheetName val="Summary"/>
      <sheetName val="Bank summary"/>
      <sheetName val="VAT return"/>
      <sheetName val="IR35 Calc Instructions"/>
      <sheetName val="IR35 Calculator 2004 - 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65">
          <cell r="A65" t="str">
            <v>Yes</v>
          </cell>
        </row>
        <row r="66">
          <cell r="A66" t="str">
            <v>No</v>
          </cell>
        </row>
      </sheetData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tSettings"/>
      <sheetName val="SectList"/>
      <sheetName val="AcList"/>
      <sheetName val="DepList"/>
      <sheetName val="CurList"/>
      <sheetName val="SectTB"/>
      <sheetName val="SectCDTB"/>
      <sheetName val="AcTB"/>
      <sheetName val="AcCDTB"/>
      <sheetName val="Settings"/>
      <sheetName val="TB Scheme A"/>
      <sheetName val="TB Scheme B"/>
      <sheetName val="TB Scheme C"/>
      <sheetName val="TB Scheme D"/>
      <sheetName val="N1-Op bal check-2005"/>
      <sheetName val="N1-Op bal check-2006"/>
      <sheetName val="Check List"/>
      <sheetName val="History"/>
      <sheetName val="TB"/>
      <sheetName val="Data"/>
      <sheetName val="CFWorkings"/>
      <sheetName val="Cover"/>
      <sheetName val="Contents"/>
      <sheetName val="Information"/>
      <sheetName val="Director"/>
      <sheetName val="Responsibilities"/>
      <sheetName val="AuditX"/>
      <sheetName val="Audit"/>
      <sheetName val="Accountant"/>
      <sheetName val="CAReport"/>
      <sheetName val="PL"/>
      <sheetName val="RGL"/>
      <sheetName val="BS"/>
      <sheetName val="CF"/>
      <sheetName val="Notes"/>
      <sheetName val="DetailPL1"/>
      <sheetName val="DetailPL2"/>
      <sheetName val="AbbCover"/>
      <sheetName val="AbbAudit"/>
      <sheetName val="AbbBS"/>
      <sheetName val="AbbNotes"/>
      <sheetName val="Library"/>
      <sheetName val="Workings"/>
      <sheetName val="VT_Resul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>
        <row r="14">
          <cell r="C14" t="b">
            <v>1</v>
          </cell>
        </row>
        <row r="16">
          <cell r="C16">
            <v>12</v>
          </cell>
        </row>
        <row r="25">
          <cell r="C25" t="b">
            <v>0</v>
          </cell>
        </row>
        <row r="27">
          <cell r="C27" t="b">
            <v>1</v>
          </cell>
        </row>
        <row r="57">
          <cell r="C57">
            <v>38807</v>
          </cell>
        </row>
        <row r="58">
          <cell r="C58">
            <v>38442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>
        <row r="32">
          <cell r="G32">
            <v>355127</v>
          </cell>
          <cell r="I32">
            <v>512350</v>
          </cell>
        </row>
      </sheetData>
      <sheetData sheetId="31"/>
      <sheetData sheetId="32" refreshError="1">
        <row r="31">
          <cell r="E31">
            <v>976970</v>
          </cell>
          <cell r="H31">
            <v>662853</v>
          </cell>
        </row>
        <row r="40">
          <cell r="E40">
            <v>976970</v>
          </cell>
          <cell r="H40">
            <v>662853</v>
          </cell>
        </row>
      </sheetData>
      <sheetData sheetId="33" refreshError="1">
        <row r="40">
          <cell r="E40">
            <v>115643</v>
          </cell>
          <cell r="G40">
            <v>383309</v>
          </cell>
        </row>
        <row r="46">
          <cell r="E46">
            <v>115643</v>
          </cell>
          <cell r="G46">
            <v>383309</v>
          </cell>
        </row>
      </sheetData>
      <sheetData sheetId="34" refreshError="1">
        <row r="226">
          <cell r="G226">
            <v>37896</v>
          </cell>
        </row>
        <row r="229">
          <cell r="I229">
            <v>37896</v>
          </cell>
        </row>
        <row r="255">
          <cell r="G255">
            <v>0</v>
          </cell>
        </row>
        <row r="259">
          <cell r="I259">
            <v>0</v>
          </cell>
        </row>
        <row r="265">
          <cell r="G265">
            <v>0</v>
          </cell>
        </row>
        <row r="268">
          <cell r="I268">
            <v>0</v>
          </cell>
        </row>
        <row r="274">
          <cell r="G274">
            <v>0</v>
          </cell>
        </row>
        <row r="277">
          <cell r="I277">
            <v>0</v>
          </cell>
        </row>
        <row r="283">
          <cell r="G283">
            <v>662852</v>
          </cell>
        </row>
        <row r="288">
          <cell r="I288">
            <v>662852</v>
          </cell>
        </row>
      </sheetData>
      <sheetData sheetId="35" refreshError="1">
        <row r="26">
          <cell r="C26">
            <v>355127</v>
          </cell>
          <cell r="E26">
            <v>512350</v>
          </cell>
        </row>
      </sheetData>
      <sheetData sheetId="36"/>
      <sheetData sheetId="37"/>
      <sheetData sheetId="38"/>
      <sheetData sheetId="39" refreshError="1">
        <row r="31">
          <cell r="E31">
            <v>976970</v>
          </cell>
          <cell r="H31">
            <v>662853</v>
          </cell>
        </row>
        <row r="40">
          <cell r="E40">
            <v>976970</v>
          </cell>
          <cell r="H40">
            <v>662853</v>
          </cell>
        </row>
      </sheetData>
      <sheetData sheetId="40"/>
      <sheetData sheetId="41"/>
      <sheetData sheetId="42" refreshError="1">
        <row r="21">
          <cell r="F21">
            <v>0</v>
          </cell>
        </row>
        <row r="23">
          <cell r="F23">
            <v>0</v>
          </cell>
        </row>
        <row r="47">
          <cell r="H47">
            <v>459146</v>
          </cell>
        </row>
        <row r="67">
          <cell r="H67">
            <v>459146</v>
          </cell>
        </row>
        <row r="78">
          <cell r="H78">
            <v>0</v>
          </cell>
        </row>
        <row r="95">
          <cell r="H95">
            <v>0</v>
          </cell>
        </row>
      </sheetData>
      <sheetData sheetId="4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"/>
      <sheetName val="Introduction"/>
      <sheetName val="Instructions"/>
      <sheetName val="Company information"/>
      <sheetName val="BR1"/>
      <sheetName val="BR2"/>
      <sheetName val="BR3"/>
      <sheetName val="BR4"/>
      <sheetName val="BR5"/>
      <sheetName val="BR6"/>
      <sheetName val="BR7"/>
      <sheetName val="BR8"/>
      <sheetName val="BR9"/>
      <sheetName val="BR10"/>
      <sheetName val="BR11"/>
      <sheetName val="BR12"/>
      <sheetName val="BP1"/>
      <sheetName val="BP2"/>
      <sheetName val="BP3"/>
      <sheetName val="BP4"/>
      <sheetName val="BP5"/>
      <sheetName val="BP6"/>
      <sheetName val="BP7"/>
      <sheetName val="BP8"/>
      <sheetName val="BP9"/>
      <sheetName val="BP10"/>
      <sheetName val="BP11"/>
      <sheetName val="BP12"/>
      <sheetName val="PC1"/>
      <sheetName val="PC2"/>
      <sheetName val="PC3"/>
      <sheetName val="PC4"/>
      <sheetName val="PC5"/>
      <sheetName val="PC6"/>
      <sheetName val="PC7"/>
      <sheetName val="PC8"/>
      <sheetName val="PC9"/>
      <sheetName val="PC10"/>
      <sheetName val="PC11"/>
      <sheetName val="PC12"/>
      <sheetName val="Summary"/>
      <sheetName val="Bank summary"/>
      <sheetName val="VAT return"/>
      <sheetName val="IR35 Calc Instructions"/>
      <sheetName val="IR35 Calculator 2003 - 04"/>
      <sheetName val="PC1 (M1 contd)"/>
      <sheetName val="PC2 (M2 contd)"/>
      <sheetName val="PC3 (M3 contd)"/>
      <sheetName val="PC4 (M4 contd)"/>
      <sheetName val="PC7 (M7 contd)"/>
      <sheetName val="PC9 (M9 contd)"/>
      <sheetName val="PC11 (M11 contd)"/>
      <sheetName val="Petty Cash Totals"/>
      <sheetName val="VAT Return Jun 04"/>
      <sheetName val="VAT Return Sep 04"/>
      <sheetName val="VAT Return Dec 04"/>
      <sheetName val="Sales Day Book 2004"/>
      <sheetName val="ILO TOR 0001,2"/>
    </sheetNames>
    <sheetDataSet>
      <sheetData sheetId="0"/>
      <sheetData sheetId="1"/>
      <sheetData sheetId="2"/>
      <sheetData sheetId="3" refreshError="1">
        <row r="5">
          <cell r="D5" t="str">
            <v>Cassel Consulting Limited</v>
          </cell>
        </row>
      </sheetData>
      <sheetData sheetId="4" refreshError="1">
        <row r="3">
          <cell r="C3" t="str">
            <v>January 2004</v>
          </cell>
        </row>
        <row r="7">
          <cell r="H7">
            <v>0</v>
          </cell>
        </row>
        <row r="8">
          <cell r="H8">
            <v>0</v>
          </cell>
        </row>
        <row r="9">
          <cell r="H9">
            <v>0</v>
          </cell>
        </row>
        <row r="10">
          <cell r="H10">
            <v>0</v>
          </cell>
        </row>
        <row r="11">
          <cell r="H11">
            <v>0</v>
          </cell>
        </row>
        <row r="12">
          <cell r="H12">
            <v>0</v>
          </cell>
        </row>
        <row r="13">
          <cell r="H13">
            <v>0</v>
          </cell>
        </row>
        <row r="14">
          <cell r="H14">
            <v>0</v>
          </cell>
        </row>
        <row r="15">
          <cell r="H15">
            <v>0</v>
          </cell>
        </row>
        <row r="16">
          <cell r="H16">
            <v>0</v>
          </cell>
        </row>
        <row r="17">
          <cell r="H17">
            <v>0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  <row r="30">
          <cell r="H30">
            <v>0</v>
          </cell>
        </row>
        <row r="31">
          <cell r="H31">
            <v>0</v>
          </cell>
        </row>
        <row r="32">
          <cell r="H32">
            <v>0</v>
          </cell>
        </row>
        <row r="33">
          <cell r="H33">
            <v>0</v>
          </cell>
        </row>
        <row r="34">
          <cell r="H34">
            <v>0</v>
          </cell>
        </row>
        <row r="35">
          <cell r="H35">
            <v>0</v>
          </cell>
        </row>
        <row r="36">
          <cell r="H36">
            <v>0</v>
          </cell>
        </row>
        <row r="37">
          <cell r="H37">
            <v>0</v>
          </cell>
        </row>
        <row r="38">
          <cell r="H38">
            <v>0</v>
          </cell>
        </row>
        <row r="39">
          <cell r="H39">
            <v>0</v>
          </cell>
        </row>
        <row r="40">
          <cell r="H40">
            <v>0</v>
          </cell>
        </row>
        <row r="41">
          <cell r="H41">
            <v>0</v>
          </cell>
        </row>
        <row r="42">
          <cell r="H42">
            <v>0</v>
          </cell>
        </row>
        <row r="43">
          <cell r="H43">
            <v>0</v>
          </cell>
        </row>
        <row r="44">
          <cell r="H44">
            <v>0</v>
          </cell>
        </row>
        <row r="45">
          <cell r="H45">
            <v>0</v>
          </cell>
        </row>
        <row r="46">
          <cell r="H46">
            <v>0</v>
          </cell>
        </row>
        <row r="47">
          <cell r="F47">
            <v>0</v>
          </cell>
          <cell r="G47">
            <v>0</v>
          </cell>
        </row>
      </sheetData>
      <sheetData sheetId="5" refreshError="1">
        <row r="3">
          <cell r="C3" t="str">
            <v>February 2004</v>
          </cell>
        </row>
        <row r="7">
          <cell r="H7">
            <v>0</v>
          </cell>
        </row>
        <row r="8">
          <cell r="H8">
            <v>0</v>
          </cell>
        </row>
        <row r="9">
          <cell r="H9">
            <v>0</v>
          </cell>
        </row>
        <row r="10">
          <cell r="H10">
            <v>0</v>
          </cell>
        </row>
        <row r="11">
          <cell r="H11">
            <v>0</v>
          </cell>
        </row>
        <row r="12">
          <cell r="H12">
            <v>0</v>
          </cell>
        </row>
        <row r="13">
          <cell r="H13">
            <v>0</v>
          </cell>
        </row>
        <row r="14">
          <cell r="H14">
            <v>0</v>
          </cell>
        </row>
        <row r="15">
          <cell r="H15">
            <v>0</v>
          </cell>
        </row>
        <row r="16">
          <cell r="H16">
            <v>0</v>
          </cell>
        </row>
        <row r="17">
          <cell r="H17">
            <v>0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  <row r="30">
          <cell r="H30">
            <v>0</v>
          </cell>
        </row>
        <row r="31">
          <cell r="H31">
            <v>0</v>
          </cell>
        </row>
        <row r="32">
          <cell r="H32">
            <v>0</v>
          </cell>
        </row>
        <row r="33">
          <cell r="H33">
            <v>0</v>
          </cell>
        </row>
        <row r="34">
          <cell r="H34">
            <v>0</v>
          </cell>
        </row>
        <row r="35">
          <cell r="H35">
            <v>0</v>
          </cell>
        </row>
        <row r="36">
          <cell r="H36">
            <v>0</v>
          </cell>
        </row>
        <row r="37">
          <cell r="H37">
            <v>0</v>
          </cell>
        </row>
        <row r="38">
          <cell r="H38">
            <v>0</v>
          </cell>
        </row>
        <row r="39">
          <cell r="H39">
            <v>0</v>
          </cell>
        </row>
        <row r="40">
          <cell r="H40">
            <v>0</v>
          </cell>
        </row>
        <row r="41">
          <cell r="H41">
            <v>0</v>
          </cell>
        </row>
        <row r="42">
          <cell r="H42">
            <v>0</v>
          </cell>
        </row>
        <row r="43">
          <cell r="H43">
            <v>0</v>
          </cell>
        </row>
        <row r="44">
          <cell r="H44">
            <v>0</v>
          </cell>
        </row>
        <row r="45">
          <cell r="H45">
            <v>0</v>
          </cell>
        </row>
        <row r="46">
          <cell r="H46">
            <v>0</v>
          </cell>
        </row>
        <row r="47">
          <cell r="F47">
            <v>0</v>
          </cell>
          <cell r="G47">
            <v>0</v>
          </cell>
        </row>
      </sheetData>
      <sheetData sheetId="6" refreshError="1">
        <row r="3">
          <cell r="C3" t="str">
            <v>March 2004</v>
          </cell>
        </row>
        <row r="7">
          <cell r="H7">
            <v>0</v>
          </cell>
        </row>
        <row r="8">
          <cell r="H8">
            <v>0</v>
          </cell>
        </row>
        <row r="9">
          <cell r="H9">
            <v>0</v>
          </cell>
        </row>
        <row r="10">
          <cell r="H10">
            <v>0</v>
          </cell>
        </row>
        <row r="11">
          <cell r="H11">
            <v>0</v>
          </cell>
        </row>
        <row r="12">
          <cell r="H12">
            <v>0</v>
          </cell>
        </row>
        <row r="13">
          <cell r="H13">
            <v>0</v>
          </cell>
        </row>
        <row r="14">
          <cell r="H14">
            <v>0</v>
          </cell>
        </row>
        <row r="15">
          <cell r="H15">
            <v>0</v>
          </cell>
        </row>
        <row r="16">
          <cell r="H16">
            <v>0</v>
          </cell>
        </row>
        <row r="17">
          <cell r="H17">
            <v>0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  <row r="30">
          <cell r="H30">
            <v>0</v>
          </cell>
        </row>
        <row r="31">
          <cell r="H31">
            <v>0</v>
          </cell>
        </row>
        <row r="32">
          <cell r="H32">
            <v>0</v>
          </cell>
        </row>
        <row r="33">
          <cell r="H33">
            <v>0</v>
          </cell>
        </row>
        <row r="34">
          <cell r="H34">
            <v>0</v>
          </cell>
        </row>
        <row r="35">
          <cell r="H35">
            <v>0</v>
          </cell>
        </row>
        <row r="36">
          <cell r="H36">
            <v>0</v>
          </cell>
        </row>
        <row r="37">
          <cell r="H37">
            <v>0</v>
          </cell>
        </row>
        <row r="38">
          <cell r="H38">
            <v>0</v>
          </cell>
        </row>
        <row r="39">
          <cell r="H39">
            <v>0</v>
          </cell>
        </row>
        <row r="40">
          <cell r="H40">
            <v>0</v>
          </cell>
        </row>
        <row r="41">
          <cell r="H41">
            <v>0</v>
          </cell>
        </row>
        <row r="42">
          <cell r="H42">
            <v>0</v>
          </cell>
        </row>
        <row r="43">
          <cell r="H43">
            <v>0</v>
          </cell>
        </row>
        <row r="44">
          <cell r="H44">
            <v>0</v>
          </cell>
        </row>
        <row r="45">
          <cell r="H45">
            <v>0</v>
          </cell>
        </row>
        <row r="46">
          <cell r="H46">
            <v>0</v>
          </cell>
        </row>
        <row r="47">
          <cell r="F47">
            <v>0</v>
          </cell>
          <cell r="G47">
            <v>0</v>
          </cell>
        </row>
      </sheetData>
      <sheetData sheetId="7" refreshError="1">
        <row r="3">
          <cell r="C3" t="str">
            <v>April 2004</v>
          </cell>
        </row>
        <row r="7">
          <cell r="H7">
            <v>8670.1299999999992</v>
          </cell>
          <cell r="I7" t="str">
            <v>Non-EC sales</v>
          </cell>
        </row>
        <row r="8">
          <cell r="H8">
            <v>0</v>
          </cell>
        </row>
        <row r="9">
          <cell r="H9">
            <v>0</v>
          </cell>
        </row>
        <row r="10">
          <cell r="H10">
            <v>0</v>
          </cell>
        </row>
        <row r="11">
          <cell r="H11">
            <v>0</v>
          </cell>
        </row>
        <row r="12">
          <cell r="H12">
            <v>0</v>
          </cell>
        </row>
        <row r="13">
          <cell r="H13">
            <v>0</v>
          </cell>
        </row>
        <row r="14">
          <cell r="H14">
            <v>0</v>
          </cell>
        </row>
        <row r="15">
          <cell r="H15">
            <v>0</v>
          </cell>
        </row>
        <row r="16">
          <cell r="H16">
            <v>0</v>
          </cell>
        </row>
        <row r="17">
          <cell r="H17">
            <v>0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  <row r="30">
          <cell r="H30">
            <v>0</v>
          </cell>
        </row>
        <row r="31">
          <cell r="H31">
            <v>0</v>
          </cell>
        </row>
        <row r="32">
          <cell r="H32">
            <v>0</v>
          </cell>
        </row>
        <row r="33">
          <cell r="H33">
            <v>0</v>
          </cell>
        </row>
        <row r="34">
          <cell r="H34">
            <v>0</v>
          </cell>
        </row>
        <row r="35">
          <cell r="H35">
            <v>0</v>
          </cell>
        </row>
        <row r="36">
          <cell r="H36">
            <v>0</v>
          </cell>
        </row>
        <row r="37">
          <cell r="H37">
            <v>0</v>
          </cell>
        </row>
        <row r="38">
          <cell r="H38">
            <v>0</v>
          </cell>
        </row>
        <row r="39">
          <cell r="H39">
            <v>0</v>
          </cell>
        </row>
        <row r="40">
          <cell r="H40">
            <v>0</v>
          </cell>
        </row>
        <row r="41">
          <cell r="H41">
            <v>0</v>
          </cell>
        </row>
        <row r="42">
          <cell r="H42">
            <v>0</v>
          </cell>
        </row>
        <row r="43">
          <cell r="H43">
            <v>0</v>
          </cell>
        </row>
        <row r="44">
          <cell r="H44">
            <v>0</v>
          </cell>
        </row>
        <row r="45">
          <cell r="H45">
            <v>0</v>
          </cell>
        </row>
        <row r="46">
          <cell r="H46">
            <v>0</v>
          </cell>
        </row>
        <row r="47">
          <cell r="F47">
            <v>8670.1299999999992</v>
          </cell>
          <cell r="G47">
            <v>0</v>
          </cell>
        </row>
      </sheetData>
      <sheetData sheetId="8" refreshError="1">
        <row r="3">
          <cell r="C3" t="str">
            <v>May 2004</v>
          </cell>
        </row>
        <row r="7">
          <cell r="H7">
            <v>11670.31</v>
          </cell>
          <cell r="I7" t="str">
            <v>Non-EC sales</v>
          </cell>
        </row>
        <row r="8">
          <cell r="H8">
            <v>4.57</v>
          </cell>
          <cell r="I8" t="str">
            <v>Interest received</v>
          </cell>
        </row>
        <row r="9">
          <cell r="H9">
            <v>411.25</v>
          </cell>
          <cell r="I9" t="str">
            <v>Sundry receipts</v>
          </cell>
        </row>
        <row r="10">
          <cell r="H10">
            <v>11257.62</v>
          </cell>
          <cell r="I10" t="str">
            <v>Non-EC sales</v>
          </cell>
        </row>
        <row r="11">
          <cell r="H11">
            <v>0</v>
          </cell>
        </row>
        <row r="12">
          <cell r="H12">
            <v>0</v>
          </cell>
        </row>
        <row r="13">
          <cell r="H13">
            <v>0</v>
          </cell>
        </row>
        <row r="14">
          <cell r="H14">
            <v>0</v>
          </cell>
        </row>
        <row r="15">
          <cell r="H15">
            <v>0</v>
          </cell>
        </row>
        <row r="16">
          <cell r="H16">
            <v>0</v>
          </cell>
        </row>
        <row r="17">
          <cell r="H17">
            <v>0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  <row r="30">
          <cell r="H30">
            <v>0</v>
          </cell>
        </row>
        <row r="31">
          <cell r="H31">
            <v>0</v>
          </cell>
        </row>
        <row r="32">
          <cell r="H32">
            <v>0</v>
          </cell>
        </row>
        <row r="33">
          <cell r="H33">
            <v>0</v>
          </cell>
        </row>
        <row r="34">
          <cell r="H34">
            <v>0</v>
          </cell>
        </row>
        <row r="35">
          <cell r="H35">
            <v>0</v>
          </cell>
        </row>
        <row r="36">
          <cell r="H36">
            <v>0</v>
          </cell>
        </row>
        <row r="37">
          <cell r="H37">
            <v>0</v>
          </cell>
        </row>
        <row r="38">
          <cell r="H38">
            <v>0</v>
          </cell>
        </row>
        <row r="39">
          <cell r="H39">
            <v>0</v>
          </cell>
        </row>
        <row r="40">
          <cell r="H40">
            <v>0</v>
          </cell>
        </row>
        <row r="41">
          <cell r="H41">
            <v>0</v>
          </cell>
        </row>
        <row r="42">
          <cell r="H42">
            <v>0</v>
          </cell>
        </row>
        <row r="43">
          <cell r="H43">
            <v>0</v>
          </cell>
        </row>
        <row r="44">
          <cell r="H44">
            <v>0</v>
          </cell>
        </row>
        <row r="45">
          <cell r="H45">
            <v>0</v>
          </cell>
        </row>
        <row r="46">
          <cell r="H46">
            <v>0</v>
          </cell>
        </row>
        <row r="47">
          <cell r="F47">
            <v>23343.75</v>
          </cell>
          <cell r="G47">
            <v>0</v>
          </cell>
        </row>
      </sheetData>
      <sheetData sheetId="9" refreshError="1">
        <row r="3">
          <cell r="C3" t="str">
            <v>June 2004</v>
          </cell>
        </row>
        <row r="7">
          <cell r="H7">
            <v>26.71</v>
          </cell>
          <cell r="I7" t="str">
            <v>Interest received</v>
          </cell>
        </row>
        <row r="8">
          <cell r="H8">
            <v>7357.99</v>
          </cell>
          <cell r="I8" t="str">
            <v>Non-EC sales</v>
          </cell>
        </row>
        <row r="9">
          <cell r="H9">
            <v>0</v>
          </cell>
        </row>
        <row r="10">
          <cell r="H10">
            <v>0</v>
          </cell>
        </row>
        <row r="11">
          <cell r="H11">
            <v>0</v>
          </cell>
        </row>
        <row r="12">
          <cell r="H12">
            <v>0</v>
          </cell>
        </row>
        <row r="13">
          <cell r="H13">
            <v>0</v>
          </cell>
        </row>
        <row r="14">
          <cell r="H14">
            <v>0</v>
          </cell>
        </row>
        <row r="15">
          <cell r="H15">
            <v>0</v>
          </cell>
        </row>
        <row r="16">
          <cell r="H16">
            <v>0</v>
          </cell>
        </row>
        <row r="17">
          <cell r="H17">
            <v>0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  <row r="30">
          <cell r="H30">
            <v>0</v>
          </cell>
        </row>
        <row r="31">
          <cell r="H31">
            <v>0</v>
          </cell>
        </row>
        <row r="32">
          <cell r="H32">
            <v>0</v>
          </cell>
        </row>
        <row r="33">
          <cell r="H33">
            <v>0</v>
          </cell>
        </row>
        <row r="34">
          <cell r="H34">
            <v>0</v>
          </cell>
        </row>
        <row r="35">
          <cell r="H35">
            <v>0</v>
          </cell>
        </row>
        <row r="36">
          <cell r="H36">
            <v>0</v>
          </cell>
        </row>
        <row r="37">
          <cell r="H37">
            <v>0</v>
          </cell>
        </row>
        <row r="38">
          <cell r="H38">
            <v>0</v>
          </cell>
        </row>
        <row r="39">
          <cell r="H39">
            <v>0</v>
          </cell>
        </row>
        <row r="40">
          <cell r="H40">
            <v>0</v>
          </cell>
        </row>
        <row r="41">
          <cell r="H41">
            <v>0</v>
          </cell>
        </row>
        <row r="42">
          <cell r="H42">
            <v>0</v>
          </cell>
        </row>
        <row r="43">
          <cell r="H43">
            <v>0</v>
          </cell>
        </row>
        <row r="44">
          <cell r="H44">
            <v>0</v>
          </cell>
        </row>
        <row r="45">
          <cell r="H45">
            <v>0</v>
          </cell>
        </row>
        <row r="46">
          <cell r="H46">
            <v>0</v>
          </cell>
        </row>
        <row r="47">
          <cell r="F47">
            <v>7384.7</v>
          </cell>
          <cell r="G47">
            <v>0</v>
          </cell>
        </row>
      </sheetData>
      <sheetData sheetId="10" refreshError="1">
        <row r="3">
          <cell r="C3" t="str">
            <v>July 2004</v>
          </cell>
        </row>
        <row r="7">
          <cell r="H7">
            <v>15.78</v>
          </cell>
          <cell r="I7" t="str">
            <v>Interest received</v>
          </cell>
        </row>
        <row r="8">
          <cell r="H8">
            <v>15.99</v>
          </cell>
          <cell r="I8" t="str">
            <v>Interest received</v>
          </cell>
        </row>
        <row r="9">
          <cell r="H9">
            <v>7895.38</v>
          </cell>
          <cell r="I9" t="str">
            <v>Non-EC sales</v>
          </cell>
        </row>
        <row r="10">
          <cell r="H10">
            <v>20</v>
          </cell>
          <cell r="I10" t="str">
            <v>Sundry receipts</v>
          </cell>
        </row>
        <row r="11">
          <cell r="H11">
            <v>20</v>
          </cell>
          <cell r="I11" t="str">
            <v>Sundry receipts</v>
          </cell>
        </row>
        <row r="12">
          <cell r="H12">
            <v>0</v>
          </cell>
        </row>
        <row r="13">
          <cell r="H13">
            <v>0</v>
          </cell>
        </row>
        <row r="14">
          <cell r="H14">
            <v>0</v>
          </cell>
        </row>
        <row r="15">
          <cell r="H15">
            <v>0</v>
          </cell>
        </row>
        <row r="16">
          <cell r="H16">
            <v>0</v>
          </cell>
        </row>
        <row r="17">
          <cell r="H17">
            <v>0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  <row r="30">
          <cell r="H30">
            <v>0</v>
          </cell>
        </row>
        <row r="31">
          <cell r="H31">
            <v>0</v>
          </cell>
        </row>
        <row r="32">
          <cell r="H32">
            <v>0</v>
          </cell>
        </row>
        <row r="33">
          <cell r="H33">
            <v>0</v>
          </cell>
        </row>
        <row r="34">
          <cell r="H34">
            <v>0</v>
          </cell>
        </row>
        <row r="35">
          <cell r="H35">
            <v>0</v>
          </cell>
        </row>
        <row r="36">
          <cell r="H36">
            <v>0</v>
          </cell>
        </row>
        <row r="37">
          <cell r="H37">
            <v>0</v>
          </cell>
        </row>
        <row r="38">
          <cell r="H38">
            <v>0</v>
          </cell>
        </row>
        <row r="39">
          <cell r="H39">
            <v>0</v>
          </cell>
        </row>
        <row r="40">
          <cell r="H40">
            <v>0</v>
          </cell>
        </row>
        <row r="41">
          <cell r="H41">
            <v>0</v>
          </cell>
        </row>
        <row r="42">
          <cell r="H42">
            <v>0</v>
          </cell>
        </row>
        <row r="43">
          <cell r="H43">
            <v>0</v>
          </cell>
        </row>
        <row r="44">
          <cell r="H44">
            <v>0</v>
          </cell>
        </row>
        <row r="45">
          <cell r="H45">
            <v>0</v>
          </cell>
        </row>
        <row r="46">
          <cell r="H46">
            <v>0</v>
          </cell>
        </row>
        <row r="47">
          <cell r="F47">
            <v>7967.1500000000005</v>
          </cell>
          <cell r="G47">
            <v>0</v>
          </cell>
        </row>
      </sheetData>
      <sheetData sheetId="11" refreshError="1">
        <row r="3">
          <cell r="C3" t="str">
            <v>August 2004</v>
          </cell>
        </row>
        <row r="7">
          <cell r="H7">
            <v>21.93</v>
          </cell>
          <cell r="I7" t="str">
            <v>Interest received</v>
          </cell>
        </row>
        <row r="8">
          <cell r="H8">
            <v>13021.37</v>
          </cell>
          <cell r="I8" t="str">
            <v>Non-EC sales</v>
          </cell>
        </row>
        <row r="9">
          <cell r="H9">
            <v>17123.060000000001</v>
          </cell>
          <cell r="I9" t="str">
            <v>Non-EC sales</v>
          </cell>
        </row>
        <row r="10">
          <cell r="H10">
            <v>565.91</v>
          </cell>
          <cell r="I10" t="str">
            <v>Sundry receipts</v>
          </cell>
        </row>
        <row r="11">
          <cell r="H11">
            <v>0</v>
          </cell>
        </row>
        <row r="12">
          <cell r="H12">
            <v>0</v>
          </cell>
        </row>
        <row r="13">
          <cell r="H13">
            <v>0</v>
          </cell>
        </row>
        <row r="14">
          <cell r="H14">
            <v>0</v>
          </cell>
        </row>
        <row r="15">
          <cell r="H15">
            <v>0</v>
          </cell>
        </row>
        <row r="16">
          <cell r="H16">
            <v>0</v>
          </cell>
        </row>
        <row r="17">
          <cell r="H17">
            <v>0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  <row r="30">
          <cell r="H30">
            <v>0</v>
          </cell>
        </row>
        <row r="31">
          <cell r="H31">
            <v>0</v>
          </cell>
        </row>
        <row r="32">
          <cell r="H32">
            <v>0</v>
          </cell>
        </row>
        <row r="33">
          <cell r="H33">
            <v>0</v>
          </cell>
        </row>
        <row r="34">
          <cell r="H34">
            <v>0</v>
          </cell>
        </row>
        <row r="35">
          <cell r="H35">
            <v>0</v>
          </cell>
        </row>
        <row r="36">
          <cell r="H36">
            <v>0</v>
          </cell>
        </row>
        <row r="37">
          <cell r="H37">
            <v>0</v>
          </cell>
        </row>
        <row r="38">
          <cell r="H38">
            <v>0</v>
          </cell>
        </row>
        <row r="39">
          <cell r="H39">
            <v>0</v>
          </cell>
        </row>
        <row r="40">
          <cell r="H40">
            <v>0</v>
          </cell>
        </row>
        <row r="41">
          <cell r="H41">
            <v>0</v>
          </cell>
        </row>
        <row r="42">
          <cell r="H42">
            <v>0</v>
          </cell>
        </row>
        <row r="43">
          <cell r="H43">
            <v>0</v>
          </cell>
        </row>
        <row r="44">
          <cell r="H44">
            <v>0</v>
          </cell>
        </row>
        <row r="45">
          <cell r="H45">
            <v>0</v>
          </cell>
        </row>
        <row r="46">
          <cell r="H46">
            <v>0</v>
          </cell>
        </row>
        <row r="47">
          <cell r="F47">
            <v>30732.27</v>
          </cell>
          <cell r="G47">
            <v>0</v>
          </cell>
        </row>
      </sheetData>
      <sheetData sheetId="12" refreshError="1">
        <row r="3">
          <cell r="C3" t="str">
            <v>September 2004</v>
          </cell>
        </row>
        <row r="7">
          <cell r="H7">
            <v>2.86</v>
          </cell>
          <cell r="I7" t="str">
            <v>Interest received</v>
          </cell>
        </row>
        <row r="8">
          <cell r="H8">
            <v>47.93</v>
          </cell>
          <cell r="I8" t="str">
            <v>Interest received</v>
          </cell>
        </row>
        <row r="9">
          <cell r="H9">
            <v>6572.19</v>
          </cell>
          <cell r="I9" t="str">
            <v>Non-EC sales</v>
          </cell>
        </row>
        <row r="10">
          <cell r="H10">
            <v>0</v>
          </cell>
        </row>
        <row r="11">
          <cell r="H11">
            <v>0</v>
          </cell>
        </row>
        <row r="12">
          <cell r="H12">
            <v>0</v>
          </cell>
        </row>
        <row r="13">
          <cell r="H13">
            <v>0</v>
          </cell>
        </row>
        <row r="14">
          <cell r="H14">
            <v>0</v>
          </cell>
        </row>
        <row r="15">
          <cell r="H15">
            <v>0</v>
          </cell>
        </row>
        <row r="16">
          <cell r="H16">
            <v>0</v>
          </cell>
        </row>
        <row r="17">
          <cell r="H17">
            <v>0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  <row r="30">
          <cell r="H30">
            <v>0</v>
          </cell>
        </row>
        <row r="31">
          <cell r="H31">
            <v>0</v>
          </cell>
        </row>
        <row r="32">
          <cell r="H32">
            <v>0</v>
          </cell>
        </row>
        <row r="33">
          <cell r="H33">
            <v>0</v>
          </cell>
        </row>
        <row r="34">
          <cell r="H34">
            <v>0</v>
          </cell>
        </row>
        <row r="35">
          <cell r="H35">
            <v>0</v>
          </cell>
        </row>
        <row r="36">
          <cell r="H36">
            <v>0</v>
          </cell>
        </row>
        <row r="37">
          <cell r="H37">
            <v>0</v>
          </cell>
        </row>
        <row r="38">
          <cell r="H38">
            <v>0</v>
          </cell>
        </row>
        <row r="39">
          <cell r="H39">
            <v>0</v>
          </cell>
        </row>
        <row r="40">
          <cell r="H40">
            <v>0</v>
          </cell>
        </row>
        <row r="41">
          <cell r="H41">
            <v>0</v>
          </cell>
        </row>
        <row r="42">
          <cell r="H42">
            <v>0</v>
          </cell>
        </row>
        <row r="43">
          <cell r="H43">
            <v>0</v>
          </cell>
        </row>
        <row r="44">
          <cell r="H44">
            <v>0</v>
          </cell>
        </row>
        <row r="45">
          <cell r="H45">
            <v>0</v>
          </cell>
        </row>
        <row r="46">
          <cell r="H46">
            <v>0</v>
          </cell>
        </row>
        <row r="47">
          <cell r="F47">
            <v>6622.98</v>
          </cell>
          <cell r="G47">
            <v>0</v>
          </cell>
        </row>
      </sheetData>
      <sheetData sheetId="13" refreshError="1">
        <row r="3">
          <cell r="C3" t="str">
            <v>October 2004</v>
          </cell>
        </row>
        <row r="7">
          <cell r="H7">
            <v>0</v>
          </cell>
        </row>
        <row r="8">
          <cell r="H8">
            <v>0</v>
          </cell>
        </row>
        <row r="9">
          <cell r="H9">
            <v>0</v>
          </cell>
        </row>
        <row r="10">
          <cell r="H10">
            <v>0</v>
          </cell>
        </row>
        <row r="11">
          <cell r="H11">
            <v>0</v>
          </cell>
        </row>
        <row r="12">
          <cell r="H12">
            <v>0</v>
          </cell>
        </row>
        <row r="13">
          <cell r="H13">
            <v>0</v>
          </cell>
        </row>
        <row r="14">
          <cell r="H14">
            <v>0</v>
          </cell>
        </row>
        <row r="15">
          <cell r="H15">
            <v>28.02</v>
          </cell>
          <cell r="I15" t="str">
            <v>Interest received</v>
          </cell>
        </row>
        <row r="16">
          <cell r="H16">
            <v>19245.64</v>
          </cell>
          <cell r="I16" t="str">
            <v>Non-EC sales</v>
          </cell>
        </row>
        <row r="17">
          <cell r="H17">
            <v>484.88</v>
          </cell>
          <cell r="I17" t="str">
            <v>Sundry receipts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  <row r="30">
          <cell r="H30">
            <v>0</v>
          </cell>
        </row>
        <row r="31">
          <cell r="H31">
            <v>0</v>
          </cell>
        </row>
        <row r="32">
          <cell r="H32">
            <v>0</v>
          </cell>
        </row>
        <row r="33">
          <cell r="H33">
            <v>0</v>
          </cell>
        </row>
        <row r="34">
          <cell r="H34">
            <v>0</v>
          </cell>
        </row>
        <row r="35">
          <cell r="H35">
            <v>0</v>
          </cell>
        </row>
        <row r="36">
          <cell r="H36">
            <v>0</v>
          </cell>
        </row>
        <row r="37">
          <cell r="H37">
            <v>0</v>
          </cell>
        </row>
        <row r="38">
          <cell r="H38">
            <v>0</v>
          </cell>
        </row>
        <row r="39">
          <cell r="H39">
            <v>0</v>
          </cell>
        </row>
        <row r="40">
          <cell r="H40">
            <v>0</v>
          </cell>
        </row>
        <row r="41">
          <cell r="H41">
            <v>0</v>
          </cell>
        </row>
        <row r="42">
          <cell r="H42">
            <v>0</v>
          </cell>
        </row>
        <row r="43">
          <cell r="H43">
            <v>0</v>
          </cell>
        </row>
        <row r="44">
          <cell r="H44">
            <v>0</v>
          </cell>
        </row>
        <row r="45">
          <cell r="H45">
            <v>0</v>
          </cell>
        </row>
        <row r="46">
          <cell r="H46">
            <v>0</v>
          </cell>
        </row>
        <row r="47">
          <cell r="F47">
            <v>19758.54</v>
          </cell>
          <cell r="G47">
            <v>0</v>
          </cell>
        </row>
      </sheetData>
      <sheetData sheetId="14" refreshError="1">
        <row r="3">
          <cell r="C3" t="str">
            <v>November 2004</v>
          </cell>
        </row>
        <row r="7">
          <cell r="H7">
            <v>18.16</v>
          </cell>
          <cell r="I7" t="str">
            <v>Interest received</v>
          </cell>
        </row>
        <row r="8">
          <cell r="H8">
            <v>0</v>
          </cell>
        </row>
        <row r="9">
          <cell r="H9">
            <v>0</v>
          </cell>
        </row>
        <row r="10">
          <cell r="H10">
            <v>0</v>
          </cell>
        </row>
        <row r="11">
          <cell r="H11">
            <v>0</v>
          </cell>
        </row>
        <row r="12">
          <cell r="H12">
            <v>0</v>
          </cell>
        </row>
        <row r="13">
          <cell r="H13">
            <v>0</v>
          </cell>
        </row>
        <row r="14">
          <cell r="H14">
            <v>0</v>
          </cell>
        </row>
        <row r="15">
          <cell r="H15">
            <v>0</v>
          </cell>
        </row>
        <row r="16">
          <cell r="H16">
            <v>0</v>
          </cell>
        </row>
        <row r="17">
          <cell r="H17">
            <v>0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  <row r="30">
          <cell r="H30">
            <v>0</v>
          </cell>
        </row>
        <row r="31">
          <cell r="H31">
            <v>0</v>
          </cell>
        </row>
        <row r="32">
          <cell r="H32">
            <v>0</v>
          </cell>
        </row>
        <row r="33">
          <cell r="H33">
            <v>0</v>
          </cell>
        </row>
        <row r="34">
          <cell r="H34">
            <v>0</v>
          </cell>
        </row>
        <row r="35">
          <cell r="H35">
            <v>0</v>
          </cell>
        </row>
        <row r="36">
          <cell r="H36">
            <v>0</v>
          </cell>
        </row>
        <row r="37">
          <cell r="H37">
            <v>0</v>
          </cell>
        </row>
        <row r="38">
          <cell r="H38">
            <v>0</v>
          </cell>
        </row>
        <row r="39">
          <cell r="H39">
            <v>0</v>
          </cell>
        </row>
        <row r="40">
          <cell r="H40">
            <v>0</v>
          </cell>
        </row>
        <row r="41">
          <cell r="H41">
            <v>0</v>
          </cell>
        </row>
        <row r="42">
          <cell r="H42">
            <v>0</v>
          </cell>
        </row>
        <row r="43">
          <cell r="H43">
            <v>0</v>
          </cell>
        </row>
        <row r="44">
          <cell r="H44">
            <v>0</v>
          </cell>
        </row>
        <row r="45">
          <cell r="H45">
            <v>0</v>
          </cell>
        </row>
        <row r="46">
          <cell r="H46">
            <v>0</v>
          </cell>
        </row>
        <row r="47">
          <cell r="F47">
            <v>18.16</v>
          </cell>
          <cell r="G47">
            <v>0</v>
          </cell>
        </row>
      </sheetData>
      <sheetData sheetId="15" refreshError="1">
        <row r="3">
          <cell r="C3" t="str">
            <v>December 2004</v>
          </cell>
        </row>
        <row r="7">
          <cell r="H7">
            <v>0</v>
          </cell>
        </row>
        <row r="8">
          <cell r="H8">
            <v>0</v>
          </cell>
        </row>
        <row r="9">
          <cell r="H9">
            <v>0</v>
          </cell>
        </row>
        <row r="10">
          <cell r="H10">
            <v>0</v>
          </cell>
        </row>
        <row r="11">
          <cell r="H11">
            <v>0</v>
          </cell>
        </row>
        <row r="12">
          <cell r="H12">
            <v>0</v>
          </cell>
        </row>
        <row r="13">
          <cell r="H13">
            <v>0</v>
          </cell>
        </row>
        <row r="14">
          <cell r="H14">
            <v>0</v>
          </cell>
        </row>
        <row r="15">
          <cell r="H15">
            <v>0</v>
          </cell>
        </row>
        <row r="16">
          <cell r="H16">
            <v>0</v>
          </cell>
        </row>
        <row r="17">
          <cell r="H17">
            <v>0</v>
          </cell>
        </row>
        <row r="18">
          <cell r="H18">
            <v>9.65</v>
          </cell>
          <cell r="I18" t="str">
            <v>Interest received</v>
          </cell>
        </row>
        <row r="19">
          <cell r="H19">
            <v>17804.03</v>
          </cell>
          <cell r="I19" t="str">
            <v>Non-EC sales</v>
          </cell>
        </row>
        <row r="20">
          <cell r="H20">
            <v>18723.3</v>
          </cell>
          <cell r="I20" t="str">
            <v>Non-EC sales</v>
          </cell>
        </row>
        <row r="21">
          <cell r="H21">
            <v>17908.21</v>
          </cell>
          <cell r="I21" t="str">
            <v>Non-EC sales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  <row r="30">
          <cell r="H30">
            <v>0</v>
          </cell>
        </row>
        <row r="31">
          <cell r="H31">
            <v>0</v>
          </cell>
        </row>
        <row r="32">
          <cell r="H32">
            <v>0</v>
          </cell>
        </row>
        <row r="33">
          <cell r="H33">
            <v>0</v>
          </cell>
        </row>
        <row r="34">
          <cell r="H34">
            <v>0</v>
          </cell>
        </row>
        <row r="35">
          <cell r="H35">
            <v>0</v>
          </cell>
        </row>
        <row r="36">
          <cell r="H36">
            <v>0</v>
          </cell>
        </row>
        <row r="37">
          <cell r="H37">
            <v>0</v>
          </cell>
        </row>
        <row r="38">
          <cell r="H38">
            <v>0</v>
          </cell>
        </row>
        <row r="39">
          <cell r="H39">
            <v>0</v>
          </cell>
        </row>
        <row r="40">
          <cell r="H40">
            <v>0</v>
          </cell>
        </row>
        <row r="41">
          <cell r="H41">
            <v>0</v>
          </cell>
        </row>
        <row r="42">
          <cell r="H42">
            <v>0</v>
          </cell>
        </row>
        <row r="43">
          <cell r="H43">
            <v>0</v>
          </cell>
        </row>
        <row r="44">
          <cell r="H44">
            <v>0</v>
          </cell>
        </row>
        <row r="45">
          <cell r="H45">
            <v>0</v>
          </cell>
        </row>
        <row r="46">
          <cell r="H46">
            <v>0</v>
          </cell>
        </row>
        <row r="47">
          <cell r="F47">
            <v>54445.189999999995</v>
          </cell>
          <cell r="G47">
            <v>0</v>
          </cell>
        </row>
      </sheetData>
      <sheetData sheetId="16" refreshError="1">
        <row r="7">
          <cell r="H7">
            <v>0</v>
          </cell>
        </row>
        <row r="8">
          <cell r="H8">
            <v>0</v>
          </cell>
        </row>
        <row r="9">
          <cell r="H9">
            <v>0</v>
          </cell>
        </row>
        <row r="10">
          <cell r="H10">
            <v>0</v>
          </cell>
        </row>
        <row r="11">
          <cell r="H11">
            <v>0</v>
          </cell>
        </row>
        <row r="12">
          <cell r="H12">
            <v>0</v>
          </cell>
        </row>
        <row r="13">
          <cell r="H13">
            <v>0</v>
          </cell>
        </row>
        <row r="14">
          <cell r="H14">
            <v>0</v>
          </cell>
        </row>
        <row r="15">
          <cell r="H15">
            <v>0</v>
          </cell>
        </row>
        <row r="16">
          <cell r="H16">
            <v>0</v>
          </cell>
        </row>
        <row r="17">
          <cell r="H17">
            <v>0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  <row r="30">
          <cell r="H30">
            <v>0</v>
          </cell>
        </row>
        <row r="31">
          <cell r="H31">
            <v>0</v>
          </cell>
        </row>
        <row r="32">
          <cell r="H32">
            <v>0</v>
          </cell>
        </row>
        <row r="33">
          <cell r="H33">
            <v>0</v>
          </cell>
        </row>
        <row r="34">
          <cell r="H34">
            <v>0</v>
          </cell>
        </row>
        <row r="35">
          <cell r="H35">
            <v>0</v>
          </cell>
        </row>
        <row r="36">
          <cell r="H36">
            <v>0</v>
          </cell>
        </row>
        <row r="37">
          <cell r="H37">
            <v>0</v>
          </cell>
        </row>
        <row r="38">
          <cell r="H38">
            <v>0</v>
          </cell>
        </row>
        <row r="39">
          <cell r="H39">
            <v>0</v>
          </cell>
        </row>
        <row r="40">
          <cell r="H40">
            <v>0</v>
          </cell>
        </row>
        <row r="41">
          <cell r="H41">
            <v>0</v>
          </cell>
        </row>
        <row r="42">
          <cell r="H42">
            <v>0</v>
          </cell>
        </row>
        <row r="43">
          <cell r="H43">
            <v>0</v>
          </cell>
        </row>
        <row r="44">
          <cell r="H44">
            <v>0</v>
          </cell>
        </row>
        <row r="45">
          <cell r="H45">
            <v>0</v>
          </cell>
        </row>
        <row r="46">
          <cell r="H46">
            <v>0</v>
          </cell>
        </row>
        <row r="47">
          <cell r="F47">
            <v>0</v>
          </cell>
          <cell r="G47">
            <v>0</v>
          </cell>
        </row>
      </sheetData>
      <sheetData sheetId="17" refreshError="1">
        <row r="7">
          <cell r="H7">
            <v>0</v>
          </cell>
        </row>
        <row r="8">
          <cell r="H8">
            <v>0</v>
          </cell>
        </row>
        <row r="9">
          <cell r="H9">
            <v>0</v>
          </cell>
        </row>
        <row r="10">
          <cell r="H10">
            <v>0</v>
          </cell>
        </row>
        <row r="11">
          <cell r="H11">
            <v>0</v>
          </cell>
        </row>
        <row r="12">
          <cell r="H12">
            <v>0</v>
          </cell>
        </row>
        <row r="13">
          <cell r="H13">
            <v>0</v>
          </cell>
        </row>
        <row r="14">
          <cell r="H14">
            <v>0</v>
          </cell>
        </row>
        <row r="15">
          <cell r="H15">
            <v>0</v>
          </cell>
        </row>
        <row r="16">
          <cell r="H16">
            <v>0</v>
          </cell>
        </row>
        <row r="17">
          <cell r="H17">
            <v>0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  <row r="30">
          <cell r="H30">
            <v>0</v>
          </cell>
        </row>
        <row r="31">
          <cell r="H31">
            <v>0</v>
          </cell>
        </row>
        <row r="32">
          <cell r="H32">
            <v>0</v>
          </cell>
        </row>
        <row r="33">
          <cell r="H33">
            <v>0</v>
          </cell>
        </row>
        <row r="34">
          <cell r="H34">
            <v>0</v>
          </cell>
        </row>
        <row r="35">
          <cell r="H35">
            <v>0</v>
          </cell>
        </row>
        <row r="36">
          <cell r="H36">
            <v>0</v>
          </cell>
        </row>
        <row r="37">
          <cell r="H37">
            <v>0</v>
          </cell>
        </row>
        <row r="38">
          <cell r="H38">
            <v>0</v>
          </cell>
        </row>
        <row r="39">
          <cell r="H39">
            <v>0</v>
          </cell>
        </row>
        <row r="40">
          <cell r="H40">
            <v>0</v>
          </cell>
        </row>
        <row r="41">
          <cell r="H41">
            <v>0</v>
          </cell>
        </row>
        <row r="42">
          <cell r="H42">
            <v>0</v>
          </cell>
        </row>
        <row r="43">
          <cell r="H43">
            <v>0</v>
          </cell>
        </row>
        <row r="44">
          <cell r="H44">
            <v>0</v>
          </cell>
        </row>
        <row r="45">
          <cell r="H45">
            <v>0</v>
          </cell>
        </row>
        <row r="46">
          <cell r="H46">
            <v>0</v>
          </cell>
        </row>
        <row r="47">
          <cell r="F47">
            <v>0</v>
          </cell>
          <cell r="G47">
            <v>0</v>
          </cell>
        </row>
      </sheetData>
      <sheetData sheetId="18" refreshError="1">
        <row r="7">
          <cell r="H7">
            <v>0</v>
          </cell>
        </row>
        <row r="8">
          <cell r="H8">
            <v>0</v>
          </cell>
        </row>
        <row r="9">
          <cell r="H9">
            <v>0</v>
          </cell>
        </row>
        <row r="10">
          <cell r="H10">
            <v>0</v>
          </cell>
        </row>
        <row r="11">
          <cell r="H11">
            <v>0</v>
          </cell>
        </row>
        <row r="12">
          <cell r="H12">
            <v>0</v>
          </cell>
        </row>
        <row r="13">
          <cell r="H13">
            <v>0</v>
          </cell>
        </row>
        <row r="14">
          <cell r="H14">
            <v>0</v>
          </cell>
        </row>
        <row r="15">
          <cell r="H15">
            <v>0</v>
          </cell>
        </row>
        <row r="16">
          <cell r="H16">
            <v>0</v>
          </cell>
        </row>
        <row r="17">
          <cell r="H17">
            <v>0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  <row r="30">
          <cell r="H30">
            <v>0</v>
          </cell>
        </row>
        <row r="31">
          <cell r="H31">
            <v>0</v>
          </cell>
        </row>
        <row r="32">
          <cell r="H32">
            <v>0</v>
          </cell>
        </row>
        <row r="33">
          <cell r="H33">
            <v>0</v>
          </cell>
        </row>
        <row r="34">
          <cell r="H34">
            <v>0</v>
          </cell>
        </row>
        <row r="35">
          <cell r="H35">
            <v>0</v>
          </cell>
        </row>
        <row r="36">
          <cell r="H36">
            <v>0</v>
          </cell>
        </row>
        <row r="37">
          <cell r="H37">
            <v>0</v>
          </cell>
        </row>
        <row r="38">
          <cell r="H38">
            <v>0</v>
          </cell>
        </row>
        <row r="39">
          <cell r="H39">
            <v>0</v>
          </cell>
        </row>
        <row r="40">
          <cell r="H40">
            <v>0</v>
          </cell>
        </row>
        <row r="41">
          <cell r="H41">
            <v>0</v>
          </cell>
        </row>
        <row r="42">
          <cell r="H42">
            <v>0</v>
          </cell>
        </row>
        <row r="43">
          <cell r="H43">
            <v>0</v>
          </cell>
        </row>
        <row r="44">
          <cell r="H44">
            <v>0</v>
          </cell>
        </row>
        <row r="45">
          <cell r="H45">
            <v>0</v>
          </cell>
        </row>
        <row r="46">
          <cell r="H46">
            <v>0</v>
          </cell>
        </row>
        <row r="47">
          <cell r="F47">
            <v>0</v>
          </cell>
          <cell r="G47">
            <v>0</v>
          </cell>
        </row>
      </sheetData>
      <sheetData sheetId="19" refreshError="1">
        <row r="7">
          <cell r="H7">
            <v>5</v>
          </cell>
          <cell r="I7" t="str">
            <v>Bank and credit card charges</v>
          </cell>
        </row>
        <row r="8">
          <cell r="H8">
            <v>0</v>
          </cell>
        </row>
        <row r="9">
          <cell r="H9">
            <v>0</v>
          </cell>
        </row>
        <row r="10">
          <cell r="H10">
            <v>0</v>
          </cell>
        </row>
        <row r="11">
          <cell r="H11">
            <v>0</v>
          </cell>
        </row>
        <row r="12">
          <cell r="H12">
            <v>0</v>
          </cell>
        </row>
        <row r="13">
          <cell r="H13">
            <v>0</v>
          </cell>
        </row>
        <row r="14">
          <cell r="H14">
            <v>0</v>
          </cell>
        </row>
        <row r="15">
          <cell r="H15">
            <v>0</v>
          </cell>
        </row>
        <row r="16">
          <cell r="H16">
            <v>0</v>
          </cell>
        </row>
        <row r="17">
          <cell r="H17">
            <v>0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  <row r="30">
          <cell r="H30">
            <v>0</v>
          </cell>
        </row>
        <row r="31">
          <cell r="H31">
            <v>0</v>
          </cell>
        </row>
        <row r="32">
          <cell r="H32">
            <v>0</v>
          </cell>
        </row>
        <row r="33">
          <cell r="H33">
            <v>0</v>
          </cell>
        </row>
        <row r="34">
          <cell r="H34">
            <v>0</v>
          </cell>
        </row>
        <row r="35">
          <cell r="H35">
            <v>0</v>
          </cell>
        </row>
        <row r="36">
          <cell r="H36">
            <v>0</v>
          </cell>
        </row>
        <row r="37">
          <cell r="H37">
            <v>0</v>
          </cell>
        </row>
        <row r="38">
          <cell r="H38">
            <v>0</v>
          </cell>
        </row>
        <row r="39">
          <cell r="H39">
            <v>0</v>
          </cell>
        </row>
        <row r="40">
          <cell r="H40">
            <v>0</v>
          </cell>
        </row>
        <row r="41">
          <cell r="H41">
            <v>0</v>
          </cell>
        </row>
        <row r="42">
          <cell r="H42">
            <v>0</v>
          </cell>
        </row>
        <row r="43">
          <cell r="H43">
            <v>0</v>
          </cell>
        </row>
        <row r="44">
          <cell r="H44">
            <v>0</v>
          </cell>
        </row>
        <row r="45">
          <cell r="H45">
            <v>0</v>
          </cell>
        </row>
        <row r="46">
          <cell r="H46">
            <v>0</v>
          </cell>
        </row>
        <row r="47">
          <cell r="F47">
            <v>5</v>
          </cell>
          <cell r="G47">
            <v>0</v>
          </cell>
        </row>
      </sheetData>
      <sheetData sheetId="20" refreshError="1">
        <row r="7">
          <cell r="H7">
            <v>5</v>
          </cell>
          <cell r="I7" t="str">
            <v>Bank and credit card charges</v>
          </cell>
        </row>
        <row r="8">
          <cell r="H8">
            <v>5</v>
          </cell>
          <cell r="I8" t="str">
            <v>Bank and credit card charges</v>
          </cell>
        </row>
        <row r="9">
          <cell r="H9">
            <v>0</v>
          </cell>
        </row>
        <row r="10">
          <cell r="H10">
            <v>0</v>
          </cell>
        </row>
        <row r="11">
          <cell r="H11">
            <v>0</v>
          </cell>
        </row>
        <row r="12">
          <cell r="H12">
            <v>0</v>
          </cell>
        </row>
        <row r="13">
          <cell r="H13">
            <v>0</v>
          </cell>
        </row>
        <row r="14">
          <cell r="H14">
            <v>0</v>
          </cell>
        </row>
        <row r="15">
          <cell r="H15">
            <v>0</v>
          </cell>
        </row>
        <row r="16">
          <cell r="H16">
            <v>0</v>
          </cell>
        </row>
        <row r="17">
          <cell r="H17">
            <v>0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  <row r="30">
          <cell r="H30">
            <v>0</v>
          </cell>
        </row>
        <row r="31">
          <cell r="H31">
            <v>0</v>
          </cell>
        </row>
        <row r="32">
          <cell r="H32">
            <v>0</v>
          </cell>
        </row>
        <row r="33">
          <cell r="H33">
            <v>0</v>
          </cell>
        </row>
        <row r="34">
          <cell r="H34">
            <v>0</v>
          </cell>
        </row>
        <row r="35">
          <cell r="H35">
            <v>0</v>
          </cell>
        </row>
        <row r="36">
          <cell r="H36">
            <v>0</v>
          </cell>
        </row>
        <row r="37">
          <cell r="H37">
            <v>0</v>
          </cell>
        </row>
        <row r="38">
          <cell r="H38">
            <v>0</v>
          </cell>
        </row>
        <row r="39">
          <cell r="H39">
            <v>0</v>
          </cell>
        </row>
        <row r="40">
          <cell r="H40">
            <v>0</v>
          </cell>
        </row>
        <row r="41">
          <cell r="H41">
            <v>0</v>
          </cell>
        </row>
        <row r="42">
          <cell r="H42">
            <v>0</v>
          </cell>
        </row>
        <row r="43">
          <cell r="H43">
            <v>0</v>
          </cell>
        </row>
        <row r="44">
          <cell r="H44">
            <v>0</v>
          </cell>
        </row>
        <row r="45">
          <cell r="H45">
            <v>0</v>
          </cell>
        </row>
        <row r="46">
          <cell r="H46">
            <v>0</v>
          </cell>
        </row>
        <row r="47">
          <cell r="F47">
            <v>10</v>
          </cell>
          <cell r="G47">
            <v>0</v>
          </cell>
        </row>
      </sheetData>
      <sheetData sheetId="21" refreshError="1">
        <row r="7">
          <cell r="H7">
            <v>11000</v>
          </cell>
          <cell r="I7" t="str">
            <v>Transfers to other accounts</v>
          </cell>
        </row>
        <row r="8">
          <cell r="H8">
            <v>15189.44</v>
          </cell>
          <cell r="I8" t="str">
            <v>Petty cash drawn/reimbursed</v>
          </cell>
        </row>
        <row r="9">
          <cell r="H9">
            <v>43.4</v>
          </cell>
          <cell r="I9" t="str">
            <v>Printing, postage and stationery</v>
          </cell>
        </row>
        <row r="10">
          <cell r="H10">
            <v>161.5</v>
          </cell>
          <cell r="I10" t="str">
            <v>Software &amp; IT Consumables</v>
          </cell>
        </row>
        <row r="11">
          <cell r="H11">
            <v>1000</v>
          </cell>
          <cell r="I11" t="str">
            <v>Dividends paid</v>
          </cell>
        </row>
        <row r="12">
          <cell r="H12">
            <v>80</v>
          </cell>
          <cell r="I12" t="str">
            <v>Travel, accommodation and subsistence</v>
          </cell>
        </row>
        <row r="13">
          <cell r="H13">
            <v>80</v>
          </cell>
          <cell r="I13" t="str">
            <v>Travel, accommodation and subsistence</v>
          </cell>
        </row>
        <row r="14">
          <cell r="H14">
            <v>148.94</v>
          </cell>
          <cell r="I14" t="str">
            <v>Telephone &amp; Internet</v>
          </cell>
        </row>
        <row r="15">
          <cell r="H15">
            <v>228.04</v>
          </cell>
          <cell r="I15" t="str">
            <v>PAYE/National Insurance paid</v>
          </cell>
        </row>
        <row r="16">
          <cell r="H16">
            <v>2271.96</v>
          </cell>
          <cell r="I16" t="str">
            <v>Wages and salaries</v>
          </cell>
        </row>
        <row r="17">
          <cell r="H17">
            <v>16.68</v>
          </cell>
          <cell r="I17" t="str">
            <v>Bank and credit card charges</v>
          </cell>
        </row>
        <row r="18">
          <cell r="H18">
            <v>20</v>
          </cell>
          <cell r="I18" t="str">
            <v>Bank and credit card charges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  <row r="30">
          <cell r="H30">
            <v>0</v>
          </cell>
        </row>
        <row r="31">
          <cell r="H31">
            <v>0</v>
          </cell>
        </row>
        <row r="32">
          <cell r="H32">
            <v>0</v>
          </cell>
        </row>
        <row r="33">
          <cell r="H33">
            <v>0</v>
          </cell>
        </row>
        <row r="34">
          <cell r="H34">
            <v>0</v>
          </cell>
        </row>
        <row r="35">
          <cell r="H35">
            <v>0</v>
          </cell>
        </row>
        <row r="36">
          <cell r="H36">
            <v>0</v>
          </cell>
        </row>
        <row r="37">
          <cell r="H37">
            <v>0</v>
          </cell>
        </row>
        <row r="38">
          <cell r="H38">
            <v>0</v>
          </cell>
        </row>
        <row r="39">
          <cell r="H39">
            <v>0</v>
          </cell>
        </row>
        <row r="40">
          <cell r="H40">
            <v>0</v>
          </cell>
        </row>
        <row r="41">
          <cell r="H41">
            <v>0</v>
          </cell>
        </row>
        <row r="42">
          <cell r="H42">
            <v>0</v>
          </cell>
        </row>
        <row r="43">
          <cell r="H43">
            <v>0</v>
          </cell>
        </row>
        <row r="44">
          <cell r="H44">
            <v>0</v>
          </cell>
        </row>
        <row r="45">
          <cell r="H45">
            <v>0</v>
          </cell>
        </row>
        <row r="46">
          <cell r="H46">
            <v>0</v>
          </cell>
        </row>
        <row r="47">
          <cell r="F47">
            <v>30273.620000000003</v>
          </cell>
          <cell r="G47">
            <v>33.659999999999997</v>
          </cell>
        </row>
      </sheetData>
      <sheetData sheetId="22" refreshError="1">
        <row r="7">
          <cell r="H7">
            <v>190</v>
          </cell>
          <cell r="I7" t="str">
            <v>Travel, accommodation and subsistence</v>
          </cell>
        </row>
        <row r="8">
          <cell r="H8">
            <v>20</v>
          </cell>
          <cell r="I8" t="str">
            <v>Bank and credit card charges</v>
          </cell>
        </row>
        <row r="9">
          <cell r="H9">
            <v>8</v>
          </cell>
          <cell r="I9" t="str">
            <v>Bank and credit card charges</v>
          </cell>
        </row>
        <row r="10">
          <cell r="H10">
            <v>4839.2</v>
          </cell>
          <cell r="I10" t="str">
            <v>Petty cash drawn/reimbursed</v>
          </cell>
        </row>
        <row r="11">
          <cell r="H11">
            <v>405.56</v>
          </cell>
          <cell r="I11" t="str">
            <v>Legal and professional fees</v>
          </cell>
        </row>
        <row r="12">
          <cell r="H12">
            <v>17.5</v>
          </cell>
          <cell r="I12" t="str">
            <v>Bank and credit card charges</v>
          </cell>
        </row>
        <row r="13">
          <cell r="H13">
            <v>0</v>
          </cell>
        </row>
        <row r="14">
          <cell r="H14">
            <v>0</v>
          </cell>
        </row>
        <row r="15">
          <cell r="H15">
            <v>0</v>
          </cell>
        </row>
        <row r="16">
          <cell r="H16">
            <v>0</v>
          </cell>
        </row>
        <row r="17">
          <cell r="H17">
            <v>0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  <row r="30">
          <cell r="H30">
            <v>0</v>
          </cell>
        </row>
        <row r="31">
          <cell r="H31">
            <v>0</v>
          </cell>
        </row>
        <row r="32">
          <cell r="H32">
            <v>0</v>
          </cell>
        </row>
        <row r="33">
          <cell r="H33">
            <v>0</v>
          </cell>
        </row>
        <row r="34">
          <cell r="H34">
            <v>0</v>
          </cell>
        </row>
        <row r="35">
          <cell r="H35">
            <v>0</v>
          </cell>
        </row>
        <row r="36">
          <cell r="H36">
            <v>0</v>
          </cell>
        </row>
        <row r="37">
          <cell r="H37">
            <v>0</v>
          </cell>
        </row>
        <row r="38">
          <cell r="H38">
            <v>0</v>
          </cell>
        </row>
        <row r="39">
          <cell r="H39">
            <v>0</v>
          </cell>
        </row>
        <row r="40">
          <cell r="H40">
            <v>0</v>
          </cell>
        </row>
        <row r="41">
          <cell r="H41">
            <v>0</v>
          </cell>
        </row>
        <row r="42">
          <cell r="H42">
            <v>0</v>
          </cell>
        </row>
        <row r="43">
          <cell r="H43">
            <v>0</v>
          </cell>
        </row>
        <row r="44">
          <cell r="H44">
            <v>0</v>
          </cell>
        </row>
        <row r="45">
          <cell r="H45">
            <v>0</v>
          </cell>
        </row>
        <row r="46">
          <cell r="H46">
            <v>0</v>
          </cell>
        </row>
        <row r="47">
          <cell r="F47">
            <v>5480.26</v>
          </cell>
          <cell r="G47">
            <v>0</v>
          </cell>
        </row>
      </sheetData>
      <sheetData sheetId="23" refreshError="1">
        <row r="7">
          <cell r="H7">
            <v>50</v>
          </cell>
          <cell r="I7" t="str">
            <v>Travel, accommodation and subsistence</v>
          </cell>
        </row>
        <row r="8">
          <cell r="H8">
            <v>16.66</v>
          </cell>
          <cell r="I8" t="str">
            <v>Bank and credit card charges</v>
          </cell>
        </row>
        <row r="9">
          <cell r="H9">
            <v>16.75</v>
          </cell>
          <cell r="I9" t="str">
            <v>Bank and credit card charges</v>
          </cell>
        </row>
        <row r="10">
          <cell r="H10">
            <v>50</v>
          </cell>
          <cell r="I10" t="str">
            <v>Travel, accommodation and subsistence</v>
          </cell>
        </row>
        <row r="11">
          <cell r="H11">
            <v>25000</v>
          </cell>
          <cell r="I11" t="str">
            <v>Transfers to other accounts</v>
          </cell>
        </row>
        <row r="12">
          <cell r="H12">
            <v>1771.05</v>
          </cell>
          <cell r="I12" t="str">
            <v>Petty cash drawn/reimbursed</v>
          </cell>
        </row>
        <row r="13">
          <cell r="H13">
            <v>0</v>
          </cell>
        </row>
        <row r="14">
          <cell r="H14">
            <v>0</v>
          </cell>
        </row>
        <row r="15">
          <cell r="H15">
            <v>0</v>
          </cell>
        </row>
        <row r="16">
          <cell r="H16">
            <v>0</v>
          </cell>
        </row>
        <row r="17">
          <cell r="H17">
            <v>0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  <row r="30">
          <cell r="H30">
            <v>0</v>
          </cell>
        </row>
        <row r="31">
          <cell r="H31">
            <v>0</v>
          </cell>
        </row>
        <row r="32">
          <cell r="H32">
            <v>0</v>
          </cell>
        </row>
        <row r="33">
          <cell r="H33">
            <v>0</v>
          </cell>
        </row>
        <row r="34">
          <cell r="H34">
            <v>0</v>
          </cell>
        </row>
        <row r="35">
          <cell r="H35">
            <v>0</v>
          </cell>
        </row>
        <row r="36">
          <cell r="H36">
            <v>0</v>
          </cell>
        </row>
        <row r="37">
          <cell r="H37">
            <v>0</v>
          </cell>
        </row>
        <row r="38">
          <cell r="H38">
            <v>0</v>
          </cell>
        </row>
        <row r="39">
          <cell r="H39">
            <v>0</v>
          </cell>
        </row>
        <row r="40">
          <cell r="H40">
            <v>0</v>
          </cell>
        </row>
        <row r="41">
          <cell r="H41">
            <v>0</v>
          </cell>
        </row>
        <row r="42">
          <cell r="H42">
            <v>0</v>
          </cell>
        </row>
        <row r="43">
          <cell r="H43">
            <v>0</v>
          </cell>
        </row>
        <row r="44">
          <cell r="H44">
            <v>0</v>
          </cell>
        </row>
        <row r="45">
          <cell r="H45">
            <v>0</v>
          </cell>
        </row>
        <row r="46">
          <cell r="H46">
            <v>0</v>
          </cell>
        </row>
        <row r="47">
          <cell r="F47">
            <v>26904.46</v>
          </cell>
          <cell r="G47">
            <v>0</v>
          </cell>
        </row>
      </sheetData>
      <sheetData sheetId="24" refreshError="1">
        <row r="7">
          <cell r="H7">
            <v>3.4099999999999997</v>
          </cell>
          <cell r="I7" t="str">
            <v>Telephone &amp; Internet</v>
          </cell>
        </row>
        <row r="8">
          <cell r="H8">
            <v>112.5</v>
          </cell>
          <cell r="I8" t="str">
            <v>Legal and professional fees</v>
          </cell>
        </row>
        <row r="9">
          <cell r="H9">
            <v>1815.51</v>
          </cell>
          <cell r="I9" t="str">
            <v>Legal and professional fees</v>
          </cell>
        </row>
        <row r="10">
          <cell r="H10">
            <v>17.5</v>
          </cell>
          <cell r="I10" t="str">
            <v>Bank and credit card charges</v>
          </cell>
        </row>
        <row r="11">
          <cell r="H11">
            <v>3699.02</v>
          </cell>
          <cell r="I11" t="str">
            <v>Petty cash drawn/reimbursed</v>
          </cell>
        </row>
        <row r="12">
          <cell r="H12">
            <v>17.59</v>
          </cell>
          <cell r="I12" t="str">
            <v>Bank and credit card charges</v>
          </cell>
        </row>
        <row r="13">
          <cell r="H13">
            <v>50.25</v>
          </cell>
          <cell r="I13" t="str">
            <v>Telephone &amp; Internet</v>
          </cell>
        </row>
        <row r="14">
          <cell r="H14">
            <v>3365.35</v>
          </cell>
          <cell r="I14" t="str">
            <v>PAYE/National Insurance paid</v>
          </cell>
        </row>
        <row r="15">
          <cell r="H15">
            <v>6687.27</v>
          </cell>
          <cell r="I15" t="str">
            <v>Wages and salaries</v>
          </cell>
        </row>
        <row r="16">
          <cell r="H16">
            <v>4021.86</v>
          </cell>
          <cell r="I16" t="str">
            <v>Petty cash drawn/reimbursed</v>
          </cell>
        </row>
        <row r="17">
          <cell r="H17">
            <v>0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  <row r="30">
          <cell r="H30">
            <v>0</v>
          </cell>
        </row>
        <row r="31">
          <cell r="H31">
            <v>0</v>
          </cell>
        </row>
        <row r="32">
          <cell r="H32">
            <v>0</v>
          </cell>
        </row>
        <row r="33">
          <cell r="H33">
            <v>0</v>
          </cell>
        </row>
        <row r="34">
          <cell r="H34">
            <v>0</v>
          </cell>
        </row>
        <row r="35">
          <cell r="H35">
            <v>0</v>
          </cell>
        </row>
        <row r="36">
          <cell r="H36">
            <v>0</v>
          </cell>
        </row>
        <row r="37">
          <cell r="H37">
            <v>0</v>
          </cell>
        </row>
        <row r="38">
          <cell r="H38">
            <v>0</v>
          </cell>
        </row>
        <row r="39">
          <cell r="H39">
            <v>0</v>
          </cell>
        </row>
        <row r="40">
          <cell r="H40">
            <v>0</v>
          </cell>
        </row>
        <row r="41">
          <cell r="H41">
            <v>0</v>
          </cell>
        </row>
        <row r="42">
          <cell r="H42">
            <v>0</v>
          </cell>
        </row>
        <row r="43">
          <cell r="H43">
            <v>0</v>
          </cell>
        </row>
        <row r="44">
          <cell r="H44">
            <v>0</v>
          </cell>
        </row>
        <row r="45">
          <cell r="H45">
            <v>0</v>
          </cell>
        </row>
        <row r="46">
          <cell r="H46">
            <v>0</v>
          </cell>
        </row>
        <row r="47">
          <cell r="F47">
            <v>19799.650000000001</v>
          </cell>
          <cell r="G47">
            <v>9.3899999999999988</v>
          </cell>
        </row>
      </sheetData>
      <sheetData sheetId="25" refreshError="1">
        <row r="7">
          <cell r="H7">
            <v>17.8</v>
          </cell>
          <cell r="I7" t="str">
            <v>Bank and credit card charges</v>
          </cell>
        </row>
        <row r="8">
          <cell r="H8">
            <v>15000</v>
          </cell>
          <cell r="I8" t="str">
            <v>Transfers to other accounts</v>
          </cell>
        </row>
        <row r="9">
          <cell r="H9">
            <v>0</v>
          </cell>
        </row>
        <row r="10">
          <cell r="H10">
            <v>0</v>
          </cell>
        </row>
        <row r="11">
          <cell r="H11">
            <v>0</v>
          </cell>
        </row>
        <row r="12">
          <cell r="H12">
            <v>0</v>
          </cell>
        </row>
        <row r="13">
          <cell r="H13">
            <v>0</v>
          </cell>
        </row>
        <row r="14">
          <cell r="H14">
            <v>0</v>
          </cell>
        </row>
        <row r="15">
          <cell r="H15">
            <v>0</v>
          </cell>
        </row>
        <row r="16">
          <cell r="H16">
            <v>0</v>
          </cell>
        </row>
        <row r="17">
          <cell r="H17">
            <v>0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  <row r="30">
          <cell r="H30">
            <v>0</v>
          </cell>
        </row>
        <row r="31">
          <cell r="H31">
            <v>0</v>
          </cell>
        </row>
        <row r="32">
          <cell r="H32">
            <v>0</v>
          </cell>
        </row>
        <row r="33">
          <cell r="H33">
            <v>0</v>
          </cell>
        </row>
        <row r="34">
          <cell r="H34">
            <v>0</v>
          </cell>
        </row>
        <row r="35">
          <cell r="H35">
            <v>0</v>
          </cell>
        </row>
        <row r="36">
          <cell r="H36">
            <v>0</v>
          </cell>
        </row>
        <row r="37">
          <cell r="H37">
            <v>0</v>
          </cell>
        </row>
        <row r="38">
          <cell r="H38">
            <v>0</v>
          </cell>
        </row>
        <row r="39">
          <cell r="H39">
            <v>0</v>
          </cell>
        </row>
        <row r="40">
          <cell r="H40">
            <v>0</v>
          </cell>
        </row>
        <row r="41">
          <cell r="H41">
            <v>0</v>
          </cell>
        </row>
        <row r="42">
          <cell r="H42">
            <v>0</v>
          </cell>
        </row>
        <row r="43">
          <cell r="H43">
            <v>0</v>
          </cell>
        </row>
        <row r="44">
          <cell r="H44">
            <v>0</v>
          </cell>
        </row>
        <row r="45">
          <cell r="H45">
            <v>0</v>
          </cell>
        </row>
        <row r="46">
          <cell r="H46">
            <v>0</v>
          </cell>
        </row>
        <row r="47">
          <cell r="F47">
            <v>15017.8</v>
          </cell>
          <cell r="G47">
            <v>0</v>
          </cell>
        </row>
      </sheetData>
      <sheetData sheetId="26" refreshError="1">
        <row r="7">
          <cell r="H7">
            <v>80</v>
          </cell>
          <cell r="I7" t="str">
            <v>Travel, accommodation and subsistence</v>
          </cell>
        </row>
        <row r="8">
          <cell r="H8">
            <v>80</v>
          </cell>
          <cell r="I8" t="str">
            <v>Travel, accommodation and subsistence</v>
          </cell>
        </row>
        <row r="9">
          <cell r="H9">
            <v>57.709999999999994</v>
          </cell>
          <cell r="I9" t="str">
            <v>Telephone &amp; Internet</v>
          </cell>
        </row>
        <row r="10">
          <cell r="H10">
            <v>3757.02</v>
          </cell>
          <cell r="I10" t="str">
            <v>Petty cash drawn/reimbursed</v>
          </cell>
        </row>
        <row r="11">
          <cell r="H11">
            <v>325.64</v>
          </cell>
          <cell r="I11" t="str">
            <v>Legal and professional fees</v>
          </cell>
        </row>
        <row r="12">
          <cell r="H12">
            <v>17.5</v>
          </cell>
          <cell r="I12" t="str">
            <v>Bank and credit card charges</v>
          </cell>
        </row>
        <row r="13">
          <cell r="H13">
            <v>0</v>
          </cell>
        </row>
        <row r="14">
          <cell r="H14">
            <v>0</v>
          </cell>
        </row>
        <row r="15">
          <cell r="H15">
            <v>0</v>
          </cell>
        </row>
        <row r="16">
          <cell r="H16">
            <v>0</v>
          </cell>
        </row>
        <row r="17">
          <cell r="H17">
            <v>0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  <row r="30">
          <cell r="H30">
            <v>0</v>
          </cell>
        </row>
        <row r="31">
          <cell r="H31">
            <v>0</v>
          </cell>
        </row>
        <row r="32">
          <cell r="H32">
            <v>0</v>
          </cell>
        </row>
        <row r="33">
          <cell r="H33">
            <v>0</v>
          </cell>
        </row>
        <row r="34">
          <cell r="H34">
            <v>0</v>
          </cell>
        </row>
        <row r="35">
          <cell r="H35">
            <v>0</v>
          </cell>
        </row>
        <row r="36">
          <cell r="H36">
            <v>0</v>
          </cell>
        </row>
        <row r="37">
          <cell r="H37">
            <v>0</v>
          </cell>
        </row>
        <row r="38">
          <cell r="H38">
            <v>0</v>
          </cell>
        </row>
        <row r="39">
          <cell r="H39">
            <v>0</v>
          </cell>
        </row>
        <row r="40">
          <cell r="H40">
            <v>0</v>
          </cell>
        </row>
        <row r="41">
          <cell r="H41">
            <v>0</v>
          </cell>
        </row>
        <row r="42">
          <cell r="H42">
            <v>0</v>
          </cell>
        </row>
        <row r="43">
          <cell r="H43">
            <v>0</v>
          </cell>
        </row>
        <row r="44">
          <cell r="H44">
            <v>0</v>
          </cell>
        </row>
        <row r="45">
          <cell r="H45">
            <v>0</v>
          </cell>
        </row>
        <row r="46">
          <cell r="H46">
            <v>0</v>
          </cell>
        </row>
        <row r="47">
          <cell r="F47">
            <v>4327.96</v>
          </cell>
          <cell r="G47">
            <v>10.09</v>
          </cell>
        </row>
      </sheetData>
      <sheetData sheetId="27" refreshError="1">
        <row r="7">
          <cell r="H7">
            <v>19.189999999999998</v>
          </cell>
          <cell r="I7" t="str">
            <v>Telephone &amp; Internet</v>
          </cell>
        </row>
        <row r="8">
          <cell r="H8">
            <v>50</v>
          </cell>
          <cell r="I8" t="str">
            <v>Travel, accommodation and subsistence</v>
          </cell>
        </row>
        <row r="9">
          <cell r="H9">
            <v>50</v>
          </cell>
          <cell r="I9" t="str">
            <v>Travel, accommodation and subsistence</v>
          </cell>
        </row>
        <row r="10">
          <cell r="H10">
            <v>6440.32</v>
          </cell>
          <cell r="I10" t="str">
            <v>Wages and salaries</v>
          </cell>
        </row>
        <row r="11">
          <cell r="H11">
            <v>2408.19</v>
          </cell>
          <cell r="I11" t="str">
            <v>Petty cash drawn/reimbursed</v>
          </cell>
        </row>
        <row r="12">
          <cell r="H12">
            <v>27000</v>
          </cell>
          <cell r="I12" t="str">
            <v>Transfers to other accounts</v>
          </cell>
        </row>
        <row r="13">
          <cell r="H13">
            <v>3899.66</v>
          </cell>
          <cell r="I13" t="str">
            <v>PAYE/National Insurance paid</v>
          </cell>
        </row>
        <row r="14">
          <cell r="H14">
            <v>560</v>
          </cell>
          <cell r="I14" t="str">
            <v>Sundry expenses</v>
          </cell>
        </row>
        <row r="15">
          <cell r="H15">
            <v>5</v>
          </cell>
          <cell r="I15" t="str">
            <v>Bank and credit card charges</v>
          </cell>
        </row>
        <row r="16">
          <cell r="H16">
            <v>17.84</v>
          </cell>
          <cell r="I16" t="str">
            <v>Bank and credit card charges</v>
          </cell>
        </row>
        <row r="17">
          <cell r="H17">
            <v>10000</v>
          </cell>
          <cell r="I17" t="str">
            <v>Transfers to other accounts</v>
          </cell>
        </row>
        <row r="18">
          <cell r="H18">
            <v>2851.1</v>
          </cell>
          <cell r="I18" t="str">
            <v>Legal and professional fees</v>
          </cell>
        </row>
        <row r="19">
          <cell r="H19">
            <v>17.5</v>
          </cell>
          <cell r="I19" t="str">
            <v>Bank and credit card charges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  <row r="30">
          <cell r="H30">
            <v>0</v>
          </cell>
        </row>
        <row r="31">
          <cell r="H31">
            <v>0</v>
          </cell>
        </row>
        <row r="32">
          <cell r="H32">
            <v>0</v>
          </cell>
        </row>
        <row r="33">
          <cell r="H33">
            <v>0</v>
          </cell>
        </row>
        <row r="34">
          <cell r="H34">
            <v>0</v>
          </cell>
        </row>
        <row r="35">
          <cell r="H35">
            <v>0</v>
          </cell>
        </row>
        <row r="36">
          <cell r="H36">
            <v>0</v>
          </cell>
        </row>
        <row r="37">
          <cell r="H37">
            <v>0</v>
          </cell>
        </row>
        <row r="38">
          <cell r="H38">
            <v>0</v>
          </cell>
        </row>
        <row r="39">
          <cell r="H39">
            <v>0</v>
          </cell>
        </row>
        <row r="40">
          <cell r="H40">
            <v>0</v>
          </cell>
        </row>
        <row r="41">
          <cell r="H41">
            <v>0</v>
          </cell>
        </row>
        <row r="42">
          <cell r="H42">
            <v>0</v>
          </cell>
        </row>
        <row r="43">
          <cell r="H43">
            <v>0</v>
          </cell>
        </row>
        <row r="44">
          <cell r="H44">
            <v>0</v>
          </cell>
        </row>
        <row r="45">
          <cell r="H45">
            <v>0</v>
          </cell>
        </row>
        <row r="46">
          <cell r="H46">
            <v>0</v>
          </cell>
        </row>
        <row r="47">
          <cell r="F47">
            <v>53322.15</v>
          </cell>
          <cell r="G47">
            <v>3.35</v>
          </cell>
        </row>
      </sheetData>
      <sheetData sheetId="28" refreshError="1">
        <row r="7">
          <cell r="H7">
            <v>341.5</v>
          </cell>
          <cell r="I7" t="str">
            <v>Travel, accommodation and subsistence</v>
          </cell>
        </row>
        <row r="8">
          <cell r="H8">
            <v>175.5</v>
          </cell>
          <cell r="I8" t="str">
            <v>Travel, accommodation and subsistence</v>
          </cell>
        </row>
        <row r="9">
          <cell r="H9">
            <v>5.05</v>
          </cell>
          <cell r="I9" t="str">
            <v>Travel, accommodation and subsistence</v>
          </cell>
        </row>
        <row r="10">
          <cell r="H10">
            <v>11.7</v>
          </cell>
          <cell r="I10" t="str">
            <v>Travel, accommodation and subsistence</v>
          </cell>
        </row>
        <row r="11">
          <cell r="H11">
            <v>9.36</v>
          </cell>
          <cell r="I11" t="str">
            <v>Travel, accommodation and subsistence</v>
          </cell>
        </row>
        <row r="12">
          <cell r="H12">
            <v>7.96</v>
          </cell>
          <cell r="I12" t="str">
            <v>Travel, accommodation and subsistence</v>
          </cell>
        </row>
        <row r="13">
          <cell r="H13">
            <v>1.03</v>
          </cell>
          <cell r="I13" t="str">
            <v>Travel, accommodation and subsistence</v>
          </cell>
        </row>
        <row r="14">
          <cell r="H14">
            <v>1.03</v>
          </cell>
          <cell r="I14" t="str">
            <v>Travel, accommodation and subsistence</v>
          </cell>
        </row>
        <row r="15">
          <cell r="H15">
            <v>3.84</v>
          </cell>
          <cell r="I15" t="str">
            <v>Travel, accommodation and subsistence</v>
          </cell>
        </row>
        <row r="16">
          <cell r="H16">
            <v>1.92</v>
          </cell>
          <cell r="I16" t="str">
            <v>Travel, accommodation and subsistence</v>
          </cell>
        </row>
        <row r="17">
          <cell r="H17">
            <v>3.23</v>
          </cell>
          <cell r="I17" t="str">
            <v>Travel, accommodation and subsistence</v>
          </cell>
        </row>
        <row r="18">
          <cell r="H18">
            <v>171.5</v>
          </cell>
          <cell r="I18" t="str">
            <v>Travel, accommodation and subsistence</v>
          </cell>
        </row>
        <row r="19">
          <cell r="H19">
            <v>74.5</v>
          </cell>
          <cell r="I19" t="str">
            <v>Travel, accommodation and subsistence</v>
          </cell>
        </row>
        <row r="20">
          <cell r="H20">
            <v>1.03</v>
          </cell>
          <cell r="I20" t="str">
            <v>Travel, accommodation and subsistence</v>
          </cell>
        </row>
        <row r="21">
          <cell r="H21">
            <v>1.03</v>
          </cell>
          <cell r="I21" t="str">
            <v>Travel, accommodation and subsistence</v>
          </cell>
        </row>
        <row r="22">
          <cell r="H22">
            <v>4.53</v>
          </cell>
          <cell r="I22" t="str">
            <v>Travel, accommodation and subsistence</v>
          </cell>
        </row>
        <row r="23">
          <cell r="H23">
            <v>8.19</v>
          </cell>
          <cell r="I23" t="str">
            <v>Travel, accommodation and subsistence</v>
          </cell>
        </row>
        <row r="24">
          <cell r="H24">
            <v>1.03</v>
          </cell>
          <cell r="I24" t="str">
            <v>Travel, accommodation and subsistence</v>
          </cell>
        </row>
        <row r="25">
          <cell r="H25">
            <v>1.03</v>
          </cell>
          <cell r="I25" t="str">
            <v>Travel, accommodation and subsistence</v>
          </cell>
        </row>
        <row r="26">
          <cell r="H26">
            <v>4.07</v>
          </cell>
          <cell r="I26" t="str">
            <v>Travel, accommodation and subsistence</v>
          </cell>
        </row>
        <row r="27">
          <cell r="H27">
            <v>7.09</v>
          </cell>
          <cell r="I27" t="str">
            <v>Travel, accommodation and subsistence</v>
          </cell>
        </row>
        <row r="28">
          <cell r="H28">
            <v>132</v>
          </cell>
          <cell r="I28" t="str">
            <v>Sundry expenses</v>
          </cell>
        </row>
        <row r="29">
          <cell r="H29">
            <v>75</v>
          </cell>
          <cell r="I29" t="str">
            <v>Sundry expenses</v>
          </cell>
        </row>
        <row r="30">
          <cell r="H30">
            <v>260</v>
          </cell>
          <cell r="I30" t="str">
            <v>Sundry expenses</v>
          </cell>
        </row>
        <row r="31">
          <cell r="H31">
            <v>1.03</v>
          </cell>
          <cell r="I31" t="str">
            <v>Travel, accommodation and subsistence</v>
          </cell>
        </row>
        <row r="32">
          <cell r="H32">
            <v>1.03</v>
          </cell>
          <cell r="I32" t="str">
            <v>Travel, accommodation and subsistence</v>
          </cell>
        </row>
        <row r="33">
          <cell r="H33">
            <v>4.45</v>
          </cell>
          <cell r="I33" t="str">
            <v>Travel, accommodation and subsistence</v>
          </cell>
        </row>
        <row r="34">
          <cell r="H34">
            <v>3.51</v>
          </cell>
          <cell r="I34" t="str">
            <v>Travel, accommodation and subsistence</v>
          </cell>
        </row>
        <row r="35">
          <cell r="H35">
            <v>68.09</v>
          </cell>
          <cell r="I35" t="str">
            <v>Travel, accommodation and subsistence</v>
          </cell>
        </row>
        <row r="36">
          <cell r="H36">
            <v>350</v>
          </cell>
          <cell r="I36" t="str">
            <v>Legal and professional fees</v>
          </cell>
        </row>
        <row r="37">
          <cell r="H37">
            <v>53.6</v>
          </cell>
          <cell r="I37" t="str">
            <v>Motor Travel</v>
          </cell>
        </row>
        <row r="38">
          <cell r="H38">
            <v>224.61</v>
          </cell>
          <cell r="I38" t="str">
            <v>Travel, accommodation and subsistence</v>
          </cell>
        </row>
        <row r="39">
          <cell r="H39">
            <v>146.30000000000001</v>
          </cell>
          <cell r="I39" t="str">
            <v>Travel, accommodation and subsistence</v>
          </cell>
        </row>
        <row r="40">
          <cell r="H40">
            <v>366.3</v>
          </cell>
          <cell r="I40" t="str">
            <v>Travel, accommodation and subsistence</v>
          </cell>
        </row>
        <row r="41">
          <cell r="H41">
            <v>5.5</v>
          </cell>
          <cell r="I41" t="str">
            <v>Travel, accommodation and subsistence</v>
          </cell>
        </row>
        <row r="42">
          <cell r="H42">
            <v>11.63</v>
          </cell>
          <cell r="I42" t="str">
            <v>Travel, accommodation and subsistence</v>
          </cell>
        </row>
        <row r="43">
          <cell r="H43">
            <v>1.02</v>
          </cell>
          <cell r="I43" t="str">
            <v>Travel, accommodation and subsistence</v>
          </cell>
        </row>
        <row r="44">
          <cell r="H44">
            <v>10.24</v>
          </cell>
          <cell r="I44" t="str">
            <v>Travel, accommodation and subsistence</v>
          </cell>
        </row>
        <row r="45">
          <cell r="H45">
            <v>5.58</v>
          </cell>
          <cell r="I45" t="str">
            <v>Travel, accommodation and subsistence</v>
          </cell>
        </row>
        <row r="46">
          <cell r="H46">
            <v>12.75</v>
          </cell>
          <cell r="I46" t="str">
            <v>Travel, accommodation and subsistence</v>
          </cell>
        </row>
        <row r="47">
          <cell r="F47">
            <v>2641.92</v>
          </cell>
          <cell r="G47">
            <v>73.16</v>
          </cell>
        </row>
      </sheetData>
      <sheetData sheetId="29" refreshError="1">
        <row r="7">
          <cell r="H7">
            <v>5.05</v>
          </cell>
          <cell r="I7" t="str">
            <v>Travel, accommodation and subsistence</v>
          </cell>
        </row>
        <row r="8">
          <cell r="H8">
            <v>11.56</v>
          </cell>
          <cell r="I8" t="str">
            <v>Travel, accommodation and subsistence</v>
          </cell>
        </row>
        <row r="9">
          <cell r="H9">
            <v>1.02</v>
          </cell>
          <cell r="I9" t="str">
            <v>Travel, accommodation and subsistence</v>
          </cell>
        </row>
        <row r="10">
          <cell r="H10">
            <v>3.47</v>
          </cell>
          <cell r="I10" t="str">
            <v>Travel, accommodation and subsistence</v>
          </cell>
        </row>
        <row r="11">
          <cell r="H11">
            <v>5.57</v>
          </cell>
          <cell r="I11" t="str">
            <v>Travel, accommodation and subsistence</v>
          </cell>
        </row>
        <row r="12">
          <cell r="H12">
            <v>1.02</v>
          </cell>
          <cell r="I12" t="str">
            <v>Travel, accommodation and subsistence</v>
          </cell>
        </row>
        <row r="13">
          <cell r="H13">
            <v>1.02</v>
          </cell>
          <cell r="I13" t="str">
            <v>Travel, accommodation and subsistence</v>
          </cell>
        </row>
        <row r="14">
          <cell r="H14">
            <v>2.2200000000000002</v>
          </cell>
          <cell r="I14" t="str">
            <v>Travel, accommodation and subsistence</v>
          </cell>
        </row>
        <row r="15">
          <cell r="H15">
            <v>2.77</v>
          </cell>
          <cell r="I15" t="str">
            <v>Travel, accommodation and subsistence</v>
          </cell>
        </row>
        <row r="16">
          <cell r="H16">
            <v>1.94</v>
          </cell>
          <cell r="I16" t="str">
            <v>Travel, accommodation and subsistence</v>
          </cell>
        </row>
        <row r="17">
          <cell r="H17">
            <v>1.02</v>
          </cell>
          <cell r="I17" t="str">
            <v>Travel, accommodation and subsistence</v>
          </cell>
        </row>
        <row r="18">
          <cell r="H18">
            <v>1.02</v>
          </cell>
          <cell r="I18" t="str">
            <v>Travel, accommodation and subsistence</v>
          </cell>
        </row>
        <row r="19">
          <cell r="H19">
            <v>6.86</v>
          </cell>
          <cell r="I19" t="str">
            <v>Travel, accommodation and subsistence</v>
          </cell>
        </row>
        <row r="20">
          <cell r="H20">
            <v>4.04</v>
          </cell>
          <cell r="I20" t="str">
            <v>Travel, accommodation and subsistence</v>
          </cell>
        </row>
        <row r="21">
          <cell r="H21">
            <v>1.02</v>
          </cell>
          <cell r="I21" t="str">
            <v>Travel, accommodation and subsistence</v>
          </cell>
        </row>
        <row r="22">
          <cell r="H22">
            <v>1.02</v>
          </cell>
          <cell r="I22" t="str">
            <v>Travel, accommodation and subsistence</v>
          </cell>
        </row>
        <row r="23">
          <cell r="H23">
            <v>3.14</v>
          </cell>
          <cell r="I23" t="str">
            <v>Travel, accommodation and subsistence</v>
          </cell>
        </row>
        <row r="24">
          <cell r="H24">
            <v>2.2200000000000002</v>
          </cell>
          <cell r="I24" t="str">
            <v>Travel, accommodation and subsistence</v>
          </cell>
        </row>
        <row r="25">
          <cell r="H25">
            <v>2.08</v>
          </cell>
          <cell r="I25" t="str">
            <v>Travel, accommodation and subsistence</v>
          </cell>
        </row>
        <row r="26">
          <cell r="H26">
            <v>183.05</v>
          </cell>
          <cell r="I26" t="str">
            <v>Travel, accommodation and subsistence</v>
          </cell>
        </row>
        <row r="27">
          <cell r="H27">
            <v>1.02</v>
          </cell>
          <cell r="I27" t="str">
            <v>Travel, accommodation and subsistence</v>
          </cell>
        </row>
        <row r="28">
          <cell r="H28">
            <v>1.02</v>
          </cell>
          <cell r="I28" t="str">
            <v>Travel, accommodation and subsistence</v>
          </cell>
        </row>
        <row r="29">
          <cell r="H29">
            <v>2.13</v>
          </cell>
          <cell r="I29" t="str">
            <v>Travel, accommodation and subsistence</v>
          </cell>
        </row>
        <row r="30">
          <cell r="H30">
            <v>3.47</v>
          </cell>
          <cell r="I30" t="str">
            <v>Travel, accommodation and subsistence</v>
          </cell>
        </row>
        <row r="31">
          <cell r="H31">
            <v>72.34</v>
          </cell>
          <cell r="I31" t="str">
            <v>Travel, accommodation and subsistence</v>
          </cell>
        </row>
        <row r="32">
          <cell r="H32">
            <v>52.8</v>
          </cell>
          <cell r="I32" t="str">
            <v>Motor Travel</v>
          </cell>
        </row>
        <row r="33">
          <cell r="H33">
            <v>122.2</v>
          </cell>
          <cell r="I33" t="str">
            <v>Travel, accommodation and subsistence</v>
          </cell>
        </row>
        <row r="34">
          <cell r="H34">
            <v>102.2</v>
          </cell>
          <cell r="I34" t="str">
            <v>Travel, accommodation and subsistence</v>
          </cell>
        </row>
        <row r="35">
          <cell r="H35">
            <v>2.52</v>
          </cell>
          <cell r="I35" t="str">
            <v>Printing, postage and stationery</v>
          </cell>
        </row>
        <row r="36">
          <cell r="H36">
            <v>5.05</v>
          </cell>
          <cell r="I36" t="str">
            <v>Travel, accommodation and subsistence</v>
          </cell>
        </row>
        <row r="37">
          <cell r="H37">
            <v>11.52</v>
          </cell>
          <cell r="I37" t="str">
            <v>Travel, accommodation and subsistence</v>
          </cell>
        </row>
        <row r="38">
          <cell r="H38">
            <v>1.01</v>
          </cell>
          <cell r="I38" t="str">
            <v>Travel, accommodation and subsistence</v>
          </cell>
        </row>
        <row r="39">
          <cell r="H39">
            <v>1.01</v>
          </cell>
          <cell r="I39" t="str">
            <v>Travel, accommodation and subsistence</v>
          </cell>
        </row>
        <row r="40">
          <cell r="H40">
            <v>1.01</v>
          </cell>
          <cell r="I40" t="str">
            <v>Travel, accommodation and subsistence</v>
          </cell>
        </row>
        <row r="41">
          <cell r="H41">
            <v>3.13</v>
          </cell>
          <cell r="I41" t="str">
            <v>Travel, accommodation and subsistence</v>
          </cell>
        </row>
        <row r="42">
          <cell r="H42">
            <v>4.6100000000000003</v>
          </cell>
          <cell r="I42" t="str">
            <v>Travel, accommodation and subsistence</v>
          </cell>
        </row>
        <row r="43">
          <cell r="H43">
            <v>1.01</v>
          </cell>
          <cell r="I43" t="str">
            <v>Travel, accommodation and subsistence</v>
          </cell>
        </row>
        <row r="44">
          <cell r="H44">
            <v>1.01</v>
          </cell>
          <cell r="I44" t="str">
            <v>Travel, accommodation and subsistence</v>
          </cell>
        </row>
        <row r="45">
          <cell r="H45">
            <v>5.76</v>
          </cell>
          <cell r="I45" t="str">
            <v>Travel, accommodation and subsistence</v>
          </cell>
        </row>
        <row r="46">
          <cell r="H46">
            <v>3.46</v>
          </cell>
          <cell r="I46" t="str">
            <v>Travel, accommodation and subsistence</v>
          </cell>
        </row>
        <row r="47">
          <cell r="F47">
            <v>652.49</v>
          </cell>
          <cell r="G47">
            <v>13.1</v>
          </cell>
        </row>
      </sheetData>
      <sheetData sheetId="30" refreshError="1">
        <row r="7">
          <cell r="H7">
            <v>11.21</v>
          </cell>
          <cell r="I7" t="str">
            <v>Travel, accommodation and subsistence</v>
          </cell>
        </row>
        <row r="8">
          <cell r="H8">
            <v>0.99</v>
          </cell>
          <cell r="I8" t="str">
            <v>Travel, accommodation and subsistence</v>
          </cell>
        </row>
        <row r="9">
          <cell r="H9">
            <v>5.65</v>
          </cell>
          <cell r="I9" t="str">
            <v>Travel, accommodation and subsistence</v>
          </cell>
        </row>
        <row r="10">
          <cell r="H10">
            <v>3.86</v>
          </cell>
          <cell r="I10" t="str">
            <v>Travel, accommodation and subsistence</v>
          </cell>
        </row>
        <row r="11">
          <cell r="H11">
            <v>0.99</v>
          </cell>
          <cell r="I11" t="str">
            <v>Travel, accommodation and subsistence</v>
          </cell>
        </row>
        <row r="12">
          <cell r="H12">
            <v>0.99</v>
          </cell>
          <cell r="I12" t="str">
            <v>Travel, accommodation and subsistence</v>
          </cell>
        </row>
        <row r="13">
          <cell r="H13">
            <v>1.52</v>
          </cell>
          <cell r="I13" t="str">
            <v>Travel, accommodation and subsistence</v>
          </cell>
        </row>
        <row r="14">
          <cell r="H14">
            <v>3.52</v>
          </cell>
          <cell r="I14" t="str">
            <v>Travel, accommodation and subsistence</v>
          </cell>
        </row>
        <row r="15">
          <cell r="H15">
            <v>0.99</v>
          </cell>
          <cell r="I15" t="str">
            <v>Travel, accommodation and subsistence</v>
          </cell>
        </row>
        <row r="16">
          <cell r="H16">
            <v>0.99</v>
          </cell>
          <cell r="I16" t="str">
            <v>Travel, accommodation and subsistence</v>
          </cell>
        </row>
        <row r="17">
          <cell r="H17">
            <v>2.69</v>
          </cell>
          <cell r="I17" t="str">
            <v>Travel, accommodation and subsistence</v>
          </cell>
        </row>
        <row r="18">
          <cell r="H18">
            <v>3.56</v>
          </cell>
          <cell r="I18" t="str">
            <v>Travel, accommodation and subsistence</v>
          </cell>
        </row>
        <row r="19">
          <cell r="H19">
            <v>0.99</v>
          </cell>
          <cell r="I19" t="str">
            <v>Travel, accommodation and subsistence</v>
          </cell>
        </row>
        <row r="20">
          <cell r="H20">
            <v>5.74</v>
          </cell>
          <cell r="I20" t="str">
            <v>Travel, accommodation and subsistence</v>
          </cell>
        </row>
        <row r="21">
          <cell r="H21">
            <v>14.34</v>
          </cell>
          <cell r="I21" t="str">
            <v>Travel, accommodation and subsistence</v>
          </cell>
        </row>
        <row r="22">
          <cell r="H22">
            <v>177.5</v>
          </cell>
          <cell r="I22" t="str">
            <v>Travel, accommodation and subsistence</v>
          </cell>
        </row>
        <row r="23">
          <cell r="H23">
            <v>0.99</v>
          </cell>
          <cell r="I23" t="str">
            <v>Travel, accommodation and subsistence</v>
          </cell>
        </row>
        <row r="24">
          <cell r="H24">
            <v>0.99</v>
          </cell>
          <cell r="I24" t="str">
            <v>Travel, accommodation and subsistence</v>
          </cell>
        </row>
        <row r="25">
          <cell r="H25">
            <v>4.4400000000000004</v>
          </cell>
          <cell r="I25" t="str">
            <v>Travel, accommodation and subsistence</v>
          </cell>
        </row>
        <row r="26">
          <cell r="H26">
            <v>2.42</v>
          </cell>
          <cell r="I26" t="str">
            <v>Travel, accommodation and subsistence</v>
          </cell>
        </row>
        <row r="27">
          <cell r="H27">
            <v>3.36</v>
          </cell>
          <cell r="I27" t="str">
            <v>Travel, accommodation and subsistence</v>
          </cell>
        </row>
        <row r="28">
          <cell r="H28">
            <v>72.34</v>
          </cell>
          <cell r="I28" t="str">
            <v>Travel, accommodation and subsistence</v>
          </cell>
        </row>
        <row r="29">
          <cell r="H29">
            <v>52.8</v>
          </cell>
          <cell r="I29" t="str">
            <v>Travel, accommodation and subsistence</v>
          </cell>
        </row>
        <row r="30">
          <cell r="H30">
            <v>11.22</v>
          </cell>
          <cell r="I30" t="str">
            <v>Travel, accommodation and subsistence</v>
          </cell>
        </row>
        <row r="31">
          <cell r="H31">
            <v>0.99</v>
          </cell>
          <cell r="I31" t="str">
            <v>Travel, accommodation and subsistence</v>
          </cell>
        </row>
        <row r="32">
          <cell r="H32">
            <v>0.99</v>
          </cell>
          <cell r="I32" t="str">
            <v>Travel, accommodation and subsistence</v>
          </cell>
        </row>
        <row r="33">
          <cell r="H33">
            <v>0.99</v>
          </cell>
          <cell r="I33" t="str">
            <v>Travel, accommodation and subsistence</v>
          </cell>
        </row>
        <row r="34">
          <cell r="H34">
            <v>2.15</v>
          </cell>
          <cell r="I34" t="str">
            <v>Travel, accommodation and subsistence</v>
          </cell>
        </row>
        <row r="35">
          <cell r="H35">
            <v>2.2400000000000002</v>
          </cell>
          <cell r="I35" t="str">
            <v>Travel, accommodation and subsistence</v>
          </cell>
        </row>
        <row r="36">
          <cell r="H36">
            <v>4.4000000000000004</v>
          </cell>
          <cell r="I36" t="str">
            <v>Travel, accommodation and subsistence</v>
          </cell>
        </row>
        <row r="37">
          <cell r="H37">
            <v>0.99</v>
          </cell>
          <cell r="I37" t="str">
            <v>Travel, accommodation and subsistence</v>
          </cell>
        </row>
        <row r="38">
          <cell r="H38">
            <v>0.99</v>
          </cell>
          <cell r="I38" t="str">
            <v>Travel, accommodation and subsistence</v>
          </cell>
        </row>
        <row r="39">
          <cell r="H39">
            <v>3.77</v>
          </cell>
          <cell r="I39" t="str">
            <v>Travel, accommodation and subsistence</v>
          </cell>
        </row>
        <row r="40">
          <cell r="H40">
            <v>3.05</v>
          </cell>
          <cell r="I40" t="str">
            <v>Travel, accommodation and subsistence</v>
          </cell>
        </row>
        <row r="41">
          <cell r="H41">
            <v>3.93</v>
          </cell>
          <cell r="I41" t="str">
            <v>Travel, accommodation and subsistence</v>
          </cell>
        </row>
        <row r="42">
          <cell r="H42">
            <v>0.99</v>
          </cell>
          <cell r="I42" t="str">
            <v>Travel, accommodation and subsistence</v>
          </cell>
        </row>
        <row r="43">
          <cell r="H43">
            <v>0.99</v>
          </cell>
          <cell r="I43" t="str">
            <v>Travel, accommodation and subsistence</v>
          </cell>
        </row>
        <row r="44">
          <cell r="H44">
            <v>2.06</v>
          </cell>
          <cell r="I44" t="str">
            <v>Travel, accommodation and subsistence</v>
          </cell>
        </row>
        <row r="45">
          <cell r="H45">
            <v>2.63</v>
          </cell>
          <cell r="I45" t="str">
            <v>Travel, accommodation and subsistence</v>
          </cell>
        </row>
        <row r="46">
          <cell r="H46">
            <v>3.37</v>
          </cell>
          <cell r="I46" t="str">
            <v>Travel, accommodation and subsistence</v>
          </cell>
        </row>
        <row r="47">
          <cell r="F47">
            <v>431.28000000000009</v>
          </cell>
          <cell r="G47">
            <v>12.66</v>
          </cell>
        </row>
      </sheetData>
      <sheetData sheetId="31" refreshError="1">
        <row r="7">
          <cell r="H7">
            <v>7.8199999999999994</v>
          </cell>
          <cell r="I7" t="str">
            <v>Printing, postage and stationery</v>
          </cell>
        </row>
        <row r="8">
          <cell r="H8">
            <v>6.43</v>
          </cell>
          <cell r="I8" t="str">
            <v>Printing, postage and stationery</v>
          </cell>
        </row>
        <row r="9">
          <cell r="H9">
            <v>5.05</v>
          </cell>
          <cell r="I9" t="str">
            <v>Travel, accommodation and subsistence</v>
          </cell>
        </row>
        <row r="10">
          <cell r="H10">
            <v>11.24</v>
          </cell>
          <cell r="I10" t="str">
            <v>Travel, accommodation and subsistence</v>
          </cell>
        </row>
        <row r="11">
          <cell r="H11">
            <v>0.99</v>
          </cell>
          <cell r="I11" t="str">
            <v>Travel, accommodation and subsistence</v>
          </cell>
        </row>
        <row r="12">
          <cell r="H12">
            <v>5.87</v>
          </cell>
          <cell r="I12" t="str">
            <v>Travel, accommodation and subsistence</v>
          </cell>
        </row>
        <row r="13">
          <cell r="H13">
            <v>4.45</v>
          </cell>
          <cell r="I13" t="str">
            <v>Travel, accommodation and subsistence</v>
          </cell>
        </row>
        <row r="14">
          <cell r="H14">
            <v>0.99</v>
          </cell>
          <cell r="I14" t="str">
            <v>Travel, accommodation and subsistence</v>
          </cell>
        </row>
        <row r="15">
          <cell r="H15">
            <v>0.99</v>
          </cell>
          <cell r="I15" t="str">
            <v>Travel, accommodation and subsistence</v>
          </cell>
        </row>
        <row r="16">
          <cell r="H16">
            <v>2.88</v>
          </cell>
          <cell r="I16" t="str">
            <v>Travel, accommodation and subsistence</v>
          </cell>
        </row>
        <row r="17">
          <cell r="H17">
            <v>2.4500000000000002</v>
          </cell>
          <cell r="I17" t="str">
            <v>Travel, accommodation and subsistence</v>
          </cell>
        </row>
        <row r="18">
          <cell r="H18">
            <v>0.99</v>
          </cell>
          <cell r="I18" t="str">
            <v>Travel, accommodation and subsistence</v>
          </cell>
        </row>
        <row r="19">
          <cell r="H19">
            <v>0.99</v>
          </cell>
          <cell r="I19" t="str">
            <v>Travel, accommodation and subsistence</v>
          </cell>
        </row>
        <row r="20">
          <cell r="H20">
            <v>2.16</v>
          </cell>
          <cell r="I20" t="str">
            <v>Travel, accommodation and subsistence</v>
          </cell>
        </row>
        <row r="21">
          <cell r="H21">
            <v>2.83</v>
          </cell>
          <cell r="I21" t="str">
            <v>Travel, accommodation and subsistence</v>
          </cell>
        </row>
        <row r="22">
          <cell r="H22">
            <v>3.55</v>
          </cell>
          <cell r="I22" t="str">
            <v>Travel, accommodation and subsistence</v>
          </cell>
        </row>
        <row r="23">
          <cell r="H23">
            <v>133.54</v>
          </cell>
          <cell r="I23" t="str">
            <v>Travel, accommodation and subsistence</v>
          </cell>
        </row>
        <row r="24">
          <cell r="H24">
            <v>0.99</v>
          </cell>
          <cell r="I24" t="str">
            <v>Travel, accommodation and subsistence</v>
          </cell>
        </row>
        <row r="25">
          <cell r="H25">
            <v>0.99</v>
          </cell>
          <cell r="I25" t="str">
            <v>Travel, accommodation and subsistence</v>
          </cell>
        </row>
        <row r="26">
          <cell r="H26">
            <v>1.93</v>
          </cell>
          <cell r="I26" t="str">
            <v>Travel, accommodation and subsistence</v>
          </cell>
        </row>
        <row r="27">
          <cell r="H27">
            <v>3.37</v>
          </cell>
          <cell r="I27" t="str">
            <v>Travel, accommodation and subsistence</v>
          </cell>
        </row>
        <row r="28">
          <cell r="H28">
            <v>57.87</v>
          </cell>
          <cell r="I28" t="str">
            <v>Travel, accommodation and subsistence</v>
          </cell>
        </row>
        <row r="29">
          <cell r="H29">
            <v>53.6</v>
          </cell>
          <cell r="I29" t="str">
            <v>Motor Travel</v>
          </cell>
        </row>
        <row r="30">
          <cell r="H30">
            <v>1350.9399999999998</v>
          </cell>
          <cell r="I30" t="str">
            <v>Accountancy fees</v>
          </cell>
        </row>
        <row r="31">
          <cell r="H31">
            <v>411.25</v>
          </cell>
          <cell r="I31" t="str">
            <v>Sundry expenses</v>
          </cell>
        </row>
        <row r="32">
          <cell r="H32">
            <v>5.05</v>
          </cell>
          <cell r="I32" t="str">
            <v>Travel, accommodation and subsistence</v>
          </cell>
        </row>
        <row r="33">
          <cell r="H33">
            <v>11.39</v>
          </cell>
          <cell r="I33" t="str">
            <v>Travel, accommodation and subsistence</v>
          </cell>
        </row>
        <row r="34">
          <cell r="H34">
            <v>1</v>
          </cell>
          <cell r="I34" t="str">
            <v>Travel, accommodation and subsistence</v>
          </cell>
        </row>
        <row r="35">
          <cell r="H35">
            <v>4.53</v>
          </cell>
          <cell r="I35" t="str">
            <v>Travel, accommodation and subsistence</v>
          </cell>
        </row>
        <row r="36">
          <cell r="H36">
            <v>1</v>
          </cell>
          <cell r="I36" t="str">
            <v>Travel, accommodation and subsistence</v>
          </cell>
        </row>
        <row r="37">
          <cell r="H37">
            <v>2.1</v>
          </cell>
          <cell r="I37" t="str">
            <v>Travel, accommodation and subsistence</v>
          </cell>
        </row>
        <row r="38">
          <cell r="H38">
            <v>14.57</v>
          </cell>
          <cell r="I38" t="str">
            <v>Travel, accommodation and subsistence</v>
          </cell>
        </row>
        <row r="39">
          <cell r="H39">
            <v>1</v>
          </cell>
          <cell r="I39" t="str">
            <v>Travel, accommodation and subsistence</v>
          </cell>
        </row>
        <row r="40">
          <cell r="H40">
            <v>1</v>
          </cell>
          <cell r="I40" t="str">
            <v>Travel, accommodation and subsistence</v>
          </cell>
        </row>
        <row r="41">
          <cell r="H41">
            <v>6.31</v>
          </cell>
          <cell r="I41" t="str">
            <v>Travel, accommodation and subsistence</v>
          </cell>
        </row>
        <row r="42">
          <cell r="H42">
            <v>6.65</v>
          </cell>
          <cell r="I42" t="str">
            <v>Travel, accommodation and subsistence</v>
          </cell>
        </row>
        <row r="43">
          <cell r="H43">
            <v>1</v>
          </cell>
          <cell r="I43" t="str">
            <v>Travel, accommodation and subsistence</v>
          </cell>
        </row>
        <row r="44">
          <cell r="H44">
            <v>1</v>
          </cell>
          <cell r="I44" t="str">
            <v>Travel, accommodation and subsistence</v>
          </cell>
        </row>
        <row r="45">
          <cell r="H45">
            <v>5.01</v>
          </cell>
          <cell r="I45" t="str">
            <v>Travel, accommodation and subsistence</v>
          </cell>
        </row>
        <row r="46">
          <cell r="H46">
            <v>1.23</v>
          </cell>
          <cell r="I46" t="str">
            <v>Travel, accommodation and subsistence</v>
          </cell>
        </row>
        <row r="47">
          <cell r="F47">
            <v>2384.9100000000003</v>
          </cell>
          <cell r="G47">
            <v>247.91</v>
          </cell>
        </row>
      </sheetData>
      <sheetData sheetId="32" refreshError="1">
        <row r="7">
          <cell r="H7">
            <v>8.5</v>
          </cell>
          <cell r="I7" t="str">
            <v>Telephone &amp; Internet</v>
          </cell>
        </row>
        <row r="8">
          <cell r="H8">
            <v>47.66</v>
          </cell>
          <cell r="I8" t="str">
            <v>Printing, postage and stationery</v>
          </cell>
        </row>
        <row r="9">
          <cell r="H9">
            <v>21.6</v>
          </cell>
          <cell r="I9" t="str">
            <v>Motor Travel</v>
          </cell>
        </row>
        <row r="10">
          <cell r="H10">
            <v>19.57</v>
          </cell>
          <cell r="I10" t="str">
            <v>Sundry expenses</v>
          </cell>
        </row>
        <row r="11">
          <cell r="H11">
            <v>346.4</v>
          </cell>
          <cell r="I11" t="str">
            <v>Travel, accommodation and subsistence</v>
          </cell>
        </row>
        <row r="12">
          <cell r="H12">
            <v>8.3000000000000007</v>
          </cell>
          <cell r="I12" t="str">
            <v>Telephone &amp; Internet</v>
          </cell>
        </row>
        <row r="13">
          <cell r="H13">
            <v>22</v>
          </cell>
          <cell r="I13" t="str">
            <v>Motor Travel</v>
          </cell>
        </row>
        <row r="14">
          <cell r="H14">
            <v>21.6</v>
          </cell>
          <cell r="I14" t="str">
            <v>Motor Travel</v>
          </cell>
        </row>
        <row r="15">
          <cell r="H15">
            <v>22.8</v>
          </cell>
          <cell r="I15" t="str">
            <v>Motor Travel</v>
          </cell>
        </row>
        <row r="16">
          <cell r="H16">
            <v>22</v>
          </cell>
          <cell r="I16" t="str">
            <v>Motor Travel</v>
          </cell>
        </row>
        <row r="17">
          <cell r="H17">
            <v>76.5</v>
          </cell>
          <cell r="I17" t="str">
            <v>Entertaining</v>
          </cell>
        </row>
        <row r="18">
          <cell r="H18">
            <v>35.200000000000003</v>
          </cell>
          <cell r="I18" t="str">
            <v>Travel, accommodation and subsistence</v>
          </cell>
        </row>
        <row r="19">
          <cell r="H19">
            <v>285.31</v>
          </cell>
          <cell r="I19" t="str">
            <v>Travel, accommodation and subsistence</v>
          </cell>
        </row>
        <row r="20">
          <cell r="H20">
            <v>10.88</v>
          </cell>
          <cell r="I20" t="str">
            <v>Travel, accommodation and subsistence</v>
          </cell>
        </row>
        <row r="21">
          <cell r="H21">
            <v>57.87</v>
          </cell>
          <cell r="I21" t="str">
            <v>Travel, accommodation and subsistence</v>
          </cell>
        </row>
        <row r="22">
          <cell r="H22">
            <v>52.4</v>
          </cell>
          <cell r="I22" t="str">
            <v>Travel, accommodation and subsistence</v>
          </cell>
        </row>
        <row r="23">
          <cell r="H23">
            <v>18.48</v>
          </cell>
          <cell r="I23" t="str">
            <v>Telephone &amp; Internet</v>
          </cell>
        </row>
        <row r="24">
          <cell r="H24">
            <v>136.32</v>
          </cell>
          <cell r="I24" t="str">
            <v>Telephone &amp; Internet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  <row r="30">
          <cell r="H30">
            <v>0</v>
          </cell>
        </row>
        <row r="31">
          <cell r="H31">
            <v>0</v>
          </cell>
        </row>
        <row r="32">
          <cell r="H32">
            <v>0</v>
          </cell>
        </row>
        <row r="33">
          <cell r="H33">
            <v>0</v>
          </cell>
        </row>
        <row r="34">
          <cell r="H34">
            <v>0</v>
          </cell>
        </row>
        <row r="35">
          <cell r="H35">
            <v>0</v>
          </cell>
        </row>
        <row r="36">
          <cell r="H36">
            <v>0</v>
          </cell>
        </row>
        <row r="37">
          <cell r="H37">
            <v>0</v>
          </cell>
        </row>
        <row r="38">
          <cell r="H38">
            <v>0</v>
          </cell>
        </row>
        <row r="39">
          <cell r="H39">
            <v>0</v>
          </cell>
        </row>
        <row r="40">
          <cell r="H40">
            <v>0</v>
          </cell>
        </row>
        <row r="41">
          <cell r="H41">
            <v>0</v>
          </cell>
        </row>
        <row r="42">
          <cell r="H42">
            <v>0</v>
          </cell>
        </row>
        <row r="43">
          <cell r="H43">
            <v>0</v>
          </cell>
        </row>
        <row r="44">
          <cell r="H44">
            <v>0</v>
          </cell>
        </row>
        <row r="45">
          <cell r="H45">
            <v>0</v>
          </cell>
        </row>
        <row r="46">
          <cell r="H46">
            <v>0</v>
          </cell>
        </row>
        <row r="47">
          <cell r="F47">
            <v>1241.4600000000003</v>
          </cell>
          <cell r="G47">
            <v>28.07</v>
          </cell>
        </row>
      </sheetData>
      <sheetData sheetId="33" refreshError="1">
        <row r="7">
          <cell r="H7">
            <v>21.6</v>
          </cell>
          <cell r="I7" t="str">
            <v>Motor Travel</v>
          </cell>
        </row>
        <row r="8">
          <cell r="H8">
            <v>21.6</v>
          </cell>
          <cell r="I8" t="str">
            <v>Motor Travel</v>
          </cell>
        </row>
        <row r="9">
          <cell r="H9">
            <v>186.4</v>
          </cell>
          <cell r="I9" t="str">
            <v>Travel, accommodation and subsistence</v>
          </cell>
        </row>
        <row r="10">
          <cell r="H10">
            <v>21.6</v>
          </cell>
          <cell r="I10" t="str">
            <v>Motor Travel</v>
          </cell>
        </row>
        <row r="11">
          <cell r="H11">
            <v>22</v>
          </cell>
          <cell r="I11" t="str">
            <v>Motor Travel</v>
          </cell>
        </row>
        <row r="12">
          <cell r="H12">
            <v>38.89</v>
          </cell>
          <cell r="I12" t="str">
            <v>Travel, accommodation and subsistence</v>
          </cell>
        </row>
        <row r="13">
          <cell r="H13">
            <v>13.58</v>
          </cell>
          <cell r="I13" t="str">
            <v>Entertaining</v>
          </cell>
        </row>
        <row r="14">
          <cell r="H14">
            <v>31.82</v>
          </cell>
          <cell r="I14" t="str">
            <v>Travel, accommodation and subsistence</v>
          </cell>
        </row>
        <row r="15">
          <cell r="H15">
            <v>407.29</v>
          </cell>
          <cell r="I15" t="str">
            <v>Travel, accommodation and subsistence</v>
          </cell>
        </row>
        <row r="16">
          <cell r="H16">
            <v>20.51</v>
          </cell>
          <cell r="I16" t="str">
            <v>Travel, accommodation and subsistence</v>
          </cell>
        </row>
        <row r="17">
          <cell r="H17">
            <v>31.82</v>
          </cell>
          <cell r="I17" t="str">
            <v>Travel, accommodation and subsistence</v>
          </cell>
        </row>
        <row r="18">
          <cell r="H18">
            <v>21.21</v>
          </cell>
          <cell r="I18" t="str">
            <v>Travel, accommodation and subsistence</v>
          </cell>
        </row>
        <row r="19">
          <cell r="H19">
            <v>12.02</v>
          </cell>
          <cell r="I19" t="str">
            <v>Travel, accommodation and subsistence</v>
          </cell>
        </row>
        <row r="20">
          <cell r="H20">
            <v>74.25</v>
          </cell>
          <cell r="I20" t="str">
            <v>Travel, accommodation and subsistence</v>
          </cell>
        </row>
        <row r="21">
          <cell r="H21">
            <v>12.52</v>
          </cell>
          <cell r="I21" t="str">
            <v>Entertaining</v>
          </cell>
        </row>
        <row r="22">
          <cell r="H22">
            <v>531.03</v>
          </cell>
          <cell r="I22" t="str">
            <v>Travel, accommodation and subsistence</v>
          </cell>
        </row>
        <row r="23">
          <cell r="H23">
            <v>21.21</v>
          </cell>
          <cell r="I23" t="str">
            <v>Travel, accommodation and subsistence</v>
          </cell>
        </row>
        <row r="24">
          <cell r="H24">
            <v>8.5</v>
          </cell>
          <cell r="I24" t="str">
            <v>Telephone &amp; Internet</v>
          </cell>
        </row>
        <row r="25">
          <cell r="H25">
            <v>9.8699999999999992</v>
          </cell>
          <cell r="I25" t="str">
            <v>Telephone &amp; Internet</v>
          </cell>
        </row>
        <row r="26">
          <cell r="H26">
            <v>54.830000000000005</v>
          </cell>
          <cell r="I26" t="str">
            <v>Telephone &amp; Internet</v>
          </cell>
        </row>
        <row r="27">
          <cell r="H27">
            <v>67.34</v>
          </cell>
          <cell r="I27" t="str">
            <v>Travel, accommodation and subsistence</v>
          </cell>
        </row>
        <row r="28">
          <cell r="H28">
            <v>15.2</v>
          </cell>
          <cell r="I28" t="str">
            <v>Motor Travel</v>
          </cell>
        </row>
        <row r="29">
          <cell r="H29">
            <v>52.74</v>
          </cell>
          <cell r="I29" t="str">
            <v>Travel, accommodation and subsistence</v>
          </cell>
        </row>
        <row r="30">
          <cell r="H30">
            <v>0</v>
          </cell>
        </row>
        <row r="31">
          <cell r="H31">
            <v>0</v>
          </cell>
        </row>
        <row r="32">
          <cell r="H32">
            <v>0</v>
          </cell>
        </row>
        <row r="33">
          <cell r="H33">
            <v>0</v>
          </cell>
        </row>
        <row r="34">
          <cell r="H34">
            <v>0</v>
          </cell>
        </row>
        <row r="35">
          <cell r="H35">
            <v>0</v>
          </cell>
        </row>
        <row r="36">
          <cell r="H36">
            <v>0</v>
          </cell>
        </row>
        <row r="37">
          <cell r="H37">
            <v>0</v>
          </cell>
        </row>
        <row r="38">
          <cell r="H38">
            <v>0</v>
          </cell>
        </row>
        <row r="39">
          <cell r="H39">
            <v>0</v>
          </cell>
        </row>
        <row r="40">
          <cell r="H40">
            <v>0</v>
          </cell>
        </row>
        <row r="41">
          <cell r="H41">
            <v>0</v>
          </cell>
        </row>
        <row r="42">
          <cell r="H42">
            <v>0</v>
          </cell>
        </row>
        <row r="43">
          <cell r="H43">
            <v>0</v>
          </cell>
        </row>
        <row r="44">
          <cell r="H44">
            <v>0</v>
          </cell>
        </row>
        <row r="45">
          <cell r="H45">
            <v>0</v>
          </cell>
        </row>
        <row r="46">
          <cell r="H46">
            <v>0</v>
          </cell>
        </row>
        <row r="47">
          <cell r="F47">
            <v>1710.6499999999999</v>
          </cell>
          <cell r="G47">
            <v>12.82</v>
          </cell>
        </row>
      </sheetData>
      <sheetData sheetId="34" refreshError="1">
        <row r="7">
          <cell r="H7">
            <v>202.51</v>
          </cell>
          <cell r="I7" t="str">
            <v>Travel, accommodation and subsistence</v>
          </cell>
        </row>
        <row r="8">
          <cell r="H8">
            <v>52.74</v>
          </cell>
          <cell r="I8" t="str">
            <v>Travel, accommodation and subsistence</v>
          </cell>
        </row>
        <row r="9">
          <cell r="H9">
            <v>45.96</v>
          </cell>
          <cell r="I9" t="str">
            <v>Travel, accommodation and subsistence</v>
          </cell>
        </row>
        <row r="10">
          <cell r="H10">
            <v>16</v>
          </cell>
          <cell r="I10" t="str">
            <v>Motor Travel</v>
          </cell>
        </row>
        <row r="11">
          <cell r="H11">
            <v>1235</v>
          </cell>
          <cell r="I11" t="str">
            <v>Travel, accommodation and subsistence</v>
          </cell>
        </row>
        <row r="12">
          <cell r="H12">
            <v>247.36</v>
          </cell>
          <cell r="I12" t="str">
            <v>Travel, accommodation and subsistence</v>
          </cell>
        </row>
        <row r="13">
          <cell r="H13">
            <v>3.95</v>
          </cell>
          <cell r="I13" t="str">
            <v>Travel, accommodation and subsistence</v>
          </cell>
        </row>
        <row r="14">
          <cell r="H14">
            <v>6.4</v>
          </cell>
          <cell r="I14" t="str">
            <v>Travel, accommodation and subsistence</v>
          </cell>
        </row>
        <row r="15">
          <cell r="H15">
            <v>21.96</v>
          </cell>
          <cell r="I15" t="str">
            <v>Entertaining</v>
          </cell>
        </row>
        <row r="16">
          <cell r="H16">
            <v>52</v>
          </cell>
          <cell r="I16" t="str">
            <v>Entertaining</v>
          </cell>
        </row>
        <row r="17">
          <cell r="H17">
            <v>17.34</v>
          </cell>
          <cell r="I17" t="str">
            <v>Travel, accommodation and subsistence</v>
          </cell>
        </row>
        <row r="18">
          <cell r="H18">
            <v>359.29</v>
          </cell>
          <cell r="I18" t="str">
            <v>Travel, accommodation and subsistence</v>
          </cell>
        </row>
        <row r="19">
          <cell r="H19">
            <v>15.2</v>
          </cell>
          <cell r="I19" t="str">
            <v>Motor Travel</v>
          </cell>
        </row>
        <row r="20">
          <cell r="H20">
            <v>52.57</v>
          </cell>
          <cell r="I20" t="str">
            <v>Travel, accommodation and subsistence</v>
          </cell>
        </row>
        <row r="21">
          <cell r="H21">
            <v>11.21</v>
          </cell>
          <cell r="I21" t="str">
            <v>Travel, accommodation and subsistence</v>
          </cell>
        </row>
        <row r="22">
          <cell r="H22">
            <v>167.28</v>
          </cell>
          <cell r="I22" t="str">
            <v>Travel, accommodation and subsistence</v>
          </cell>
        </row>
        <row r="23">
          <cell r="H23">
            <v>8.41</v>
          </cell>
          <cell r="I23" t="str">
            <v>Travel, accommodation and subsistence</v>
          </cell>
        </row>
        <row r="24">
          <cell r="H24">
            <v>8.41</v>
          </cell>
          <cell r="I24" t="str">
            <v>Travel, accommodation and subsistence</v>
          </cell>
        </row>
        <row r="25">
          <cell r="H25">
            <v>438.35</v>
          </cell>
          <cell r="I25" t="str">
            <v>Travel, accommodation and subsistence</v>
          </cell>
        </row>
        <row r="26">
          <cell r="H26">
            <v>52.57</v>
          </cell>
          <cell r="I26" t="str">
            <v>Travel, accommodation and subsistence</v>
          </cell>
        </row>
        <row r="27">
          <cell r="H27">
            <v>76.599999999999994</v>
          </cell>
          <cell r="I27" t="str">
            <v>Travel, accommodation and subsistence</v>
          </cell>
        </row>
        <row r="28">
          <cell r="H28">
            <v>16</v>
          </cell>
          <cell r="I28" t="str">
            <v>Motor Travel</v>
          </cell>
        </row>
        <row r="29">
          <cell r="H29">
            <v>8.5</v>
          </cell>
          <cell r="I29" t="str">
            <v>Telephone &amp; Internet</v>
          </cell>
        </row>
        <row r="30">
          <cell r="H30">
            <v>58.8</v>
          </cell>
          <cell r="I30" t="str">
            <v>Motor Travel</v>
          </cell>
        </row>
        <row r="31">
          <cell r="H31">
            <v>15.2</v>
          </cell>
          <cell r="I31" t="str">
            <v>Motor Travel</v>
          </cell>
        </row>
        <row r="32">
          <cell r="H32">
            <v>52.37</v>
          </cell>
          <cell r="I32" t="str">
            <v>Travel, accommodation and subsistence</v>
          </cell>
        </row>
        <row r="33">
          <cell r="H33">
            <v>12.57</v>
          </cell>
          <cell r="I33" t="str">
            <v>Travel, accommodation and subsistence</v>
          </cell>
        </row>
        <row r="34">
          <cell r="H34">
            <v>13.97</v>
          </cell>
          <cell r="I34" t="str">
            <v>Travel, accommodation and subsistence</v>
          </cell>
        </row>
        <row r="35">
          <cell r="H35">
            <v>3.94</v>
          </cell>
          <cell r="I35" t="str">
            <v>Travel, accommodation and subsistence</v>
          </cell>
        </row>
        <row r="36">
          <cell r="H36">
            <v>12.57</v>
          </cell>
          <cell r="I36" t="str">
            <v>Travel, accommodation and subsistence</v>
          </cell>
        </row>
        <row r="37">
          <cell r="H37">
            <v>3.02</v>
          </cell>
          <cell r="I37" t="str">
            <v>Travel, accommodation and subsistence</v>
          </cell>
        </row>
        <row r="38">
          <cell r="H38">
            <v>5.52</v>
          </cell>
          <cell r="I38" t="str">
            <v>Travel, accommodation and subsistence</v>
          </cell>
        </row>
        <row r="39">
          <cell r="H39">
            <v>402.23</v>
          </cell>
          <cell r="I39" t="str">
            <v>Travel, accommodation and subsistence</v>
          </cell>
        </row>
        <row r="40">
          <cell r="H40">
            <v>52.37</v>
          </cell>
          <cell r="I40" t="str">
            <v>Travel, accommodation and subsistence</v>
          </cell>
        </row>
        <row r="41">
          <cell r="H41">
            <v>76.599999999999994</v>
          </cell>
          <cell r="I41" t="str">
            <v>Travel, accommodation and subsistence</v>
          </cell>
        </row>
        <row r="42">
          <cell r="H42">
            <v>16</v>
          </cell>
          <cell r="I42" t="str">
            <v>Motor Travel</v>
          </cell>
        </row>
        <row r="43">
          <cell r="H43">
            <v>57.28</v>
          </cell>
          <cell r="I43" t="str">
            <v>Travel, accommodation and subsistence</v>
          </cell>
        </row>
        <row r="44">
          <cell r="H44">
            <v>15.2</v>
          </cell>
          <cell r="I44" t="str">
            <v>Motor Travel</v>
          </cell>
        </row>
        <row r="45">
          <cell r="H45">
            <v>53.11</v>
          </cell>
          <cell r="I45" t="str">
            <v>Travel, accommodation and subsistence</v>
          </cell>
        </row>
        <row r="46">
          <cell r="H46">
            <v>5.08</v>
          </cell>
          <cell r="I46" t="str">
            <v>Travel, accommodation and subsistence</v>
          </cell>
        </row>
        <row r="47">
          <cell r="F47">
            <v>4007.77</v>
          </cell>
          <cell r="G47">
            <v>36.33</v>
          </cell>
        </row>
      </sheetData>
      <sheetData sheetId="35" refreshError="1">
        <row r="7">
          <cell r="H7">
            <v>47.24</v>
          </cell>
          <cell r="I7" t="str">
            <v>Travel, accommodation and subsistence</v>
          </cell>
        </row>
        <row r="8">
          <cell r="H8">
            <v>7.8</v>
          </cell>
          <cell r="I8" t="str">
            <v>Travel, accommodation and subsistence</v>
          </cell>
        </row>
        <row r="9">
          <cell r="H9">
            <v>534.32000000000005</v>
          </cell>
          <cell r="I9" t="str">
            <v>Software &amp; IT Consumables</v>
          </cell>
        </row>
        <row r="10">
          <cell r="H10">
            <v>11</v>
          </cell>
          <cell r="I10" t="str">
            <v>Sundry expenses</v>
          </cell>
        </row>
        <row r="11">
          <cell r="H11">
            <v>53.15</v>
          </cell>
          <cell r="I11" t="str">
            <v>Travel, accommodation and subsistence</v>
          </cell>
        </row>
        <row r="12">
          <cell r="H12">
            <v>3.1</v>
          </cell>
          <cell r="I12" t="str">
            <v>Travel, accommodation and subsistence</v>
          </cell>
        </row>
        <row r="13">
          <cell r="H13">
            <v>4.96</v>
          </cell>
          <cell r="I13" t="str">
            <v>Travel, accommodation and subsistence</v>
          </cell>
        </row>
        <row r="14">
          <cell r="H14">
            <v>5.32</v>
          </cell>
          <cell r="I14" t="str">
            <v>Travel, accommodation and subsistence</v>
          </cell>
        </row>
        <row r="15">
          <cell r="H15">
            <v>2.72</v>
          </cell>
          <cell r="I15" t="str">
            <v>Travel, accommodation and subsistence</v>
          </cell>
        </row>
        <row r="16">
          <cell r="H16">
            <v>2.91</v>
          </cell>
          <cell r="I16" t="str">
            <v>Travel, accommodation and subsistence</v>
          </cell>
        </row>
        <row r="17">
          <cell r="H17">
            <v>12.05</v>
          </cell>
          <cell r="I17" t="str">
            <v>Travel, accommodation and subsistence</v>
          </cell>
        </row>
        <row r="18">
          <cell r="H18">
            <v>5.67</v>
          </cell>
          <cell r="I18" t="str">
            <v>Travel, accommodation and subsistence</v>
          </cell>
        </row>
        <row r="19">
          <cell r="H19">
            <v>2.98</v>
          </cell>
          <cell r="I19" t="str">
            <v>Travel, accommodation and subsistence</v>
          </cell>
        </row>
        <row r="20">
          <cell r="H20">
            <v>924.95</v>
          </cell>
          <cell r="I20" t="str">
            <v>Travel, accommodation and subsistence</v>
          </cell>
        </row>
        <row r="21">
          <cell r="H21">
            <v>53.15</v>
          </cell>
          <cell r="I21" t="str">
            <v>Travel, accommodation and subsistence</v>
          </cell>
        </row>
        <row r="22">
          <cell r="H22">
            <v>3.54</v>
          </cell>
          <cell r="I22" t="str">
            <v>Travel, accommodation and subsistence</v>
          </cell>
        </row>
        <row r="23">
          <cell r="H23">
            <v>8.5</v>
          </cell>
          <cell r="I23" t="str">
            <v>Telephone &amp; Internet</v>
          </cell>
        </row>
        <row r="24">
          <cell r="H24">
            <v>829</v>
          </cell>
          <cell r="I24" t="str">
            <v>Purchase of fixed assets</v>
          </cell>
        </row>
        <row r="25">
          <cell r="H25">
            <v>34.950000000000003</v>
          </cell>
          <cell r="I25" t="str">
            <v>Purchase of fixed assets</v>
          </cell>
        </row>
        <row r="26">
          <cell r="H26">
            <v>169.36</v>
          </cell>
          <cell r="I26" t="str">
            <v>Software &amp; IT Consumables</v>
          </cell>
        </row>
        <row r="27">
          <cell r="H27">
            <v>9.43</v>
          </cell>
          <cell r="I27" t="str">
            <v>Sundry expenses</v>
          </cell>
        </row>
        <row r="28">
          <cell r="H28">
            <v>14.95</v>
          </cell>
          <cell r="I28" t="str">
            <v>Sundry expenses</v>
          </cell>
        </row>
        <row r="29">
          <cell r="H29">
            <v>56.99</v>
          </cell>
          <cell r="I29" t="str">
            <v>Travel, accommodation and subsistence</v>
          </cell>
        </row>
        <row r="30">
          <cell r="H30">
            <v>64.47</v>
          </cell>
          <cell r="I30" t="str">
            <v>Travel, accommodation and subsistence</v>
          </cell>
        </row>
        <row r="31">
          <cell r="H31">
            <v>50</v>
          </cell>
          <cell r="I31" t="str">
            <v>Telephone &amp; Internet</v>
          </cell>
        </row>
        <row r="32">
          <cell r="H32">
            <v>18.709999999999997</v>
          </cell>
          <cell r="I32" t="str">
            <v>Telephone &amp; Internet</v>
          </cell>
        </row>
        <row r="33">
          <cell r="H33">
            <v>59.56</v>
          </cell>
          <cell r="I33" t="str">
            <v>Software &amp; IT Consumables</v>
          </cell>
        </row>
        <row r="34">
          <cell r="H34">
            <v>102.39</v>
          </cell>
          <cell r="I34" t="str">
            <v>Telephone &amp; Internet</v>
          </cell>
        </row>
        <row r="35">
          <cell r="H35">
            <v>58.7</v>
          </cell>
          <cell r="I35" t="str">
            <v>Telephone &amp; Internet</v>
          </cell>
        </row>
        <row r="36">
          <cell r="H36">
            <v>76.55</v>
          </cell>
          <cell r="I36" t="str">
            <v>Telephone &amp; Internet</v>
          </cell>
        </row>
        <row r="37">
          <cell r="H37">
            <v>6.12</v>
          </cell>
          <cell r="I37" t="str">
            <v>Printing, postage and stationery</v>
          </cell>
        </row>
        <row r="38">
          <cell r="H38">
            <v>6</v>
          </cell>
          <cell r="I38" t="str">
            <v>Travel, accommodation and subsistence</v>
          </cell>
        </row>
        <row r="39">
          <cell r="H39">
            <v>6.94</v>
          </cell>
          <cell r="I39" t="str">
            <v>Travel, accommodation and subsistence</v>
          </cell>
        </row>
        <row r="40">
          <cell r="H40">
            <v>100.14</v>
          </cell>
          <cell r="I40" t="str">
            <v>Travel, accommodation and subsistence</v>
          </cell>
        </row>
        <row r="41">
          <cell r="H41">
            <v>14.54</v>
          </cell>
          <cell r="I41" t="str">
            <v>Travel, accommodation and subsistence</v>
          </cell>
        </row>
        <row r="42">
          <cell r="H42">
            <v>0</v>
          </cell>
        </row>
        <row r="43">
          <cell r="H43">
            <v>0</v>
          </cell>
        </row>
        <row r="44">
          <cell r="H44">
            <v>0</v>
          </cell>
        </row>
        <row r="45">
          <cell r="H45">
            <v>0</v>
          </cell>
        </row>
        <row r="46">
          <cell r="H46">
            <v>0</v>
          </cell>
        </row>
        <row r="47">
          <cell r="F47">
            <v>3699.0199999999991</v>
          </cell>
          <cell r="G47">
            <v>336.85999999999996</v>
          </cell>
        </row>
      </sheetData>
      <sheetData sheetId="36" refreshError="1">
        <row r="7">
          <cell r="H7">
            <v>2.85</v>
          </cell>
          <cell r="I7" t="str">
            <v>Travel, accommodation and subsistence</v>
          </cell>
        </row>
        <row r="8">
          <cell r="H8">
            <v>12.83</v>
          </cell>
          <cell r="I8" t="str">
            <v>Travel, accommodation and subsistence</v>
          </cell>
        </row>
        <row r="9">
          <cell r="H9">
            <v>4.6399999999999997</v>
          </cell>
          <cell r="I9" t="str">
            <v>Travel, accommodation and subsistence</v>
          </cell>
        </row>
        <row r="10">
          <cell r="H10">
            <v>14.44</v>
          </cell>
          <cell r="I10" t="str">
            <v>Travel, accommodation and subsistence</v>
          </cell>
        </row>
        <row r="11">
          <cell r="H11">
            <v>346.17</v>
          </cell>
          <cell r="I11" t="str">
            <v>Travel, accommodation and subsistence</v>
          </cell>
        </row>
        <row r="12">
          <cell r="H12">
            <v>12.12</v>
          </cell>
          <cell r="I12" t="str">
            <v>Travel, accommodation and subsistence</v>
          </cell>
        </row>
        <row r="13">
          <cell r="H13">
            <v>3.29</v>
          </cell>
          <cell r="I13" t="str">
            <v>Travel, accommodation and subsistence</v>
          </cell>
        </row>
        <row r="14">
          <cell r="H14">
            <v>53.48</v>
          </cell>
          <cell r="I14" t="str">
            <v>Travel, accommodation and subsistence</v>
          </cell>
        </row>
        <row r="15">
          <cell r="H15">
            <v>3.57</v>
          </cell>
          <cell r="I15" t="str">
            <v>Travel, accommodation and subsistence</v>
          </cell>
        </row>
        <row r="16">
          <cell r="H16">
            <v>50</v>
          </cell>
          <cell r="I16" t="str">
            <v>Travel, accommodation and subsistence</v>
          </cell>
        </row>
        <row r="17">
          <cell r="H17">
            <v>144.97999999999999</v>
          </cell>
          <cell r="I17" t="str">
            <v>Travel, accommodation and subsistence</v>
          </cell>
        </row>
        <row r="18">
          <cell r="H18">
            <v>4.24</v>
          </cell>
          <cell r="I18" t="str">
            <v>Travel, accommodation and subsistence</v>
          </cell>
        </row>
        <row r="19">
          <cell r="H19">
            <v>2.38</v>
          </cell>
          <cell r="I19" t="str">
            <v>Travel, accommodation and subsistence</v>
          </cell>
        </row>
        <row r="20">
          <cell r="H20">
            <v>33.299999999999997</v>
          </cell>
          <cell r="I20" t="str">
            <v>Travel, accommodation and subsistence</v>
          </cell>
        </row>
        <row r="21">
          <cell r="H21">
            <v>21.41</v>
          </cell>
          <cell r="I21" t="str">
            <v>Travel, accommodation and subsistence</v>
          </cell>
        </row>
        <row r="22">
          <cell r="H22">
            <v>177.63</v>
          </cell>
          <cell r="I22" t="str">
            <v>Travel, accommodation and subsistence</v>
          </cell>
        </row>
        <row r="23">
          <cell r="H23">
            <v>35.68</v>
          </cell>
          <cell r="I23" t="str">
            <v>Travel, accommodation and subsistence</v>
          </cell>
        </row>
        <row r="24">
          <cell r="H24">
            <v>3.33</v>
          </cell>
          <cell r="I24" t="str">
            <v>Travel, accommodation and subsistence</v>
          </cell>
        </row>
        <row r="25">
          <cell r="H25">
            <v>44.68</v>
          </cell>
          <cell r="I25" t="str">
            <v>Travel, accommodation and subsistence</v>
          </cell>
        </row>
        <row r="26">
          <cell r="H26">
            <v>44.4</v>
          </cell>
          <cell r="I26" t="str">
            <v>Motor Travel</v>
          </cell>
        </row>
        <row r="27">
          <cell r="H27">
            <v>167.56</v>
          </cell>
          <cell r="I27" t="str">
            <v>Travel, accommodation and subsistence</v>
          </cell>
        </row>
        <row r="28">
          <cell r="H28">
            <v>18.709999999999997</v>
          </cell>
          <cell r="I28" t="str">
            <v>Telephone &amp; Internet</v>
          </cell>
        </row>
        <row r="29">
          <cell r="H29">
            <v>84.26</v>
          </cell>
          <cell r="I29" t="str">
            <v>Sundry expenses</v>
          </cell>
        </row>
        <row r="30">
          <cell r="H30">
            <v>414.5</v>
          </cell>
          <cell r="I30" t="str">
            <v>Travel, accommodation and subsistence</v>
          </cell>
        </row>
        <row r="31">
          <cell r="H31">
            <v>53.81</v>
          </cell>
          <cell r="I31" t="str">
            <v>Travel, accommodation and subsistence</v>
          </cell>
        </row>
        <row r="32">
          <cell r="H32">
            <v>3.16</v>
          </cell>
          <cell r="I32" t="str">
            <v>Travel, accommodation and subsistence</v>
          </cell>
        </row>
        <row r="33">
          <cell r="H33">
            <v>2.2400000000000002</v>
          </cell>
          <cell r="I33" t="str">
            <v>Travel, accommodation and subsistence</v>
          </cell>
        </row>
        <row r="34">
          <cell r="H34">
            <v>212</v>
          </cell>
          <cell r="I34" t="str">
            <v>Travel, accommodation and subsistence</v>
          </cell>
        </row>
        <row r="35">
          <cell r="H35">
            <v>20.8</v>
          </cell>
          <cell r="I35" t="str">
            <v>Travel, accommodation and subsistence</v>
          </cell>
        </row>
        <row r="36">
          <cell r="H36">
            <v>3.26</v>
          </cell>
          <cell r="I36" t="str">
            <v>Travel, accommodation and subsistence</v>
          </cell>
        </row>
        <row r="37">
          <cell r="H37">
            <v>2.33</v>
          </cell>
          <cell r="I37" t="str">
            <v>Travel, accommodation and subsistence</v>
          </cell>
        </row>
        <row r="38">
          <cell r="H38">
            <v>33.96</v>
          </cell>
          <cell r="I38" t="str">
            <v>Travel, accommodation and subsistence</v>
          </cell>
        </row>
        <row r="39">
          <cell r="H39">
            <v>74.430000000000007</v>
          </cell>
          <cell r="I39" t="str">
            <v>Travel, accommodation and subsistence</v>
          </cell>
        </row>
        <row r="40">
          <cell r="H40">
            <v>7.07</v>
          </cell>
          <cell r="I40" t="str">
            <v>Travel, accommodation and subsistence</v>
          </cell>
        </row>
        <row r="41">
          <cell r="H41">
            <v>36.75</v>
          </cell>
          <cell r="I41" t="str">
            <v>Travel, accommodation and subsistence</v>
          </cell>
        </row>
        <row r="42">
          <cell r="H42">
            <v>129.79</v>
          </cell>
          <cell r="I42" t="str">
            <v>Travel, accommodation and subsistence</v>
          </cell>
        </row>
        <row r="43">
          <cell r="H43">
            <v>2.14</v>
          </cell>
          <cell r="I43" t="str">
            <v>Travel, accommodation and subsistence</v>
          </cell>
        </row>
        <row r="44">
          <cell r="H44">
            <v>2.33</v>
          </cell>
          <cell r="I44" t="str">
            <v>Travel, accommodation and subsistence</v>
          </cell>
        </row>
        <row r="45">
          <cell r="H45">
            <v>21.52</v>
          </cell>
          <cell r="I45" t="str">
            <v>Travel, accommodation and subsistence</v>
          </cell>
        </row>
        <row r="46">
          <cell r="H46">
            <v>1.99</v>
          </cell>
          <cell r="I46" t="str">
            <v>Travel, accommodation and subsistence</v>
          </cell>
        </row>
        <row r="47">
          <cell r="F47">
            <v>2333.8699999999994</v>
          </cell>
          <cell r="G47">
            <v>25.84</v>
          </cell>
        </row>
      </sheetData>
      <sheetData sheetId="37" refreshError="1">
        <row r="7">
          <cell r="H7">
            <v>191.56</v>
          </cell>
          <cell r="I7" t="str">
            <v>Travel, accommodation and subsistence</v>
          </cell>
        </row>
        <row r="8">
          <cell r="H8">
            <v>132.56</v>
          </cell>
          <cell r="I8" t="str">
            <v>Travel, accommodation and subsistence</v>
          </cell>
        </row>
        <row r="9">
          <cell r="H9">
            <v>145.9</v>
          </cell>
          <cell r="I9" t="str">
            <v>Travel, accommodation and subsistence</v>
          </cell>
        </row>
        <row r="10">
          <cell r="H10">
            <v>54.34</v>
          </cell>
          <cell r="I10" t="str">
            <v>Travel, accommodation and subsistence</v>
          </cell>
        </row>
        <row r="11">
          <cell r="H11">
            <v>389.05</v>
          </cell>
          <cell r="I11" t="str">
            <v>Travel, accommodation and subsistence</v>
          </cell>
        </row>
        <row r="12">
          <cell r="H12">
            <v>61.28</v>
          </cell>
          <cell r="I12" t="str">
            <v>Travel, accommodation and subsistence</v>
          </cell>
        </row>
        <row r="13">
          <cell r="H13">
            <v>31.6</v>
          </cell>
          <cell r="I13" t="str">
            <v>Motor Travel</v>
          </cell>
        </row>
        <row r="14">
          <cell r="H14">
            <v>18.709999999999997</v>
          </cell>
          <cell r="I14" t="str">
            <v>Telephone &amp; Internet</v>
          </cell>
        </row>
        <row r="15">
          <cell r="H15">
            <v>144.9</v>
          </cell>
          <cell r="I15" t="str">
            <v>Travel, accommodation and subsistence</v>
          </cell>
        </row>
        <row r="16">
          <cell r="H16">
            <v>2.2400000000000002</v>
          </cell>
          <cell r="I16" t="str">
            <v>Travel, accommodation and subsistence</v>
          </cell>
        </row>
        <row r="17">
          <cell r="H17">
            <v>11.94</v>
          </cell>
          <cell r="I17" t="str">
            <v>Travel, accommodation and subsistence</v>
          </cell>
        </row>
        <row r="18">
          <cell r="H18">
            <v>27.17</v>
          </cell>
          <cell r="I18" t="str">
            <v>Travel, accommodation and subsistence</v>
          </cell>
        </row>
        <row r="19">
          <cell r="H19">
            <v>3.98</v>
          </cell>
          <cell r="I19" t="str">
            <v>Travel, accommodation and subsistence</v>
          </cell>
        </row>
        <row r="20">
          <cell r="H20">
            <v>14.49</v>
          </cell>
          <cell r="I20" t="str">
            <v>Travel, accommodation and subsistence</v>
          </cell>
        </row>
        <row r="21">
          <cell r="H21">
            <v>4.16</v>
          </cell>
          <cell r="I21" t="str">
            <v>Travel, accommodation and subsistence</v>
          </cell>
        </row>
        <row r="22">
          <cell r="H22">
            <v>86.94</v>
          </cell>
          <cell r="I22" t="str">
            <v>Entertaining</v>
          </cell>
        </row>
        <row r="23">
          <cell r="H23">
            <v>427.66</v>
          </cell>
          <cell r="I23" t="str">
            <v>Travel, accommodation and subsistence</v>
          </cell>
        </row>
        <row r="24">
          <cell r="H24">
            <v>13.04</v>
          </cell>
          <cell r="I24" t="str">
            <v>Travel, accommodation and subsistence</v>
          </cell>
        </row>
        <row r="25">
          <cell r="H25">
            <v>76.599999999999994</v>
          </cell>
          <cell r="I25" t="str">
            <v>Travel, accommodation and subsistence</v>
          </cell>
        </row>
        <row r="26">
          <cell r="H26">
            <v>32.799999999999997</v>
          </cell>
          <cell r="I26" t="str">
            <v>Motor Travel</v>
          </cell>
        </row>
        <row r="27">
          <cell r="H27">
            <v>354.1</v>
          </cell>
          <cell r="I27" t="str">
            <v>Travel, accommodation and subsistence</v>
          </cell>
        </row>
        <row r="28">
          <cell r="H28">
            <v>12.48</v>
          </cell>
          <cell r="I28" t="str">
            <v>Travel, accommodation and subsistence</v>
          </cell>
        </row>
        <row r="29">
          <cell r="H29">
            <v>4.8099999999999996</v>
          </cell>
          <cell r="I29" t="str">
            <v>Travel, accommodation and subsistence</v>
          </cell>
        </row>
        <row r="30">
          <cell r="H30">
            <v>0.99</v>
          </cell>
          <cell r="I30" t="str">
            <v>Travel, accommodation and subsistence</v>
          </cell>
        </row>
        <row r="31">
          <cell r="H31">
            <v>11</v>
          </cell>
          <cell r="I31" t="str">
            <v>Travel, accommodation and subsistence</v>
          </cell>
        </row>
        <row r="32">
          <cell r="H32">
            <v>110.09</v>
          </cell>
          <cell r="I32" t="str">
            <v>Entertaining</v>
          </cell>
        </row>
        <row r="33">
          <cell r="H33">
            <v>323.3</v>
          </cell>
          <cell r="I33" t="str">
            <v>Travel, accommodation and subsistence</v>
          </cell>
        </row>
        <row r="34">
          <cell r="H34">
            <v>11.74</v>
          </cell>
          <cell r="I34" t="str">
            <v>Travel, accommodation and subsistence</v>
          </cell>
        </row>
        <row r="35">
          <cell r="H35">
            <v>57.87</v>
          </cell>
          <cell r="I35" t="str">
            <v>Travel, accommodation and subsistence</v>
          </cell>
        </row>
        <row r="36">
          <cell r="H36">
            <v>52.8</v>
          </cell>
          <cell r="I36" t="str">
            <v>Motor Travel</v>
          </cell>
        </row>
        <row r="37">
          <cell r="H37">
            <v>210.59</v>
          </cell>
          <cell r="I37" t="str">
            <v>Travel, accommodation and subsistence</v>
          </cell>
        </row>
        <row r="38">
          <cell r="H38">
            <v>57.87</v>
          </cell>
          <cell r="I38" t="str">
            <v>Travel, accommodation and subsistence</v>
          </cell>
        </row>
        <row r="39">
          <cell r="H39">
            <v>53.2</v>
          </cell>
          <cell r="I39" t="str">
            <v>Motor Travel</v>
          </cell>
        </row>
        <row r="40">
          <cell r="H40">
            <v>151.69</v>
          </cell>
          <cell r="I40" t="str">
            <v>Telephone &amp; Internet</v>
          </cell>
        </row>
        <row r="41">
          <cell r="H41">
            <v>399.37</v>
          </cell>
          <cell r="I41" t="str">
            <v>Telephone &amp; Internet</v>
          </cell>
        </row>
        <row r="42">
          <cell r="H42">
            <v>0</v>
          </cell>
        </row>
        <row r="43">
          <cell r="H43">
            <v>0</v>
          </cell>
        </row>
        <row r="44">
          <cell r="H44">
            <v>0</v>
          </cell>
        </row>
        <row r="45">
          <cell r="H45">
            <v>0</v>
          </cell>
        </row>
        <row r="46">
          <cell r="H46">
            <v>0</v>
          </cell>
        </row>
        <row r="47">
          <cell r="F47">
            <v>3757.0200000000004</v>
          </cell>
          <cell r="G47">
            <v>74.2</v>
          </cell>
        </row>
      </sheetData>
      <sheetData sheetId="38" refreshError="1">
        <row r="7">
          <cell r="H7">
            <v>1.36</v>
          </cell>
          <cell r="I7" t="str">
            <v>Travel, accommodation and subsistence</v>
          </cell>
        </row>
        <row r="8">
          <cell r="H8">
            <v>147.88999999999999</v>
          </cell>
          <cell r="I8" t="str">
            <v>Entertaining</v>
          </cell>
        </row>
        <row r="9">
          <cell r="H9">
            <v>4.4400000000000004</v>
          </cell>
          <cell r="I9" t="str">
            <v>Travel, accommodation and subsistence</v>
          </cell>
        </row>
        <row r="10">
          <cell r="H10">
            <v>9.24</v>
          </cell>
          <cell r="I10" t="str">
            <v>Entertaining</v>
          </cell>
        </row>
        <row r="11">
          <cell r="H11">
            <v>6.49</v>
          </cell>
          <cell r="I11" t="str">
            <v>Entertaining</v>
          </cell>
        </row>
        <row r="12">
          <cell r="H12">
            <v>155.28</v>
          </cell>
          <cell r="I12" t="str">
            <v>Entertaining</v>
          </cell>
        </row>
        <row r="13">
          <cell r="H13">
            <v>5.18</v>
          </cell>
          <cell r="I13" t="str">
            <v>Travel, accommodation and subsistence</v>
          </cell>
        </row>
        <row r="14">
          <cell r="H14">
            <v>11.83</v>
          </cell>
          <cell r="I14" t="str">
            <v>Travel, accommodation and subsistence</v>
          </cell>
        </row>
        <row r="15">
          <cell r="H15">
            <v>68.03</v>
          </cell>
          <cell r="I15" t="str">
            <v>Entertaining</v>
          </cell>
        </row>
        <row r="16">
          <cell r="H16">
            <v>2.2200000000000002</v>
          </cell>
          <cell r="I16" t="str">
            <v>Travel, accommodation and subsistence</v>
          </cell>
        </row>
        <row r="17">
          <cell r="H17">
            <v>2.9</v>
          </cell>
          <cell r="I17" t="str">
            <v>Travel, accommodation and subsistence</v>
          </cell>
        </row>
        <row r="18">
          <cell r="H18">
            <v>3.97</v>
          </cell>
          <cell r="I18" t="str">
            <v>Entertaining</v>
          </cell>
        </row>
        <row r="19">
          <cell r="H19">
            <v>1315.14</v>
          </cell>
          <cell r="I19" t="str">
            <v>Travel, accommodation and subsistence</v>
          </cell>
        </row>
        <row r="20">
          <cell r="H20">
            <v>6.17</v>
          </cell>
          <cell r="I20" t="str">
            <v>Entertaining</v>
          </cell>
        </row>
        <row r="21">
          <cell r="H21">
            <v>56.58</v>
          </cell>
          <cell r="I21" t="str">
            <v>Travel, accommodation and subsistence</v>
          </cell>
        </row>
        <row r="22">
          <cell r="H22">
            <v>18.709999999999997</v>
          </cell>
          <cell r="I22" t="str">
            <v>Telephone &amp; Internet</v>
          </cell>
        </row>
        <row r="23">
          <cell r="H23">
            <v>10.620000000000001</v>
          </cell>
          <cell r="I23" t="str">
            <v>Printing, postage and stationery</v>
          </cell>
        </row>
        <row r="24">
          <cell r="H24">
            <v>33.799999999999997</v>
          </cell>
          <cell r="I24" t="str">
            <v>Printing, postage and stationery</v>
          </cell>
        </row>
        <row r="25">
          <cell r="H25">
            <v>3.36</v>
          </cell>
          <cell r="I25" t="str">
            <v>Printing, postage and stationery</v>
          </cell>
        </row>
        <row r="26">
          <cell r="H26">
            <v>7.8</v>
          </cell>
          <cell r="I26" t="str">
            <v>Travel, accommodation and subsistence</v>
          </cell>
        </row>
        <row r="27">
          <cell r="H27">
            <v>3.35</v>
          </cell>
          <cell r="I27" t="str">
            <v>Travel, accommodation and subsistence</v>
          </cell>
        </row>
        <row r="28">
          <cell r="H28">
            <v>80.86</v>
          </cell>
          <cell r="I28" t="str">
            <v>Entertaining</v>
          </cell>
        </row>
        <row r="29">
          <cell r="H29">
            <v>326.02999999999997</v>
          </cell>
          <cell r="I29" t="str">
            <v>Travel, accommodation and subsistence</v>
          </cell>
        </row>
        <row r="30">
          <cell r="H30">
            <v>61.28</v>
          </cell>
          <cell r="I30" t="str">
            <v>Travel, accommodation and subsistence</v>
          </cell>
        </row>
        <row r="31">
          <cell r="H31">
            <v>31.2</v>
          </cell>
          <cell r="I31" t="str">
            <v>Motor Travel</v>
          </cell>
        </row>
        <row r="32">
          <cell r="H32">
            <v>116.56</v>
          </cell>
          <cell r="I32" t="str">
            <v>Travel, accommodation and subsistence</v>
          </cell>
        </row>
        <row r="33">
          <cell r="H33">
            <v>107.56</v>
          </cell>
          <cell r="I33" t="str">
            <v>Travel, accommodation and subsistence</v>
          </cell>
        </row>
        <row r="34">
          <cell r="H34">
            <v>55.56</v>
          </cell>
          <cell r="I34" t="str">
            <v>Travel, accommodation and subsistence</v>
          </cell>
        </row>
        <row r="35">
          <cell r="H35">
            <v>4.21</v>
          </cell>
          <cell r="I35" t="str">
            <v>Travel, accommodation and subsistence</v>
          </cell>
        </row>
        <row r="36">
          <cell r="H36">
            <v>2.65</v>
          </cell>
          <cell r="I36" t="str">
            <v>Travel, accommodation and subsistence</v>
          </cell>
        </row>
        <row r="37">
          <cell r="H37">
            <v>3.14</v>
          </cell>
          <cell r="I37" t="str">
            <v>Travel, accommodation and subsistence</v>
          </cell>
        </row>
        <row r="38">
          <cell r="H38">
            <v>13.23</v>
          </cell>
          <cell r="I38" t="str">
            <v>Travel, accommodation and subsistence</v>
          </cell>
        </row>
        <row r="39">
          <cell r="H39">
            <v>2.41</v>
          </cell>
          <cell r="I39" t="str">
            <v>Travel, accommodation and subsistence</v>
          </cell>
        </row>
        <row r="40">
          <cell r="H40">
            <v>14.7</v>
          </cell>
          <cell r="I40" t="str">
            <v>Travel, accommodation and subsistence</v>
          </cell>
        </row>
        <row r="41">
          <cell r="H41">
            <v>33.08</v>
          </cell>
          <cell r="I41" t="str">
            <v>Travel, accommodation and subsistence</v>
          </cell>
        </row>
        <row r="42">
          <cell r="H42">
            <v>14.7</v>
          </cell>
          <cell r="I42" t="str">
            <v>Travel, accommodation and subsistence</v>
          </cell>
        </row>
        <row r="43">
          <cell r="H43">
            <v>4.3899999999999997</v>
          </cell>
          <cell r="I43" t="str">
            <v>Travel, accommodation and subsistence</v>
          </cell>
        </row>
        <row r="44">
          <cell r="H44">
            <v>33.450000000000003</v>
          </cell>
          <cell r="I44" t="str">
            <v>Travel, accommodation and subsistence</v>
          </cell>
        </row>
        <row r="45">
          <cell r="H45">
            <v>446.23</v>
          </cell>
          <cell r="I45" t="str">
            <v>Travel, accommodation and subsistence</v>
          </cell>
        </row>
        <row r="46">
          <cell r="H46">
            <v>12.5</v>
          </cell>
          <cell r="I46" t="str">
            <v>Travel, accommodation and subsistence</v>
          </cell>
        </row>
        <row r="47">
          <cell r="F47">
            <v>3260.1199999999985</v>
          </cell>
          <cell r="G47">
            <v>22.020000000000003</v>
          </cell>
        </row>
      </sheetData>
      <sheetData sheetId="39" refreshError="1">
        <row r="7">
          <cell r="H7">
            <v>101.56</v>
          </cell>
          <cell r="I7" t="str">
            <v>Travel, accommodation and subsistence</v>
          </cell>
        </row>
        <row r="8">
          <cell r="H8">
            <v>249.67</v>
          </cell>
          <cell r="I8" t="str">
            <v>Entertaining</v>
          </cell>
        </row>
        <row r="9">
          <cell r="H9">
            <v>7.6</v>
          </cell>
          <cell r="I9" t="str">
            <v>Travel, accommodation and subsistence</v>
          </cell>
        </row>
        <row r="10">
          <cell r="H10">
            <v>422.9</v>
          </cell>
          <cell r="I10" t="str">
            <v>Travel, accommodation and subsistence</v>
          </cell>
        </row>
        <row r="11">
          <cell r="H11">
            <v>13.22</v>
          </cell>
          <cell r="I11" t="str">
            <v>Travel, accommodation and subsistence</v>
          </cell>
        </row>
        <row r="12">
          <cell r="H12">
            <v>76.59</v>
          </cell>
          <cell r="I12" t="str">
            <v>Travel, accommodation and subsistence</v>
          </cell>
        </row>
        <row r="13">
          <cell r="H13">
            <v>32.799999999999997</v>
          </cell>
          <cell r="I13" t="str">
            <v>Motor Travel</v>
          </cell>
        </row>
        <row r="14">
          <cell r="H14">
            <v>37.56</v>
          </cell>
          <cell r="I14" t="str">
            <v>Travel, accommodation and subsistence</v>
          </cell>
        </row>
        <row r="15">
          <cell r="H15">
            <v>3.7</v>
          </cell>
          <cell r="I15" t="str">
            <v>Travel, accommodation and subsistence</v>
          </cell>
        </row>
        <row r="16">
          <cell r="H16">
            <v>13.77</v>
          </cell>
          <cell r="I16" t="str">
            <v>Travel, accommodation and subsistence</v>
          </cell>
        </row>
        <row r="17">
          <cell r="H17">
            <v>3.02</v>
          </cell>
          <cell r="I17" t="str">
            <v>Travel, accommodation and subsistence</v>
          </cell>
        </row>
        <row r="18">
          <cell r="H18">
            <v>13.77</v>
          </cell>
          <cell r="I18" t="str">
            <v>Travel, accommodation and subsistence</v>
          </cell>
        </row>
        <row r="19">
          <cell r="H19">
            <v>1.96</v>
          </cell>
          <cell r="I19" t="str">
            <v>Travel, accommodation and subsistence</v>
          </cell>
        </row>
        <row r="20">
          <cell r="H20">
            <v>374.25</v>
          </cell>
          <cell r="I20" t="str">
            <v>Travel, accommodation and subsistence</v>
          </cell>
        </row>
        <row r="21">
          <cell r="H21">
            <v>13.05</v>
          </cell>
          <cell r="I21" t="str">
            <v>Travel, accommodation and subsistence</v>
          </cell>
        </row>
        <row r="22">
          <cell r="H22">
            <v>5.94</v>
          </cell>
          <cell r="I22" t="str">
            <v>Travel, accommodation and subsistence</v>
          </cell>
        </row>
        <row r="23">
          <cell r="H23">
            <v>61.269999999999996</v>
          </cell>
          <cell r="I23" t="str">
            <v>Travel, accommodation and subsistence</v>
          </cell>
        </row>
        <row r="24">
          <cell r="H24">
            <v>32.4</v>
          </cell>
          <cell r="I24" t="str">
            <v>Motor Travel</v>
          </cell>
        </row>
        <row r="25">
          <cell r="H25">
            <v>18.709999999999997</v>
          </cell>
          <cell r="I25" t="str">
            <v>Telephone &amp; Internet</v>
          </cell>
        </row>
        <row r="26">
          <cell r="H26">
            <v>45.089999999999996</v>
          </cell>
          <cell r="I26" t="str">
            <v>Printing, postage and stationery</v>
          </cell>
        </row>
        <row r="27">
          <cell r="H27">
            <v>4.91</v>
          </cell>
          <cell r="I27" t="str">
            <v>Travel, accommodation and subsistence</v>
          </cell>
        </row>
        <row r="28">
          <cell r="H28">
            <v>76.099999999999994</v>
          </cell>
          <cell r="I28" t="str">
            <v>Entertaining</v>
          </cell>
        </row>
        <row r="29">
          <cell r="H29">
            <v>5.07</v>
          </cell>
          <cell r="I29" t="str">
            <v>Travel, accommodation and subsistence</v>
          </cell>
        </row>
        <row r="30">
          <cell r="H30">
            <v>2.23</v>
          </cell>
          <cell r="I30" t="str">
            <v>Travel, accommodation and subsistence</v>
          </cell>
        </row>
        <row r="31">
          <cell r="H31">
            <v>2.31</v>
          </cell>
          <cell r="I31" t="str">
            <v>Travel, accommodation and subsistence</v>
          </cell>
        </row>
        <row r="32">
          <cell r="H32">
            <v>13.05</v>
          </cell>
          <cell r="I32" t="str">
            <v>Travel, accommodation and subsistence</v>
          </cell>
        </row>
        <row r="33">
          <cell r="H33">
            <v>457.35</v>
          </cell>
          <cell r="I33" t="str">
            <v>Travel, accommodation and subsistence</v>
          </cell>
        </row>
        <row r="34">
          <cell r="H34">
            <v>12.32</v>
          </cell>
          <cell r="I34" t="str">
            <v>Travel, accommodation and subsistence</v>
          </cell>
        </row>
        <row r="35">
          <cell r="H35">
            <v>4.6399999999999997</v>
          </cell>
          <cell r="I35" t="str">
            <v>Travel, accommodation and subsistence</v>
          </cell>
        </row>
        <row r="36">
          <cell r="H36">
            <v>735.4</v>
          </cell>
          <cell r="I36" t="str">
            <v>Travel, accommodation and subsistence</v>
          </cell>
        </row>
        <row r="37">
          <cell r="H37">
            <v>735.4</v>
          </cell>
          <cell r="I37" t="str">
            <v>Travel, accommodation and subsistence</v>
          </cell>
        </row>
        <row r="38">
          <cell r="H38">
            <v>121.77</v>
          </cell>
          <cell r="I38" t="str">
            <v>Telephone &amp; Internet</v>
          </cell>
        </row>
        <row r="39">
          <cell r="H39">
            <v>0</v>
          </cell>
        </row>
        <row r="40">
          <cell r="H40">
            <v>0</v>
          </cell>
        </row>
        <row r="41">
          <cell r="H41">
            <v>0</v>
          </cell>
        </row>
        <row r="42">
          <cell r="H42">
            <v>0</v>
          </cell>
        </row>
        <row r="43">
          <cell r="H43">
            <v>0</v>
          </cell>
        </row>
        <row r="44">
          <cell r="H44">
            <v>0</v>
          </cell>
        </row>
        <row r="45">
          <cell r="H45">
            <v>0</v>
          </cell>
        </row>
        <row r="46">
          <cell r="H46">
            <v>0</v>
          </cell>
        </row>
        <row r="47">
          <cell r="F47">
            <v>3755.9900000000002</v>
          </cell>
          <cell r="G47">
            <v>56.61</v>
          </cell>
        </row>
      </sheetData>
      <sheetData sheetId="40" refreshError="1">
        <row r="73">
          <cell r="C73" t="str">
            <v>1 January 2004</v>
          </cell>
        </row>
        <row r="74">
          <cell r="C74" t="str">
            <v>1 February 2004</v>
          </cell>
        </row>
        <row r="75">
          <cell r="C75" t="str">
            <v>1 March 2004</v>
          </cell>
        </row>
        <row r="76">
          <cell r="C76" t="str">
            <v>1 April 2004</v>
          </cell>
        </row>
        <row r="77">
          <cell r="C77" t="str">
            <v>1 May 2004</v>
          </cell>
        </row>
        <row r="78">
          <cell r="C78" t="str">
            <v>1 June 2004</v>
          </cell>
        </row>
        <row r="79">
          <cell r="C79" t="str">
            <v>1 July 2004</v>
          </cell>
        </row>
        <row r="80">
          <cell r="C80" t="str">
            <v>1 August 2004</v>
          </cell>
        </row>
        <row r="81">
          <cell r="C81" t="str">
            <v>1 September 2004</v>
          </cell>
        </row>
        <row r="82">
          <cell r="C82" t="str">
            <v>1 October 2004</v>
          </cell>
        </row>
        <row r="83">
          <cell r="C83" t="str">
            <v>1 November 2004</v>
          </cell>
        </row>
        <row r="84">
          <cell r="C84" t="str">
            <v>1 December 2004</v>
          </cell>
        </row>
      </sheetData>
      <sheetData sheetId="41"/>
      <sheetData sheetId="42" refreshError="1">
        <row r="6">
          <cell r="E6">
            <v>12</v>
          </cell>
        </row>
      </sheetData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"/>
      <sheetName val="Introduction"/>
      <sheetName val="Instructions"/>
      <sheetName val="Company information"/>
      <sheetName val="BR1"/>
      <sheetName val="BR2"/>
      <sheetName val="BR3"/>
      <sheetName val="BR4"/>
      <sheetName val="BR5"/>
      <sheetName val="BR6"/>
      <sheetName val="BR7"/>
      <sheetName val="BR8"/>
      <sheetName val="BR9"/>
      <sheetName val="BR10"/>
      <sheetName val="BR11"/>
      <sheetName val="BR12"/>
      <sheetName val="BP1"/>
      <sheetName val="BP2"/>
      <sheetName val="BP3"/>
      <sheetName val="BP4"/>
      <sheetName val="BP5"/>
      <sheetName val="BP6"/>
      <sheetName val="BP7"/>
      <sheetName val="BP8"/>
      <sheetName val="BP9"/>
      <sheetName val="BP10"/>
      <sheetName val="BP11"/>
      <sheetName val="BP12"/>
      <sheetName val="PC1"/>
      <sheetName val="PC2"/>
      <sheetName val="PC3"/>
      <sheetName val="PC4"/>
      <sheetName val="PC5"/>
      <sheetName val="PC6"/>
      <sheetName val="PC7"/>
      <sheetName val="PC8"/>
      <sheetName val="PC9"/>
      <sheetName val="PC10"/>
      <sheetName val="PC11"/>
      <sheetName val="PC12"/>
      <sheetName val="Summary"/>
      <sheetName val="Bank summary"/>
      <sheetName val="VAT return"/>
      <sheetName val="IR35 Calc Instructions"/>
      <sheetName val="IR35 Calculator 2003 - 04"/>
    </sheetNames>
    <sheetDataSet>
      <sheetData sheetId="0" refreshError="1"/>
      <sheetData sheetId="1" refreshError="1"/>
      <sheetData sheetId="2" refreshError="1"/>
      <sheetData sheetId="3"/>
      <sheetData sheetId="4" refreshError="1">
        <row r="8">
          <cell r="E8" t="str">
            <v>Yes</v>
          </cell>
          <cell r="F8">
            <v>1299.55</v>
          </cell>
        </row>
        <row r="9">
          <cell r="E9" t="str">
            <v>Yes</v>
          </cell>
          <cell r="F9">
            <v>31.84</v>
          </cell>
        </row>
      </sheetData>
      <sheetData sheetId="5" refreshError="1">
        <row r="7">
          <cell r="E7" t="str">
            <v>Yes</v>
          </cell>
          <cell r="F7">
            <v>25.34</v>
          </cell>
        </row>
      </sheetData>
      <sheetData sheetId="6" refreshError="1">
        <row r="7">
          <cell r="E7" t="str">
            <v>Yes</v>
          </cell>
          <cell r="F7">
            <v>12.76</v>
          </cell>
        </row>
      </sheetData>
      <sheetData sheetId="7" refreshError="1">
        <row r="7">
          <cell r="E7" t="str">
            <v>Yes</v>
          </cell>
          <cell r="F7">
            <v>9.34</v>
          </cell>
        </row>
      </sheetData>
      <sheetData sheetId="8"/>
      <sheetData sheetId="9" refreshError="1">
        <row r="7">
          <cell r="E7" t="str">
            <v>Yes</v>
          </cell>
          <cell r="F7">
            <v>2941.85</v>
          </cell>
        </row>
        <row r="8">
          <cell r="E8" t="str">
            <v>Yes</v>
          </cell>
          <cell r="F8">
            <v>530.04999999999995</v>
          </cell>
        </row>
      </sheetData>
      <sheetData sheetId="10" refreshError="1">
        <row r="7">
          <cell r="E7" t="str">
            <v>Yes</v>
          </cell>
          <cell r="F7">
            <v>3059.94</v>
          </cell>
        </row>
        <row r="8">
          <cell r="E8" t="str">
            <v>Yes</v>
          </cell>
          <cell r="F8">
            <v>3663.3</v>
          </cell>
        </row>
        <row r="9">
          <cell r="E9" t="str">
            <v>Yes</v>
          </cell>
          <cell r="F9">
            <v>4.21</v>
          </cell>
        </row>
      </sheetData>
      <sheetData sheetId="11" refreshError="1">
        <row r="7">
          <cell r="E7" t="str">
            <v>Yes</v>
          </cell>
          <cell r="F7">
            <v>4800.46</v>
          </cell>
        </row>
        <row r="8">
          <cell r="E8" t="str">
            <v>Yes</v>
          </cell>
          <cell r="F8">
            <v>3036.79</v>
          </cell>
        </row>
        <row r="9">
          <cell r="E9" t="str">
            <v>Yes</v>
          </cell>
          <cell r="F9">
            <v>146.88</v>
          </cell>
        </row>
        <row r="10">
          <cell r="E10" t="str">
            <v>Yes</v>
          </cell>
          <cell r="F10">
            <v>17.95</v>
          </cell>
        </row>
      </sheetData>
      <sheetData sheetId="12" refreshError="1">
        <row r="7">
          <cell r="E7" t="str">
            <v>Yes</v>
          </cell>
          <cell r="F7">
            <v>2958.65</v>
          </cell>
        </row>
        <row r="8">
          <cell r="E8" t="str">
            <v>Yes</v>
          </cell>
          <cell r="F8">
            <v>3057.31</v>
          </cell>
        </row>
        <row r="9">
          <cell r="E9" t="str">
            <v>Yes</v>
          </cell>
          <cell r="F9">
            <v>37.130000000000003</v>
          </cell>
        </row>
      </sheetData>
      <sheetData sheetId="13" refreshError="1">
        <row r="7">
          <cell r="E7" t="str">
            <v>Yes</v>
          </cell>
          <cell r="F7">
            <v>1597.3</v>
          </cell>
        </row>
        <row r="8">
          <cell r="E8" t="str">
            <v>Yes</v>
          </cell>
          <cell r="F8">
            <v>8225</v>
          </cell>
        </row>
        <row r="9">
          <cell r="E9" t="str">
            <v>Yes</v>
          </cell>
          <cell r="F9">
            <v>3489.63</v>
          </cell>
        </row>
        <row r="10">
          <cell r="E10" t="str">
            <v>Yes</v>
          </cell>
          <cell r="F10">
            <v>64.069999999999993</v>
          </cell>
        </row>
      </sheetData>
      <sheetData sheetId="14" refreshError="1">
        <row r="7">
          <cell r="E7" t="str">
            <v>Yes</v>
          </cell>
          <cell r="F7">
            <v>3.38</v>
          </cell>
        </row>
        <row r="8">
          <cell r="E8" t="str">
            <v>Yes</v>
          </cell>
          <cell r="F8">
            <v>881.25</v>
          </cell>
        </row>
        <row r="9">
          <cell r="E9" t="str">
            <v>Yes</v>
          </cell>
          <cell r="F9">
            <v>5291.26</v>
          </cell>
        </row>
        <row r="10">
          <cell r="E10" t="str">
            <v>Yes</v>
          </cell>
          <cell r="F10">
            <v>3435</v>
          </cell>
        </row>
        <row r="11">
          <cell r="E11" t="str">
            <v>Yes</v>
          </cell>
          <cell r="F11">
            <v>67.599999999999994</v>
          </cell>
        </row>
      </sheetData>
      <sheetData sheetId="15" refreshError="1">
        <row r="7">
          <cell r="E7" t="str">
            <v>Yes</v>
          </cell>
          <cell r="F7">
            <v>3092.6</v>
          </cell>
        </row>
        <row r="8">
          <cell r="E8" t="str">
            <v>Yes</v>
          </cell>
          <cell r="F8">
            <v>4168.78</v>
          </cell>
        </row>
        <row r="9">
          <cell r="E9" t="str">
            <v>Yes</v>
          </cell>
          <cell r="F9">
            <v>1365.84</v>
          </cell>
        </row>
        <row r="10">
          <cell r="E10" t="str">
            <v>Yes</v>
          </cell>
          <cell r="F10">
            <v>41.71</v>
          </cell>
        </row>
      </sheetData>
      <sheetData sheetId="16" refreshError="1">
        <row r="7">
          <cell r="E7" t="str">
            <v>Yes</v>
          </cell>
          <cell r="F7">
            <v>40.200000000000003</v>
          </cell>
        </row>
        <row r="8">
          <cell r="E8" t="str">
            <v>Yes</v>
          </cell>
          <cell r="F8">
            <v>38.49</v>
          </cell>
        </row>
        <row r="9">
          <cell r="E9" t="str">
            <v>Yes</v>
          </cell>
          <cell r="F9">
            <v>145.4</v>
          </cell>
        </row>
        <row r="10">
          <cell r="E10" t="str">
            <v>Yes</v>
          </cell>
          <cell r="F10">
            <v>1000</v>
          </cell>
        </row>
      </sheetData>
      <sheetData sheetId="17" refreshError="1">
        <row r="7">
          <cell r="E7" t="str">
            <v>yes</v>
          </cell>
          <cell r="F7">
            <v>1315.5</v>
          </cell>
        </row>
        <row r="8">
          <cell r="E8" t="str">
            <v>Yes</v>
          </cell>
          <cell r="F8">
            <v>6.4</v>
          </cell>
        </row>
        <row r="9">
          <cell r="E9" t="str">
            <v>Yes</v>
          </cell>
          <cell r="F9">
            <v>925.95</v>
          </cell>
        </row>
        <row r="10">
          <cell r="E10" t="str">
            <v>Yes</v>
          </cell>
          <cell r="F10">
            <v>36.840000000000003</v>
          </cell>
        </row>
        <row r="11">
          <cell r="E11" t="str">
            <v>Yes</v>
          </cell>
          <cell r="F11">
            <v>822.29</v>
          </cell>
        </row>
        <row r="12">
          <cell r="E12" t="str">
            <v>Yes</v>
          </cell>
          <cell r="F12">
            <v>38.49</v>
          </cell>
        </row>
        <row r="13">
          <cell r="E13" t="str">
            <v>Yes</v>
          </cell>
          <cell r="F13">
            <v>139.53</v>
          </cell>
        </row>
        <row r="14">
          <cell r="E14" t="str">
            <v>Yes</v>
          </cell>
          <cell r="F14">
            <v>1000</v>
          </cell>
        </row>
      </sheetData>
      <sheetData sheetId="18" refreshError="1">
        <row r="7">
          <cell r="E7" t="str">
            <v>Yes</v>
          </cell>
          <cell r="F7">
            <v>27.08</v>
          </cell>
        </row>
        <row r="8">
          <cell r="E8" t="str">
            <v>Yes</v>
          </cell>
          <cell r="F8">
            <v>633.05999999999995</v>
          </cell>
        </row>
        <row r="9">
          <cell r="E9" t="str">
            <v>Yes</v>
          </cell>
          <cell r="F9">
            <v>731.32</v>
          </cell>
        </row>
        <row r="10">
          <cell r="E10" t="str">
            <v>Yes</v>
          </cell>
          <cell r="F10">
            <v>35.479999999999997</v>
          </cell>
        </row>
        <row r="11">
          <cell r="E11" t="str">
            <v>Yes</v>
          </cell>
          <cell r="F11">
            <v>139.53</v>
          </cell>
        </row>
        <row r="12">
          <cell r="E12" t="str">
            <v>Yes</v>
          </cell>
          <cell r="F12">
            <v>481.75</v>
          </cell>
        </row>
        <row r="13">
          <cell r="E13" t="str">
            <v>Yes</v>
          </cell>
          <cell r="F13">
            <v>1000</v>
          </cell>
        </row>
        <row r="14">
          <cell r="E14" t="str">
            <v>Yes</v>
          </cell>
          <cell r="F14">
            <v>116.33</v>
          </cell>
        </row>
      </sheetData>
      <sheetData sheetId="19" refreshError="1">
        <row r="7">
          <cell r="E7" t="str">
            <v>Yes</v>
          </cell>
          <cell r="F7">
            <v>40.659999999999997</v>
          </cell>
        </row>
        <row r="8">
          <cell r="E8" t="str">
            <v>Yes</v>
          </cell>
          <cell r="F8">
            <v>388.44</v>
          </cell>
        </row>
        <row r="9">
          <cell r="E9" t="str">
            <v>Yes</v>
          </cell>
          <cell r="F9">
            <v>35.479999999999997</v>
          </cell>
        </row>
        <row r="10">
          <cell r="E10" t="str">
            <v>Yes</v>
          </cell>
          <cell r="F10">
            <v>139.53</v>
          </cell>
        </row>
        <row r="11">
          <cell r="E11" t="str">
            <v>Yes</v>
          </cell>
          <cell r="F11">
            <v>708.62</v>
          </cell>
        </row>
        <row r="12">
          <cell r="E12" t="str">
            <v>Yes</v>
          </cell>
          <cell r="F12">
            <v>1000</v>
          </cell>
        </row>
      </sheetData>
      <sheetData sheetId="20" refreshError="1">
        <row r="7">
          <cell r="E7" t="str">
            <v>Yes</v>
          </cell>
          <cell r="F7">
            <v>39.729999999999997</v>
          </cell>
        </row>
        <row r="8">
          <cell r="E8" t="str">
            <v>Yes</v>
          </cell>
          <cell r="F8">
            <v>569.29</v>
          </cell>
        </row>
        <row r="9">
          <cell r="E9" t="str">
            <v>Yes</v>
          </cell>
          <cell r="F9">
            <v>35.6</v>
          </cell>
        </row>
        <row r="10">
          <cell r="E10" t="str">
            <v>Yes</v>
          </cell>
          <cell r="F10">
            <v>139.53</v>
          </cell>
        </row>
        <row r="11">
          <cell r="E11" t="str">
            <v>Yes</v>
          </cell>
          <cell r="F11">
            <v>1000</v>
          </cell>
        </row>
      </sheetData>
      <sheetData sheetId="21" refreshError="1">
        <row r="7">
          <cell r="E7" t="str">
            <v>Yes</v>
          </cell>
          <cell r="F7">
            <v>30.53</v>
          </cell>
        </row>
        <row r="8">
          <cell r="E8" t="str">
            <v>Yes</v>
          </cell>
          <cell r="F8">
            <v>1422.68</v>
          </cell>
        </row>
        <row r="9">
          <cell r="E9" t="str">
            <v>Yes</v>
          </cell>
          <cell r="F9">
            <v>533</v>
          </cell>
        </row>
        <row r="10">
          <cell r="E10" t="str">
            <v>Yes</v>
          </cell>
          <cell r="F10">
            <v>35.479999999999997</v>
          </cell>
        </row>
        <row r="11">
          <cell r="E11" t="str">
            <v>Yes</v>
          </cell>
          <cell r="F11">
            <v>139.53</v>
          </cell>
        </row>
        <row r="12">
          <cell r="E12" t="str">
            <v>Yes</v>
          </cell>
          <cell r="F12">
            <v>1000</v>
          </cell>
        </row>
      </sheetData>
      <sheetData sheetId="22" refreshError="1">
        <row r="7">
          <cell r="E7" t="str">
            <v>Yes</v>
          </cell>
          <cell r="F7">
            <v>39.78</v>
          </cell>
        </row>
        <row r="8">
          <cell r="E8" t="str">
            <v>Yes</v>
          </cell>
          <cell r="F8">
            <v>441.67</v>
          </cell>
        </row>
        <row r="9">
          <cell r="E9" t="str">
            <v>Yes</v>
          </cell>
          <cell r="F9">
            <v>35.479999999999997</v>
          </cell>
        </row>
        <row r="10">
          <cell r="E10" t="str">
            <v>Yes</v>
          </cell>
          <cell r="F10">
            <v>433.99</v>
          </cell>
        </row>
        <row r="11">
          <cell r="E11" t="str">
            <v>Yes</v>
          </cell>
          <cell r="F11">
            <v>1000</v>
          </cell>
        </row>
        <row r="12">
          <cell r="E12" t="str">
            <v>yes</v>
          </cell>
          <cell r="F12">
            <v>139.53</v>
          </cell>
        </row>
      </sheetData>
      <sheetData sheetId="23" refreshError="1">
        <row r="7">
          <cell r="E7" t="str">
            <v>Yes</v>
          </cell>
          <cell r="F7">
            <v>3.2</v>
          </cell>
        </row>
        <row r="8">
          <cell r="E8" t="str">
            <v>Yes</v>
          </cell>
          <cell r="F8">
            <v>333</v>
          </cell>
        </row>
        <row r="9">
          <cell r="E9" t="str">
            <v>Yes</v>
          </cell>
          <cell r="F9">
            <v>35.479999999999997</v>
          </cell>
        </row>
        <row r="10">
          <cell r="E10" t="str">
            <v>Yes</v>
          </cell>
          <cell r="F10">
            <v>139.53</v>
          </cell>
        </row>
        <row r="11">
          <cell r="E11" t="str">
            <v>Yes</v>
          </cell>
          <cell r="F11">
            <v>1000</v>
          </cell>
        </row>
      </sheetData>
      <sheetData sheetId="24" refreshError="1">
        <row r="7">
          <cell r="E7" t="str">
            <v>Yes</v>
          </cell>
          <cell r="F7">
            <v>152</v>
          </cell>
        </row>
        <row r="8">
          <cell r="E8" t="str">
            <v>Yes</v>
          </cell>
          <cell r="F8">
            <v>36.17</v>
          </cell>
        </row>
        <row r="9">
          <cell r="E9" t="str">
            <v>Yes</v>
          </cell>
          <cell r="F9">
            <v>1771.06</v>
          </cell>
        </row>
        <row r="10">
          <cell r="E10" t="str">
            <v>Yes</v>
          </cell>
          <cell r="F10">
            <v>750.69</v>
          </cell>
        </row>
        <row r="11">
          <cell r="E11" t="str">
            <v>Yes</v>
          </cell>
          <cell r="F11">
            <v>32.549999999999997</v>
          </cell>
        </row>
        <row r="12">
          <cell r="E12" t="str">
            <v>Yes</v>
          </cell>
          <cell r="F12">
            <v>1612.37</v>
          </cell>
        </row>
        <row r="13">
          <cell r="E13" t="str">
            <v>Yes</v>
          </cell>
          <cell r="F13">
            <v>35.479999999999997</v>
          </cell>
        </row>
        <row r="14">
          <cell r="E14" t="str">
            <v>Yes</v>
          </cell>
          <cell r="F14">
            <v>139.53</v>
          </cell>
        </row>
        <row r="15">
          <cell r="E15" t="str">
            <v>Yes</v>
          </cell>
          <cell r="F15">
            <v>1000</v>
          </cell>
        </row>
      </sheetData>
      <sheetData sheetId="25" refreshError="1">
        <row r="7">
          <cell r="E7" t="str">
            <v>Yes</v>
          </cell>
          <cell r="F7">
            <v>46.93</v>
          </cell>
        </row>
        <row r="8">
          <cell r="E8" t="str">
            <v>Yes</v>
          </cell>
          <cell r="F8">
            <v>716.05</v>
          </cell>
        </row>
        <row r="9">
          <cell r="E9" t="str">
            <v>Yes</v>
          </cell>
          <cell r="F9">
            <v>95</v>
          </cell>
        </row>
        <row r="10">
          <cell r="E10" t="str">
            <v>Yes</v>
          </cell>
          <cell r="F10">
            <v>35.479999999999997</v>
          </cell>
        </row>
        <row r="11">
          <cell r="E11" t="str">
            <v>Yes</v>
          </cell>
          <cell r="F11">
            <v>139.53</v>
          </cell>
        </row>
        <row r="12">
          <cell r="E12" t="str">
            <v>Yes</v>
          </cell>
          <cell r="F12">
            <v>2572</v>
          </cell>
        </row>
        <row r="13">
          <cell r="E13" t="str">
            <v>Yes</v>
          </cell>
          <cell r="F13">
            <v>1000</v>
          </cell>
        </row>
      </sheetData>
      <sheetData sheetId="26" refreshError="1">
        <row r="7">
          <cell r="E7" t="str">
            <v>Yes</v>
          </cell>
          <cell r="F7">
            <v>132.18</v>
          </cell>
        </row>
        <row r="8">
          <cell r="E8" t="str">
            <v>Yes</v>
          </cell>
          <cell r="F8">
            <v>1279.5</v>
          </cell>
        </row>
        <row r="9">
          <cell r="E9" t="str">
            <v>Yes</v>
          </cell>
          <cell r="F9">
            <v>49.13</v>
          </cell>
        </row>
        <row r="10">
          <cell r="E10" t="str">
            <v>Yes</v>
          </cell>
          <cell r="F10">
            <v>35.6</v>
          </cell>
        </row>
        <row r="11">
          <cell r="E11" t="str">
            <v>Yes</v>
          </cell>
          <cell r="F11">
            <v>139.53</v>
          </cell>
        </row>
        <row r="12">
          <cell r="E12" t="str">
            <v>Yes</v>
          </cell>
          <cell r="F12">
            <v>1000</v>
          </cell>
        </row>
      </sheetData>
      <sheetData sheetId="27" refreshError="1">
        <row r="7">
          <cell r="E7" t="str">
            <v>Yes</v>
          </cell>
          <cell r="F7">
            <v>10000</v>
          </cell>
        </row>
        <row r="8">
          <cell r="E8" t="str">
            <v>Yes</v>
          </cell>
          <cell r="F8">
            <v>1771.06</v>
          </cell>
        </row>
        <row r="9">
          <cell r="E9" t="str">
            <v>Yes</v>
          </cell>
          <cell r="F9">
            <v>1767.81</v>
          </cell>
        </row>
        <row r="10">
          <cell r="E10" t="str">
            <v>Yes</v>
          </cell>
          <cell r="F10">
            <v>51.24</v>
          </cell>
        </row>
        <row r="11">
          <cell r="E11" t="str">
            <v>Yes</v>
          </cell>
          <cell r="F11">
            <v>70</v>
          </cell>
        </row>
        <row r="12">
          <cell r="E12" t="str">
            <v>Yes</v>
          </cell>
          <cell r="F12">
            <v>10000</v>
          </cell>
        </row>
        <row r="13">
          <cell r="E13" t="str">
            <v>Yes</v>
          </cell>
          <cell r="F13">
            <v>413.62</v>
          </cell>
        </row>
        <row r="14">
          <cell r="E14" t="str">
            <v>Yes</v>
          </cell>
          <cell r="F14">
            <v>35.479999999999997</v>
          </cell>
        </row>
        <row r="15">
          <cell r="E15" t="str">
            <v>Yes</v>
          </cell>
          <cell r="F15">
            <v>37.6</v>
          </cell>
        </row>
        <row r="16">
          <cell r="E16" t="str">
            <v>Yes</v>
          </cell>
          <cell r="F16">
            <v>139.53</v>
          </cell>
        </row>
        <row r="17">
          <cell r="E17" t="str">
            <v>Yes</v>
          </cell>
          <cell r="F17">
            <v>1000</v>
          </cell>
        </row>
        <row r="18">
          <cell r="E18" t="str">
            <v>No</v>
          </cell>
          <cell r="F18">
            <v>303.20999999999998</v>
          </cell>
        </row>
        <row r="19">
          <cell r="E19" t="str">
            <v>No</v>
          </cell>
          <cell r="F19">
            <v>3943.25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/>
      <sheetData sheetId="43" refreshError="1"/>
      <sheetData sheetId="4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Index"/>
      <sheetName val="Key Performance Indicators"/>
      <sheetName val="Profit &amp; loss account"/>
      <sheetName val="Balance sheet"/>
      <sheetName val="Fixed assets"/>
      <sheetName val="Cash at Bank"/>
      <sheetName val="HSBC Current Account xxxxx"/>
      <sheetName val="HSBC Warranty Account"/>
      <sheetName val="HSBC credit card"/>
      <sheetName val=" Debtors"/>
      <sheetName val="Stock"/>
      <sheetName val="Other Debtors"/>
      <sheetName val="Prepayments"/>
      <sheetName val="Creditors"/>
      <sheetName val="Other Creditors"/>
      <sheetName val="Accrual"/>
      <sheetName val="VAT"/>
      <sheetName val="VAT Summary"/>
      <sheetName val="Directors Loan"/>
      <sheetName val="Loan Account"/>
      <sheetName val="Net Wages"/>
      <sheetName val="PAY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0">
          <cell r="E20">
            <v>94284.75</v>
          </cell>
        </row>
      </sheetData>
      <sheetData sheetId="7" refreshError="1"/>
      <sheetData sheetId="8" refreshError="1"/>
      <sheetData sheetId="9" refreshError="1"/>
      <sheetData sheetId="10" refreshError="1">
        <row r="14">
          <cell r="E14">
            <v>138968.76</v>
          </cell>
        </row>
      </sheetData>
      <sheetData sheetId="11" refreshError="1">
        <row r="12">
          <cell r="E12">
            <v>588995.72</v>
          </cell>
        </row>
      </sheetData>
      <sheetData sheetId="12" refreshError="1">
        <row r="12">
          <cell r="F12">
            <v>57500</v>
          </cell>
        </row>
      </sheetData>
      <sheetData sheetId="13" refreshError="1">
        <row r="41">
          <cell r="N41">
            <v>44807.025567662939</v>
          </cell>
        </row>
      </sheetData>
      <sheetData sheetId="14" refreshError="1">
        <row r="12">
          <cell r="D12">
            <v>220235.92</v>
          </cell>
        </row>
      </sheetData>
      <sheetData sheetId="15" refreshError="1">
        <row r="18">
          <cell r="F18">
            <v>325989.18</v>
          </cell>
        </row>
      </sheetData>
      <sheetData sheetId="16" refreshError="1">
        <row r="32">
          <cell r="M32">
            <v>30961.230000000003</v>
          </cell>
        </row>
      </sheetData>
      <sheetData sheetId="17" refreshError="1">
        <row r="22">
          <cell r="C22">
            <v>23720.539999999994</v>
          </cell>
        </row>
      </sheetData>
      <sheetData sheetId="18" refreshError="1"/>
      <sheetData sheetId="19" refreshError="1">
        <row r="15">
          <cell r="D15">
            <v>36461.859999999928</v>
          </cell>
        </row>
      </sheetData>
      <sheetData sheetId="20" refreshError="1">
        <row r="24">
          <cell r="R24">
            <v>87651.629999999976</v>
          </cell>
        </row>
      </sheetData>
      <sheetData sheetId="21" refreshError="1">
        <row r="18">
          <cell r="E18">
            <v>12515.539999999979</v>
          </cell>
        </row>
      </sheetData>
      <sheetData sheetId="22" refreshError="1">
        <row r="16">
          <cell r="E16">
            <v>5376.2799999999952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ADD49-6CB0-4525-97C3-E459C6F1816B}">
  <dimension ref="B4:K50"/>
  <sheetViews>
    <sheetView tabSelected="1" workbookViewId="0"/>
  </sheetViews>
  <sheetFormatPr defaultColWidth="9.109375" defaultRowHeight="12.6" x14ac:dyDescent="0.2"/>
  <cols>
    <col min="1" max="1" width="4.5546875" style="30" customWidth="1"/>
    <col min="2" max="2" width="40.88671875" style="4" customWidth="1"/>
    <col min="3" max="3" width="18.6640625" style="2" bestFit="1" customWidth="1"/>
    <col min="4" max="4" width="4.33203125" style="2" customWidth="1"/>
    <col min="5" max="5" width="18.6640625" style="31" bestFit="1" customWidth="1"/>
    <col min="6" max="6" width="4.33203125" style="2" customWidth="1"/>
    <col min="7" max="7" width="18.6640625" style="31" bestFit="1" customWidth="1"/>
    <col min="8" max="8" width="7.5546875" style="31" customWidth="1"/>
    <col min="9" max="9" width="14.5546875" style="29" bestFit="1" customWidth="1"/>
    <col min="10" max="10" width="16.44140625" style="30" bestFit="1" customWidth="1"/>
    <col min="11" max="11" width="11.33203125" style="30" bestFit="1" customWidth="1"/>
    <col min="12" max="250" width="9.109375" style="30"/>
    <col min="251" max="251" width="4.5546875" style="30" customWidth="1"/>
    <col min="252" max="252" width="37.6640625" style="30" customWidth="1"/>
    <col min="253" max="253" width="0" style="30" hidden="1" customWidth="1"/>
    <col min="254" max="254" width="1.6640625" style="30" customWidth="1"/>
    <col min="255" max="256" width="16.5546875" style="30" customWidth="1"/>
    <col min="257" max="257" width="16.88671875" style="30" customWidth="1"/>
    <col min="258" max="260" width="16.5546875" style="30" customWidth="1"/>
    <col min="261" max="262" width="18.6640625" style="30" bestFit="1" customWidth="1"/>
    <col min="263" max="263" width="7.5546875" style="30" customWidth="1"/>
    <col min="264" max="264" width="15.44140625" style="30" bestFit="1" customWidth="1"/>
    <col min="265" max="265" width="14.5546875" style="30" bestFit="1" customWidth="1"/>
    <col min="266" max="266" width="16.44140625" style="30" bestFit="1" customWidth="1"/>
    <col min="267" max="267" width="11.33203125" style="30" bestFit="1" customWidth="1"/>
    <col min="268" max="506" width="9.109375" style="30"/>
    <col min="507" max="507" width="4.5546875" style="30" customWidth="1"/>
    <col min="508" max="508" width="37.6640625" style="30" customWidth="1"/>
    <col min="509" max="509" width="0" style="30" hidden="1" customWidth="1"/>
    <col min="510" max="510" width="1.6640625" style="30" customWidth="1"/>
    <col min="511" max="512" width="16.5546875" style="30" customWidth="1"/>
    <col min="513" max="513" width="16.88671875" style="30" customWidth="1"/>
    <col min="514" max="516" width="16.5546875" style="30" customWidth="1"/>
    <col min="517" max="518" width="18.6640625" style="30" bestFit="1" customWidth="1"/>
    <col min="519" max="519" width="7.5546875" style="30" customWidth="1"/>
    <col min="520" max="520" width="15.44140625" style="30" bestFit="1" customWidth="1"/>
    <col min="521" max="521" width="14.5546875" style="30" bestFit="1" customWidth="1"/>
    <col min="522" max="522" width="16.44140625" style="30" bestFit="1" customWidth="1"/>
    <col min="523" max="523" width="11.33203125" style="30" bestFit="1" customWidth="1"/>
    <col min="524" max="762" width="9.109375" style="30"/>
    <col min="763" max="763" width="4.5546875" style="30" customWidth="1"/>
    <col min="764" max="764" width="37.6640625" style="30" customWidth="1"/>
    <col min="765" max="765" width="0" style="30" hidden="1" customWidth="1"/>
    <col min="766" max="766" width="1.6640625" style="30" customWidth="1"/>
    <col min="767" max="768" width="16.5546875" style="30" customWidth="1"/>
    <col min="769" max="769" width="16.88671875" style="30" customWidth="1"/>
    <col min="770" max="772" width="16.5546875" style="30" customWidth="1"/>
    <col min="773" max="774" width="18.6640625" style="30" bestFit="1" customWidth="1"/>
    <col min="775" max="775" width="7.5546875" style="30" customWidth="1"/>
    <col min="776" max="776" width="15.44140625" style="30" bestFit="1" customWidth="1"/>
    <col min="777" max="777" width="14.5546875" style="30" bestFit="1" customWidth="1"/>
    <col min="778" max="778" width="16.44140625" style="30" bestFit="1" customWidth="1"/>
    <col min="779" max="779" width="11.33203125" style="30" bestFit="1" customWidth="1"/>
    <col min="780" max="1018" width="9.109375" style="30"/>
    <col min="1019" max="1019" width="4.5546875" style="30" customWidth="1"/>
    <col min="1020" max="1020" width="37.6640625" style="30" customWidth="1"/>
    <col min="1021" max="1021" width="0" style="30" hidden="1" customWidth="1"/>
    <col min="1022" max="1022" width="1.6640625" style="30" customWidth="1"/>
    <col min="1023" max="1024" width="16.5546875" style="30" customWidth="1"/>
    <col min="1025" max="1025" width="16.88671875" style="30" customWidth="1"/>
    <col min="1026" max="1028" width="16.5546875" style="30" customWidth="1"/>
    <col min="1029" max="1030" width="18.6640625" style="30" bestFit="1" customWidth="1"/>
    <col min="1031" max="1031" width="7.5546875" style="30" customWidth="1"/>
    <col min="1032" max="1032" width="15.44140625" style="30" bestFit="1" customWidth="1"/>
    <col min="1033" max="1033" width="14.5546875" style="30" bestFit="1" customWidth="1"/>
    <col min="1034" max="1034" width="16.44140625" style="30" bestFit="1" customWidth="1"/>
    <col min="1035" max="1035" width="11.33203125" style="30" bestFit="1" customWidth="1"/>
    <col min="1036" max="1274" width="9.109375" style="30"/>
    <col min="1275" max="1275" width="4.5546875" style="30" customWidth="1"/>
    <col min="1276" max="1276" width="37.6640625" style="30" customWidth="1"/>
    <col min="1277" max="1277" width="0" style="30" hidden="1" customWidth="1"/>
    <col min="1278" max="1278" width="1.6640625" style="30" customWidth="1"/>
    <col min="1279" max="1280" width="16.5546875" style="30" customWidth="1"/>
    <col min="1281" max="1281" width="16.88671875" style="30" customWidth="1"/>
    <col min="1282" max="1284" width="16.5546875" style="30" customWidth="1"/>
    <col min="1285" max="1286" width="18.6640625" style="30" bestFit="1" customWidth="1"/>
    <col min="1287" max="1287" width="7.5546875" style="30" customWidth="1"/>
    <col min="1288" max="1288" width="15.44140625" style="30" bestFit="1" customWidth="1"/>
    <col min="1289" max="1289" width="14.5546875" style="30" bestFit="1" customWidth="1"/>
    <col min="1290" max="1290" width="16.44140625" style="30" bestFit="1" customWidth="1"/>
    <col min="1291" max="1291" width="11.33203125" style="30" bestFit="1" customWidth="1"/>
    <col min="1292" max="1530" width="9.109375" style="30"/>
    <col min="1531" max="1531" width="4.5546875" style="30" customWidth="1"/>
    <col min="1532" max="1532" width="37.6640625" style="30" customWidth="1"/>
    <col min="1533" max="1533" width="0" style="30" hidden="1" customWidth="1"/>
    <col min="1534" max="1534" width="1.6640625" style="30" customWidth="1"/>
    <col min="1535" max="1536" width="16.5546875" style="30" customWidth="1"/>
    <col min="1537" max="1537" width="16.88671875" style="30" customWidth="1"/>
    <col min="1538" max="1540" width="16.5546875" style="30" customWidth="1"/>
    <col min="1541" max="1542" width="18.6640625" style="30" bestFit="1" customWidth="1"/>
    <col min="1543" max="1543" width="7.5546875" style="30" customWidth="1"/>
    <col min="1544" max="1544" width="15.44140625" style="30" bestFit="1" customWidth="1"/>
    <col min="1545" max="1545" width="14.5546875" style="30" bestFit="1" customWidth="1"/>
    <col min="1546" max="1546" width="16.44140625" style="30" bestFit="1" customWidth="1"/>
    <col min="1547" max="1547" width="11.33203125" style="30" bestFit="1" customWidth="1"/>
    <col min="1548" max="1786" width="9.109375" style="30"/>
    <col min="1787" max="1787" width="4.5546875" style="30" customWidth="1"/>
    <col min="1788" max="1788" width="37.6640625" style="30" customWidth="1"/>
    <col min="1789" max="1789" width="0" style="30" hidden="1" customWidth="1"/>
    <col min="1790" max="1790" width="1.6640625" style="30" customWidth="1"/>
    <col min="1791" max="1792" width="16.5546875" style="30" customWidth="1"/>
    <col min="1793" max="1793" width="16.88671875" style="30" customWidth="1"/>
    <col min="1794" max="1796" width="16.5546875" style="30" customWidth="1"/>
    <col min="1797" max="1798" width="18.6640625" style="30" bestFit="1" customWidth="1"/>
    <col min="1799" max="1799" width="7.5546875" style="30" customWidth="1"/>
    <col min="1800" max="1800" width="15.44140625" style="30" bestFit="1" customWidth="1"/>
    <col min="1801" max="1801" width="14.5546875" style="30" bestFit="1" customWidth="1"/>
    <col min="1802" max="1802" width="16.44140625" style="30" bestFit="1" customWidth="1"/>
    <col min="1803" max="1803" width="11.33203125" style="30" bestFit="1" customWidth="1"/>
    <col min="1804" max="2042" width="9.109375" style="30"/>
    <col min="2043" max="2043" width="4.5546875" style="30" customWidth="1"/>
    <col min="2044" max="2044" width="37.6640625" style="30" customWidth="1"/>
    <col min="2045" max="2045" width="0" style="30" hidden="1" customWidth="1"/>
    <col min="2046" max="2046" width="1.6640625" style="30" customWidth="1"/>
    <col min="2047" max="2048" width="16.5546875" style="30" customWidth="1"/>
    <col min="2049" max="2049" width="16.88671875" style="30" customWidth="1"/>
    <col min="2050" max="2052" width="16.5546875" style="30" customWidth="1"/>
    <col min="2053" max="2054" width="18.6640625" style="30" bestFit="1" customWidth="1"/>
    <col min="2055" max="2055" width="7.5546875" style="30" customWidth="1"/>
    <col min="2056" max="2056" width="15.44140625" style="30" bestFit="1" customWidth="1"/>
    <col min="2057" max="2057" width="14.5546875" style="30" bestFit="1" customWidth="1"/>
    <col min="2058" max="2058" width="16.44140625" style="30" bestFit="1" customWidth="1"/>
    <col min="2059" max="2059" width="11.33203125" style="30" bestFit="1" customWidth="1"/>
    <col min="2060" max="2298" width="9.109375" style="30"/>
    <col min="2299" max="2299" width="4.5546875" style="30" customWidth="1"/>
    <col min="2300" max="2300" width="37.6640625" style="30" customWidth="1"/>
    <col min="2301" max="2301" width="0" style="30" hidden="1" customWidth="1"/>
    <col min="2302" max="2302" width="1.6640625" style="30" customWidth="1"/>
    <col min="2303" max="2304" width="16.5546875" style="30" customWidth="1"/>
    <col min="2305" max="2305" width="16.88671875" style="30" customWidth="1"/>
    <col min="2306" max="2308" width="16.5546875" style="30" customWidth="1"/>
    <col min="2309" max="2310" width="18.6640625" style="30" bestFit="1" customWidth="1"/>
    <col min="2311" max="2311" width="7.5546875" style="30" customWidth="1"/>
    <col min="2312" max="2312" width="15.44140625" style="30" bestFit="1" customWidth="1"/>
    <col min="2313" max="2313" width="14.5546875" style="30" bestFit="1" customWidth="1"/>
    <col min="2314" max="2314" width="16.44140625" style="30" bestFit="1" customWidth="1"/>
    <col min="2315" max="2315" width="11.33203125" style="30" bestFit="1" customWidth="1"/>
    <col min="2316" max="2554" width="9.109375" style="30"/>
    <col min="2555" max="2555" width="4.5546875" style="30" customWidth="1"/>
    <col min="2556" max="2556" width="37.6640625" style="30" customWidth="1"/>
    <col min="2557" max="2557" width="0" style="30" hidden="1" customWidth="1"/>
    <col min="2558" max="2558" width="1.6640625" style="30" customWidth="1"/>
    <col min="2559" max="2560" width="16.5546875" style="30" customWidth="1"/>
    <col min="2561" max="2561" width="16.88671875" style="30" customWidth="1"/>
    <col min="2562" max="2564" width="16.5546875" style="30" customWidth="1"/>
    <col min="2565" max="2566" width="18.6640625" style="30" bestFit="1" customWidth="1"/>
    <col min="2567" max="2567" width="7.5546875" style="30" customWidth="1"/>
    <col min="2568" max="2568" width="15.44140625" style="30" bestFit="1" customWidth="1"/>
    <col min="2569" max="2569" width="14.5546875" style="30" bestFit="1" customWidth="1"/>
    <col min="2570" max="2570" width="16.44140625" style="30" bestFit="1" customWidth="1"/>
    <col min="2571" max="2571" width="11.33203125" style="30" bestFit="1" customWidth="1"/>
    <col min="2572" max="2810" width="9.109375" style="30"/>
    <col min="2811" max="2811" width="4.5546875" style="30" customWidth="1"/>
    <col min="2812" max="2812" width="37.6640625" style="30" customWidth="1"/>
    <col min="2813" max="2813" width="0" style="30" hidden="1" customWidth="1"/>
    <col min="2814" max="2814" width="1.6640625" style="30" customWidth="1"/>
    <col min="2815" max="2816" width="16.5546875" style="30" customWidth="1"/>
    <col min="2817" max="2817" width="16.88671875" style="30" customWidth="1"/>
    <col min="2818" max="2820" width="16.5546875" style="30" customWidth="1"/>
    <col min="2821" max="2822" width="18.6640625" style="30" bestFit="1" customWidth="1"/>
    <col min="2823" max="2823" width="7.5546875" style="30" customWidth="1"/>
    <col min="2824" max="2824" width="15.44140625" style="30" bestFit="1" customWidth="1"/>
    <col min="2825" max="2825" width="14.5546875" style="30" bestFit="1" customWidth="1"/>
    <col min="2826" max="2826" width="16.44140625" style="30" bestFit="1" customWidth="1"/>
    <col min="2827" max="2827" width="11.33203125" style="30" bestFit="1" customWidth="1"/>
    <col min="2828" max="3066" width="9.109375" style="30"/>
    <col min="3067" max="3067" width="4.5546875" style="30" customWidth="1"/>
    <col min="3068" max="3068" width="37.6640625" style="30" customWidth="1"/>
    <col min="3069" max="3069" width="0" style="30" hidden="1" customWidth="1"/>
    <col min="3070" max="3070" width="1.6640625" style="30" customWidth="1"/>
    <col min="3071" max="3072" width="16.5546875" style="30" customWidth="1"/>
    <col min="3073" max="3073" width="16.88671875" style="30" customWidth="1"/>
    <col min="3074" max="3076" width="16.5546875" style="30" customWidth="1"/>
    <col min="3077" max="3078" width="18.6640625" style="30" bestFit="1" customWidth="1"/>
    <col min="3079" max="3079" width="7.5546875" style="30" customWidth="1"/>
    <col min="3080" max="3080" width="15.44140625" style="30" bestFit="1" customWidth="1"/>
    <col min="3081" max="3081" width="14.5546875" style="30" bestFit="1" customWidth="1"/>
    <col min="3082" max="3082" width="16.44140625" style="30" bestFit="1" customWidth="1"/>
    <col min="3083" max="3083" width="11.33203125" style="30" bestFit="1" customWidth="1"/>
    <col min="3084" max="3322" width="9.109375" style="30"/>
    <col min="3323" max="3323" width="4.5546875" style="30" customWidth="1"/>
    <col min="3324" max="3324" width="37.6640625" style="30" customWidth="1"/>
    <col min="3325" max="3325" width="0" style="30" hidden="1" customWidth="1"/>
    <col min="3326" max="3326" width="1.6640625" style="30" customWidth="1"/>
    <col min="3327" max="3328" width="16.5546875" style="30" customWidth="1"/>
    <col min="3329" max="3329" width="16.88671875" style="30" customWidth="1"/>
    <col min="3330" max="3332" width="16.5546875" style="30" customWidth="1"/>
    <col min="3333" max="3334" width="18.6640625" style="30" bestFit="1" customWidth="1"/>
    <col min="3335" max="3335" width="7.5546875" style="30" customWidth="1"/>
    <col min="3336" max="3336" width="15.44140625" style="30" bestFit="1" customWidth="1"/>
    <col min="3337" max="3337" width="14.5546875" style="30" bestFit="1" customWidth="1"/>
    <col min="3338" max="3338" width="16.44140625" style="30" bestFit="1" customWidth="1"/>
    <col min="3339" max="3339" width="11.33203125" style="30" bestFit="1" customWidth="1"/>
    <col min="3340" max="3578" width="9.109375" style="30"/>
    <col min="3579" max="3579" width="4.5546875" style="30" customWidth="1"/>
    <col min="3580" max="3580" width="37.6640625" style="30" customWidth="1"/>
    <col min="3581" max="3581" width="0" style="30" hidden="1" customWidth="1"/>
    <col min="3582" max="3582" width="1.6640625" style="30" customWidth="1"/>
    <col min="3583" max="3584" width="16.5546875" style="30" customWidth="1"/>
    <col min="3585" max="3585" width="16.88671875" style="30" customWidth="1"/>
    <col min="3586" max="3588" width="16.5546875" style="30" customWidth="1"/>
    <col min="3589" max="3590" width="18.6640625" style="30" bestFit="1" customWidth="1"/>
    <col min="3591" max="3591" width="7.5546875" style="30" customWidth="1"/>
    <col min="3592" max="3592" width="15.44140625" style="30" bestFit="1" customWidth="1"/>
    <col min="3593" max="3593" width="14.5546875" style="30" bestFit="1" customWidth="1"/>
    <col min="3594" max="3594" width="16.44140625" style="30" bestFit="1" customWidth="1"/>
    <col min="3595" max="3595" width="11.33203125" style="30" bestFit="1" customWidth="1"/>
    <col min="3596" max="3834" width="9.109375" style="30"/>
    <col min="3835" max="3835" width="4.5546875" style="30" customWidth="1"/>
    <col min="3836" max="3836" width="37.6640625" style="30" customWidth="1"/>
    <col min="3837" max="3837" width="0" style="30" hidden="1" customWidth="1"/>
    <col min="3838" max="3838" width="1.6640625" style="30" customWidth="1"/>
    <col min="3839" max="3840" width="16.5546875" style="30" customWidth="1"/>
    <col min="3841" max="3841" width="16.88671875" style="30" customWidth="1"/>
    <col min="3842" max="3844" width="16.5546875" style="30" customWidth="1"/>
    <col min="3845" max="3846" width="18.6640625" style="30" bestFit="1" customWidth="1"/>
    <col min="3847" max="3847" width="7.5546875" style="30" customWidth="1"/>
    <col min="3848" max="3848" width="15.44140625" style="30" bestFit="1" customWidth="1"/>
    <col min="3849" max="3849" width="14.5546875" style="30" bestFit="1" customWidth="1"/>
    <col min="3850" max="3850" width="16.44140625" style="30" bestFit="1" customWidth="1"/>
    <col min="3851" max="3851" width="11.33203125" style="30" bestFit="1" customWidth="1"/>
    <col min="3852" max="4090" width="9.109375" style="30"/>
    <col min="4091" max="4091" width="4.5546875" style="30" customWidth="1"/>
    <col min="4092" max="4092" width="37.6640625" style="30" customWidth="1"/>
    <col min="4093" max="4093" width="0" style="30" hidden="1" customWidth="1"/>
    <col min="4094" max="4094" width="1.6640625" style="30" customWidth="1"/>
    <col min="4095" max="4096" width="16.5546875" style="30" customWidth="1"/>
    <col min="4097" max="4097" width="16.88671875" style="30" customWidth="1"/>
    <col min="4098" max="4100" width="16.5546875" style="30" customWidth="1"/>
    <col min="4101" max="4102" width="18.6640625" style="30" bestFit="1" customWidth="1"/>
    <col min="4103" max="4103" width="7.5546875" style="30" customWidth="1"/>
    <col min="4104" max="4104" width="15.44140625" style="30" bestFit="1" customWidth="1"/>
    <col min="4105" max="4105" width="14.5546875" style="30" bestFit="1" customWidth="1"/>
    <col min="4106" max="4106" width="16.44140625" style="30" bestFit="1" customWidth="1"/>
    <col min="4107" max="4107" width="11.33203125" style="30" bestFit="1" customWidth="1"/>
    <col min="4108" max="4346" width="9.109375" style="30"/>
    <col min="4347" max="4347" width="4.5546875" style="30" customWidth="1"/>
    <col min="4348" max="4348" width="37.6640625" style="30" customWidth="1"/>
    <col min="4349" max="4349" width="0" style="30" hidden="1" customWidth="1"/>
    <col min="4350" max="4350" width="1.6640625" style="30" customWidth="1"/>
    <col min="4351" max="4352" width="16.5546875" style="30" customWidth="1"/>
    <col min="4353" max="4353" width="16.88671875" style="30" customWidth="1"/>
    <col min="4354" max="4356" width="16.5546875" style="30" customWidth="1"/>
    <col min="4357" max="4358" width="18.6640625" style="30" bestFit="1" customWidth="1"/>
    <col min="4359" max="4359" width="7.5546875" style="30" customWidth="1"/>
    <col min="4360" max="4360" width="15.44140625" style="30" bestFit="1" customWidth="1"/>
    <col min="4361" max="4361" width="14.5546875" style="30" bestFit="1" customWidth="1"/>
    <col min="4362" max="4362" width="16.44140625" style="30" bestFit="1" customWidth="1"/>
    <col min="4363" max="4363" width="11.33203125" style="30" bestFit="1" customWidth="1"/>
    <col min="4364" max="4602" width="9.109375" style="30"/>
    <col min="4603" max="4603" width="4.5546875" style="30" customWidth="1"/>
    <col min="4604" max="4604" width="37.6640625" style="30" customWidth="1"/>
    <col min="4605" max="4605" width="0" style="30" hidden="1" customWidth="1"/>
    <col min="4606" max="4606" width="1.6640625" style="30" customWidth="1"/>
    <col min="4607" max="4608" width="16.5546875" style="30" customWidth="1"/>
    <col min="4609" max="4609" width="16.88671875" style="30" customWidth="1"/>
    <col min="4610" max="4612" width="16.5546875" style="30" customWidth="1"/>
    <col min="4613" max="4614" width="18.6640625" style="30" bestFit="1" customWidth="1"/>
    <col min="4615" max="4615" width="7.5546875" style="30" customWidth="1"/>
    <col min="4616" max="4616" width="15.44140625" style="30" bestFit="1" customWidth="1"/>
    <col min="4617" max="4617" width="14.5546875" style="30" bestFit="1" customWidth="1"/>
    <col min="4618" max="4618" width="16.44140625" style="30" bestFit="1" customWidth="1"/>
    <col min="4619" max="4619" width="11.33203125" style="30" bestFit="1" customWidth="1"/>
    <col min="4620" max="4858" width="9.109375" style="30"/>
    <col min="4859" max="4859" width="4.5546875" style="30" customWidth="1"/>
    <col min="4860" max="4860" width="37.6640625" style="30" customWidth="1"/>
    <col min="4861" max="4861" width="0" style="30" hidden="1" customWidth="1"/>
    <col min="4862" max="4862" width="1.6640625" style="30" customWidth="1"/>
    <col min="4863" max="4864" width="16.5546875" style="30" customWidth="1"/>
    <col min="4865" max="4865" width="16.88671875" style="30" customWidth="1"/>
    <col min="4866" max="4868" width="16.5546875" style="30" customWidth="1"/>
    <col min="4869" max="4870" width="18.6640625" style="30" bestFit="1" customWidth="1"/>
    <col min="4871" max="4871" width="7.5546875" style="30" customWidth="1"/>
    <col min="4872" max="4872" width="15.44140625" style="30" bestFit="1" customWidth="1"/>
    <col min="4873" max="4873" width="14.5546875" style="30" bestFit="1" customWidth="1"/>
    <col min="4874" max="4874" width="16.44140625" style="30" bestFit="1" customWidth="1"/>
    <col min="4875" max="4875" width="11.33203125" style="30" bestFit="1" customWidth="1"/>
    <col min="4876" max="5114" width="9.109375" style="30"/>
    <col min="5115" max="5115" width="4.5546875" style="30" customWidth="1"/>
    <col min="5116" max="5116" width="37.6640625" style="30" customWidth="1"/>
    <col min="5117" max="5117" width="0" style="30" hidden="1" customWidth="1"/>
    <col min="5118" max="5118" width="1.6640625" style="30" customWidth="1"/>
    <col min="5119" max="5120" width="16.5546875" style="30" customWidth="1"/>
    <col min="5121" max="5121" width="16.88671875" style="30" customWidth="1"/>
    <col min="5122" max="5124" width="16.5546875" style="30" customWidth="1"/>
    <col min="5125" max="5126" width="18.6640625" style="30" bestFit="1" customWidth="1"/>
    <col min="5127" max="5127" width="7.5546875" style="30" customWidth="1"/>
    <col min="5128" max="5128" width="15.44140625" style="30" bestFit="1" customWidth="1"/>
    <col min="5129" max="5129" width="14.5546875" style="30" bestFit="1" customWidth="1"/>
    <col min="5130" max="5130" width="16.44140625" style="30" bestFit="1" customWidth="1"/>
    <col min="5131" max="5131" width="11.33203125" style="30" bestFit="1" customWidth="1"/>
    <col min="5132" max="5370" width="9.109375" style="30"/>
    <col min="5371" max="5371" width="4.5546875" style="30" customWidth="1"/>
    <col min="5372" max="5372" width="37.6640625" style="30" customWidth="1"/>
    <col min="5373" max="5373" width="0" style="30" hidden="1" customWidth="1"/>
    <col min="5374" max="5374" width="1.6640625" style="30" customWidth="1"/>
    <col min="5375" max="5376" width="16.5546875" style="30" customWidth="1"/>
    <col min="5377" max="5377" width="16.88671875" style="30" customWidth="1"/>
    <col min="5378" max="5380" width="16.5546875" style="30" customWidth="1"/>
    <col min="5381" max="5382" width="18.6640625" style="30" bestFit="1" customWidth="1"/>
    <col min="5383" max="5383" width="7.5546875" style="30" customWidth="1"/>
    <col min="5384" max="5384" width="15.44140625" style="30" bestFit="1" customWidth="1"/>
    <col min="5385" max="5385" width="14.5546875" style="30" bestFit="1" customWidth="1"/>
    <col min="5386" max="5386" width="16.44140625" style="30" bestFit="1" customWidth="1"/>
    <col min="5387" max="5387" width="11.33203125" style="30" bestFit="1" customWidth="1"/>
    <col min="5388" max="5626" width="9.109375" style="30"/>
    <col min="5627" max="5627" width="4.5546875" style="30" customWidth="1"/>
    <col min="5628" max="5628" width="37.6640625" style="30" customWidth="1"/>
    <col min="5629" max="5629" width="0" style="30" hidden="1" customWidth="1"/>
    <col min="5630" max="5630" width="1.6640625" style="30" customWidth="1"/>
    <col min="5631" max="5632" width="16.5546875" style="30" customWidth="1"/>
    <col min="5633" max="5633" width="16.88671875" style="30" customWidth="1"/>
    <col min="5634" max="5636" width="16.5546875" style="30" customWidth="1"/>
    <col min="5637" max="5638" width="18.6640625" style="30" bestFit="1" customWidth="1"/>
    <col min="5639" max="5639" width="7.5546875" style="30" customWidth="1"/>
    <col min="5640" max="5640" width="15.44140625" style="30" bestFit="1" customWidth="1"/>
    <col min="5641" max="5641" width="14.5546875" style="30" bestFit="1" customWidth="1"/>
    <col min="5642" max="5642" width="16.44140625" style="30" bestFit="1" customWidth="1"/>
    <col min="5643" max="5643" width="11.33203125" style="30" bestFit="1" customWidth="1"/>
    <col min="5644" max="5882" width="9.109375" style="30"/>
    <col min="5883" max="5883" width="4.5546875" style="30" customWidth="1"/>
    <col min="5884" max="5884" width="37.6640625" style="30" customWidth="1"/>
    <col min="5885" max="5885" width="0" style="30" hidden="1" customWidth="1"/>
    <col min="5886" max="5886" width="1.6640625" style="30" customWidth="1"/>
    <col min="5887" max="5888" width="16.5546875" style="30" customWidth="1"/>
    <col min="5889" max="5889" width="16.88671875" style="30" customWidth="1"/>
    <col min="5890" max="5892" width="16.5546875" style="30" customWidth="1"/>
    <col min="5893" max="5894" width="18.6640625" style="30" bestFit="1" customWidth="1"/>
    <col min="5895" max="5895" width="7.5546875" style="30" customWidth="1"/>
    <col min="5896" max="5896" width="15.44140625" style="30" bestFit="1" customWidth="1"/>
    <col min="5897" max="5897" width="14.5546875" style="30" bestFit="1" customWidth="1"/>
    <col min="5898" max="5898" width="16.44140625" style="30" bestFit="1" customWidth="1"/>
    <col min="5899" max="5899" width="11.33203125" style="30" bestFit="1" customWidth="1"/>
    <col min="5900" max="6138" width="9.109375" style="30"/>
    <col min="6139" max="6139" width="4.5546875" style="30" customWidth="1"/>
    <col min="6140" max="6140" width="37.6640625" style="30" customWidth="1"/>
    <col min="6141" max="6141" width="0" style="30" hidden="1" customWidth="1"/>
    <col min="6142" max="6142" width="1.6640625" style="30" customWidth="1"/>
    <col min="6143" max="6144" width="16.5546875" style="30" customWidth="1"/>
    <col min="6145" max="6145" width="16.88671875" style="30" customWidth="1"/>
    <col min="6146" max="6148" width="16.5546875" style="30" customWidth="1"/>
    <col min="6149" max="6150" width="18.6640625" style="30" bestFit="1" customWidth="1"/>
    <col min="6151" max="6151" width="7.5546875" style="30" customWidth="1"/>
    <col min="6152" max="6152" width="15.44140625" style="30" bestFit="1" customWidth="1"/>
    <col min="6153" max="6153" width="14.5546875" style="30" bestFit="1" customWidth="1"/>
    <col min="6154" max="6154" width="16.44140625" style="30" bestFit="1" customWidth="1"/>
    <col min="6155" max="6155" width="11.33203125" style="30" bestFit="1" customWidth="1"/>
    <col min="6156" max="6394" width="9.109375" style="30"/>
    <col min="6395" max="6395" width="4.5546875" style="30" customWidth="1"/>
    <col min="6396" max="6396" width="37.6640625" style="30" customWidth="1"/>
    <col min="6397" max="6397" width="0" style="30" hidden="1" customWidth="1"/>
    <col min="6398" max="6398" width="1.6640625" style="30" customWidth="1"/>
    <col min="6399" max="6400" width="16.5546875" style="30" customWidth="1"/>
    <col min="6401" max="6401" width="16.88671875" style="30" customWidth="1"/>
    <col min="6402" max="6404" width="16.5546875" style="30" customWidth="1"/>
    <col min="6405" max="6406" width="18.6640625" style="30" bestFit="1" customWidth="1"/>
    <col min="6407" max="6407" width="7.5546875" style="30" customWidth="1"/>
    <col min="6408" max="6408" width="15.44140625" style="30" bestFit="1" customWidth="1"/>
    <col min="6409" max="6409" width="14.5546875" style="30" bestFit="1" customWidth="1"/>
    <col min="6410" max="6410" width="16.44140625" style="30" bestFit="1" customWidth="1"/>
    <col min="6411" max="6411" width="11.33203125" style="30" bestFit="1" customWidth="1"/>
    <col min="6412" max="6650" width="9.109375" style="30"/>
    <col min="6651" max="6651" width="4.5546875" style="30" customWidth="1"/>
    <col min="6652" max="6652" width="37.6640625" style="30" customWidth="1"/>
    <col min="6653" max="6653" width="0" style="30" hidden="1" customWidth="1"/>
    <col min="6654" max="6654" width="1.6640625" style="30" customWidth="1"/>
    <col min="6655" max="6656" width="16.5546875" style="30" customWidth="1"/>
    <col min="6657" max="6657" width="16.88671875" style="30" customWidth="1"/>
    <col min="6658" max="6660" width="16.5546875" style="30" customWidth="1"/>
    <col min="6661" max="6662" width="18.6640625" style="30" bestFit="1" customWidth="1"/>
    <col min="6663" max="6663" width="7.5546875" style="30" customWidth="1"/>
    <col min="6664" max="6664" width="15.44140625" style="30" bestFit="1" customWidth="1"/>
    <col min="6665" max="6665" width="14.5546875" style="30" bestFit="1" customWidth="1"/>
    <col min="6666" max="6666" width="16.44140625" style="30" bestFit="1" customWidth="1"/>
    <col min="6667" max="6667" width="11.33203125" style="30" bestFit="1" customWidth="1"/>
    <col min="6668" max="6906" width="9.109375" style="30"/>
    <col min="6907" max="6907" width="4.5546875" style="30" customWidth="1"/>
    <col min="6908" max="6908" width="37.6640625" style="30" customWidth="1"/>
    <col min="6909" max="6909" width="0" style="30" hidden="1" customWidth="1"/>
    <col min="6910" max="6910" width="1.6640625" style="30" customWidth="1"/>
    <col min="6911" max="6912" width="16.5546875" style="30" customWidth="1"/>
    <col min="6913" max="6913" width="16.88671875" style="30" customWidth="1"/>
    <col min="6914" max="6916" width="16.5546875" style="30" customWidth="1"/>
    <col min="6917" max="6918" width="18.6640625" style="30" bestFit="1" customWidth="1"/>
    <col min="6919" max="6919" width="7.5546875" style="30" customWidth="1"/>
    <col min="6920" max="6920" width="15.44140625" style="30" bestFit="1" customWidth="1"/>
    <col min="6921" max="6921" width="14.5546875" style="30" bestFit="1" customWidth="1"/>
    <col min="6922" max="6922" width="16.44140625" style="30" bestFit="1" customWidth="1"/>
    <col min="6923" max="6923" width="11.33203125" style="30" bestFit="1" customWidth="1"/>
    <col min="6924" max="7162" width="9.109375" style="30"/>
    <col min="7163" max="7163" width="4.5546875" style="30" customWidth="1"/>
    <col min="7164" max="7164" width="37.6640625" style="30" customWidth="1"/>
    <col min="7165" max="7165" width="0" style="30" hidden="1" customWidth="1"/>
    <col min="7166" max="7166" width="1.6640625" style="30" customWidth="1"/>
    <col min="7167" max="7168" width="16.5546875" style="30" customWidth="1"/>
    <col min="7169" max="7169" width="16.88671875" style="30" customWidth="1"/>
    <col min="7170" max="7172" width="16.5546875" style="30" customWidth="1"/>
    <col min="7173" max="7174" width="18.6640625" style="30" bestFit="1" customWidth="1"/>
    <col min="7175" max="7175" width="7.5546875" style="30" customWidth="1"/>
    <col min="7176" max="7176" width="15.44140625" style="30" bestFit="1" customWidth="1"/>
    <col min="7177" max="7177" width="14.5546875" style="30" bestFit="1" customWidth="1"/>
    <col min="7178" max="7178" width="16.44140625" style="30" bestFit="1" customWidth="1"/>
    <col min="7179" max="7179" width="11.33203125" style="30" bestFit="1" customWidth="1"/>
    <col min="7180" max="7418" width="9.109375" style="30"/>
    <col min="7419" max="7419" width="4.5546875" style="30" customWidth="1"/>
    <col min="7420" max="7420" width="37.6640625" style="30" customWidth="1"/>
    <col min="7421" max="7421" width="0" style="30" hidden="1" customWidth="1"/>
    <col min="7422" max="7422" width="1.6640625" style="30" customWidth="1"/>
    <col min="7423" max="7424" width="16.5546875" style="30" customWidth="1"/>
    <col min="7425" max="7425" width="16.88671875" style="30" customWidth="1"/>
    <col min="7426" max="7428" width="16.5546875" style="30" customWidth="1"/>
    <col min="7429" max="7430" width="18.6640625" style="30" bestFit="1" customWidth="1"/>
    <col min="7431" max="7431" width="7.5546875" style="30" customWidth="1"/>
    <col min="7432" max="7432" width="15.44140625" style="30" bestFit="1" customWidth="1"/>
    <col min="7433" max="7433" width="14.5546875" style="30" bestFit="1" customWidth="1"/>
    <col min="7434" max="7434" width="16.44140625" style="30" bestFit="1" customWidth="1"/>
    <col min="7435" max="7435" width="11.33203125" style="30" bestFit="1" customWidth="1"/>
    <col min="7436" max="7674" width="9.109375" style="30"/>
    <col min="7675" max="7675" width="4.5546875" style="30" customWidth="1"/>
    <col min="7676" max="7676" width="37.6640625" style="30" customWidth="1"/>
    <col min="7677" max="7677" width="0" style="30" hidden="1" customWidth="1"/>
    <col min="7678" max="7678" width="1.6640625" style="30" customWidth="1"/>
    <col min="7679" max="7680" width="16.5546875" style="30" customWidth="1"/>
    <col min="7681" max="7681" width="16.88671875" style="30" customWidth="1"/>
    <col min="7682" max="7684" width="16.5546875" style="30" customWidth="1"/>
    <col min="7685" max="7686" width="18.6640625" style="30" bestFit="1" customWidth="1"/>
    <col min="7687" max="7687" width="7.5546875" style="30" customWidth="1"/>
    <col min="7688" max="7688" width="15.44140625" style="30" bestFit="1" customWidth="1"/>
    <col min="7689" max="7689" width="14.5546875" style="30" bestFit="1" customWidth="1"/>
    <col min="7690" max="7690" width="16.44140625" style="30" bestFit="1" customWidth="1"/>
    <col min="7691" max="7691" width="11.33203125" style="30" bestFit="1" customWidth="1"/>
    <col min="7692" max="7930" width="9.109375" style="30"/>
    <col min="7931" max="7931" width="4.5546875" style="30" customWidth="1"/>
    <col min="7932" max="7932" width="37.6640625" style="30" customWidth="1"/>
    <col min="7933" max="7933" width="0" style="30" hidden="1" customWidth="1"/>
    <col min="7934" max="7934" width="1.6640625" style="30" customWidth="1"/>
    <col min="7935" max="7936" width="16.5546875" style="30" customWidth="1"/>
    <col min="7937" max="7937" width="16.88671875" style="30" customWidth="1"/>
    <col min="7938" max="7940" width="16.5546875" style="30" customWidth="1"/>
    <col min="7941" max="7942" width="18.6640625" style="30" bestFit="1" customWidth="1"/>
    <col min="7943" max="7943" width="7.5546875" style="30" customWidth="1"/>
    <col min="7944" max="7944" width="15.44140625" style="30" bestFit="1" customWidth="1"/>
    <col min="7945" max="7945" width="14.5546875" style="30" bestFit="1" customWidth="1"/>
    <col min="7946" max="7946" width="16.44140625" style="30" bestFit="1" customWidth="1"/>
    <col min="7947" max="7947" width="11.33203125" style="30" bestFit="1" customWidth="1"/>
    <col min="7948" max="8186" width="9.109375" style="30"/>
    <col min="8187" max="8187" width="4.5546875" style="30" customWidth="1"/>
    <col min="8188" max="8188" width="37.6640625" style="30" customWidth="1"/>
    <col min="8189" max="8189" width="0" style="30" hidden="1" customWidth="1"/>
    <col min="8190" max="8190" width="1.6640625" style="30" customWidth="1"/>
    <col min="8191" max="8192" width="16.5546875" style="30" customWidth="1"/>
    <col min="8193" max="8193" width="16.88671875" style="30" customWidth="1"/>
    <col min="8194" max="8196" width="16.5546875" style="30" customWidth="1"/>
    <col min="8197" max="8198" width="18.6640625" style="30" bestFit="1" customWidth="1"/>
    <col min="8199" max="8199" width="7.5546875" style="30" customWidth="1"/>
    <col min="8200" max="8200" width="15.44140625" style="30" bestFit="1" customWidth="1"/>
    <col min="8201" max="8201" width="14.5546875" style="30" bestFit="1" customWidth="1"/>
    <col min="8202" max="8202" width="16.44140625" style="30" bestFit="1" customWidth="1"/>
    <col min="8203" max="8203" width="11.33203125" style="30" bestFit="1" customWidth="1"/>
    <col min="8204" max="8442" width="9.109375" style="30"/>
    <col min="8443" max="8443" width="4.5546875" style="30" customWidth="1"/>
    <col min="8444" max="8444" width="37.6640625" style="30" customWidth="1"/>
    <col min="8445" max="8445" width="0" style="30" hidden="1" customWidth="1"/>
    <col min="8446" max="8446" width="1.6640625" style="30" customWidth="1"/>
    <col min="8447" max="8448" width="16.5546875" style="30" customWidth="1"/>
    <col min="8449" max="8449" width="16.88671875" style="30" customWidth="1"/>
    <col min="8450" max="8452" width="16.5546875" style="30" customWidth="1"/>
    <col min="8453" max="8454" width="18.6640625" style="30" bestFit="1" customWidth="1"/>
    <col min="8455" max="8455" width="7.5546875" style="30" customWidth="1"/>
    <col min="8456" max="8456" width="15.44140625" style="30" bestFit="1" customWidth="1"/>
    <col min="8457" max="8457" width="14.5546875" style="30" bestFit="1" customWidth="1"/>
    <col min="8458" max="8458" width="16.44140625" style="30" bestFit="1" customWidth="1"/>
    <col min="8459" max="8459" width="11.33203125" style="30" bestFit="1" customWidth="1"/>
    <col min="8460" max="8698" width="9.109375" style="30"/>
    <col min="8699" max="8699" width="4.5546875" style="30" customWidth="1"/>
    <col min="8700" max="8700" width="37.6640625" style="30" customWidth="1"/>
    <col min="8701" max="8701" width="0" style="30" hidden="1" customWidth="1"/>
    <col min="8702" max="8702" width="1.6640625" style="30" customWidth="1"/>
    <col min="8703" max="8704" width="16.5546875" style="30" customWidth="1"/>
    <col min="8705" max="8705" width="16.88671875" style="30" customWidth="1"/>
    <col min="8706" max="8708" width="16.5546875" style="30" customWidth="1"/>
    <col min="8709" max="8710" width="18.6640625" style="30" bestFit="1" customWidth="1"/>
    <col min="8711" max="8711" width="7.5546875" style="30" customWidth="1"/>
    <col min="8712" max="8712" width="15.44140625" style="30" bestFit="1" customWidth="1"/>
    <col min="8713" max="8713" width="14.5546875" style="30" bestFit="1" customWidth="1"/>
    <col min="8714" max="8714" width="16.44140625" style="30" bestFit="1" customWidth="1"/>
    <col min="8715" max="8715" width="11.33203125" style="30" bestFit="1" customWidth="1"/>
    <col min="8716" max="8954" width="9.109375" style="30"/>
    <col min="8955" max="8955" width="4.5546875" style="30" customWidth="1"/>
    <col min="8956" max="8956" width="37.6640625" style="30" customWidth="1"/>
    <col min="8957" max="8957" width="0" style="30" hidden="1" customWidth="1"/>
    <col min="8958" max="8958" width="1.6640625" style="30" customWidth="1"/>
    <col min="8959" max="8960" width="16.5546875" style="30" customWidth="1"/>
    <col min="8961" max="8961" width="16.88671875" style="30" customWidth="1"/>
    <col min="8962" max="8964" width="16.5546875" style="30" customWidth="1"/>
    <col min="8965" max="8966" width="18.6640625" style="30" bestFit="1" customWidth="1"/>
    <col min="8967" max="8967" width="7.5546875" style="30" customWidth="1"/>
    <col min="8968" max="8968" width="15.44140625" style="30" bestFit="1" customWidth="1"/>
    <col min="8969" max="8969" width="14.5546875" style="30" bestFit="1" customWidth="1"/>
    <col min="8970" max="8970" width="16.44140625" style="30" bestFit="1" customWidth="1"/>
    <col min="8971" max="8971" width="11.33203125" style="30" bestFit="1" customWidth="1"/>
    <col min="8972" max="9210" width="9.109375" style="30"/>
    <col min="9211" max="9211" width="4.5546875" style="30" customWidth="1"/>
    <col min="9212" max="9212" width="37.6640625" style="30" customWidth="1"/>
    <col min="9213" max="9213" width="0" style="30" hidden="1" customWidth="1"/>
    <col min="9214" max="9214" width="1.6640625" style="30" customWidth="1"/>
    <col min="9215" max="9216" width="16.5546875" style="30" customWidth="1"/>
    <col min="9217" max="9217" width="16.88671875" style="30" customWidth="1"/>
    <col min="9218" max="9220" width="16.5546875" style="30" customWidth="1"/>
    <col min="9221" max="9222" width="18.6640625" style="30" bestFit="1" customWidth="1"/>
    <col min="9223" max="9223" width="7.5546875" style="30" customWidth="1"/>
    <col min="9224" max="9224" width="15.44140625" style="30" bestFit="1" customWidth="1"/>
    <col min="9225" max="9225" width="14.5546875" style="30" bestFit="1" customWidth="1"/>
    <col min="9226" max="9226" width="16.44140625" style="30" bestFit="1" customWidth="1"/>
    <col min="9227" max="9227" width="11.33203125" style="30" bestFit="1" customWidth="1"/>
    <col min="9228" max="9466" width="9.109375" style="30"/>
    <col min="9467" max="9467" width="4.5546875" style="30" customWidth="1"/>
    <col min="9468" max="9468" width="37.6640625" style="30" customWidth="1"/>
    <col min="9469" max="9469" width="0" style="30" hidden="1" customWidth="1"/>
    <col min="9470" max="9470" width="1.6640625" style="30" customWidth="1"/>
    <col min="9471" max="9472" width="16.5546875" style="30" customWidth="1"/>
    <col min="9473" max="9473" width="16.88671875" style="30" customWidth="1"/>
    <col min="9474" max="9476" width="16.5546875" style="30" customWidth="1"/>
    <col min="9477" max="9478" width="18.6640625" style="30" bestFit="1" customWidth="1"/>
    <col min="9479" max="9479" width="7.5546875" style="30" customWidth="1"/>
    <col min="9480" max="9480" width="15.44140625" style="30" bestFit="1" customWidth="1"/>
    <col min="9481" max="9481" width="14.5546875" style="30" bestFit="1" customWidth="1"/>
    <col min="9482" max="9482" width="16.44140625" style="30" bestFit="1" customWidth="1"/>
    <col min="9483" max="9483" width="11.33203125" style="30" bestFit="1" customWidth="1"/>
    <col min="9484" max="9722" width="9.109375" style="30"/>
    <col min="9723" max="9723" width="4.5546875" style="30" customWidth="1"/>
    <col min="9724" max="9724" width="37.6640625" style="30" customWidth="1"/>
    <col min="9725" max="9725" width="0" style="30" hidden="1" customWidth="1"/>
    <col min="9726" max="9726" width="1.6640625" style="30" customWidth="1"/>
    <col min="9727" max="9728" width="16.5546875" style="30" customWidth="1"/>
    <col min="9729" max="9729" width="16.88671875" style="30" customWidth="1"/>
    <col min="9730" max="9732" width="16.5546875" style="30" customWidth="1"/>
    <col min="9733" max="9734" width="18.6640625" style="30" bestFit="1" customWidth="1"/>
    <col min="9735" max="9735" width="7.5546875" style="30" customWidth="1"/>
    <col min="9736" max="9736" width="15.44140625" style="30" bestFit="1" customWidth="1"/>
    <col min="9737" max="9737" width="14.5546875" style="30" bestFit="1" customWidth="1"/>
    <col min="9738" max="9738" width="16.44140625" style="30" bestFit="1" customWidth="1"/>
    <col min="9739" max="9739" width="11.33203125" style="30" bestFit="1" customWidth="1"/>
    <col min="9740" max="9978" width="9.109375" style="30"/>
    <col min="9979" max="9979" width="4.5546875" style="30" customWidth="1"/>
    <col min="9980" max="9980" width="37.6640625" style="30" customWidth="1"/>
    <col min="9981" max="9981" width="0" style="30" hidden="1" customWidth="1"/>
    <col min="9982" max="9982" width="1.6640625" style="30" customWidth="1"/>
    <col min="9983" max="9984" width="16.5546875" style="30" customWidth="1"/>
    <col min="9985" max="9985" width="16.88671875" style="30" customWidth="1"/>
    <col min="9986" max="9988" width="16.5546875" style="30" customWidth="1"/>
    <col min="9989" max="9990" width="18.6640625" style="30" bestFit="1" customWidth="1"/>
    <col min="9991" max="9991" width="7.5546875" style="30" customWidth="1"/>
    <col min="9992" max="9992" width="15.44140625" style="30" bestFit="1" customWidth="1"/>
    <col min="9993" max="9993" width="14.5546875" style="30" bestFit="1" customWidth="1"/>
    <col min="9994" max="9994" width="16.44140625" style="30" bestFit="1" customWidth="1"/>
    <col min="9995" max="9995" width="11.33203125" style="30" bestFit="1" customWidth="1"/>
    <col min="9996" max="10234" width="9.109375" style="30"/>
    <col min="10235" max="10235" width="4.5546875" style="30" customWidth="1"/>
    <col min="10236" max="10236" width="37.6640625" style="30" customWidth="1"/>
    <col min="10237" max="10237" width="0" style="30" hidden="1" customWidth="1"/>
    <col min="10238" max="10238" width="1.6640625" style="30" customWidth="1"/>
    <col min="10239" max="10240" width="16.5546875" style="30" customWidth="1"/>
    <col min="10241" max="10241" width="16.88671875" style="30" customWidth="1"/>
    <col min="10242" max="10244" width="16.5546875" style="30" customWidth="1"/>
    <col min="10245" max="10246" width="18.6640625" style="30" bestFit="1" customWidth="1"/>
    <col min="10247" max="10247" width="7.5546875" style="30" customWidth="1"/>
    <col min="10248" max="10248" width="15.44140625" style="30" bestFit="1" customWidth="1"/>
    <col min="10249" max="10249" width="14.5546875" style="30" bestFit="1" customWidth="1"/>
    <col min="10250" max="10250" width="16.44140625" style="30" bestFit="1" customWidth="1"/>
    <col min="10251" max="10251" width="11.33203125" style="30" bestFit="1" customWidth="1"/>
    <col min="10252" max="10490" width="9.109375" style="30"/>
    <col min="10491" max="10491" width="4.5546875" style="30" customWidth="1"/>
    <col min="10492" max="10492" width="37.6640625" style="30" customWidth="1"/>
    <col min="10493" max="10493" width="0" style="30" hidden="1" customWidth="1"/>
    <col min="10494" max="10494" width="1.6640625" style="30" customWidth="1"/>
    <col min="10495" max="10496" width="16.5546875" style="30" customWidth="1"/>
    <col min="10497" max="10497" width="16.88671875" style="30" customWidth="1"/>
    <col min="10498" max="10500" width="16.5546875" style="30" customWidth="1"/>
    <col min="10501" max="10502" width="18.6640625" style="30" bestFit="1" customWidth="1"/>
    <col min="10503" max="10503" width="7.5546875" style="30" customWidth="1"/>
    <col min="10504" max="10504" width="15.44140625" style="30" bestFit="1" customWidth="1"/>
    <col min="10505" max="10505" width="14.5546875" style="30" bestFit="1" customWidth="1"/>
    <col min="10506" max="10506" width="16.44140625" style="30" bestFit="1" customWidth="1"/>
    <col min="10507" max="10507" width="11.33203125" style="30" bestFit="1" customWidth="1"/>
    <col min="10508" max="10746" width="9.109375" style="30"/>
    <col min="10747" max="10747" width="4.5546875" style="30" customWidth="1"/>
    <col min="10748" max="10748" width="37.6640625" style="30" customWidth="1"/>
    <col min="10749" max="10749" width="0" style="30" hidden="1" customWidth="1"/>
    <col min="10750" max="10750" width="1.6640625" style="30" customWidth="1"/>
    <col min="10751" max="10752" width="16.5546875" style="30" customWidth="1"/>
    <col min="10753" max="10753" width="16.88671875" style="30" customWidth="1"/>
    <col min="10754" max="10756" width="16.5546875" style="30" customWidth="1"/>
    <col min="10757" max="10758" width="18.6640625" style="30" bestFit="1" customWidth="1"/>
    <col min="10759" max="10759" width="7.5546875" style="30" customWidth="1"/>
    <col min="10760" max="10760" width="15.44140625" style="30" bestFit="1" customWidth="1"/>
    <col min="10761" max="10761" width="14.5546875" style="30" bestFit="1" customWidth="1"/>
    <col min="10762" max="10762" width="16.44140625" style="30" bestFit="1" customWidth="1"/>
    <col min="10763" max="10763" width="11.33203125" style="30" bestFit="1" customWidth="1"/>
    <col min="10764" max="11002" width="9.109375" style="30"/>
    <col min="11003" max="11003" width="4.5546875" style="30" customWidth="1"/>
    <col min="11004" max="11004" width="37.6640625" style="30" customWidth="1"/>
    <col min="11005" max="11005" width="0" style="30" hidden="1" customWidth="1"/>
    <col min="11006" max="11006" width="1.6640625" style="30" customWidth="1"/>
    <col min="11007" max="11008" width="16.5546875" style="30" customWidth="1"/>
    <col min="11009" max="11009" width="16.88671875" style="30" customWidth="1"/>
    <col min="11010" max="11012" width="16.5546875" style="30" customWidth="1"/>
    <col min="11013" max="11014" width="18.6640625" style="30" bestFit="1" customWidth="1"/>
    <col min="11015" max="11015" width="7.5546875" style="30" customWidth="1"/>
    <col min="11016" max="11016" width="15.44140625" style="30" bestFit="1" customWidth="1"/>
    <col min="11017" max="11017" width="14.5546875" style="30" bestFit="1" customWidth="1"/>
    <col min="11018" max="11018" width="16.44140625" style="30" bestFit="1" customWidth="1"/>
    <col min="11019" max="11019" width="11.33203125" style="30" bestFit="1" customWidth="1"/>
    <col min="11020" max="11258" width="9.109375" style="30"/>
    <col min="11259" max="11259" width="4.5546875" style="30" customWidth="1"/>
    <col min="11260" max="11260" width="37.6640625" style="30" customWidth="1"/>
    <col min="11261" max="11261" width="0" style="30" hidden="1" customWidth="1"/>
    <col min="11262" max="11262" width="1.6640625" style="30" customWidth="1"/>
    <col min="11263" max="11264" width="16.5546875" style="30" customWidth="1"/>
    <col min="11265" max="11265" width="16.88671875" style="30" customWidth="1"/>
    <col min="11266" max="11268" width="16.5546875" style="30" customWidth="1"/>
    <col min="11269" max="11270" width="18.6640625" style="30" bestFit="1" customWidth="1"/>
    <col min="11271" max="11271" width="7.5546875" style="30" customWidth="1"/>
    <col min="11272" max="11272" width="15.44140625" style="30" bestFit="1" customWidth="1"/>
    <col min="11273" max="11273" width="14.5546875" style="30" bestFit="1" customWidth="1"/>
    <col min="11274" max="11274" width="16.44140625" style="30" bestFit="1" customWidth="1"/>
    <col min="11275" max="11275" width="11.33203125" style="30" bestFit="1" customWidth="1"/>
    <col min="11276" max="11514" width="9.109375" style="30"/>
    <col min="11515" max="11515" width="4.5546875" style="30" customWidth="1"/>
    <col min="11516" max="11516" width="37.6640625" style="30" customWidth="1"/>
    <col min="11517" max="11517" width="0" style="30" hidden="1" customWidth="1"/>
    <col min="11518" max="11518" width="1.6640625" style="30" customWidth="1"/>
    <col min="11519" max="11520" width="16.5546875" style="30" customWidth="1"/>
    <col min="11521" max="11521" width="16.88671875" style="30" customWidth="1"/>
    <col min="11522" max="11524" width="16.5546875" style="30" customWidth="1"/>
    <col min="11525" max="11526" width="18.6640625" style="30" bestFit="1" customWidth="1"/>
    <col min="11527" max="11527" width="7.5546875" style="30" customWidth="1"/>
    <col min="11528" max="11528" width="15.44140625" style="30" bestFit="1" customWidth="1"/>
    <col min="11529" max="11529" width="14.5546875" style="30" bestFit="1" customWidth="1"/>
    <col min="11530" max="11530" width="16.44140625" style="30" bestFit="1" customWidth="1"/>
    <col min="11531" max="11531" width="11.33203125" style="30" bestFit="1" customWidth="1"/>
    <col min="11532" max="11770" width="9.109375" style="30"/>
    <col min="11771" max="11771" width="4.5546875" style="30" customWidth="1"/>
    <col min="11772" max="11772" width="37.6640625" style="30" customWidth="1"/>
    <col min="11773" max="11773" width="0" style="30" hidden="1" customWidth="1"/>
    <col min="11774" max="11774" width="1.6640625" style="30" customWidth="1"/>
    <col min="11775" max="11776" width="16.5546875" style="30" customWidth="1"/>
    <col min="11777" max="11777" width="16.88671875" style="30" customWidth="1"/>
    <col min="11778" max="11780" width="16.5546875" style="30" customWidth="1"/>
    <col min="11781" max="11782" width="18.6640625" style="30" bestFit="1" customWidth="1"/>
    <col min="11783" max="11783" width="7.5546875" style="30" customWidth="1"/>
    <col min="11784" max="11784" width="15.44140625" style="30" bestFit="1" customWidth="1"/>
    <col min="11785" max="11785" width="14.5546875" style="30" bestFit="1" customWidth="1"/>
    <col min="11786" max="11786" width="16.44140625" style="30" bestFit="1" customWidth="1"/>
    <col min="11787" max="11787" width="11.33203125" style="30" bestFit="1" customWidth="1"/>
    <col min="11788" max="12026" width="9.109375" style="30"/>
    <col min="12027" max="12027" width="4.5546875" style="30" customWidth="1"/>
    <col min="12028" max="12028" width="37.6640625" style="30" customWidth="1"/>
    <col min="12029" max="12029" width="0" style="30" hidden="1" customWidth="1"/>
    <col min="12030" max="12030" width="1.6640625" style="30" customWidth="1"/>
    <col min="12031" max="12032" width="16.5546875" style="30" customWidth="1"/>
    <col min="12033" max="12033" width="16.88671875" style="30" customWidth="1"/>
    <col min="12034" max="12036" width="16.5546875" style="30" customWidth="1"/>
    <col min="12037" max="12038" width="18.6640625" style="30" bestFit="1" customWidth="1"/>
    <col min="12039" max="12039" width="7.5546875" style="30" customWidth="1"/>
    <col min="12040" max="12040" width="15.44140625" style="30" bestFit="1" customWidth="1"/>
    <col min="12041" max="12041" width="14.5546875" style="30" bestFit="1" customWidth="1"/>
    <col min="12042" max="12042" width="16.44140625" style="30" bestFit="1" customWidth="1"/>
    <col min="12043" max="12043" width="11.33203125" style="30" bestFit="1" customWidth="1"/>
    <col min="12044" max="12282" width="9.109375" style="30"/>
    <col min="12283" max="12283" width="4.5546875" style="30" customWidth="1"/>
    <col min="12284" max="12284" width="37.6640625" style="30" customWidth="1"/>
    <col min="12285" max="12285" width="0" style="30" hidden="1" customWidth="1"/>
    <col min="12286" max="12286" width="1.6640625" style="30" customWidth="1"/>
    <col min="12287" max="12288" width="16.5546875" style="30" customWidth="1"/>
    <col min="12289" max="12289" width="16.88671875" style="30" customWidth="1"/>
    <col min="12290" max="12292" width="16.5546875" style="30" customWidth="1"/>
    <col min="12293" max="12294" width="18.6640625" style="30" bestFit="1" customWidth="1"/>
    <col min="12295" max="12295" width="7.5546875" style="30" customWidth="1"/>
    <col min="12296" max="12296" width="15.44140625" style="30" bestFit="1" customWidth="1"/>
    <col min="12297" max="12297" width="14.5546875" style="30" bestFit="1" customWidth="1"/>
    <col min="12298" max="12298" width="16.44140625" style="30" bestFit="1" customWidth="1"/>
    <col min="12299" max="12299" width="11.33203125" style="30" bestFit="1" customWidth="1"/>
    <col min="12300" max="12538" width="9.109375" style="30"/>
    <col min="12539" max="12539" width="4.5546875" style="30" customWidth="1"/>
    <col min="12540" max="12540" width="37.6640625" style="30" customWidth="1"/>
    <col min="12541" max="12541" width="0" style="30" hidden="1" customWidth="1"/>
    <col min="12542" max="12542" width="1.6640625" style="30" customWidth="1"/>
    <col min="12543" max="12544" width="16.5546875" style="30" customWidth="1"/>
    <col min="12545" max="12545" width="16.88671875" style="30" customWidth="1"/>
    <col min="12546" max="12548" width="16.5546875" style="30" customWidth="1"/>
    <col min="12549" max="12550" width="18.6640625" style="30" bestFit="1" customWidth="1"/>
    <col min="12551" max="12551" width="7.5546875" style="30" customWidth="1"/>
    <col min="12552" max="12552" width="15.44140625" style="30" bestFit="1" customWidth="1"/>
    <col min="12553" max="12553" width="14.5546875" style="30" bestFit="1" customWidth="1"/>
    <col min="12554" max="12554" width="16.44140625" style="30" bestFit="1" customWidth="1"/>
    <col min="12555" max="12555" width="11.33203125" style="30" bestFit="1" customWidth="1"/>
    <col min="12556" max="12794" width="9.109375" style="30"/>
    <col min="12795" max="12795" width="4.5546875" style="30" customWidth="1"/>
    <col min="12796" max="12796" width="37.6640625" style="30" customWidth="1"/>
    <col min="12797" max="12797" width="0" style="30" hidden="1" customWidth="1"/>
    <col min="12798" max="12798" width="1.6640625" style="30" customWidth="1"/>
    <col min="12799" max="12800" width="16.5546875" style="30" customWidth="1"/>
    <col min="12801" max="12801" width="16.88671875" style="30" customWidth="1"/>
    <col min="12802" max="12804" width="16.5546875" style="30" customWidth="1"/>
    <col min="12805" max="12806" width="18.6640625" style="30" bestFit="1" customWidth="1"/>
    <col min="12807" max="12807" width="7.5546875" style="30" customWidth="1"/>
    <col min="12808" max="12808" width="15.44140625" style="30" bestFit="1" customWidth="1"/>
    <col min="12809" max="12809" width="14.5546875" style="30" bestFit="1" customWidth="1"/>
    <col min="12810" max="12810" width="16.44140625" style="30" bestFit="1" customWidth="1"/>
    <col min="12811" max="12811" width="11.33203125" style="30" bestFit="1" customWidth="1"/>
    <col min="12812" max="13050" width="9.109375" style="30"/>
    <col min="13051" max="13051" width="4.5546875" style="30" customWidth="1"/>
    <col min="13052" max="13052" width="37.6640625" style="30" customWidth="1"/>
    <col min="13053" max="13053" width="0" style="30" hidden="1" customWidth="1"/>
    <col min="13054" max="13054" width="1.6640625" style="30" customWidth="1"/>
    <col min="13055" max="13056" width="16.5546875" style="30" customWidth="1"/>
    <col min="13057" max="13057" width="16.88671875" style="30" customWidth="1"/>
    <col min="13058" max="13060" width="16.5546875" style="30" customWidth="1"/>
    <col min="13061" max="13062" width="18.6640625" style="30" bestFit="1" customWidth="1"/>
    <col min="13063" max="13063" width="7.5546875" style="30" customWidth="1"/>
    <col min="13064" max="13064" width="15.44140625" style="30" bestFit="1" customWidth="1"/>
    <col min="13065" max="13065" width="14.5546875" style="30" bestFit="1" customWidth="1"/>
    <col min="13066" max="13066" width="16.44140625" style="30" bestFit="1" customWidth="1"/>
    <col min="13067" max="13067" width="11.33203125" style="30" bestFit="1" customWidth="1"/>
    <col min="13068" max="13306" width="9.109375" style="30"/>
    <col min="13307" max="13307" width="4.5546875" style="30" customWidth="1"/>
    <col min="13308" max="13308" width="37.6640625" style="30" customWidth="1"/>
    <col min="13309" max="13309" width="0" style="30" hidden="1" customWidth="1"/>
    <col min="13310" max="13310" width="1.6640625" style="30" customWidth="1"/>
    <col min="13311" max="13312" width="16.5546875" style="30" customWidth="1"/>
    <col min="13313" max="13313" width="16.88671875" style="30" customWidth="1"/>
    <col min="13314" max="13316" width="16.5546875" style="30" customWidth="1"/>
    <col min="13317" max="13318" width="18.6640625" style="30" bestFit="1" customWidth="1"/>
    <col min="13319" max="13319" width="7.5546875" style="30" customWidth="1"/>
    <col min="13320" max="13320" width="15.44140625" style="30" bestFit="1" customWidth="1"/>
    <col min="13321" max="13321" width="14.5546875" style="30" bestFit="1" customWidth="1"/>
    <col min="13322" max="13322" width="16.44140625" style="30" bestFit="1" customWidth="1"/>
    <col min="13323" max="13323" width="11.33203125" style="30" bestFit="1" customWidth="1"/>
    <col min="13324" max="13562" width="9.109375" style="30"/>
    <col min="13563" max="13563" width="4.5546875" style="30" customWidth="1"/>
    <col min="13564" max="13564" width="37.6640625" style="30" customWidth="1"/>
    <col min="13565" max="13565" width="0" style="30" hidden="1" customWidth="1"/>
    <col min="13566" max="13566" width="1.6640625" style="30" customWidth="1"/>
    <col min="13567" max="13568" width="16.5546875" style="30" customWidth="1"/>
    <col min="13569" max="13569" width="16.88671875" style="30" customWidth="1"/>
    <col min="13570" max="13572" width="16.5546875" style="30" customWidth="1"/>
    <col min="13573" max="13574" width="18.6640625" style="30" bestFit="1" customWidth="1"/>
    <col min="13575" max="13575" width="7.5546875" style="30" customWidth="1"/>
    <col min="13576" max="13576" width="15.44140625" style="30" bestFit="1" customWidth="1"/>
    <col min="13577" max="13577" width="14.5546875" style="30" bestFit="1" customWidth="1"/>
    <col min="13578" max="13578" width="16.44140625" style="30" bestFit="1" customWidth="1"/>
    <col min="13579" max="13579" width="11.33203125" style="30" bestFit="1" customWidth="1"/>
    <col min="13580" max="13818" width="9.109375" style="30"/>
    <col min="13819" max="13819" width="4.5546875" style="30" customWidth="1"/>
    <col min="13820" max="13820" width="37.6640625" style="30" customWidth="1"/>
    <col min="13821" max="13821" width="0" style="30" hidden="1" customWidth="1"/>
    <col min="13822" max="13822" width="1.6640625" style="30" customWidth="1"/>
    <col min="13823" max="13824" width="16.5546875" style="30" customWidth="1"/>
    <col min="13825" max="13825" width="16.88671875" style="30" customWidth="1"/>
    <col min="13826" max="13828" width="16.5546875" style="30" customWidth="1"/>
    <col min="13829" max="13830" width="18.6640625" style="30" bestFit="1" customWidth="1"/>
    <col min="13831" max="13831" width="7.5546875" style="30" customWidth="1"/>
    <col min="13832" max="13832" width="15.44140625" style="30" bestFit="1" customWidth="1"/>
    <col min="13833" max="13833" width="14.5546875" style="30" bestFit="1" customWidth="1"/>
    <col min="13834" max="13834" width="16.44140625" style="30" bestFit="1" customWidth="1"/>
    <col min="13835" max="13835" width="11.33203125" style="30" bestFit="1" customWidth="1"/>
    <col min="13836" max="14074" width="9.109375" style="30"/>
    <col min="14075" max="14075" width="4.5546875" style="30" customWidth="1"/>
    <col min="14076" max="14076" width="37.6640625" style="30" customWidth="1"/>
    <col min="14077" max="14077" width="0" style="30" hidden="1" customWidth="1"/>
    <col min="14078" max="14078" width="1.6640625" style="30" customWidth="1"/>
    <col min="14079" max="14080" width="16.5546875" style="30" customWidth="1"/>
    <col min="14081" max="14081" width="16.88671875" style="30" customWidth="1"/>
    <col min="14082" max="14084" width="16.5546875" style="30" customWidth="1"/>
    <col min="14085" max="14086" width="18.6640625" style="30" bestFit="1" customWidth="1"/>
    <col min="14087" max="14087" width="7.5546875" style="30" customWidth="1"/>
    <col min="14088" max="14088" width="15.44140625" style="30" bestFit="1" customWidth="1"/>
    <col min="14089" max="14089" width="14.5546875" style="30" bestFit="1" customWidth="1"/>
    <col min="14090" max="14090" width="16.44140625" style="30" bestFit="1" customWidth="1"/>
    <col min="14091" max="14091" width="11.33203125" style="30" bestFit="1" customWidth="1"/>
    <col min="14092" max="14330" width="9.109375" style="30"/>
    <col min="14331" max="14331" width="4.5546875" style="30" customWidth="1"/>
    <col min="14332" max="14332" width="37.6640625" style="30" customWidth="1"/>
    <col min="14333" max="14333" width="0" style="30" hidden="1" customWidth="1"/>
    <col min="14334" max="14334" width="1.6640625" style="30" customWidth="1"/>
    <col min="14335" max="14336" width="16.5546875" style="30" customWidth="1"/>
    <col min="14337" max="14337" width="16.88671875" style="30" customWidth="1"/>
    <col min="14338" max="14340" width="16.5546875" style="30" customWidth="1"/>
    <col min="14341" max="14342" width="18.6640625" style="30" bestFit="1" customWidth="1"/>
    <col min="14343" max="14343" width="7.5546875" style="30" customWidth="1"/>
    <col min="14344" max="14344" width="15.44140625" style="30" bestFit="1" customWidth="1"/>
    <col min="14345" max="14345" width="14.5546875" style="30" bestFit="1" customWidth="1"/>
    <col min="14346" max="14346" width="16.44140625" style="30" bestFit="1" customWidth="1"/>
    <col min="14347" max="14347" width="11.33203125" style="30" bestFit="1" customWidth="1"/>
    <col min="14348" max="14586" width="9.109375" style="30"/>
    <col min="14587" max="14587" width="4.5546875" style="30" customWidth="1"/>
    <col min="14588" max="14588" width="37.6640625" style="30" customWidth="1"/>
    <col min="14589" max="14589" width="0" style="30" hidden="1" customWidth="1"/>
    <col min="14590" max="14590" width="1.6640625" style="30" customWidth="1"/>
    <col min="14591" max="14592" width="16.5546875" style="30" customWidth="1"/>
    <col min="14593" max="14593" width="16.88671875" style="30" customWidth="1"/>
    <col min="14594" max="14596" width="16.5546875" style="30" customWidth="1"/>
    <col min="14597" max="14598" width="18.6640625" style="30" bestFit="1" customWidth="1"/>
    <col min="14599" max="14599" width="7.5546875" style="30" customWidth="1"/>
    <col min="14600" max="14600" width="15.44140625" style="30" bestFit="1" customWidth="1"/>
    <col min="14601" max="14601" width="14.5546875" style="30" bestFit="1" customWidth="1"/>
    <col min="14602" max="14602" width="16.44140625" style="30" bestFit="1" customWidth="1"/>
    <col min="14603" max="14603" width="11.33203125" style="30" bestFit="1" customWidth="1"/>
    <col min="14604" max="14842" width="9.109375" style="30"/>
    <col min="14843" max="14843" width="4.5546875" style="30" customWidth="1"/>
    <col min="14844" max="14844" width="37.6640625" style="30" customWidth="1"/>
    <col min="14845" max="14845" width="0" style="30" hidden="1" customWidth="1"/>
    <col min="14846" max="14846" width="1.6640625" style="30" customWidth="1"/>
    <col min="14847" max="14848" width="16.5546875" style="30" customWidth="1"/>
    <col min="14849" max="14849" width="16.88671875" style="30" customWidth="1"/>
    <col min="14850" max="14852" width="16.5546875" style="30" customWidth="1"/>
    <col min="14853" max="14854" width="18.6640625" style="30" bestFit="1" customWidth="1"/>
    <col min="14855" max="14855" width="7.5546875" style="30" customWidth="1"/>
    <col min="14856" max="14856" width="15.44140625" style="30" bestFit="1" customWidth="1"/>
    <col min="14857" max="14857" width="14.5546875" style="30" bestFit="1" customWidth="1"/>
    <col min="14858" max="14858" width="16.44140625" style="30" bestFit="1" customWidth="1"/>
    <col min="14859" max="14859" width="11.33203125" style="30" bestFit="1" customWidth="1"/>
    <col min="14860" max="15098" width="9.109375" style="30"/>
    <col min="15099" max="15099" width="4.5546875" style="30" customWidth="1"/>
    <col min="15100" max="15100" width="37.6640625" style="30" customWidth="1"/>
    <col min="15101" max="15101" width="0" style="30" hidden="1" customWidth="1"/>
    <col min="15102" max="15102" width="1.6640625" style="30" customWidth="1"/>
    <col min="15103" max="15104" width="16.5546875" style="30" customWidth="1"/>
    <col min="15105" max="15105" width="16.88671875" style="30" customWidth="1"/>
    <col min="15106" max="15108" width="16.5546875" style="30" customWidth="1"/>
    <col min="15109" max="15110" width="18.6640625" style="30" bestFit="1" customWidth="1"/>
    <col min="15111" max="15111" width="7.5546875" style="30" customWidth="1"/>
    <col min="15112" max="15112" width="15.44140625" style="30" bestFit="1" customWidth="1"/>
    <col min="15113" max="15113" width="14.5546875" style="30" bestFit="1" customWidth="1"/>
    <col min="15114" max="15114" width="16.44140625" style="30" bestFit="1" customWidth="1"/>
    <col min="15115" max="15115" width="11.33203125" style="30" bestFit="1" customWidth="1"/>
    <col min="15116" max="15354" width="9.109375" style="30"/>
    <col min="15355" max="15355" width="4.5546875" style="30" customWidth="1"/>
    <col min="15356" max="15356" width="37.6640625" style="30" customWidth="1"/>
    <col min="15357" max="15357" width="0" style="30" hidden="1" customWidth="1"/>
    <col min="15358" max="15358" width="1.6640625" style="30" customWidth="1"/>
    <col min="15359" max="15360" width="16.5546875" style="30" customWidth="1"/>
    <col min="15361" max="15361" width="16.88671875" style="30" customWidth="1"/>
    <col min="15362" max="15364" width="16.5546875" style="30" customWidth="1"/>
    <col min="15365" max="15366" width="18.6640625" style="30" bestFit="1" customWidth="1"/>
    <col min="15367" max="15367" width="7.5546875" style="30" customWidth="1"/>
    <col min="15368" max="15368" width="15.44140625" style="30" bestFit="1" customWidth="1"/>
    <col min="15369" max="15369" width="14.5546875" style="30" bestFit="1" customWidth="1"/>
    <col min="15370" max="15370" width="16.44140625" style="30" bestFit="1" customWidth="1"/>
    <col min="15371" max="15371" width="11.33203125" style="30" bestFit="1" customWidth="1"/>
    <col min="15372" max="15610" width="9.109375" style="30"/>
    <col min="15611" max="15611" width="4.5546875" style="30" customWidth="1"/>
    <col min="15612" max="15612" width="37.6640625" style="30" customWidth="1"/>
    <col min="15613" max="15613" width="0" style="30" hidden="1" customWidth="1"/>
    <col min="15614" max="15614" width="1.6640625" style="30" customWidth="1"/>
    <col min="15615" max="15616" width="16.5546875" style="30" customWidth="1"/>
    <col min="15617" max="15617" width="16.88671875" style="30" customWidth="1"/>
    <col min="15618" max="15620" width="16.5546875" style="30" customWidth="1"/>
    <col min="15621" max="15622" width="18.6640625" style="30" bestFit="1" customWidth="1"/>
    <col min="15623" max="15623" width="7.5546875" style="30" customWidth="1"/>
    <col min="15624" max="15624" width="15.44140625" style="30" bestFit="1" customWidth="1"/>
    <col min="15625" max="15625" width="14.5546875" style="30" bestFit="1" customWidth="1"/>
    <col min="15626" max="15626" width="16.44140625" style="30" bestFit="1" customWidth="1"/>
    <col min="15627" max="15627" width="11.33203125" style="30" bestFit="1" customWidth="1"/>
    <col min="15628" max="15866" width="9.109375" style="30"/>
    <col min="15867" max="15867" width="4.5546875" style="30" customWidth="1"/>
    <col min="15868" max="15868" width="37.6640625" style="30" customWidth="1"/>
    <col min="15869" max="15869" width="0" style="30" hidden="1" customWidth="1"/>
    <col min="15870" max="15870" width="1.6640625" style="30" customWidth="1"/>
    <col min="15871" max="15872" width="16.5546875" style="30" customWidth="1"/>
    <col min="15873" max="15873" width="16.88671875" style="30" customWidth="1"/>
    <col min="15874" max="15876" width="16.5546875" style="30" customWidth="1"/>
    <col min="15877" max="15878" width="18.6640625" style="30" bestFit="1" customWidth="1"/>
    <col min="15879" max="15879" width="7.5546875" style="30" customWidth="1"/>
    <col min="15880" max="15880" width="15.44140625" style="30" bestFit="1" customWidth="1"/>
    <col min="15881" max="15881" width="14.5546875" style="30" bestFit="1" customWidth="1"/>
    <col min="15882" max="15882" width="16.44140625" style="30" bestFit="1" customWidth="1"/>
    <col min="15883" max="15883" width="11.33203125" style="30" bestFit="1" customWidth="1"/>
    <col min="15884" max="16122" width="9.109375" style="30"/>
    <col min="16123" max="16123" width="4.5546875" style="30" customWidth="1"/>
    <col min="16124" max="16124" width="37.6640625" style="30" customWidth="1"/>
    <col min="16125" max="16125" width="0" style="30" hidden="1" customWidth="1"/>
    <col min="16126" max="16126" width="1.6640625" style="30" customWidth="1"/>
    <col min="16127" max="16128" width="16.5546875" style="30" customWidth="1"/>
    <col min="16129" max="16129" width="16.88671875" style="30" customWidth="1"/>
    <col min="16130" max="16132" width="16.5546875" style="30" customWidth="1"/>
    <col min="16133" max="16134" width="18.6640625" style="30" bestFit="1" customWidth="1"/>
    <col min="16135" max="16135" width="7.5546875" style="30" customWidth="1"/>
    <col min="16136" max="16136" width="15.44140625" style="30" bestFit="1" customWidth="1"/>
    <col min="16137" max="16137" width="14.5546875" style="30" bestFit="1" customWidth="1"/>
    <col min="16138" max="16138" width="16.44140625" style="30" bestFit="1" customWidth="1"/>
    <col min="16139" max="16139" width="11.33203125" style="30" bestFit="1" customWidth="1"/>
    <col min="16140" max="16384" width="9.109375" style="30"/>
  </cols>
  <sheetData>
    <row r="4" spans="2:9" s="4" customFormat="1" ht="16.2" x14ac:dyDescent="0.3">
      <c r="B4" s="149" t="s">
        <v>111</v>
      </c>
      <c r="C4" s="2"/>
      <c r="D4" s="2"/>
      <c r="E4" s="3"/>
      <c r="F4" s="2"/>
      <c r="G4" s="3"/>
      <c r="H4" s="3"/>
      <c r="I4" s="5"/>
    </row>
    <row r="5" spans="2:9" s="4" customFormat="1" ht="13.8" x14ac:dyDescent="0.25">
      <c r="B5" s="150" t="s">
        <v>0</v>
      </c>
      <c r="C5" s="2"/>
      <c r="D5" s="2"/>
      <c r="E5" s="3"/>
      <c r="F5" s="2"/>
      <c r="G5" s="3"/>
      <c r="H5" s="3"/>
      <c r="I5" s="5"/>
    </row>
    <row r="6" spans="2:9" s="4" customFormat="1" ht="13.8" x14ac:dyDescent="0.25">
      <c r="B6" s="151">
        <v>43800</v>
      </c>
      <c r="C6" s="2"/>
      <c r="D6" s="2"/>
      <c r="E6" s="3"/>
      <c r="F6" s="2"/>
      <c r="G6" s="3"/>
      <c r="H6" s="3"/>
      <c r="I6" s="5"/>
    </row>
    <row r="7" spans="2:9" s="4" customFormat="1" ht="11.25" customHeight="1" x14ac:dyDescent="0.2">
      <c r="B7" s="6"/>
      <c r="C7" s="2"/>
      <c r="D7" s="2"/>
      <c r="E7" s="3"/>
      <c r="F7" s="2"/>
      <c r="G7" s="3"/>
      <c r="H7" s="3"/>
      <c r="I7" s="5"/>
    </row>
    <row r="8" spans="2:9" s="4" customFormat="1" ht="16.2" x14ac:dyDescent="0.35">
      <c r="B8" s="207"/>
      <c r="C8" s="100" t="s">
        <v>114</v>
      </c>
      <c r="D8" s="202"/>
      <c r="E8" s="201" t="s">
        <v>133</v>
      </c>
      <c r="F8" s="202"/>
      <c r="G8" s="185" t="s">
        <v>113</v>
      </c>
      <c r="H8" s="7"/>
      <c r="I8" s="5"/>
    </row>
    <row r="9" spans="2:9" s="4" customFormat="1" ht="16.2" x14ac:dyDescent="0.35">
      <c r="B9" s="208" t="s">
        <v>112</v>
      </c>
      <c r="C9" s="203" t="s">
        <v>2</v>
      </c>
      <c r="D9" s="204"/>
      <c r="E9" s="205" t="s">
        <v>2</v>
      </c>
      <c r="F9" s="204"/>
      <c r="G9" s="206" t="s">
        <v>2</v>
      </c>
      <c r="H9" s="8"/>
      <c r="I9" s="5"/>
    </row>
    <row r="10" spans="2:9" s="4" customFormat="1" x14ac:dyDescent="0.2">
      <c r="B10" s="90"/>
      <c r="C10" s="110"/>
      <c r="D10" s="124"/>
      <c r="E10" s="110"/>
      <c r="F10" s="124"/>
      <c r="G10" s="110"/>
      <c r="H10" s="13"/>
      <c r="I10" s="5"/>
    </row>
    <row r="11" spans="2:9" s="4" customFormat="1" x14ac:dyDescent="0.2">
      <c r="B11" s="191" t="s">
        <v>5</v>
      </c>
      <c r="C11" s="122">
        <v>1675036.25</v>
      </c>
      <c r="D11" s="124"/>
      <c r="E11" s="122">
        <v>1700000</v>
      </c>
      <c r="F11" s="124"/>
      <c r="G11" s="122">
        <v>1754050.74</v>
      </c>
      <c r="H11" s="14"/>
      <c r="I11" s="5"/>
    </row>
    <row r="12" spans="2:9" s="4" customFormat="1" x14ac:dyDescent="0.2">
      <c r="B12" s="192"/>
      <c r="C12" s="108"/>
      <c r="D12" s="124"/>
      <c r="E12" s="118"/>
      <c r="F12" s="124"/>
      <c r="G12" s="118"/>
      <c r="H12" s="10"/>
      <c r="I12" s="5"/>
    </row>
    <row r="13" spans="2:9" s="4" customFormat="1" x14ac:dyDescent="0.2">
      <c r="B13" s="191" t="s">
        <v>12</v>
      </c>
      <c r="C13" s="108">
        <v>1256394.1800000002</v>
      </c>
      <c r="D13" s="124"/>
      <c r="E13" s="108">
        <v>1300000</v>
      </c>
      <c r="F13" s="124"/>
      <c r="G13" s="108">
        <v>1330873.6399999997</v>
      </c>
      <c r="H13" s="19"/>
      <c r="I13" s="5"/>
    </row>
    <row r="14" spans="2:9" s="4" customFormat="1" x14ac:dyDescent="0.2">
      <c r="B14" s="90"/>
      <c r="C14" s="110"/>
      <c r="D14" s="124"/>
      <c r="E14" s="110"/>
      <c r="F14" s="124"/>
      <c r="G14" s="110"/>
      <c r="H14" s="13"/>
      <c r="I14" s="5"/>
    </row>
    <row r="15" spans="2:9" s="4" customFormat="1" x14ac:dyDescent="0.2">
      <c r="B15" s="191" t="s">
        <v>13</v>
      </c>
      <c r="C15" s="194">
        <f>+C11-C13</f>
        <v>418642.06999999983</v>
      </c>
      <c r="D15" s="124"/>
      <c r="E15" s="194">
        <f>+E11-E13</f>
        <v>400000</v>
      </c>
      <c r="F15" s="124"/>
      <c r="G15" s="194">
        <f>+G11-G13</f>
        <v>423177.10000000033</v>
      </c>
      <c r="H15" s="19"/>
      <c r="I15" s="11"/>
    </row>
    <row r="16" spans="2:9" s="4" customFormat="1" x14ac:dyDescent="0.2">
      <c r="B16" s="88"/>
      <c r="C16" s="108"/>
      <c r="D16" s="124"/>
      <c r="E16" s="108"/>
      <c r="F16" s="124"/>
      <c r="G16" s="108"/>
      <c r="H16" s="19"/>
      <c r="I16" s="11"/>
    </row>
    <row r="17" spans="2:11" s="4" customFormat="1" x14ac:dyDescent="0.2">
      <c r="B17" s="191" t="s">
        <v>14</v>
      </c>
      <c r="C17" s="195">
        <f>+C15/C11</f>
        <v>0.24993015524290882</v>
      </c>
      <c r="D17" s="124"/>
      <c r="E17" s="195">
        <f>+E15/E11</f>
        <v>0.23529411764705882</v>
      </c>
      <c r="F17" s="124"/>
      <c r="G17" s="195">
        <f>+G15/G11</f>
        <v>0.24125704596207995</v>
      </c>
      <c r="H17" s="20"/>
      <c r="I17" s="5"/>
    </row>
    <row r="18" spans="2:11" s="4" customFormat="1" x14ac:dyDescent="0.2">
      <c r="B18" s="90"/>
      <c r="C18" s="110"/>
      <c r="D18" s="124"/>
      <c r="E18" s="110"/>
      <c r="F18" s="124"/>
      <c r="G18" s="110"/>
      <c r="H18" s="13"/>
      <c r="I18" s="5"/>
    </row>
    <row r="19" spans="2:11" s="4" customFormat="1" x14ac:dyDescent="0.2">
      <c r="B19" s="191" t="s">
        <v>19</v>
      </c>
      <c r="C19" s="122">
        <v>29568.11</v>
      </c>
      <c r="D19" s="124"/>
      <c r="E19" s="122">
        <v>30000</v>
      </c>
      <c r="F19" s="124"/>
      <c r="G19" s="122">
        <v>31254.489999999998</v>
      </c>
      <c r="H19" s="14"/>
      <c r="I19" s="5"/>
    </row>
    <row r="20" spans="2:11" s="12" customFormat="1" x14ac:dyDescent="0.2">
      <c r="B20" s="90"/>
      <c r="C20" s="114"/>
      <c r="D20" s="124"/>
      <c r="E20" s="118"/>
      <c r="F20" s="124"/>
      <c r="G20" s="118"/>
      <c r="H20" s="17"/>
      <c r="I20" s="11"/>
    </row>
    <row r="21" spans="2:11" s="12" customFormat="1" x14ac:dyDescent="0.2">
      <c r="B21" s="191" t="s">
        <v>66</v>
      </c>
      <c r="C21" s="196">
        <v>331949.60000000015</v>
      </c>
      <c r="D21" s="124"/>
      <c r="E21" s="196">
        <v>320000</v>
      </c>
      <c r="F21" s="124"/>
      <c r="G21" s="196">
        <v>338942.51999999979</v>
      </c>
      <c r="H21" s="21"/>
      <c r="I21" s="11"/>
    </row>
    <row r="22" spans="2:11" s="12" customFormat="1" x14ac:dyDescent="0.2">
      <c r="B22" s="90"/>
      <c r="C22" s="129"/>
      <c r="D22" s="124"/>
      <c r="E22" s="129"/>
      <c r="F22" s="124"/>
      <c r="G22" s="129"/>
      <c r="H22" s="22"/>
      <c r="I22" s="11"/>
    </row>
    <row r="23" spans="2:11" s="12" customFormat="1" x14ac:dyDescent="0.2">
      <c r="B23" s="191" t="s">
        <v>116</v>
      </c>
      <c r="C23" s="197">
        <f>C15+C19-C21</f>
        <v>116260.57999999967</v>
      </c>
      <c r="D23" s="124"/>
      <c r="E23" s="197">
        <f>E15+E19-E21</f>
        <v>110000</v>
      </c>
      <c r="F23" s="124"/>
      <c r="G23" s="197">
        <f>G15+G19-G21</f>
        <v>115489.07000000053</v>
      </c>
      <c r="H23" s="22"/>
      <c r="I23" s="11"/>
    </row>
    <row r="24" spans="2:11" s="12" customFormat="1" x14ac:dyDescent="0.2">
      <c r="B24" s="90"/>
      <c r="C24" s="129"/>
      <c r="D24" s="124"/>
      <c r="E24" s="129"/>
      <c r="F24" s="124"/>
      <c r="G24" s="129"/>
      <c r="H24" s="22"/>
      <c r="I24" s="11"/>
    </row>
    <row r="25" spans="2:11" s="12" customFormat="1" x14ac:dyDescent="0.2">
      <c r="B25" s="90" t="s">
        <v>65</v>
      </c>
      <c r="C25" s="129">
        <v>2155</v>
      </c>
      <c r="D25" s="124"/>
      <c r="E25" s="129">
        <v>2000</v>
      </c>
      <c r="F25" s="124"/>
      <c r="G25" s="129">
        <v>1800</v>
      </c>
      <c r="H25" s="22"/>
      <c r="I25" s="11"/>
    </row>
    <row r="26" spans="2:11" s="12" customFormat="1" x14ac:dyDescent="0.2">
      <c r="B26" s="90" t="s">
        <v>62</v>
      </c>
      <c r="C26" s="107"/>
      <c r="D26" s="124"/>
      <c r="E26" s="107"/>
      <c r="F26" s="124"/>
      <c r="G26" s="107"/>
      <c r="H26" s="22"/>
      <c r="I26" s="11"/>
    </row>
    <row r="27" spans="2:11" s="12" customFormat="1" x14ac:dyDescent="0.2">
      <c r="B27" s="90"/>
      <c r="C27" s="129"/>
      <c r="D27" s="124"/>
      <c r="E27" s="129"/>
      <c r="F27" s="124"/>
      <c r="G27" s="129"/>
      <c r="H27" s="22"/>
      <c r="I27" s="11"/>
    </row>
    <row r="28" spans="2:11" s="12" customFormat="1" x14ac:dyDescent="0.2">
      <c r="B28" s="191" t="s">
        <v>117</v>
      </c>
      <c r="C28" s="198">
        <f t="shared" ref="C28" si="0">C23-C25-C26</f>
        <v>114105.57999999967</v>
      </c>
      <c r="D28" s="124"/>
      <c r="E28" s="198">
        <f t="shared" ref="E28:G28" si="1">E23-E25-E26</f>
        <v>108000</v>
      </c>
      <c r="F28" s="124"/>
      <c r="G28" s="198">
        <f t="shared" si="1"/>
        <v>113689.07000000053</v>
      </c>
      <c r="H28" s="23"/>
      <c r="I28" s="11"/>
      <c r="K28" s="24"/>
    </row>
    <row r="29" spans="2:11" s="12" customFormat="1" x14ac:dyDescent="0.2">
      <c r="B29" s="90"/>
      <c r="C29" s="97"/>
      <c r="D29" s="124"/>
      <c r="E29" s="97"/>
      <c r="F29" s="124"/>
      <c r="G29" s="97"/>
      <c r="H29" s="23"/>
      <c r="I29" s="11"/>
      <c r="K29" s="24"/>
    </row>
    <row r="30" spans="2:11" s="12" customFormat="1" x14ac:dyDescent="0.2">
      <c r="B30" s="191" t="s">
        <v>67</v>
      </c>
      <c r="C30" s="199">
        <f>(C28/C11)</f>
        <v>6.812126006228203E-2</v>
      </c>
      <c r="D30" s="124"/>
      <c r="E30" s="199">
        <f>(E28/E11)</f>
        <v>6.3529411764705876E-2</v>
      </c>
      <c r="F30" s="124"/>
      <c r="G30" s="199">
        <f>(G28/G11)</f>
        <v>6.4815154663086044E-2</v>
      </c>
      <c r="H30" s="23"/>
      <c r="I30" s="11"/>
      <c r="K30" s="24"/>
    </row>
    <row r="31" spans="2:11" s="12" customFormat="1" x14ac:dyDescent="0.2">
      <c r="B31" s="90"/>
      <c r="C31" s="97"/>
      <c r="D31" s="124"/>
      <c r="E31" s="97"/>
      <c r="F31" s="124"/>
      <c r="G31" s="97"/>
      <c r="H31" s="23"/>
      <c r="I31" s="11"/>
      <c r="K31" s="24"/>
    </row>
    <row r="32" spans="2:11" s="12" customFormat="1" x14ac:dyDescent="0.2">
      <c r="B32" s="90" t="s">
        <v>64</v>
      </c>
      <c r="C32" s="97"/>
      <c r="D32" s="124"/>
      <c r="E32" s="161">
        <v>0</v>
      </c>
      <c r="F32" s="124"/>
      <c r="G32" s="161">
        <v>3467</v>
      </c>
      <c r="H32" s="23"/>
      <c r="I32" s="11"/>
      <c r="K32" s="24"/>
    </row>
    <row r="33" spans="2:11" s="12" customFormat="1" x14ac:dyDescent="0.2">
      <c r="B33" s="90"/>
      <c r="C33" s="97"/>
      <c r="D33" s="124"/>
      <c r="E33" s="97"/>
      <c r="F33" s="124"/>
      <c r="G33" s="97"/>
      <c r="H33" s="23"/>
      <c r="I33" s="11"/>
      <c r="K33" s="24"/>
    </row>
    <row r="34" spans="2:11" s="4" customFormat="1" x14ac:dyDescent="0.2">
      <c r="B34" s="191" t="s">
        <v>118</v>
      </c>
      <c r="C34" s="198">
        <f t="shared" ref="C34" si="2">C28-C32</f>
        <v>114105.57999999967</v>
      </c>
      <c r="D34" s="124"/>
      <c r="E34" s="198">
        <f t="shared" ref="E34:G34" si="3">E28-E32</f>
        <v>108000</v>
      </c>
      <c r="F34" s="124"/>
      <c r="G34" s="198">
        <f t="shared" si="3"/>
        <v>110222.07000000053</v>
      </c>
      <c r="H34" s="13"/>
      <c r="I34" s="5"/>
    </row>
    <row r="35" spans="2:11" s="4" customFormat="1" x14ac:dyDescent="0.2">
      <c r="B35" s="146"/>
      <c r="C35" s="146"/>
      <c r="D35" s="193"/>
      <c r="E35" s="25"/>
      <c r="F35" s="193"/>
      <c r="G35" s="25"/>
      <c r="H35" s="20"/>
      <c r="I35" s="5"/>
    </row>
    <row r="36" spans="2:11" s="4" customFormat="1" x14ac:dyDescent="0.2">
      <c r="B36" s="90" t="s">
        <v>119</v>
      </c>
      <c r="C36" s="25"/>
      <c r="D36" s="124"/>
      <c r="E36" s="162">
        <v>0</v>
      </c>
      <c r="F36" s="124"/>
      <c r="G36" s="162">
        <v>10000</v>
      </c>
      <c r="H36" s="13"/>
      <c r="I36" s="15"/>
    </row>
    <row r="37" spans="2:11" x14ac:dyDescent="0.2">
      <c r="B37" s="147"/>
      <c r="C37" s="16"/>
      <c r="D37" s="124"/>
      <c r="E37" s="16"/>
      <c r="F37" s="124"/>
      <c r="G37" s="16"/>
      <c r="H37" s="28"/>
    </row>
    <row r="38" spans="2:11" x14ac:dyDescent="0.2">
      <c r="B38" s="209" t="s">
        <v>120</v>
      </c>
      <c r="C38" s="200">
        <f t="shared" ref="C38" si="4">C34-C36</f>
        <v>114105.57999999967</v>
      </c>
      <c r="D38" s="124"/>
      <c r="E38" s="200">
        <f t="shared" ref="E38:G38" si="5">E34-E36</f>
        <v>108000</v>
      </c>
      <c r="F38" s="124"/>
      <c r="G38" s="200">
        <f t="shared" si="5"/>
        <v>100222.07000000053</v>
      </c>
      <c r="H38" s="28"/>
    </row>
    <row r="39" spans="2:11" x14ac:dyDescent="0.2">
      <c r="B39" s="12"/>
      <c r="C39" s="19"/>
      <c r="D39" s="31"/>
      <c r="F39" s="31"/>
    </row>
    <row r="40" spans="2:11" x14ac:dyDescent="0.2">
      <c r="B40" s="12"/>
      <c r="C40" s="19"/>
      <c r="D40" s="31"/>
      <c r="F40" s="31"/>
    </row>
    <row r="41" spans="2:11" x14ac:dyDescent="0.2">
      <c r="B41" s="12"/>
      <c r="C41" s="19"/>
      <c r="D41" s="31"/>
      <c r="F41" s="31"/>
    </row>
    <row r="42" spans="2:11" x14ac:dyDescent="0.2">
      <c r="B42" s="12"/>
      <c r="C42" s="19"/>
      <c r="D42" s="31"/>
      <c r="F42" s="31"/>
    </row>
    <row r="43" spans="2:11" x14ac:dyDescent="0.2">
      <c r="C43" s="19"/>
      <c r="D43" s="31"/>
      <c r="F43" s="31"/>
    </row>
    <row r="44" spans="2:11" x14ac:dyDescent="0.2">
      <c r="C44" s="19"/>
      <c r="D44" s="31"/>
      <c r="F44" s="31"/>
    </row>
    <row r="45" spans="2:11" x14ac:dyDescent="0.2">
      <c r="C45" s="31"/>
      <c r="D45" s="31"/>
      <c r="F45" s="31"/>
    </row>
    <row r="46" spans="2:11" x14ac:dyDescent="0.2">
      <c r="C46" s="31"/>
      <c r="D46" s="31"/>
      <c r="F46" s="31"/>
    </row>
    <row r="47" spans="2:11" x14ac:dyDescent="0.2">
      <c r="C47" s="31"/>
      <c r="D47" s="31"/>
      <c r="F47" s="31"/>
    </row>
    <row r="48" spans="2:11" x14ac:dyDescent="0.2">
      <c r="C48" s="31"/>
      <c r="D48" s="31"/>
      <c r="F48" s="31"/>
    </row>
    <row r="49" spans="3:6" x14ac:dyDescent="0.2">
      <c r="C49" s="31"/>
      <c r="D49" s="31"/>
      <c r="F49" s="31"/>
    </row>
    <row r="50" spans="3:6" x14ac:dyDescent="0.2">
      <c r="C50" s="31"/>
      <c r="D50" s="31"/>
      <c r="F50" s="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673D5-D6EF-41BD-9C38-AEAE7E87519C}">
  <dimension ref="B4:O112"/>
  <sheetViews>
    <sheetView zoomScaleNormal="100" workbookViewId="0">
      <pane xSplit="2" ySplit="9" topLeftCell="C10" activePane="bottomRight" state="frozen"/>
      <selection activeCell="C15" sqref="C15"/>
      <selection pane="topRight" activeCell="C15" sqref="C15"/>
      <selection pane="bottomLeft" activeCell="C15" sqref="C15"/>
      <selection pane="bottomRight" activeCell="C10" sqref="C10"/>
    </sheetView>
  </sheetViews>
  <sheetFormatPr defaultColWidth="9.109375" defaultRowHeight="12.6" x14ac:dyDescent="0.2"/>
  <cols>
    <col min="1" max="1" width="4.5546875" style="30" customWidth="1"/>
    <col min="2" max="2" width="40.88671875" style="4" customWidth="1"/>
    <col min="3" max="4" width="16.5546875" style="1" customWidth="1"/>
    <col min="5" max="5" width="16.88671875" style="1" customWidth="1"/>
    <col min="6" max="8" width="16.5546875" style="1" customWidth="1"/>
    <col min="9" max="9" width="18.6640625" style="2" bestFit="1" customWidth="1"/>
    <col min="10" max="10" width="4.33203125" style="2" customWidth="1"/>
    <col min="11" max="11" width="18.6640625" style="31" bestFit="1" customWidth="1"/>
    <col min="12" max="12" width="7.5546875" style="31" customWidth="1"/>
    <col min="13" max="13" width="14.5546875" style="29" bestFit="1" customWidth="1"/>
    <col min="14" max="14" width="16.44140625" style="30" bestFit="1" customWidth="1"/>
    <col min="15" max="15" width="11.33203125" style="30" bestFit="1" customWidth="1"/>
    <col min="16" max="254" width="9.109375" style="30"/>
    <col min="255" max="255" width="4.5546875" style="30" customWidth="1"/>
    <col min="256" max="256" width="37.6640625" style="30" customWidth="1"/>
    <col min="257" max="257" width="0" style="30" hidden="1" customWidth="1"/>
    <col min="258" max="258" width="1.6640625" style="30" customWidth="1"/>
    <col min="259" max="260" width="16.5546875" style="30" customWidth="1"/>
    <col min="261" max="261" width="16.88671875" style="30" customWidth="1"/>
    <col min="262" max="264" width="16.5546875" style="30" customWidth="1"/>
    <col min="265" max="266" width="18.6640625" style="30" bestFit="1" customWidth="1"/>
    <col min="267" max="267" width="7.5546875" style="30" customWidth="1"/>
    <col min="268" max="268" width="15.44140625" style="30" bestFit="1" customWidth="1"/>
    <col min="269" max="269" width="14.5546875" style="30" bestFit="1" customWidth="1"/>
    <col min="270" max="270" width="16.44140625" style="30" bestFit="1" customWidth="1"/>
    <col min="271" max="271" width="11.33203125" style="30" bestFit="1" customWidth="1"/>
    <col min="272" max="510" width="9.109375" style="30"/>
    <col min="511" max="511" width="4.5546875" style="30" customWidth="1"/>
    <col min="512" max="512" width="37.6640625" style="30" customWidth="1"/>
    <col min="513" max="513" width="0" style="30" hidden="1" customWidth="1"/>
    <col min="514" max="514" width="1.6640625" style="30" customWidth="1"/>
    <col min="515" max="516" width="16.5546875" style="30" customWidth="1"/>
    <col min="517" max="517" width="16.88671875" style="30" customWidth="1"/>
    <col min="518" max="520" width="16.5546875" style="30" customWidth="1"/>
    <col min="521" max="522" width="18.6640625" style="30" bestFit="1" customWidth="1"/>
    <col min="523" max="523" width="7.5546875" style="30" customWidth="1"/>
    <col min="524" max="524" width="15.44140625" style="30" bestFit="1" customWidth="1"/>
    <col min="525" max="525" width="14.5546875" style="30" bestFit="1" customWidth="1"/>
    <col min="526" max="526" width="16.44140625" style="30" bestFit="1" customWidth="1"/>
    <col min="527" max="527" width="11.33203125" style="30" bestFit="1" customWidth="1"/>
    <col min="528" max="766" width="9.109375" style="30"/>
    <col min="767" max="767" width="4.5546875" style="30" customWidth="1"/>
    <col min="768" max="768" width="37.6640625" style="30" customWidth="1"/>
    <col min="769" max="769" width="0" style="30" hidden="1" customWidth="1"/>
    <col min="770" max="770" width="1.6640625" style="30" customWidth="1"/>
    <col min="771" max="772" width="16.5546875" style="30" customWidth="1"/>
    <col min="773" max="773" width="16.88671875" style="30" customWidth="1"/>
    <col min="774" max="776" width="16.5546875" style="30" customWidth="1"/>
    <col min="777" max="778" width="18.6640625" style="30" bestFit="1" customWidth="1"/>
    <col min="779" max="779" width="7.5546875" style="30" customWidth="1"/>
    <col min="780" max="780" width="15.44140625" style="30" bestFit="1" customWidth="1"/>
    <col min="781" max="781" width="14.5546875" style="30" bestFit="1" customWidth="1"/>
    <col min="782" max="782" width="16.44140625" style="30" bestFit="1" customWidth="1"/>
    <col min="783" max="783" width="11.33203125" style="30" bestFit="1" customWidth="1"/>
    <col min="784" max="1022" width="9.109375" style="30"/>
    <col min="1023" max="1023" width="4.5546875" style="30" customWidth="1"/>
    <col min="1024" max="1024" width="37.6640625" style="30" customWidth="1"/>
    <col min="1025" max="1025" width="0" style="30" hidden="1" customWidth="1"/>
    <col min="1026" max="1026" width="1.6640625" style="30" customWidth="1"/>
    <col min="1027" max="1028" width="16.5546875" style="30" customWidth="1"/>
    <col min="1029" max="1029" width="16.88671875" style="30" customWidth="1"/>
    <col min="1030" max="1032" width="16.5546875" style="30" customWidth="1"/>
    <col min="1033" max="1034" width="18.6640625" style="30" bestFit="1" customWidth="1"/>
    <col min="1035" max="1035" width="7.5546875" style="30" customWidth="1"/>
    <col min="1036" max="1036" width="15.44140625" style="30" bestFit="1" customWidth="1"/>
    <col min="1037" max="1037" width="14.5546875" style="30" bestFit="1" customWidth="1"/>
    <col min="1038" max="1038" width="16.44140625" style="30" bestFit="1" customWidth="1"/>
    <col min="1039" max="1039" width="11.33203125" style="30" bestFit="1" customWidth="1"/>
    <col min="1040" max="1278" width="9.109375" style="30"/>
    <col min="1279" max="1279" width="4.5546875" style="30" customWidth="1"/>
    <col min="1280" max="1280" width="37.6640625" style="30" customWidth="1"/>
    <col min="1281" max="1281" width="0" style="30" hidden="1" customWidth="1"/>
    <col min="1282" max="1282" width="1.6640625" style="30" customWidth="1"/>
    <col min="1283" max="1284" width="16.5546875" style="30" customWidth="1"/>
    <col min="1285" max="1285" width="16.88671875" style="30" customWidth="1"/>
    <col min="1286" max="1288" width="16.5546875" style="30" customWidth="1"/>
    <col min="1289" max="1290" width="18.6640625" style="30" bestFit="1" customWidth="1"/>
    <col min="1291" max="1291" width="7.5546875" style="30" customWidth="1"/>
    <col min="1292" max="1292" width="15.44140625" style="30" bestFit="1" customWidth="1"/>
    <col min="1293" max="1293" width="14.5546875" style="30" bestFit="1" customWidth="1"/>
    <col min="1294" max="1294" width="16.44140625" style="30" bestFit="1" customWidth="1"/>
    <col min="1295" max="1295" width="11.33203125" style="30" bestFit="1" customWidth="1"/>
    <col min="1296" max="1534" width="9.109375" style="30"/>
    <col min="1535" max="1535" width="4.5546875" style="30" customWidth="1"/>
    <col min="1536" max="1536" width="37.6640625" style="30" customWidth="1"/>
    <col min="1537" max="1537" width="0" style="30" hidden="1" customWidth="1"/>
    <col min="1538" max="1538" width="1.6640625" style="30" customWidth="1"/>
    <col min="1539" max="1540" width="16.5546875" style="30" customWidth="1"/>
    <col min="1541" max="1541" width="16.88671875" style="30" customWidth="1"/>
    <col min="1542" max="1544" width="16.5546875" style="30" customWidth="1"/>
    <col min="1545" max="1546" width="18.6640625" style="30" bestFit="1" customWidth="1"/>
    <col min="1547" max="1547" width="7.5546875" style="30" customWidth="1"/>
    <col min="1548" max="1548" width="15.44140625" style="30" bestFit="1" customWidth="1"/>
    <col min="1549" max="1549" width="14.5546875" style="30" bestFit="1" customWidth="1"/>
    <col min="1550" max="1550" width="16.44140625" style="30" bestFit="1" customWidth="1"/>
    <col min="1551" max="1551" width="11.33203125" style="30" bestFit="1" customWidth="1"/>
    <col min="1552" max="1790" width="9.109375" style="30"/>
    <col min="1791" max="1791" width="4.5546875" style="30" customWidth="1"/>
    <col min="1792" max="1792" width="37.6640625" style="30" customWidth="1"/>
    <col min="1793" max="1793" width="0" style="30" hidden="1" customWidth="1"/>
    <col min="1794" max="1794" width="1.6640625" style="30" customWidth="1"/>
    <col min="1795" max="1796" width="16.5546875" style="30" customWidth="1"/>
    <col min="1797" max="1797" width="16.88671875" style="30" customWidth="1"/>
    <col min="1798" max="1800" width="16.5546875" style="30" customWidth="1"/>
    <col min="1801" max="1802" width="18.6640625" style="30" bestFit="1" customWidth="1"/>
    <col min="1803" max="1803" width="7.5546875" style="30" customWidth="1"/>
    <col min="1804" max="1804" width="15.44140625" style="30" bestFit="1" customWidth="1"/>
    <col min="1805" max="1805" width="14.5546875" style="30" bestFit="1" customWidth="1"/>
    <col min="1806" max="1806" width="16.44140625" style="30" bestFit="1" customWidth="1"/>
    <col min="1807" max="1807" width="11.33203125" style="30" bestFit="1" customWidth="1"/>
    <col min="1808" max="2046" width="9.109375" style="30"/>
    <col min="2047" max="2047" width="4.5546875" style="30" customWidth="1"/>
    <col min="2048" max="2048" width="37.6640625" style="30" customWidth="1"/>
    <col min="2049" max="2049" width="0" style="30" hidden="1" customWidth="1"/>
    <col min="2050" max="2050" width="1.6640625" style="30" customWidth="1"/>
    <col min="2051" max="2052" width="16.5546875" style="30" customWidth="1"/>
    <col min="2053" max="2053" width="16.88671875" style="30" customWidth="1"/>
    <col min="2054" max="2056" width="16.5546875" style="30" customWidth="1"/>
    <col min="2057" max="2058" width="18.6640625" style="30" bestFit="1" customWidth="1"/>
    <col min="2059" max="2059" width="7.5546875" style="30" customWidth="1"/>
    <col min="2060" max="2060" width="15.44140625" style="30" bestFit="1" customWidth="1"/>
    <col min="2061" max="2061" width="14.5546875" style="30" bestFit="1" customWidth="1"/>
    <col min="2062" max="2062" width="16.44140625" style="30" bestFit="1" customWidth="1"/>
    <col min="2063" max="2063" width="11.33203125" style="30" bestFit="1" customWidth="1"/>
    <col min="2064" max="2302" width="9.109375" style="30"/>
    <col min="2303" max="2303" width="4.5546875" style="30" customWidth="1"/>
    <col min="2304" max="2304" width="37.6640625" style="30" customWidth="1"/>
    <col min="2305" max="2305" width="0" style="30" hidden="1" customWidth="1"/>
    <col min="2306" max="2306" width="1.6640625" style="30" customWidth="1"/>
    <col min="2307" max="2308" width="16.5546875" style="30" customWidth="1"/>
    <col min="2309" max="2309" width="16.88671875" style="30" customWidth="1"/>
    <col min="2310" max="2312" width="16.5546875" style="30" customWidth="1"/>
    <col min="2313" max="2314" width="18.6640625" style="30" bestFit="1" customWidth="1"/>
    <col min="2315" max="2315" width="7.5546875" style="30" customWidth="1"/>
    <col min="2316" max="2316" width="15.44140625" style="30" bestFit="1" customWidth="1"/>
    <col min="2317" max="2317" width="14.5546875" style="30" bestFit="1" customWidth="1"/>
    <col min="2318" max="2318" width="16.44140625" style="30" bestFit="1" customWidth="1"/>
    <col min="2319" max="2319" width="11.33203125" style="30" bestFit="1" customWidth="1"/>
    <col min="2320" max="2558" width="9.109375" style="30"/>
    <col min="2559" max="2559" width="4.5546875" style="30" customWidth="1"/>
    <col min="2560" max="2560" width="37.6640625" style="30" customWidth="1"/>
    <col min="2561" max="2561" width="0" style="30" hidden="1" customWidth="1"/>
    <col min="2562" max="2562" width="1.6640625" style="30" customWidth="1"/>
    <col min="2563" max="2564" width="16.5546875" style="30" customWidth="1"/>
    <col min="2565" max="2565" width="16.88671875" style="30" customWidth="1"/>
    <col min="2566" max="2568" width="16.5546875" style="30" customWidth="1"/>
    <col min="2569" max="2570" width="18.6640625" style="30" bestFit="1" customWidth="1"/>
    <col min="2571" max="2571" width="7.5546875" style="30" customWidth="1"/>
    <col min="2572" max="2572" width="15.44140625" style="30" bestFit="1" customWidth="1"/>
    <col min="2573" max="2573" width="14.5546875" style="30" bestFit="1" customWidth="1"/>
    <col min="2574" max="2574" width="16.44140625" style="30" bestFit="1" customWidth="1"/>
    <col min="2575" max="2575" width="11.33203125" style="30" bestFit="1" customWidth="1"/>
    <col min="2576" max="2814" width="9.109375" style="30"/>
    <col min="2815" max="2815" width="4.5546875" style="30" customWidth="1"/>
    <col min="2816" max="2816" width="37.6640625" style="30" customWidth="1"/>
    <col min="2817" max="2817" width="0" style="30" hidden="1" customWidth="1"/>
    <col min="2818" max="2818" width="1.6640625" style="30" customWidth="1"/>
    <col min="2819" max="2820" width="16.5546875" style="30" customWidth="1"/>
    <col min="2821" max="2821" width="16.88671875" style="30" customWidth="1"/>
    <col min="2822" max="2824" width="16.5546875" style="30" customWidth="1"/>
    <col min="2825" max="2826" width="18.6640625" style="30" bestFit="1" customWidth="1"/>
    <col min="2827" max="2827" width="7.5546875" style="30" customWidth="1"/>
    <col min="2828" max="2828" width="15.44140625" style="30" bestFit="1" customWidth="1"/>
    <col min="2829" max="2829" width="14.5546875" style="30" bestFit="1" customWidth="1"/>
    <col min="2830" max="2830" width="16.44140625" style="30" bestFit="1" customWidth="1"/>
    <col min="2831" max="2831" width="11.33203125" style="30" bestFit="1" customWidth="1"/>
    <col min="2832" max="3070" width="9.109375" style="30"/>
    <col min="3071" max="3071" width="4.5546875" style="30" customWidth="1"/>
    <col min="3072" max="3072" width="37.6640625" style="30" customWidth="1"/>
    <col min="3073" max="3073" width="0" style="30" hidden="1" customWidth="1"/>
    <col min="3074" max="3074" width="1.6640625" style="30" customWidth="1"/>
    <col min="3075" max="3076" width="16.5546875" style="30" customWidth="1"/>
    <col min="3077" max="3077" width="16.88671875" style="30" customWidth="1"/>
    <col min="3078" max="3080" width="16.5546875" style="30" customWidth="1"/>
    <col min="3081" max="3082" width="18.6640625" style="30" bestFit="1" customWidth="1"/>
    <col min="3083" max="3083" width="7.5546875" style="30" customWidth="1"/>
    <col min="3084" max="3084" width="15.44140625" style="30" bestFit="1" customWidth="1"/>
    <col min="3085" max="3085" width="14.5546875" style="30" bestFit="1" customWidth="1"/>
    <col min="3086" max="3086" width="16.44140625" style="30" bestFit="1" customWidth="1"/>
    <col min="3087" max="3087" width="11.33203125" style="30" bestFit="1" customWidth="1"/>
    <col min="3088" max="3326" width="9.109375" style="30"/>
    <col min="3327" max="3327" width="4.5546875" style="30" customWidth="1"/>
    <col min="3328" max="3328" width="37.6640625" style="30" customWidth="1"/>
    <col min="3329" max="3329" width="0" style="30" hidden="1" customWidth="1"/>
    <col min="3330" max="3330" width="1.6640625" style="30" customWidth="1"/>
    <col min="3331" max="3332" width="16.5546875" style="30" customWidth="1"/>
    <col min="3333" max="3333" width="16.88671875" style="30" customWidth="1"/>
    <col min="3334" max="3336" width="16.5546875" style="30" customWidth="1"/>
    <col min="3337" max="3338" width="18.6640625" style="30" bestFit="1" customWidth="1"/>
    <col min="3339" max="3339" width="7.5546875" style="30" customWidth="1"/>
    <col min="3340" max="3340" width="15.44140625" style="30" bestFit="1" customWidth="1"/>
    <col min="3341" max="3341" width="14.5546875" style="30" bestFit="1" customWidth="1"/>
    <col min="3342" max="3342" width="16.44140625" style="30" bestFit="1" customWidth="1"/>
    <col min="3343" max="3343" width="11.33203125" style="30" bestFit="1" customWidth="1"/>
    <col min="3344" max="3582" width="9.109375" style="30"/>
    <col min="3583" max="3583" width="4.5546875" style="30" customWidth="1"/>
    <col min="3584" max="3584" width="37.6640625" style="30" customWidth="1"/>
    <col min="3585" max="3585" width="0" style="30" hidden="1" customWidth="1"/>
    <col min="3586" max="3586" width="1.6640625" style="30" customWidth="1"/>
    <col min="3587" max="3588" width="16.5546875" style="30" customWidth="1"/>
    <col min="3589" max="3589" width="16.88671875" style="30" customWidth="1"/>
    <col min="3590" max="3592" width="16.5546875" style="30" customWidth="1"/>
    <col min="3593" max="3594" width="18.6640625" style="30" bestFit="1" customWidth="1"/>
    <col min="3595" max="3595" width="7.5546875" style="30" customWidth="1"/>
    <col min="3596" max="3596" width="15.44140625" style="30" bestFit="1" customWidth="1"/>
    <col min="3597" max="3597" width="14.5546875" style="30" bestFit="1" customWidth="1"/>
    <col min="3598" max="3598" width="16.44140625" style="30" bestFit="1" customWidth="1"/>
    <col min="3599" max="3599" width="11.33203125" style="30" bestFit="1" customWidth="1"/>
    <col min="3600" max="3838" width="9.109375" style="30"/>
    <col min="3839" max="3839" width="4.5546875" style="30" customWidth="1"/>
    <col min="3840" max="3840" width="37.6640625" style="30" customWidth="1"/>
    <col min="3841" max="3841" width="0" style="30" hidden="1" customWidth="1"/>
    <col min="3842" max="3842" width="1.6640625" style="30" customWidth="1"/>
    <col min="3843" max="3844" width="16.5546875" style="30" customWidth="1"/>
    <col min="3845" max="3845" width="16.88671875" style="30" customWidth="1"/>
    <col min="3846" max="3848" width="16.5546875" style="30" customWidth="1"/>
    <col min="3849" max="3850" width="18.6640625" style="30" bestFit="1" customWidth="1"/>
    <col min="3851" max="3851" width="7.5546875" style="30" customWidth="1"/>
    <col min="3852" max="3852" width="15.44140625" style="30" bestFit="1" customWidth="1"/>
    <col min="3853" max="3853" width="14.5546875" style="30" bestFit="1" customWidth="1"/>
    <col min="3854" max="3854" width="16.44140625" style="30" bestFit="1" customWidth="1"/>
    <col min="3855" max="3855" width="11.33203125" style="30" bestFit="1" customWidth="1"/>
    <col min="3856" max="4094" width="9.109375" style="30"/>
    <col min="4095" max="4095" width="4.5546875" style="30" customWidth="1"/>
    <col min="4096" max="4096" width="37.6640625" style="30" customWidth="1"/>
    <col min="4097" max="4097" width="0" style="30" hidden="1" customWidth="1"/>
    <col min="4098" max="4098" width="1.6640625" style="30" customWidth="1"/>
    <col min="4099" max="4100" width="16.5546875" style="30" customWidth="1"/>
    <col min="4101" max="4101" width="16.88671875" style="30" customWidth="1"/>
    <col min="4102" max="4104" width="16.5546875" style="30" customWidth="1"/>
    <col min="4105" max="4106" width="18.6640625" style="30" bestFit="1" customWidth="1"/>
    <col min="4107" max="4107" width="7.5546875" style="30" customWidth="1"/>
    <col min="4108" max="4108" width="15.44140625" style="30" bestFit="1" customWidth="1"/>
    <col min="4109" max="4109" width="14.5546875" style="30" bestFit="1" customWidth="1"/>
    <col min="4110" max="4110" width="16.44140625" style="30" bestFit="1" customWidth="1"/>
    <col min="4111" max="4111" width="11.33203125" style="30" bestFit="1" customWidth="1"/>
    <col min="4112" max="4350" width="9.109375" style="30"/>
    <col min="4351" max="4351" width="4.5546875" style="30" customWidth="1"/>
    <col min="4352" max="4352" width="37.6640625" style="30" customWidth="1"/>
    <col min="4353" max="4353" width="0" style="30" hidden="1" customWidth="1"/>
    <col min="4354" max="4354" width="1.6640625" style="30" customWidth="1"/>
    <col min="4355" max="4356" width="16.5546875" style="30" customWidth="1"/>
    <col min="4357" max="4357" width="16.88671875" style="30" customWidth="1"/>
    <col min="4358" max="4360" width="16.5546875" style="30" customWidth="1"/>
    <col min="4361" max="4362" width="18.6640625" style="30" bestFit="1" customWidth="1"/>
    <col min="4363" max="4363" width="7.5546875" style="30" customWidth="1"/>
    <col min="4364" max="4364" width="15.44140625" style="30" bestFit="1" customWidth="1"/>
    <col min="4365" max="4365" width="14.5546875" style="30" bestFit="1" customWidth="1"/>
    <col min="4366" max="4366" width="16.44140625" style="30" bestFit="1" customWidth="1"/>
    <col min="4367" max="4367" width="11.33203125" style="30" bestFit="1" customWidth="1"/>
    <col min="4368" max="4606" width="9.109375" style="30"/>
    <col min="4607" max="4607" width="4.5546875" style="30" customWidth="1"/>
    <col min="4608" max="4608" width="37.6640625" style="30" customWidth="1"/>
    <col min="4609" max="4609" width="0" style="30" hidden="1" customWidth="1"/>
    <col min="4610" max="4610" width="1.6640625" style="30" customWidth="1"/>
    <col min="4611" max="4612" width="16.5546875" style="30" customWidth="1"/>
    <col min="4613" max="4613" width="16.88671875" style="30" customWidth="1"/>
    <col min="4614" max="4616" width="16.5546875" style="30" customWidth="1"/>
    <col min="4617" max="4618" width="18.6640625" style="30" bestFit="1" customWidth="1"/>
    <col min="4619" max="4619" width="7.5546875" style="30" customWidth="1"/>
    <col min="4620" max="4620" width="15.44140625" style="30" bestFit="1" customWidth="1"/>
    <col min="4621" max="4621" width="14.5546875" style="30" bestFit="1" customWidth="1"/>
    <col min="4622" max="4622" width="16.44140625" style="30" bestFit="1" customWidth="1"/>
    <col min="4623" max="4623" width="11.33203125" style="30" bestFit="1" customWidth="1"/>
    <col min="4624" max="4862" width="9.109375" style="30"/>
    <col min="4863" max="4863" width="4.5546875" style="30" customWidth="1"/>
    <col min="4864" max="4864" width="37.6640625" style="30" customWidth="1"/>
    <col min="4865" max="4865" width="0" style="30" hidden="1" customWidth="1"/>
    <col min="4866" max="4866" width="1.6640625" style="30" customWidth="1"/>
    <col min="4867" max="4868" width="16.5546875" style="30" customWidth="1"/>
    <col min="4869" max="4869" width="16.88671875" style="30" customWidth="1"/>
    <col min="4870" max="4872" width="16.5546875" style="30" customWidth="1"/>
    <col min="4873" max="4874" width="18.6640625" style="30" bestFit="1" customWidth="1"/>
    <col min="4875" max="4875" width="7.5546875" style="30" customWidth="1"/>
    <col min="4876" max="4876" width="15.44140625" style="30" bestFit="1" customWidth="1"/>
    <col min="4877" max="4877" width="14.5546875" style="30" bestFit="1" customWidth="1"/>
    <col min="4878" max="4878" width="16.44140625" style="30" bestFit="1" customWidth="1"/>
    <col min="4879" max="4879" width="11.33203125" style="30" bestFit="1" customWidth="1"/>
    <col min="4880" max="5118" width="9.109375" style="30"/>
    <col min="5119" max="5119" width="4.5546875" style="30" customWidth="1"/>
    <col min="5120" max="5120" width="37.6640625" style="30" customWidth="1"/>
    <col min="5121" max="5121" width="0" style="30" hidden="1" customWidth="1"/>
    <col min="5122" max="5122" width="1.6640625" style="30" customWidth="1"/>
    <col min="5123" max="5124" width="16.5546875" style="30" customWidth="1"/>
    <col min="5125" max="5125" width="16.88671875" style="30" customWidth="1"/>
    <col min="5126" max="5128" width="16.5546875" style="30" customWidth="1"/>
    <col min="5129" max="5130" width="18.6640625" style="30" bestFit="1" customWidth="1"/>
    <col min="5131" max="5131" width="7.5546875" style="30" customWidth="1"/>
    <col min="5132" max="5132" width="15.44140625" style="30" bestFit="1" customWidth="1"/>
    <col min="5133" max="5133" width="14.5546875" style="30" bestFit="1" customWidth="1"/>
    <col min="5134" max="5134" width="16.44140625" style="30" bestFit="1" customWidth="1"/>
    <col min="5135" max="5135" width="11.33203125" style="30" bestFit="1" customWidth="1"/>
    <col min="5136" max="5374" width="9.109375" style="30"/>
    <col min="5375" max="5375" width="4.5546875" style="30" customWidth="1"/>
    <col min="5376" max="5376" width="37.6640625" style="30" customWidth="1"/>
    <col min="5377" max="5377" width="0" style="30" hidden="1" customWidth="1"/>
    <col min="5378" max="5378" width="1.6640625" style="30" customWidth="1"/>
    <col min="5379" max="5380" width="16.5546875" style="30" customWidth="1"/>
    <col min="5381" max="5381" width="16.88671875" style="30" customWidth="1"/>
    <col min="5382" max="5384" width="16.5546875" style="30" customWidth="1"/>
    <col min="5385" max="5386" width="18.6640625" style="30" bestFit="1" customWidth="1"/>
    <col min="5387" max="5387" width="7.5546875" style="30" customWidth="1"/>
    <col min="5388" max="5388" width="15.44140625" style="30" bestFit="1" customWidth="1"/>
    <col min="5389" max="5389" width="14.5546875" style="30" bestFit="1" customWidth="1"/>
    <col min="5390" max="5390" width="16.44140625" style="30" bestFit="1" customWidth="1"/>
    <col min="5391" max="5391" width="11.33203125" style="30" bestFit="1" customWidth="1"/>
    <col min="5392" max="5630" width="9.109375" style="30"/>
    <col min="5631" max="5631" width="4.5546875" style="30" customWidth="1"/>
    <col min="5632" max="5632" width="37.6640625" style="30" customWidth="1"/>
    <col min="5633" max="5633" width="0" style="30" hidden="1" customWidth="1"/>
    <col min="5634" max="5634" width="1.6640625" style="30" customWidth="1"/>
    <col min="5635" max="5636" width="16.5546875" style="30" customWidth="1"/>
    <col min="5637" max="5637" width="16.88671875" style="30" customWidth="1"/>
    <col min="5638" max="5640" width="16.5546875" style="30" customWidth="1"/>
    <col min="5641" max="5642" width="18.6640625" style="30" bestFit="1" customWidth="1"/>
    <col min="5643" max="5643" width="7.5546875" style="30" customWidth="1"/>
    <col min="5644" max="5644" width="15.44140625" style="30" bestFit="1" customWidth="1"/>
    <col min="5645" max="5645" width="14.5546875" style="30" bestFit="1" customWidth="1"/>
    <col min="5646" max="5646" width="16.44140625" style="30" bestFit="1" customWidth="1"/>
    <col min="5647" max="5647" width="11.33203125" style="30" bestFit="1" customWidth="1"/>
    <col min="5648" max="5886" width="9.109375" style="30"/>
    <col min="5887" max="5887" width="4.5546875" style="30" customWidth="1"/>
    <col min="5888" max="5888" width="37.6640625" style="30" customWidth="1"/>
    <col min="5889" max="5889" width="0" style="30" hidden="1" customWidth="1"/>
    <col min="5890" max="5890" width="1.6640625" style="30" customWidth="1"/>
    <col min="5891" max="5892" width="16.5546875" style="30" customWidth="1"/>
    <col min="5893" max="5893" width="16.88671875" style="30" customWidth="1"/>
    <col min="5894" max="5896" width="16.5546875" style="30" customWidth="1"/>
    <col min="5897" max="5898" width="18.6640625" style="30" bestFit="1" customWidth="1"/>
    <col min="5899" max="5899" width="7.5546875" style="30" customWidth="1"/>
    <col min="5900" max="5900" width="15.44140625" style="30" bestFit="1" customWidth="1"/>
    <col min="5901" max="5901" width="14.5546875" style="30" bestFit="1" customWidth="1"/>
    <col min="5902" max="5902" width="16.44140625" style="30" bestFit="1" customWidth="1"/>
    <col min="5903" max="5903" width="11.33203125" style="30" bestFit="1" customWidth="1"/>
    <col min="5904" max="6142" width="9.109375" style="30"/>
    <col min="6143" max="6143" width="4.5546875" style="30" customWidth="1"/>
    <col min="6144" max="6144" width="37.6640625" style="30" customWidth="1"/>
    <col min="6145" max="6145" width="0" style="30" hidden="1" customWidth="1"/>
    <col min="6146" max="6146" width="1.6640625" style="30" customWidth="1"/>
    <col min="6147" max="6148" width="16.5546875" style="30" customWidth="1"/>
    <col min="6149" max="6149" width="16.88671875" style="30" customWidth="1"/>
    <col min="6150" max="6152" width="16.5546875" style="30" customWidth="1"/>
    <col min="6153" max="6154" width="18.6640625" style="30" bestFit="1" customWidth="1"/>
    <col min="6155" max="6155" width="7.5546875" style="30" customWidth="1"/>
    <col min="6156" max="6156" width="15.44140625" style="30" bestFit="1" customWidth="1"/>
    <col min="6157" max="6157" width="14.5546875" style="30" bestFit="1" customWidth="1"/>
    <col min="6158" max="6158" width="16.44140625" style="30" bestFit="1" customWidth="1"/>
    <col min="6159" max="6159" width="11.33203125" style="30" bestFit="1" customWidth="1"/>
    <col min="6160" max="6398" width="9.109375" style="30"/>
    <col min="6399" max="6399" width="4.5546875" style="30" customWidth="1"/>
    <col min="6400" max="6400" width="37.6640625" style="30" customWidth="1"/>
    <col min="6401" max="6401" width="0" style="30" hidden="1" customWidth="1"/>
    <col min="6402" max="6402" width="1.6640625" style="30" customWidth="1"/>
    <col min="6403" max="6404" width="16.5546875" style="30" customWidth="1"/>
    <col min="6405" max="6405" width="16.88671875" style="30" customWidth="1"/>
    <col min="6406" max="6408" width="16.5546875" style="30" customWidth="1"/>
    <col min="6409" max="6410" width="18.6640625" style="30" bestFit="1" customWidth="1"/>
    <col min="6411" max="6411" width="7.5546875" style="30" customWidth="1"/>
    <col min="6412" max="6412" width="15.44140625" style="30" bestFit="1" customWidth="1"/>
    <col min="6413" max="6413" width="14.5546875" style="30" bestFit="1" customWidth="1"/>
    <col min="6414" max="6414" width="16.44140625" style="30" bestFit="1" customWidth="1"/>
    <col min="6415" max="6415" width="11.33203125" style="30" bestFit="1" customWidth="1"/>
    <col min="6416" max="6654" width="9.109375" style="30"/>
    <col min="6655" max="6655" width="4.5546875" style="30" customWidth="1"/>
    <col min="6656" max="6656" width="37.6640625" style="30" customWidth="1"/>
    <col min="6657" max="6657" width="0" style="30" hidden="1" customWidth="1"/>
    <col min="6658" max="6658" width="1.6640625" style="30" customWidth="1"/>
    <col min="6659" max="6660" width="16.5546875" style="30" customWidth="1"/>
    <col min="6661" max="6661" width="16.88671875" style="30" customWidth="1"/>
    <col min="6662" max="6664" width="16.5546875" style="30" customWidth="1"/>
    <col min="6665" max="6666" width="18.6640625" style="30" bestFit="1" customWidth="1"/>
    <col min="6667" max="6667" width="7.5546875" style="30" customWidth="1"/>
    <col min="6668" max="6668" width="15.44140625" style="30" bestFit="1" customWidth="1"/>
    <col min="6669" max="6669" width="14.5546875" style="30" bestFit="1" customWidth="1"/>
    <col min="6670" max="6670" width="16.44140625" style="30" bestFit="1" customWidth="1"/>
    <col min="6671" max="6671" width="11.33203125" style="30" bestFit="1" customWidth="1"/>
    <col min="6672" max="6910" width="9.109375" style="30"/>
    <col min="6911" max="6911" width="4.5546875" style="30" customWidth="1"/>
    <col min="6912" max="6912" width="37.6640625" style="30" customWidth="1"/>
    <col min="6913" max="6913" width="0" style="30" hidden="1" customWidth="1"/>
    <col min="6914" max="6914" width="1.6640625" style="30" customWidth="1"/>
    <col min="6915" max="6916" width="16.5546875" style="30" customWidth="1"/>
    <col min="6917" max="6917" width="16.88671875" style="30" customWidth="1"/>
    <col min="6918" max="6920" width="16.5546875" style="30" customWidth="1"/>
    <col min="6921" max="6922" width="18.6640625" style="30" bestFit="1" customWidth="1"/>
    <col min="6923" max="6923" width="7.5546875" style="30" customWidth="1"/>
    <col min="6924" max="6924" width="15.44140625" style="30" bestFit="1" customWidth="1"/>
    <col min="6925" max="6925" width="14.5546875" style="30" bestFit="1" customWidth="1"/>
    <col min="6926" max="6926" width="16.44140625" style="30" bestFit="1" customWidth="1"/>
    <col min="6927" max="6927" width="11.33203125" style="30" bestFit="1" customWidth="1"/>
    <col min="6928" max="7166" width="9.109375" style="30"/>
    <col min="7167" max="7167" width="4.5546875" style="30" customWidth="1"/>
    <col min="7168" max="7168" width="37.6640625" style="30" customWidth="1"/>
    <col min="7169" max="7169" width="0" style="30" hidden="1" customWidth="1"/>
    <col min="7170" max="7170" width="1.6640625" style="30" customWidth="1"/>
    <col min="7171" max="7172" width="16.5546875" style="30" customWidth="1"/>
    <col min="7173" max="7173" width="16.88671875" style="30" customWidth="1"/>
    <col min="7174" max="7176" width="16.5546875" style="30" customWidth="1"/>
    <col min="7177" max="7178" width="18.6640625" style="30" bestFit="1" customWidth="1"/>
    <col min="7179" max="7179" width="7.5546875" style="30" customWidth="1"/>
    <col min="7180" max="7180" width="15.44140625" style="30" bestFit="1" customWidth="1"/>
    <col min="7181" max="7181" width="14.5546875" style="30" bestFit="1" customWidth="1"/>
    <col min="7182" max="7182" width="16.44140625" style="30" bestFit="1" customWidth="1"/>
    <col min="7183" max="7183" width="11.33203125" style="30" bestFit="1" customWidth="1"/>
    <col min="7184" max="7422" width="9.109375" style="30"/>
    <col min="7423" max="7423" width="4.5546875" style="30" customWidth="1"/>
    <col min="7424" max="7424" width="37.6640625" style="30" customWidth="1"/>
    <col min="7425" max="7425" width="0" style="30" hidden="1" customWidth="1"/>
    <col min="7426" max="7426" width="1.6640625" style="30" customWidth="1"/>
    <col min="7427" max="7428" width="16.5546875" style="30" customWidth="1"/>
    <col min="7429" max="7429" width="16.88671875" style="30" customWidth="1"/>
    <col min="7430" max="7432" width="16.5546875" style="30" customWidth="1"/>
    <col min="7433" max="7434" width="18.6640625" style="30" bestFit="1" customWidth="1"/>
    <col min="7435" max="7435" width="7.5546875" style="30" customWidth="1"/>
    <col min="7436" max="7436" width="15.44140625" style="30" bestFit="1" customWidth="1"/>
    <col min="7437" max="7437" width="14.5546875" style="30" bestFit="1" customWidth="1"/>
    <col min="7438" max="7438" width="16.44140625" style="30" bestFit="1" customWidth="1"/>
    <col min="7439" max="7439" width="11.33203125" style="30" bestFit="1" customWidth="1"/>
    <col min="7440" max="7678" width="9.109375" style="30"/>
    <col min="7679" max="7679" width="4.5546875" style="30" customWidth="1"/>
    <col min="7680" max="7680" width="37.6640625" style="30" customWidth="1"/>
    <col min="7681" max="7681" width="0" style="30" hidden="1" customWidth="1"/>
    <col min="7682" max="7682" width="1.6640625" style="30" customWidth="1"/>
    <col min="7683" max="7684" width="16.5546875" style="30" customWidth="1"/>
    <col min="7685" max="7685" width="16.88671875" style="30" customWidth="1"/>
    <col min="7686" max="7688" width="16.5546875" style="30" customWidth="1"/>
    <col min="7689" max="7690" width="18.6640625" style="30" bestFit="1" customWidth="1"/>
    <col min="7691" max="7691" width="7.5546875" style="30" customWidth="1"/>
    <col min="7692" max="7692" width="15.44140625" style="30" bestFit="1" customWidth="1"/>
    <col min="7693" max="7693" width="14.5546875" style="30" bestFit="1" customWidth="1"/>
    <col min="7694" max="7694" width="16.44140625" style="30" bestFit="1" customWidth="1"/>
    <col min="7695" max="7695" width="11.33203125" style="30" bestFit="1" customWidth="1"/>
    <col min="7696" max="7934" width="9.109375" style="30"/>
    <col min="7935" max="7935" width="4.5546875" style="30" customWidth="1"/>
    <col min="7936" max="7936" width="37.6640625" style="30" customWidth="1"/>
    <col min="7937" max="7937" width="0" style="30" hidden="1" customWidth="1"/>
    <col min="7938" max="7938" width="1.6640625" style="30" customWidth="1"/>
    <col min="7939" max="7940" width="16.5546875" style="30" customWidth="1"/>
    <col min="7941" max="7941" width="16.88671875" style="30" customWidth="1"/>
    <col min="7942" max="7944" width="16.5546875" style="30" customWidth="1"/>
    <col min="7945" max="7946" width="18.6640625" style="30" bestFit="1" customWidth="1"/>
    <col min="7947" max="7947" width="7.5546875" style="30" customWidth="1"/>
    <col min="7948" max="7948" width="15.44140625" style="30" bestFit="1" customWidth="1"/>
    <col min="7949" max="7949" width="14.5546875" style="30" bestFit="1" customWidth="1"/>
    <col min="7950" max="7950" width="16.44140625" style="30" bestFit="1" customWidth="1"/>
    <col min="7951" max="7951" width="11.33203125" style="30" bestFit="1" customWidth="1"/>
    <col min="7952" max="8190" width="9.109375" style="30"/>
    <col min="8191" max="8191" width="4.5546875" style="30" customWidth="1"/>
    <col min="8192" max="8192" width="37.6640625" style="30" customWidth="1"/>
    <col min="8193" max="8193" width="0" style="30" hidden="1" customWidth="1"/>
    <col min="8194" max="8194" width="1.6640625" style="30" customWidth="1"/>
    <col min="8195" max="8196" width="16.5546875" style="30" customWidth="1"/>
    <col min="8197" max="8197" width="16.88671875" style="30" customWidth="1"/>
    <col min="8198" max="8200" width="16.5546875" style="30" customWidth="1"/>
    <col min="8201" max="8202" width="18.6640625" style="30" bestFit="1" customWidth="1"/>
    <col min="8203" max="8203" width="7.5546875" style="30" customWidth="1"/>
    <col min="8204" max="8204" width="15.44140625" style="30" bestFit="1" customWidth="1"/>
    <col min="8205" max="8205" width="14.5546875" style="30" bestFit="1" customWidth="1"/>
    <col min="8206" max="8206" width="16.44140625" style="30" bestFit="1" customWidth="1"/>
    <col min="8207" max="8207" width="11.33203125" style="30" bestFit="1" customWidth="1"/>
    <col min="8208" max="8446" width="9.109375" style="30"/>
    <col min="8447" max="8447" width="4.5546875" style="30" customWidth="1"/>
    <col min="8448" max="8448" width="37.6640625" style="30" customWidth="1"/>
    <col min="8449" max="8449" width="0" style="30" hidden="1" customWidth="1"/>
    <col min="8450" max="8450" width="1.6640625" style="30" customWidth="1"/>
    <col min="8451" max="8452" width="16.5546875" style="30" customWidth="1"/>
    <col min="8453" max="8453" width="16.88671875" style="30" customWidth="1"/>
    <col min="8454" max="8456" width="16.5546875" style="30" customWidth="1"/>
    <col min="8457" max="8458" width="18.6640625" style="30" bestFit="1" customWidth="1"/>
    <col min="8459" max="8459" width="7.5546875" style="30" customWidth="1"/>
    <col min="8460" max="8460" width="15.44140625" style="30" bestFit="1" customWidth="1"/>
    <col min="8461" max="8461" width="14.5546875" style="30" bestFit="1" customWidth="1"/>
    <col min="8462" max="8462" width="16.44140625" style="30" bestFit="1" customWidth="1"/>
    <col min="8463" max="8463" width="11.33203125" style="30" bestFit="1" customWidth="1"/>
    <col min="8464" max="8702" width="9.109375" style="30"/>
    <col min="8703" max="8703" width="4.5546875" style="30" customWidth="1"/>
    <col min="8704" max="8704" width="37.6640625" style="30" customWidth="1"/>
    <col min="8705" max="8705" width="0" style="30" hidden="1" customWidth="1"/>
    <col min="8706" max="8706" width="1.6640625" style="30" customWidth="1"/>
    <col min="8707" max="8708" width="16.5546875" style="30" customWidth="1"/>
    <col min="8709" max="8709" width="16.88671875" style="30" customWidth="1"/>
    <col min="8710" max="8712" width="16.5546875" style="30" customWidth="1"/>
    <col min="8713" max="8714" width="18.6640625" style="30" bestFit="1" customWidth="1"/>
    <col min="8715" max="8715" width="7.5546875" style="30" customWidth="1"/>
    <col min="8716" max="8716" width="15.44140625" style="30" bestFit="1" customWidth="1"/>
    <col min="8717" max="8717" width="14.5546875" style="30" bestFit="1" customWidth="1"/>
    <col min="8718" max="8718" width="16.44140625" style="30" bestFit="1" customWidth="1"/>
    <col min="8719" max="8719" width="11.33203125" style="30" bestFit="1" customWidth="1"/>
    <col min="8720" max="8958" width="9.109375" style="30"/>
    <col min="8959" max="8959" width="4.5546875" style="30" customWidth="1"/>
    <col min="8960" max="8960" width="37.6640625" style="30" customWidth="1"/>
    <col min="8961" max="8961" width="0" style="30" hidden="1" customWidth="1"/>
    <col min="8962" max="8962" width="1.6640625" style="30" customWidth="1"/>
    <col min="8963" max="8964" width="16.5546875" style="30" customWidth="1"/>
    <col min="8965" max="8965" width="16.88671875" style="30" customWidth="1"/>
    <col min="8966" max="8968" width="16.5546875" style="30" customWidth="1"/>
    <col min="8969" max="8970" width="18.6640625" style="30" bestFit="1" customWidth="1"/>
    <col min="8971" max="8971" width="7.5546875" style="30" customWidth="1"/>
    <col min="8972" max="8972" width="15.44140625" style="30" bestFit="1" customWidth="1"/>
    <col min="8973" max="8973" width="14.5546875" style="30" bestFit="1" customWidth="1"/>
    <col min="8974" max="8974" width="16.44140625" style="30" bestFit="1" customWidth="1"/>
    <col min="8975" max="8975" width="11.33203125" style="30" bestFit="1" customWidth="1"/>
    <col min="8976" max="9214" width="9.109375" style="30"/>
    <col min="9215" max="9215" width="4.5546875" style="30" customWidth="1"/>
    <col min="9216" max="9216" width="37.6640625" style="30" customWidth="1"/>
    <col min="9217" max="9217" width="0" style="30" hidden="1" customWidth="1"/>
    <col min="9218" max="9218" width="1.6640625" style="30" customWidth="1"/>
    <col min="9219" max="9220" width="16.5546875" style="30" customWidth="1"/>
    <col min="9221" max="9221" width="16.88671875" style="30" customWidth="1"/>
    <col min="9222" max="9224" width="16.5546875" style="30" customWidth="1"/>
    <col min="9225" max="9226" width="18.6640625" style="30" bestFit="1" customWidth="1"/>
    <col min="9227" max="9227" width="7.5546875" style="30" customWidth="1"/>
    <col min="9228" max="9228" width="15.44140625" style="30" bestFit="1" customWidth="1"/>
    <col min="9229" max="9229" width="14.5546875" style="30" bestFit="1" customWidth="1"/>
    <col min="9230" max="9230" width="16.44140625" style="30" bestFit="1" customWidth="1"/>
    <col min="9231" max="9231" width="11.33203125" style="30" bestFit="1" customWidth="1"/>
    <col min="9232" max="9470" width="9.109375" style="30"/>
    <col min="9471" max="9471" width="4.5546875" style="30" customWidth="1"/>
    <col min="9472" max="9472" width="37.6640625" style="30" customWidth="1"/>
    <col min="9473" max="9473" width="0" style="30" hidden="1" customWidth="1"/>
    <col min="9474" max="9474" width="1.6640625" style="30" customWidth="1"/>
    <col min="9475" max="9476" width="16.5546875" style="30" customWidth="1"/>
    <col min="9477" max="9477" width="16.88671875" style="30" customWidth="1"/>
    <col min="9478" max="9480" width="16.5546875" style="30" customWidth="1"/>
    <col min="9481" max="9482" width="18.6640625" style="30" bestFit="1" customWidth="1"/>
    <col min="9483" max="9483" width="7.5546875" style="30" customWidth="1"/>
    <col min="9484" max="9484" width="15.44140625" style="30" bestFit="1" customWidth="1"/>
    <col min="9485" max="9485" width="14.5546875" style="30" bestFit="1" customWidth="1"/>
    <col min="9486" max="9486" width="16.44140625" style="30" bestFit="1" customWidth="1"/>
    <col min="9487" max="9487" width="11.33203125" style="30" bestFit="1" customWidth="1"/>
    <col min="9488" max="9726" width="9.109375" style="30"/>
    <col min="9727" max="9727" width="4.5546875" style="30" customWidth="1"/>
    <col min="9728" max="9728" width="37.6640625" style="30" customWidth="1"/>
    <col min="9729" max="9729" width="0" style="30" hidden="1" customWidth="1"/>
    <col min="9730" max="9730" width="1.6640625" style="30" customWidth="1"/>
    <col min="9731" max="9732" width="16.5546875" style="30" customWidth="1"/>
    <col min="9733" max="9733" width="16.88671875" style="30" customWidth="1"/>
    <col min="9734" max="9736" width="16.5546875" style="30" customWidth="1"/>
    <col min="9737" max="9738" width="18.6640625" style="30" bestFit="1" customWidth="1"/>
    <col min="9739" max="9739" width="7.5546875" style="30" customWidth="1"/>
    <col min="9740" max="9740" width="15.44140625" style="30" bestFit="1" customWidth="1"/>
    <col min="9741" max="9741" width="14.5546875" style="30" bestFit="1" customWidth="1"/>
    <col min="9742" max="9742" width="16.44140625" style="30" bestFit="1" customWidth="1"/>
    <col min="9743" max="9743" width="11.33203125" style="30" bestFit="1" customWidth="1"/>
    <col min="9744" max="9982" width="9.109375" style="30"/>
    <col min="9983" max="9983" width="4.5546875" style="30" customWidth="1"/>
    <col min="9984" max="9984" width="37.6640625" style="30" customWidth="1"/>
    <col min="9985" max="9985" width="0" style="30" hidden="1" customWidth="1"/>
    <col min="9986" max="9986" width="1.6640625" style="30" customWidth="1"/>
    <col min="9987" max="9988" width="16.5546875" style="30" customWidth="1"/>
    <col min="9989" max="9989" width="16.88671875" style="30" customWidth="1"/>
    <col min="9990" max="9992" width="16.5546875" style="30" customWidth="1"/>
    <col min="9993" max="9994" width="18.6640625" style="30" bestFit="1" customWidth="1"/>
    <col min="9995" max="9995" width="7.5546875" style="30" customWidth="1"/>
    <col min="9996" max="9996" width="15.44140625" style="30" bestFit="1" customWidth="1"/>
    <col min="9997" max="9997" width="14.5546875" style="30" bestFit="1" customWidth="1"/>
    <col min="9998" max="9998" width="16.44140625" style="30" bestFit="1" customWidth="1"/>
    <col min="9999" max="9999" width="11.33203125" style="30" bestFit="1" customWidth="1"/>
    <col min="10000" max="10238" width="9.109375" style="30"/>
    <col min="10239" max="10239" width="4.5546875" style="30" customWidth="1"/>
    <col min="10240" max="10240" width="37.6640625" style="30" customWidth="1"/>
    <col min="10241" max="10241" width="0" style="30" hidden="1" customWidth="1"/>
    <col min="10242" max="10242" width="1.6640625" style="30" customWidth="1"/>
    <col min="10243" max="10244" width="16.5546875" style="30" customWidth="1"/>
    <col min="10245" max="10245" width="16.88671875" style="30" customWidth="1"/>
    <col min="10246" max="10248" width="16.5546875" style="30" customWidth="1"/>
    <col min="10249" max="10250" width="18.6640625" style="30" bestFit="1" customWidth="1"/>
    <col min="10251" max="10251" width="7.5546875" style="30" customWidth="1"/>
    <col min="10252" max="10252" width="15.44140625" style="30" bestFit="1" customWidth="1"/>
    <col min="10253" max="10253" width="14.5546875" style="30" bestFit="1" customWidth="1"/>
    <col min="10254" max="10254" width="16.44140625" style="30" bestFit="1" customWidth="1"/>
    <col min="10255" max="10255" width="11.33203125" style="30" bestFit="1" customWidth="1"/>
    <col min="10256" max="10494" width="9.109375" style="30"/>
    <col min="10495" max="10495" width="4.5546875" style="30" customWidth="1"/>
    <col min="10496" max="10496" width="37.6640625" style="30" customWidth="1"/>
    <col min="10497" max="10497" width="0" style="30" hidden="1" customWidth="1"/>
    <col min="10498" max="10498" width="1.6640625" style="30" customWidth="1"/>
    <col min="10499" max="10500" width="16.5546875" style="30" customWidth="1"/>
    <col min="10501" max="10501" width="16.88671875" style="30" customWidth="1"/>
    <col min="10502" max="10504" width="16.5546875" style="30" customWidth="1"/>
    <col min="10505" max="10506" width="18.6640625" style="30" bestFit="1" customWidth="1"/>
    <col min="10507" max="10507" width="7.5546875" style="30" customWidth="1"/>
    <col min="10508" max="10508" width="15.44140625" style="30" bestFit="1" customWidth="1"/>
    <col min="10509" max="10509" width="14.5546875" style="30" bestFit="1" customWidth="1"/>
    <col min="10510" max="10510" width="16.44140625" style="30" bestFit="1" customWidth="1"/>
    <col min="10511" max="10511" width="11.33203125" style="30" bestFit="1" customWidth="1"/>
    <col min="10512" max="10750" width="9.109375" style="30"/>
    <col min="10751" max="10751" width="4.5546875" style="30" customWidth="1"/>
    <col min="10752" max="10752" width="37.6640625" style="30" customWidth="1"/>
    <col min="10753" max="10753" width="0" style="30" hidden="1" customWidth="1"/>
    <col min="10754" max="10754" width="1.6640625" style="30" customWidth="1"/>
    <col min="10755" max="10756" width="16.5546875" style="30" customWidth="1"/>
    <col min="10757" max="10757" width="16.88671875" style="30" customWidth="1"/>
    <col min="10758" max="10760" width="16.5546875" style="30" customWidth="1"/>
    <col min="10761" max="10762" width="18.6640625" style="30" bestFit="1" customWidth="1"/>
    <col min="10763" max="10763" width="7.5546875" style="30" customWidth="1"/>
    <col min="10764" max="10764" width="15.44140625" style="30" bestFit="1" customWidth="1"/>
    <col min="10765" max="10765" width="14.5546875" style="30" bestFit="1" customWidth="1"/>
    <col min="10766" max="10766" width="16.44140625" style="30" bestFit="1" customWidth="1"/>
    <col min="10767" max="10767" width="11.33203125" style="30" bestFit="1" customWidth="1"/>
    <col min="10768" max="11006" width="9.109375" style="30"/>
    <col min="11007" max="11007" width="4.5546875" style="30" customWidth="1"/>
    <col min="11008" max="11008" width="37.6640625" style="30" customWidth="1"/>
    <col min="11009" max="11009" width="0" style="30" hidden="1" customWidth="1"/>
    <col min="11010" max="11010" width="1.6640625" style="30" customWidth="1"/>
    <col min="11011" max="11012" width="16.5546875" style="30" customWidth="1"/>
    <col min="11013" max="11013" width="16.88671875" style="30" customWidth="1"/>
    <col min="11014" max="11016" width="16.5546875" style="30" customWidth="1"/>
    <col min="11017" max="11018" width="18.6640625" style="30" bestFit="1" customWidth="1"/>
    <col min="11019" max="11019" width="7.5546875" style="30" customWidth="1"/>
    <col min="11020" max="11020" width="15.44140625" style="30" bestFit="1" customWidth="1"/>
    <col min="11021" max="11021" width="14.5546875" style="30" bestFit="1" customWidth="1"/>
    <col min="11022" max="11022" width="16.44140625" style="30" bestFit="1" customWidth="1"/>
    <col min="11023" max="11023" width="11.33203125" style="30" bestFit="1" customWidth="1"/>
    <col min="11024" max="11262" width="9.109375" style="30"/>
    <col min="11263" max="11263" width="4.5546875" style="30" customWidth="1"/>
    <col min="11264" max="11264" width="37.6640625" style="30" customWidth="1"/>
    <col min="11265" max="11265" width="0" style="30" hidden="1" customWidth="1"/>
    <col min="11266" max="11266" width="1.6640625" style="30" customWidth="1"/>
    <col min="11267" max="11268" width="16.5546875" style="30" customWidth="1"/>
    <col min="11269" max="11269" width="16.88671875" style="30" customWidth="1"/>
    <col min="11270" max="11272" width="16.5546875" style="30" customWidth="1"/>
    <col min="11273" max="11274" width="18.6640625" style="30" bestFit="1" customWidth="1"/>
    <col min="11275" max="11275" width="7.5546875" style="30" customWidth="1"/>
    <col min="11276" max="11276" width="15.44140625" style="30" bestFit="1" customWidth="1"/>
    <col min="11277" max="11277" width="14.5546875" style="30" bestFit="1" customWidth="1"/>
    <col min="11278" max="11278" width="16.44140625" style="30" bestFit="1" customWidth="1"/>
    <col min="11279" max="11279" width="11.33203125" style="30" bestFit="1" customWidth="1"/>
    <col min="11280" max="11518" width="9.109375" style="30"/>
    <col min="11519" max="11519" width="4.5546875" style="30" customWidth="1"/>
    <col min="11520" max="11520" width="37.6640625" style="30" customWidth="1"/>
    <col min="11521" max="11521" width="0" style="30" hidden="1" customWidth="1"/>
    <col min="11522" max="11522" width="1.6640625" style="30" customWidth="1"/>
    <col min="11523" max="11524" width="16.5546875" style="30" customWidth="1"/>
    <col min="11525" max="11525" width="16.88671875" style="30" customWidth="1"/>
    <col min="11526" max="11528" width="16.5546875" style="30" customWidth="1"/>
    <col min="11529" max="11530" width="18.6640625" style="30" bestFit="1" customWidth="1"/>
    <col min="11531" max="11531" width="7.5546875" style="30" customWidth="1"/>
    <col min="11532" max="11532" width="15.44140625" style="30" bestFit="1" customWidth="1"/>
    <col min="11533" max="11533" width="14.5546875" style="30" bestFit="1" customWidth="1"/>
    <col min="11534" max="11534" width="16.44140625" style="30" bestFit="1" customWidth="1"/>
    <col min="11535" max="11535" width="11.33203125" style="30" bestFit="1" customWidth="1"/>
    <col min="11536" max="11774" width="9.109375" style="30"/>
    <col min="11775" max="11775" width="4.5546875" style="30" customWidth="1"/>
    <col min="11776" max="11776" width="37.6640625" style="30" customWidth="1"/>
    <col min="11777" max="11777" width="0" style="30" hidden="1" customWidth="1"/>
    <col min="11778" max="11778" width="1.6640625" style="30" customWidth="1"/>
    <col min="11779" max="11780" width="16.5546875" style="30" customWidth="1"/>
    <col min="11781" max="11781" width="16.88671875" style="30" customWidth="1"/>
    <col min="11782" max="11784" width="16.5546875" style="30" customWidth="1"/>
    <col min="11785" max="11786" width="18.6640625" style="30" bestFit="1" customWidth="1"/>
    <col min="11787" max="11787" width="7.5546875" style="30" customWidth="1"/>
    <col min="11788" max="11788" width="15.44140625" style="30" bestFit="1" customWidth="1"/>
    <col min="11789" max="11789" width="14.5546875" style="30" bestFit="1" customWidth="1"/>
    <col min="11790" max="11790" width="16.44140625" style="30" bestFit="1" customWidth="1"/>
    <col min="11791" max="11791" width="11.33203125" style="30" bestFit="1" customWidth="1"/>
    <col min="11792" max="12030" width="9.109375" style="30"/>
    <col min="12031" max="12031" width="4.5546875" style="30" customWidth="1"/>
    <col min="12032" max="12032" width="37.6640625" style="30" customWidth="1"/>
    <col min="12033" max="12033" width="0" style="30" hidden="1" customWidth="1"/>
    <col min="12034" max="12034" width="1.6640625" style="30" customWidth="1"/>
    <col min="12035" max="12036" width="16.5546875" style="30" customWidth="1"/>
    <col min="12037" max="12037" width="16.88671875" style="30" customWidth="1"/>
    <col min="12038" max="12040" width="16.5546875" style="30" customWidth="1"/>
    <col min="12041" max="12042" width="18.6640625" style="30" bestFit="1" customWidth="1"/>
    <col min="12043" max="12043" width="7.5546875" style="30" customWidth="1"/>
    <col min="12044" max="12044" width="15.44140625" style="30" bestFit="1" customWidth="1"/>
    <col min="12045" max="12045" width="14.5546875" style="30" bestFit="1" customWidth="1"/>
    <col min="12046" max="12046" width="16.44140625" style="30" bestFit="1" customWidth="1"/>
    <col min="12047" max="12047" width="11.33203125" style="30" bestFit="1" customWidth="1"/>
    <col min="12048" max="12286" width="9.109375" style="30"/>
    <col min="12287" max="12287" width="4.5546875" style="30" customWidth="1"/>
    <col min="12288" max="12288" width="37.6640625" style="30" customWidth="1"/>
    <col min="12289" max="12289" width="0" style="30" hidden="1" customWidth="1"/>
    <col min="12290" max="12290" width="1.6640625" style="30" customWidth="1"/>
    <col min="12291" max="12292" width="16.5546875" style="30" customWidth="1"/>
    <col min="12293" max="12293" width="16.88671875" style="30" customWidth="1"/>
    <col min="12294" max="12296" width="16.5546875" style="30" customWidth="1"/>
    <col min="12297" max="12298" width="18.6640625" style="30" bestFit="1" customWidth="1"/>
    <col min="12299" max="12299" width="7.5546875" style="30" customWidth="1"/>
    <col min="12300" max="12300" width="15.44140625" style="30" bestFit="1" customWidth="1"/>
    <col min="12301" max="12301" width="14.5546875" style="30" bestFit="1" customWidth="1"/>
    <col min="12302" max="12302" width="16.44140625" style="30" bestFit="1" customWidth="1"/>
    <col min="12303" max="12303" width="11.33203125" style="30" bestFit="1" customWidth="1"/>
    <col min="12304" max="12542" width="9.109375" style="30"/>
    <col min="12543" max="12543" width="4.5546875" style="30" customWidth="1"/>
    <col min="12544" max="12544" width="37.6640625" style="30" customWidth="1"/>
    <col min="12545" max="12545" width="0" style="30" hidden="1" customWidth="1"/>
    <col min="12546" max="12546" width="1.6640625" style="30" customWidth="1"/>
    <col min="12547" max="12548" width="16.5546875" style="30" customWidth="1"/>
    <col min="12549" max="12549" width="16.88671875" style="30" customWidth="1"/>
    <col min="12550" max="12552" width="16.5546875" style="30" customWidth="1"/>
    <col min="12553" max="12554" width="18.6640625" style="30" bestFit="1" customWidth="1"/>
    <col min="12555" max="12555" width="7.5546875" style="30" customWidth="1"/>
    <col min="12556" max="12556" width="15.44140625" style="30" bestFit="1" customWidth="1"/>
    <col min="12557" max="12557" width="14.5546875" style="30" bestFit="1" customWidth="1"/>
    <col min="12558" max="12558" width="16.44140625" style="30" bestFit="1" customWidth="1"/>
    <col min="12559" max="12559" width="11.33203125" style="30" bestFit="1" customWidth="1"/>
    <col min="12560" max="12798" width="9.109375" style="30"/>
    <col min="12799" max="12799" width="4.5546875" style="30" customWidth="1"/>
    <col min="12800" max="12800" width="37.6640625" style="30" customWidth="1"/>
    <col min="12801" max="12801" width="0" style="30" hidden="1" customWidth="1"/>
    <col min="12802" max="12802" width="1.6640625" style="30" customWidth="1"/>
    <col min="12803" max="12804" width="16.5546875" style="30" customWidth="1"/>
    <col min="12805" max="12805" width="16.88671875" style="30" customWidth="1"/>
    <col min="12806" max="12808" width="16.5546875" style="30" customWidth="1"/>
    <col min="12809" max="12810" width="18.6640625" style="30" bestFit="1" customWidth="1"/>
    <col min="12811" max="12811" width="7.5546875" style="30" customWidth="1"/>
    <col min="12812" max="12812" width="15.44140625" style="30" bestFit="1" customWidth="1"/>
    <col min="12813" max="12813" width="14.5546875" style="30" bestFit="1" customWidth="1"/>
    <col min="12814" max="12814" width="16.44140625" style="30" bestFit="1" customWidth="1"/>
    <col min="12815" max="12815" width="11.33203125" style="30" bestFit="1" customWidth="1"/>
    <col min="12816" max="13054" width="9.109375" style="30"/>
    <col min="13055" max="13055" width="4.5546875" style="30" customWidth="1"/>
    <col min="13056" max="13056" width="37.6640625" style="30" customWidth="1"/>
    <col min="13057" max="13057" width="0" style="30" hidden="1" customWidth="1"/>
    <col min="13058" max="13058" width="1.6640625" style="30" customWidth="1"/>
    <col min="13059" max="13060" width="16.5546875" style="30" customWidth="1"/>
    <col min="13061" max="13061" width="16.88671875" style="30" customWidth="1"/>
    <col min="13062" max="13064" width="16.5546875" style="30" customWidth="1"/>
    <col min="13065" max="13066" width="18.6640625" style="30" bestFit="1" customWidth="1"/>
    <col min="13067" max="13067" width="7.5546875" style="30" customWidth="1"/>
    <col min="13068" max="13068" width="15.44140625" style="30" bestFit="1" customWidth="1"/>
    <col min="13069" max="13069" width="14.5546875" style="30" bestFit="1" customWidth="1"/>
    <col min="13070" max="13070" width="16.44140625" style="30" bestFit="1" customWidth="1"/>
    <col min="13071" max="13071" width="11.33203125" style="30" bestFit="1" customWidth="1"/>
    <col min="13072" max="13310" width="9.109375" style="30"/>
    <col min="13311" max="13311" width="4.5546875" style="30" customWidth="1"/>
    <col min="13312" max="13312" width="37.6640625" style="30" customWidth="1"/>
    <col min="13313" max="13313" width="0" style="30" hidden="1" customWidth="1"/>
    <col min="13314" max="13314" width="1.6640625" style="30" customWidth="1"/>
    <col min="13315" max="13316" width="16.5546875" style="30" customWidth="1"/>
    <col min="13317" max="13317" width="16.88671875" style="30" customWidth="1"/>
    <col min="13318" max="13320" width="16.5546875" style="30" customWidth="1"/>
    <col min="13321" max="13322" width="18.6640625" style="30" bestFit="1" customWidth="1"/>
    <col min="13323" max="13323" width="7.5546875" style="30" customWidth="1"/>
    <col min="13324" max="13324" width="15.44140625" style="30" bestFit="1" customWidth="1"/>
    <col min="13325" max="13325" width="14.5546875" style="30" bestFit="1" customWidth="1"/>
    <col min="13326" max="13326" width="16.44140625" style="30" bestFit="1" customWidth="1"/>
    <col min="13327" max="13327" width="11.33203125" style="30" bestFit="1" customWidth="1"/>
    <col min="13328" max="13566" width="9.109375" style="30"/>
    <col min="13567" max="13567" width="4.5546875" style="30" customWidth="1"/>
    <col min="13568" max="13568" width="37.6640625" style="30" customWidth="1"/>
    <col min="13569" max="13569" width="0" style="30" hidden="1" customWidth="1"/>
    <col min="13570" max="13570" width="1.6640625" style="30" customWidth="1"/>
    <col min="13571" max="13572" width="16.5546875" style="30" customWidth="1"/>
    <col min="13573" max="13573" width="16.88671875" style="30" customWidth="1"/>
    <col min="13574" max="13576" width="16.5546875" style="30" customWidth="1"/>
    <col min="13577" max="13578" width="18.6640625" style="30" bestFit="1" customWidth="1"/>
    <col min="13579" max="13579" width="7.5546875" style="30" customWidth="1"/>
    <col min="13580" max="13580" width="15.44140625" style="30" bestFit="1" customWidth="1"/>
    <col min="13581" max="13581" width="14.5546875" style="30" bestFit="1" customWidth="1"/>
    <col min="13582" max="13582" width="16.44140625" style="30" bestFit="1" customWidth="1"/>
    <col min="13583" max="13583" width="11.33203125" style="30" bestFit="1" customWidth="1"/>
    <col min="13584" max="13822" width="9.109375" style="30"/>
    <col min="13823" max="13823" width="4.5546875" style="30" customWidth="1"/>
    <col min="13824" max="13824" width="37.6640625" style="30" customWidth="1"/>
    <col min="13825" max="13825" width="0" style="30" hidden="1" customWidth="1"/>
    <col min="13826" max="13826" width="1.6640625" style="30" customWidth="1"/>
    <col min="13827" max="13828" width="16.5546875" style="30" customWidth="1"/>
    <col min="13829" max="13829" width="16.88671875" style="30" customWidth="1"/>
    <col min="13830" max="13832" width="16.5546875" style="30" customWidth="1"/>
    <col min="13833" max="13834" width="18.6640625" style="30" bestFit="1" customWidth="1"/>
    <col min="13835" max="13835" width="7.5546875" style="30" customWidth="1"/>
    <col min="13836" max="13836" width="15.44140625" style="30" bestFit="1" customWidth="1"/>
    <col min="13837" max="13837" width="14.5546875" style="30" bestFit="1" customWidth="1"/>
    <col min="13838" max="13838" width="16.44140625" style="30" bestFit="1" customWidth="1"/>
    <col min="13839" max="13839" width="11.33203125" style="30" bestFit="1" customWidth="1"/>
    <col min="13840" max="14078" width="9.109375" style="30"/>
    <col min="14079" max="14079" width="4.5546875" style="30" customWidth="1"/>
    <col min="14080" max="14080" width="37.6640625" style="30" customWidth="1"/>
    <col min="14081" max="14081" width="0" style="30" hidden="1" customWidth="1"/>
    <col min="14082" max="14082" width="1.6640625" style="30" customWidth="1"/>
    <col min="14083" max="14084" width="16.5546875" style="30" customWidth="1"/>
    <col min="14085" max="14085" width="16.88671875" style="30" customWidth="1"/>
    <col min="14086" max="14088" width="16.5546875" style="30" customWidth="1"/>
    <col min="14089" max="14090" width="18.6640625" style="30" bestFit="1" customWidth="1"/>
    <col min="14091" max="14091" width="7.5546875" style="30" customWidth="1"/>
    <col min="14092" max="14092" width="15.44140625" style="30" bestFit="1" customWidth="1"/>
    <col min="14093" max="14093" width="14.5546875" style="30" bestFit="1" customWidth="1"/>
    <col min="14094" max="14094" width="16.44140625" style="30" bestFit="1" customWidth="1"/>
    <col min="14095" max="14095" width="11.33203125" style="30" bestFit="1" customWidth="1"/>
    <col min="14096" max="14334" width="9.109375" style="30"/>
    <col min="14335" max="14335" width="4.5546875" style="30" customWidth="1"/>
    <col min="14336" max="14336" width="37.6640625" style="30" customWidth="1"/>
    <col min="14337" max="14337" width="0" style="30" hidden="1" customWidth="1"/>
    <col min="14338" max="14338" width="1.6640625" style="30" customWidth="1"/>
    <col min="14339" max="14340" width="16.5546875" style="30" customWidth="1"/>
    <col min="14341" max="14341" width="16.88671875" style="30" customWidth="1"/>
    <col min="14342" max="14344" width="16.5546875" style="30" customWidth="1"/>
    <col min="14345" max="14346" width="18.6640625" style="30" bestFit="1" customWidth="1"/>
    <col min="14347" max="14347" width="7.5546875" style="30" customWidth="1"/>
    <col min="14348" max="14348" width="15.44140625" style="30" bestFit="1" customWidth="1"/>
    <col min="14349" max="14349" width="14.5546875" style="30" bestFit="1" customWidth="1"/>
    <col min="14350" max="14350" width="16.44140625" style="30" bestFit="1" customWidth="1"/>
    <col min="14351" max="14351" width="11.33203125" style="30" bestFit="1" customWidth="1"/>
    <col min="14352" max="14590" width="9.109375" style="30"/>
    <col min="14591" max="14591" width="4.5546875" style="30" customWidth="1"/>
    <col min="14592" max="14592" width="37.6640625" style="30" customWidth="1"/>
    <col min="14593" max="14593" width="0" style="30" hidden="1" customWidth="1"/>
    <col min="14594" max="14594" width="1.6640625" style="30" customWidth="1"/>
    <col min="14595" max="14596" width="16.5546875" style="30" customWidth="1"/>
    <col min="14597" max="14597" width="16.88671875" style="30" customWidth="1"/>
    <col min="14598" max="14600" width="16.5546875" style="30" customWidth="1"/>
    <col min="14601" max="14602" width="18.6640625" style="30" bestFit="1" customWidth="1"/>
    <col min="14603" max="14603" width="7.5546875" style="30" customWidth="1"/>
    <col min="14604" max="14604" width="15.44140625" style="30" bestFit="1" customWidth="1"/>
    <col min="14605" max="14605" width="14.5546875" style="30" bestFit="1" customWidth="1"/>
    <col min="14606" max="14606" width="16.44140625" style="30" bestFit="1" customWidth="1"/>
    <col min="14607" max="14607" width="11.33203125" style="30" bestFit="1" customWidth="1"/>
    <col min="14608" max="14846" width="9.109375" style="30"/>
    <col min="14847" max="14847" width="4.5546875" style="30" customWidth="1"/>
    <col min="14848" max="14848" width="37.6640625" style="30" customWidth="1"/>
    <col min="14849" max="14849" width="0" style="30" hidden="1" customWidth="1"/>
    <col min="14850" max="14850" width="1.6640625" style="30" customWidth="1"/>
    <col min="14851" max="14852" width="16.5546875" style="30" customWidth="1"/>
    <col min="14853" max="14853" width="16.88671875" style="30" customWidth="1"/>
    <col min="14854" max="14856" width="16.5546875" style="30" customWidth="1"/>
    <col min="14857" max="14858" width="18.6640625" style="30" bestFit="1" customWidth="1"/>
    <col min="14859" max="14859" width="7.5546875" style="30" customWidth="1"/>
    <col min="14860" max="14860" width="15.44140625" style="30" bestFit="1" customWidth="1"/>
    <col min="14861" max="14861" width="14.5546875" style="30" bestFit="1" customWidth="1"/>
    <col min="14862" max="14862" width="16.44140625" style="30" bestFit="1" customWidth="1"/>
    <col min="14863" max="14863" width="11.33203125" style="30" bestFit="1" customWidth="1"/>
    <col min="14864" max="15102" width="9.109375" style="30"/>
    <col min="15103" max="15103" width="4.5546875" style="30" customWidth="1"/>
    <col min="15104" max="15104" width="37.6640625" style="30" customWidth="1"/>
    <col min="15105" max="15105" width="0" style="30" hidden="1" customWidth="1"/>
    <col min="15106" max="15106" width="1.6640625" style="30" customWidth="1"/>
    <col min="15107" max="15108" width="16.5546875" style="30" customWidth="1"/>
    <col min="15109" max="15109" width="16.88671875" style="30" customWidth="1"/>
    <col min="15110" max="15112" width="16.5546875" style="30" customWidth="1"/>
    <col min="15113" max="15114" width="18.6640625" style="30" bestFit="1" customWidth="1"/>
    <col min="15115" max="15115" width="7.5546875" style="30" customWidth="1"/>
    <col min="15116" max="15116" width="15.44140625" style="30" bestFit="1" customWidth="1"/>
    <col min="15117" max="15117" width="14.5546875" style="30" bestFit="1" customWidth="1"/>
    <col min="15118" max="15118" width="16.44140625" style="30" bestFit="1" customWidth="1"/>
    <col min="15119" max="15119" width="11.33203125" style="30" bestFit="1" customWidth="1"/>
    <col min="15120" max="15358" width="9.109375" style="30"/>
    <col min="15359" max="15359" width="4.5546875" style="30" customWidth="1"/>
    <col min="15360" max="15360" width="37.6640625" style="30" customWidth="1"/>
    <col min="15361" max="15361" width="0" style="30" hidden="1" customWidth="1"/>
    <col min="15362" max="15362" width="1.6640625" style="30" customWidth="1"/>
    <col min="15363" max="15364" width="16.5546875" style="30" customWidth="1"/>
    <col min="15365" max="15365" width="16.88671875" style="30" customWidth="1"/>
    <col min="15366" max="15368" width="16.5546875" style="30" customWidth="1"/>
    <col min="15369" max="15370" width="18.6640625" style="30" bestFit="1" customWidth="1"/>
    <col min="15371" max="15371" width="7.5546875" style="30" customWidth="1"/>
    <col min="15372" max="15372" width="15.44140625" style="30" bestFit="1" customWidth="1"/>
    <col min="15373" max="15373" width="14.5546875" style="30" bestFit="1" customWidth="1"/>
    <col min="15374" max="15374" width="16.44140625" style="30" bestFit="1" customWidth="1"/>
    <col min="15375" max="15375" width="11.33203125" style="30" bestFit="1" customWidth="1"/>
    <col min="15376" max="15614" width="9.109375" style="30"/>
    <col min="15615" max="15615" width="4.5546875" style="30" customWidth="1"/>
    <col min="15616" max="15616" width="37.6640625" style="30" customWidth="1"/>
    <col min="15617" max="15617" width="0" style="30" hidden="1" customWidth="1"/>
    <col min="15618" max="15618" width="1.6640625" style="30" customWidth="1"/>
    <col min="15619" max="15620" width="16.5546875" style="30" customWidth="1"/>
    <col min="15621" max="15621" width="16.88671875" style="30" customWidth="1"/>
    <col min="15622" max="15624" width="16.5546875" style="30" customWidth="1"/>
    <col min="15625" max="15626" width="18.6640625" style="30" bestFit="1" customWidth="1"/>
    <col min="15627" max="15627" width="7.5546875" style="30" customWidth="1"/>
    <col min="15628" max="15628" width="15.44140625" style="30" bestFit="1" customWidth="1"/>
    <col min="15629" max="15629" width="14.5546875" style="30" bestFit="1" customWidth="1"/>
    <col min="15630" max="15630" width="16.44140625" style="30" bestFit="1" customWidth="1"/>
    <col min="15631" max="15631" width="11.33203125" style="30" bestFit="1" customWidth="1"/>
    <col min="15632" max="15870" width="9.109375" style="30"/>
    <col min="15871" max="15871" width="4.5546875" style="30" customWidth="1"/>
    <col min="15872" max="15872" width="37.6640625" style="30" customWidth="1"/>
    <col min="15873" max="15873" width="0" style="30" hidden="1" customWidth="1"/>
    <col min="15874" max="15874" width="1.6640625" style="30" customWidth="1"/>
    <col min="15875" max="15876" width="16.5546875" style="30" customWidth="1"/>
    <col min="15877" max="15877" width="16.88671875" style="30" customWidth="1"/>
    <col min="15878" max="15880" width="16.5546875" style="30" customWidth="1"/>
    <col min="15881" max="15882" width="18.6640625" style="30" bestFit="1" customWidth="1"/>
    <col min="15883" max="15883" width="7.5546875" style="30" customWidth="1"/>
    <col min="15884" max="15884" width="15.44140625" style="30" bestFit="1" customWidth="1"/>
    <col min="15885" max="15885" width="14.5546875" style="30" bestFit="1" customWidth="1"/>
    <col min="15886" max="15886" width="16.44140625" style="30" bestFit="1" customWidth="1"/>
    <col min="15887" max="15887" width="11.33203125" style="30" bestFit="1" customWidth="1"/>
    <col min="15888" max="16126" width="9.109375" style="30"/>
    <col min="16127" max="16127" width="4.5546875" style="30" customWidth="1"/>
    <col min="16128" max="16128" width="37.6640625" style="30" customWidth="1"/>
    <col min="16129" max="16129" width="0" style="30" hidden="1" customWidth="1"/>
    <col min="16130" max="16130" width="1.6640625" style="30" customWidth="1"/>
    <col min="16131" max="16132" width="16.5546875" style="30" customWidth="1"/>
    <col min="16133" max="16133" width="16.88671875" style="30" customWidth="1"/>
    <col min="16134" max="16136" width="16.5546875" style="30" customWidth="1"/>
    <col min="16137" max="16138" width="18.6640625" style="30" bestFit="1" customWidth="1"/>
    <col min="16139" max="16139" width="7.5546875" style="30" customWidth="1"/>
    <col min="16140" max="16140" width="15.44140625" style="30" bestFit="1" customWidth="1"/>
    <col min="16141" max="16141" width="14.5546875" style="30" bestFit="1" customWidth="1"/>
    <col min="16142" max="16142" width="16.44140625" style="30" bestFit="1" customWidth="1"/>
    <col min="16143" max="16143" width="11.33203125" style="30" bestFit="1" customWidth="1"/>
    <col min="16144" max="16384" width="9.109375" style="30"/>
  </cols>
  <sheetData>
    <row r="4" spans="2:15" s="4" customFormat="1" ht="16.2" x14ac:dyDescent="0.3">
      <c r="B4" s="149" t="s">
        <v>111</v>
      </c>
      <c r="C4" s="1"/>
      <c r="D4" s="1"/>
      <c r="E4" s="1"/>
      <c r="F4" s="1"/>
      <c r="G4" s="1"/>
      <c r="H4" s="1"/>
      <c r="I4" s="2"/>
      <c r="J4" s="2"/>
      <c r="K4" s="3"/>
      <c r="L4" s="3"/>
      <c r="M4" s="5"/>
    </row>
    <row r="5" spans="2:15" s="4" customFormat="1" ht="13.8" x14ac:dyDescent="0.25">
      <c r="B5" s="150" t="s">
        <v>0</v>
      </c>
      <c r="C5" s="1"/>
      <c r="D5" s="1"/>
      <c r="E5" s="1"/>
      <c r="F5" s="1"/>
      <c r="G5" s="1"/>
      <c r="H5" s="1"/>
      <c r="I5" s="2"/>
      <c r="J5" s="2"/>
      <c r="K5" s="3"/>
      <c r="L5" s="3"/>
      <c r="M5" s="5"/>
    </row>
    <row r="6" spans="2:15" s="4" customFormat="1" ht="13.8" x14ac:dyDescent="0.25">
      <c r="B6" s="151">
        <v>43800</v>
      </c>
      <c r="C6" s="1"/>
      <c r="D6" s="1"/>
      <c r="E6" s="1"/>
      <c r="F6" s="1"/>
      <c r="G6" s="1"/>
      <c r="H6" s="1"/>
      <c r="I6" s="2"/>
      <c r="J6" s="2"/>
      <c r="K6" s="3"/>
      <c r="L6" s="3"/>
      <c r="M6" s="5"/>
    </row>
    <row r="7" spans="2:15" s="4" customFormat="1" ht="11.25" customHeight="1" x14ac:dyDescent="0.2">
      <c r="B7" s="6"/>
      <c r="C7" s="1"/>
      <c r="D7" s="1"/>
      <c r="E7" s="1"/>
      <c r="F7" s="1"/>
      <c r="G7" s="1"/>
      <c r="H7" s="1"/>
      <c r="I7" s="2"/>
      <c r="J7" s="2"/>
      <c r="K7" s="3"/>
      <c r="L7" s="3"/>
      <c r="M7" s="5"/>
    </row>
    <row r="8" spans="2:15" s="4" customFormat="1" ht="16.2" x14ac:dyDescent="0.35">
      <c r="B8" s="99"/>
      <c r="C8" s="100"/>
      <c r="D8" s="104"/>
      <c r="E8" s="104"/>
      <c r="F8" s="104"/>
      <c r="G8" s="104"/>
      <c r="H8" s="104"/>
      <c r="I8" s="104" t="s">
        <v>114</v>
      </c>
      <c r="J8" s="124"/>
      <c r="K8" s="185" t="s">
        <v>113</v>
      </c>
      <c r="L8" s="7"/>
      <c r="M8" s="5"/>
    </row>
    <row r="9" spans="2:15" s="4" customFormat="1" ht="16.2" x14ac:dyDescent="0.35">
      <c r="B9" s="103" t="s">
        <v>112</v>
      </c>
      <c r="C9" s="152">
        <v>43647</v>
      </c>
      <c r="D9" s="153">
        <v>43678</v>
      </c>
      <c r="E9" s="152">
        <v>43709</v>
      </c>
      <c r="F9" s="153">
        <v>43739</v>
      </c>
      <c r="G9" s="152">
        <v>43770</v>
      </c>
      <c r="H9" s="153">
        <v>43800</v>
      </c>
      <c r="I9" s="102" t="s">
        <v>2</v>
      </c>
      <c r="J9" s="124"/>
      <c r="K9" s="186" t="s">
        <v>2</v>
      </c>
      <c r="L9" s="8"/>
      <c r="M9" s="5"/>
    </row>
    <row r="10" spans="2:15" s="4" customFormat="1" x14ac:dyDescent="0.2">
      <c r="B10" s="88" t="s">
        <v>3</v>
      </c>
      <c r="C10" s="89"/>
      <c r="D10" s="142"/>
      <c r="E10" s="142"/>
      <c r="F10" s="142"/>
      <c r="G10" s="142"/>
      <c r="H10" s="142"/>
      <c r="I10" s="105"/>
      <c r="J10" s="124"/>
      <c r="K10" s="160"/>
      <c r="L10" s="3"/>
      <c r="M10" s="5"/>
    </row>
    <row r="11" spans="2:15" s="12" customFormat="1" ht="13.8" x14ac:dyDescent="0.2">
      <c r="B11" s="90" t="s">
        <v>3</v>
      </c>
      <c r="C11" s="107">
        <v>248752.52000000002</v>
      </c>
      <c r="D11" s="117">
        <v>236943.2</v>
      </c>
      <c r="E11" s="117">
        <f>320860.24+10185.02+25000</f>
        <v>356045.26</v>
      </c>
      <c r="F11" s="117">
        <f>286066.75+20000</f>
        <v>306066.75</v>
      </c>
      <c r="G11" s="117">
        <f>235576.22+4175+25000</f>
        <v>264751.21999999997</v>
      </c>
      <c r="H11" s="117">
        <f>I11-SUM(C11:G11)</f>
        <v>242971.62000000011</v>
      </c>
      <c r="I11" s="109">
        <f>1565530.57+90000</f>
        <v>1655530.57</v>
      </c>
      <c r="J11" s="124"/>
      <c r="K11" s="118">
        <f>1655731.09+75000</f>
        <v>1730731.09</v>
      </c>
      <c r="L11" s="10"/>
      <c r="M11" s="11"/>
      <c r="N11" s="9"/>
      <c r="O11" s="9"/>
    </row>
    <row r="12" spans="2:15" s="12" customFormat="1" ht="13.8" x14ac:dyDescent="0.2">
      <c r="B12" s="90" t="s">
        <v>4</v>
      </c>
      <c r="C12" s="107">
        <f>'Profit &amp; loss account detail'!I85</f>
        <v>116260.57999999967</v>
      </c>
      <c r="D12" s="117">
        <v>4840.47</v>
      </c>
      <c r="E12" s="117">
        <v>2949.2</v>
      </c>
      <c r="F12" s="117">
        <f>705.4+2300</f>
        <v>3005.4</v>
      </c>
      <c r="G12" s="117">
        <v>3632.59</v>
      </c>
      <c r="H12" s="117">
        <f>I12-SUM(C12:G12)</f>
        <v>-111182.55999999965</v>
      </c>
      <c r="I12" s="109">
        <f>19505.68</f>
        <v>19505.68</v>
      </c>
      <c r="J12" s="124"/>
      <c r="K12" s="118">
        <v>23319.65</v>
      </c>
      <c r="L12" s="10"/>
      <c r="M12" s="11"/>
      <c r="N12" s="9"/>
      <c r="O12" s="9"/>
    </row>
    <row r="13" spans="2:15" s="4" customFormat="1" x14ac:dyDescent="0.2">
      <c r="B13" s="90"/>
      <c r="C13" s="110"/>
      <c r="D13" s="111"/>
      <c r="E13" s="111"/>
      <c r="F13" s="111"/>
      <c r="G13" s="111"/>
      <c r="H13" s="111"/>
      <c r="I13" s="111"/>
      <c r="J13" s="124"/>
      <c r="K13" s="110"/>
      <c r="L13" s="13"/>
      <c r="M13" s="5"/>
    </row>
    <row r="14" spans="2:15" s="4" customFormat="1" x14ac:dyDescent="0.2">
      <c r="B14" s="91" t="s">
        <v>5</v>
      </c>
      <c r="C14" s="112">
        <f>'Profit &amp; loss account detail'!I88</f>
        <v>2748</v>
      </c>
      <c r="D14" s="113">
        <f>SUM(D11:D13)</f>
        <v>241783.67</v>
      </c>
      <c r="E14" s="113">
        <f t="shared" ref="E14:K14" si="0">SUM(E11:E13)</f>
        <v>358994.46</v>
      </c>
      <c r="F14" s="113">
        <f t="shared" si="0"/>
        <v>309072.15000000002</v>
      </c>
      <c r="G14" s="113">
        <f>SUM(G11:G13)</f>
        <v>268383.81</v>
      </c>
      <c r="H14" s="113">
        <f>SUM(H11:H13)</f>
        <v>131789.06000000046</v>
      </c>
      <c r="I14" s="113">
        <f t="shared" si="0"/>
        <v>1675036.25</v>
      </c>
      <c r="J14" s="124"/>
      <c r="K14" s="112">
        <f t="shared" si="0"/>
        <v>1754050.74</v>
      </c>
      <c r="L14" s="14"/>
      <c r="M14" s="5"/>
    </row>
    <row r="15" spans="2:15" s="4" customFormat="1" x14ac:dyDescent="0.2">
      <c r="B15" s="88"/>
      <c r="C15" s="110"/>
      <c r="D15" s="111"/>
      <c r="E15" s="111"/>
      <c r="F15" s="111"/>
      <c r="G15" s="111"/>
      <c r="H15" s="111"/>
      <c r="I15" s="111"/>
      <c r="J15" s="124"/>
      <c r="K15" s="110"/>
      <c r="L15" s="13"/>
      <c r="M15" s="5"/>
    </row>
    <row r="16" spans="2:15" s="4" customFormat="1" x14ac:dyDescent="0.2">
      <c r="B16" s="92" t="s">
        <v>6</v>
      </c>
      <c r="C16" s="114"/>
      <c r="D16" s="115"/>
      <c r="E16" s="115"/>
      <c r="F16" s="115"/>
      <c r="G16" s="115"/>
      <c r="H16" s="115"/>
      <c r="I16" s="115"/>
      <c r="J16" s="124"/>
      <c r="K16" s="118"/>
      <c r="L16" s="15"/>
      <c r="M16" s="5"/>
    </row>
    <row r="17" spans="2:13" s="4" customFormat="1" x14ac:dyDescent="0.2">
      <c r="B17" s="92"/>
      <c r="C17" s="116"/>
      <c r="D17" s="143"/>
      <c r="E17" s="143"/>
      <c r="F17" s="143"/>
      <c r="G17" s="143"/>
      <c r="H17" s="143"/>
      <c r="I17" s="115"/>
      <c r="J17" s="124"/>
      <c r="K17" s="107"/>
      <c r="L17" s="17"/>
      <c r="M17" s="5"/>
    </row>
    <row r="18" spans="2:13" s="12" customFormat="1" x14ac:dyDescent="0.2">
      <c r="B18" s="93" t="s">
        <v>7</v>
      </c>
      <c r="C18" s="107">
        <v>641997.87</v>
      </c>
      <c r="D18" s="117">
        <f>-C23</f>
        <v>602872.57999999996</v>
      </c>
      <c r="E18" s="117">
        <f>-D23</f>
        <v>651906.18000000005</v>
      </c>
      <c r="F18" s="117">
        <f>-E23</f>
        <v>638509.91</v>
      </c>
      <c r="G18" s="117">
        <f>-F23</f>
        <v>662746.66</v>
      </c>
      <c r="H18" s="117">
        <f>-G23</f>
        <v>592652.21</v>
      </c>
      <c r="I18" s="109">
        <f>+C18</f>
        <v>641997.87</v>
      </c>
      <c r="J18" s="124"/>
      <c r="K18" s="107">
        <v>555980.56000000006</v>
      </c>
      <c r="L18" s="17"/>
      <c r="M18" s="11"/>
    </row>
    <row r="19" spans="2:13" s="12" customFormat="1" x14ac:dyDescent="0.2">
      <c r="B19" s="93" t="s">
        <v>8</v>
      </c>
      <c r="C19" s="107">
        <v>14283.79</v>
      </c>
      <c r="D19" s="117">
        <v>11611.28</v>
      </c>
      <c r="E19" s="117">
        <v>14760.98</v>
      </c>
      <c r="F19" s="117">
        <v>18366.599999999999</v>
      </c>
      <c r="G19" s="117">
        <v>16559.830000000002</v>
      </c>
      <c r="H19" s="117">
        <f>I19-SUM(C19:G19)</f>
        <v>12369.749999999985</v>
      </c>
      <c r="I19" s="109">
        <v>87952.23</v>
      </c>
      <c r="J19" s="124"/>
      <c r="K19" s="118">
        <v>86026.33</v>
      </c>
      <c r="L19" s="17"/>
      <c r="M19" s="11"/>
    </row>
    <row r="20" spans="2:13" s="12" customFormat="1" x14ac:dyDescent="0.2">
      <c r="B20" s="93" t="s">
        <v>115</v>
      </c>
      <c r="C20" s="107">
        <f>141635.97+150.15</f>
        <v>141786.12</v>
      </c>
      <c r="D20" s="117">
        <f>218145.55+3028.56+2550</f>
        <v>223724.11</v>
      </c>
      <c r="E20" s="117">
        <v>237219.24</v>
      </c>
      <c r="F20" s="117">
        <v>219757.94</v>
      </c>
      <c r="G20" s="117">
        <f>81566.56+21050</f>
        <v>102616.56</v>
      </c>
      <c r="H20" s="117">
        <f>I20-SUM(C20:G20)</f>
        <v>142868.38000000012</v>
      </c>
      <c r="I20" s="109">
        <v>1067972.3500000001</v>
      </c>
      <c r="J20" s="124"/>
      <c r="K20" s="118">
        <v>1275735.72</v>
      </c>
      <c r="L20" s="17"/>
      <c r="M20" s="11"/>
    </row>
    <row r="21" spans="2:13" s="12" customFormat="1" x14ac:dyDescent="0.2">
      <c r="B21" s="93" t="s">
        <v>9</v>
      </c>
      <c r="C21" s="107">
        <v>384.65</v>
      </c>
      <c r="D21" s="117">
        <v>1281.3499999999999</v>
      </c>
      <c r="E21" s="117">
        <v>437.65</v>
      </c>
      <c r="F21" s="117">
        <v>736.37</v>
      </c>
      <c r="G21" s="117">
        <v>512.12</v>
      </c>
      <c r="H21" s="117">
        <f>I21-SUM(C21:G21)</f>
        <v>534.07000000000016</v>
      </c>
      <c r="I21" s="109">
        <v>3886.21</v>
      </c>
      <c r="J21" s="124"/>
      <c r="K21" s="118">
        <v>6095.05</v>
      </c>
      <c r="L21" s="17"/>
      <c r="M21" s="11"/>
    </row>
    <row r="22" spans="2:13" s="12" customFormat="1" x14ac:dyDescent="0.2">
      <c r="B22" s="93" t="s">
        <v>10</v>
      </c>
      <c r="C22" s="107">
        <v>5474.34</v>
      </c>
      <c r="D22" s="117">
        <v>5442.4</v>
      </c>
      <c r="E22" s="117">
        <v>8560</v>
      </c>
      <c r="F22" s="117">
        <v>10055</v>
      </c>
      <c r="G22" s="117">
        <v>5679.5</v>
      </c>
      <c r="H22" s="117">
        <f>I22-SUM(C22:G22)</f>
        <v>8370</v>
      </c>
      <c r="I22" s="109">
        <v>43581.24</v>
      </c>
      <c r="J22" s="124"/>
      <c r="K22" s="118">
        <v>43366.400000000001</v>
      </c>
      <c r="L22" s="17"/>
      <c r="M22" s="11"/>
    </row>
    <row r="23" spans="2:13" s="12" customFormat="1" x14ac:dyDescent="0.2">
      <c r="B23" s="93" t="s">
        <v>11</v>
      </c>
      <c r="C23" s="154">
        <f>-(598656.86+4215.72)</f>
        <v>-602872.57999999996</v>
      </c>
      <c r="D23" s="155">
        <f>-(649356.18+2550)</f>
        <v>-651906.18000000005</v>
      </c>
      <c r="E23" s="155">
        <f>-(624884.91-2000+7125+8500)</f>
        <v>-638509.91</v>
      </c>
      <c r="F23" s="155">
        <v>-662746.66</v>
      </c>
      <c r="G23" s="155">
        <v>-592652.21</v>
      </c>
      <c r="H23" s="155">
        <f>-[5]Stock!E12</f>
        <v>-588995.72</v>
      </c>
      <c r="I23" s="156">
        <f>H23</f>
        <v>-588995.72</v>
      </c>
      <c r="J23" s="157"/>
      <c r="K23" s="154">
        <v>-636330.42000000004</v>
      </c>
      <c r="L23" s="17"/>
      <c r="M23" s="5"/>
    </row>
    <row r="24" spans="2:13" s="4" customFormat="1" x14ac:dyDescent="0.2">
      <c r="B24" s="93"/>
      <c r="C24" s="119"/>
      <c r="D24" s="144"/>
      <c r="E24" s="144"/>
      <c r="F24" s="144"/>
      <c r="G24" s="144"/>
      <c r="H24" s="144"/>
      <c r="I24" s="109"/>
      <c r="J24" s="124"/>
      <c r="K24" s="118"/>
      <c r="L24" s="10"/>
      <c r="M24" s="5"/>
    </row>
    <row r="25" spans="2:13" s="4" customFormat="1" x14ac:dyDescent="0.2">
      <c r="B25" s="91" t="s">
        <v>12</v>
      </c>
      <c r="C25" s="120">
        <f t="shared" ref="C25:I25" si="1">SUM(C18:C23)</f>
        <v>201054.19000000006</v>
      </c>
      <c r="D25" s="121">
        <f t="shared" si="1"/>
        <v>193025.53999999992</v>
      </c>
      <c r="E25" s="121">
        <f t="shared" si="1"/>
        <v>274374.14</v>
      </c>
      <c r="F25" s="121">
        <f t="shared" si="1"/>
        <v>224679.15999999992</v>
      </c>
      <c r="G25" s="121">
        <f t="shared" si="1"/>
        <v>195462.46000000008</v>
      </c>
      <c r="H25" s="121">
        <f t="shared" si="1"/>
        <v>167798.69000000006</v>
      </c>
      <c r="I25" s="121">
        <f t="shared" si="1"/>
        <v>1256394.1800000002</v>
      </c>
      <c r="J25" s="124"/>
      <c r="K25" s="120">
        <f>SUM(K18:K23)</f>
        <v>1330873.6399999997</v>
      </c>
      <c r="L25" s="19"/>
      <c r="M25" s="5"/>
    </row>
    <row r="26" spans="2:13" s="4" customFormat="1" x14ac:dyDescent="0.2">
      <c r="B26" s="90"/>
      <c r="C26" s="110"/>
      <c r="D26" s="111"/>
      <c r="E26" s="111"/>
      <c r="F26" s="111"/>
      <c r="G26" s="111"/>
      <c r="H26" s="111"/>
      <c r="I26" s="111"/>
      <c r="J26" s="124"/>
      <c r="K26" s="110"/>
      <c r="L26" s="13"/>
      <c r="M26" s="5"/>
    </row>
    <row r="27" spans="2:13" s="4" customFormat="1" x14ac:dyDescent="0.2">
      <c r="B27" s="91" t="s">
        <v>13</v>
      </c>
      <c r="C27" s="120">
        <f t="shared" ref="C27:I27" si="2">+C14-C25</f>
        <v>-198306.19000000006</v>
      </c>
      <c r="D27" s="121">
        <f t="shared" si="2"/>
        <v>48758.130000000092</v>
      </c>
      <c r="E27" s="121">
        <f t="shared" si="2"/>
        <v>84620.32</v>
      </c>
      <c r="F27" s="121">
        <f t="shared" si="2"/>
        <v>84392.990000000107</v>
      </c>
      <c r="G27" s="121">
        <f t="shared" si="2"/>
        <v>72921.349999999919</v>
      </c>
      <c r="H27" s="121">
        <f t="shared" si="2"/>
        <v>-36009.629999999597</v>
      </c>
      <c r="I27" s="121">
        <f t="shared" si="2"/>
        <v>418642.06999999983</v>
      </c>
      <c r="J27" s="124"/>
      <c r="K27" s="120">
        <f>+K14-K25</f>
        <v>423177.10000000033</v>
      </c>
      <c r="L27" s="19"/>
      <c r="M27" s="11"/>
    </row>
    <row r="28" spans="2:13" s="4" customFormat="1" x14ac:dyDescent="0.2">
      <c r="B28" s="88"/>
      <c r="C28" s="122"/>
      <c r="D28" s="141"/>
      <c r="E28" s="141"/>
      <c r="F28" s="141"/>
      <c r="G28" s="141"/>
      <c r="H28" s="141"/>
      <c r="I28" s="109"/>
      <c r="J28" s="124"/>
      <c r="K28" s="108"/>
      <c r="L28" s="19"/>
      <c r="M28" s="11"/>
    </row>
    <row r="29" spans="2:13" s="4" customFormat="1" x14ac:dyDescent="0.2">
      <c r="B29" s="131" t="s">
        <v>14</v>
      </c>
      <c r="C29" s="132">
        <f t="shared" ref="C29:I29" si="3">+C27/C14</f>
        <v>-72.163824599708903</v>
      </c>
      <c r="D29" s="138">
        <f t="shared" si="3"/>
        <v>0.2016601452033551</v>
      </c>
      <c r="E29" s="138">
        <f t="shared" si="3"/>
        <v>0.23571483526514589</v>
      </c>
      <c r="F29" s="138">
        <f t="shared" si="3"/>
        <v>0.2730527160082204</v>
      </c>
      <c r="G29" s="138">
        <f t="shared" si="3"/>
        <v>0.27170547284502711</v>
      </c>
      <c r="H29" s="138">
        <f t="shared" si="3"/>
        <v>-0.27323686806780068</v>
      </c>
      <c r="I29" s="138">
        <f t="shared" si="3"/>
        <v>0.24993015524290882</v>
      </c>
      <c r="J29" s="124"/>
      <c r="K29" s="132">
        <f>+K27/K14</f>
        <v>0.24125704596207995</v>
      </c>
      <c r="L29" s="20"/>
      <c r="M29" s="5"/>
    </row>
    <row r="30" spans="2:13" s="4" customFormat="1" x14ac:dyDescent="0.2">
      <c r="B30" s="90"/>
      <c r="C30" s="122"/>
      <c r="D30" s="141"/>
      <c r="E30" s="141"/>
      <c r="F30" s="141"/>
      <c r="G30" s="141"/>
      <c r="H30" s="141"/>
      <c r="I30" s="109" t="s">
        <v>15</v>
      </c>
      <c r="J30" s="124"/>
      <c r="K30" s="108" t="s">
        <v>15</v>
      </c>
      <c r="L30" s="19"/>
      <c r="M30" s="5"/>
    </row>
    <row r="31" spans="2:13" s="4" customFormat="1" x14ac:dyDescent="0.2">
      <c r="B31" s="88" t="s">
        <v>16</v>
      </c>
      <c r="C31" s="116"/>
      <c r="D31" s="143"/>
      <c r="E31" s="143"/>
      <c r="F31" s="143"/>
      <c r="G31" s="143"/>
      <c r="H31" s="143"/>
      <c r="I31" s="123"/>
      <c r="J31" s="158"/>
      <c r="K31" s="118"/>
      <c r="L31" s="15"/>
      <c r="M31" s="5"/>
    </row>
    <row r="32" spans="2:13" s="12" customFormat="1" x14ac:dyDescent="0.2">
      <c r="B32" s="90" t="s">
        <v>17</v>
      </c>
      <c r="C32" s="107">
        <v>3900</v>
      </c>
      <c r="D32" s="117">
        <v>3900</v>
      </c>
      <c r="E32" s="117">
        <v>3900</v>
      </c>
      <c r="F32" s="117">
        <v>3900</v>
      </c>
      <c r="G32" s="117">
        <v>3900</v>
      </c>
      <c r="H32" s="117">
        <f>I32-SUM(C32:G32)</f>
        <v>3900</v>
      </c>
      <c r="I32" s="109">
        <v>23400</v>
      </c>
      <c r="J32" s="124"/>
      <c r="K32" s="118">
        <v>25899.989999999998</v>
      </c>
      <c r="L32" s="17"/>
      <c r="M32" s="11"/>
    </row>
    <row r="33" spans="2:13" s="12" customFormat="1" x14ac:dyDescent="0.2">
      <c r="B33" s="90" t="s">
        <v>18</v>
      </c>
      <c r="C33" s="107">
        <f>440+250</f>
        <v>690</v>
      </c>
      <c r="D33" s="117">
        <v>261.98</v>
      </c>
      <c r="E33" s="117">
        <v>45.83</v>
      </c>
      <c r="F33" s="117">
        <v>1000</v>
      </c>
      <c r="G33" s="117">
        <v>1670.3</v>
      </c>
      <c r="H33" s="117">
        <f>I33-SUM(C33:G33)</f>
        <v>2500</v>
      </c>
      <c r="I33" s="109">
        <v>6168.11</v>
      </c>
      <c r="J33" s="124"/>
      <c r="K33" s="118">
        <v>5354.5</v>
      </c>
      <c r="L33" s="17"/>
      <c r="M33" s="11"/>
    </row>
    <row r="34" spans="2:13" s="4" customFormat="1" x14ac:dyDescent="0.2">
      <c r="B34" s="90"/>
      <c r="C34" s="110"/>
      <c r="D34" s="111"/>
      <c r="E34" s="111"/>
      <c r="F34" s="111"/>
      <c r="G34" s="117"/>
      <c r="H34" s="117"/>
      <c r="I34" s="111"/>
      <c r="J34" s="124"/>
      <c r="K34" s="110"/>
      <c r="L34" s="13"/>
      <c r="M34" s="5"/>
    </row>
    <row r="35" spans="2:13" s="4" customFormat="1" x14ac:dyDescent="0.2">
      <c r="B35" s="91" t="s">
        <v>19</v>
      </c>
      <c r="C35" s="112">
        <f t="shared" ref="C35:K35" si="4">SUM(C32:C34)</f>
        <v>4590</v>
      </c>
      <c r="D35" s="113">
        <f t="shared" si="4"/>
        <v>4161.9799999999996</v>
      </c>
      <c r="E35" s="113">
        <f t="shared" si="4"/>
        <v>3945.83</v>
      </c>
      <c r="F35" s="113">
        <f t="shared" si="4"/>
        <v>4900</v>
      </c>
      <c r="G35" s="113">
        <f t="shared" si="4"/>
        <v>5570.3</v>
      </c>
      <c r="H35" s="113">
        <f t="shared" si="4"/>
        <v>6400</v>
      </c>
      <c r="I35" s="113">
        <f t="shared" si="4"/>
        <v>29568.11</v>
      </c>
      <c r="J35" s="124"/>
      <c r="K35" s="112">
        <f t="shared" si="4"/>
        <v>31254.489999999998</v>
      </c>
      <c r="L35" s="14"/>
      <c r="M35" s="5"/>
    </row>
    <row r="36" spans="2:13" s="4" customFormat="1" x14ac:dyDescent="0.2">
      <c r="B36" s="90"/>
      <c r="C36" s="122"/>
      <c r="D36" s="141"/>
      <c r="E36" s="141"/>
      <c r="F36" s="141"/>
      <c r="G36" s="141"/>
      <c r="H36" s="141"/>
      <c r="I36" s="115"/>
      <c r="J36" s="124"/>
      <c r="K36" s="108"/>
      <c r="L36" s="19"/>
      <c r="M36" s="15"/>
    </row>
    <row r="37" spans="2:13" s="4" customFormat="1" x14ac:dyDescent="0.2">
      <c r="B37" s="95" t="s">
        <v>20</v>
      </c>
      <c r="C37" s="125"/>
      <c r="D37" s="145"/>
      <c r="E37" s="145"/>
      <c r="F37" s="145"/>
      <c r="G37" s="145"/>
      <c r="H37" s="145"/>
      <c r="I37" s="127"/>
      <c r="J37" s="124"/>
      <c r="K37" s="126"/>
      <c r="L37" s="19"/>
      <c r="M37" s="11"/>
    </row>
    <row r="38" spans="2:13" s="4" customFormat="1" x14ac:dyDescent="0.2">
      <c r="B38" s="96"/>
      <c r="C38" s="122"/>
      <c r="D38" s="141"/>
      <c r="E38" s="141"/>
      <c r="F38" s="141"/>
      <c r="G38" s="141"/>
      <c r="H38" s="141"/>
      <c r="I38" s="109"/>
      <c r="J38" s="124"/>
      <c r="K38" s="108"/>
      <c r="L38" s="19"/>
      <c r="M38" s="11"/>
    </row>
    <row r="39" spans="2:13" s="12" customFormat="1" x14ac:dyDescent="0.2">
      <c r="B39" s="90" t="s">
        <v>21</v>
      </c>
      <c r="C39" s="107">
        <f>16211.77-C40</f>
        <v>11693.85</v>
      </c>
      <c r="D39" s="117">
        <f>17149.97-D40</f>
        <v>11806.050000000001</v>
      </c>
      <c r="E39" s="117">
        <f>20273.82-E40</f>
        <v>14338.9</v>
      </c>
      <c r="F39" s="117">
        <f>19321.51-F40</f>
        <v>14232.589999999998</v>
      </c>
      <c r="G39" s="117">
        <f>17488.51-G40</f>
        <v>12678.589999999998</v>
      </c>
      <c r="H39" s="117">
        <f>I39-SUM(C39:G39)</f>
        <v>11682.25</v>
      </c>
      <c r="I39" s="109">
        <v>76432.23</v>
      </c>
      <c r="J39" s="124"/>
      <c r="K39" s="118">
        <v>89410.72</v>
      </c>
      <c r="L39" s="17"/>
      <c r="M39" s="11"/>
    </row>
    <row r="40" spans="2:13" s="12" customFormat="1" x14ac:dyDescent="0.2">
      <c r="B40" s="90" t="s">
        <v>22</v>
      </c>
      <c r="C40" s="107">
        <v>4517.92</v>
      </c>
      <c r="D40" s="117">
        <v>5343.92</v>
      </c>
      <c r="E40" s="117">
        <v>5934.92</v>
      </c>
      <c r="F40" s="117">
        <v>5088.92</v>
      </c>
      <c r="G40" s="117">
        <v>4809.92</v>
      </c>
      <c r="H40" s="117">
        <f t="shared" ref="H40:H81" si="5">I40-SUM(C40:G40)</f>
        <v>4637.9200000000019</v>
      </c>
      <c r="I40" s="109">
        <v>30333.52</v>
      </c>
      <c r="J40" s="124"/>
      <c r="K40" s="118">
        <v>30525.52</v>
      </c>
      <c r="M40" s="11"/>
    </row>
    <row r="41" spans="2:13" s="12" customFormat="1" x14ac:dyDescent="0.2">
      <c r="B41" s="90" t="s">
        <v>23</v>
      </c>
      <c r="C41" s="107">
        <v>954.23</v>
      </c>
      <c r="D41" s="117">
        <v>1364.35</v>
      </c>
      <c r="E41" s="117">
        <v>1977.85</v>
      </c>
      <c r="F41" s="117">
        <v>1981.44</v>
      </c>
      <c r="G41" s="117">
        <v>1625.49</v>
      </c>
      <c r="H41" s="117">
        <f t="shared" si="5"/>
        <v>1460.0999999999985</v>
      </c>
      <c r="I41" s="109">
        <v>9363.4599999999991</v>
      </c>
      <c r="J41" s="124"/>
      <c r="K41" s="118">
        <v>10661.97</v>
      </c>
      <c r="L41" s="17"/>
      <c r="M41" s="11"/>
    </row>
    <row r="42" spans="2:13" s="12" customFormat="1" x14ac:dyDescent="0.2">
      <c r="B42" s="90" t="s">
        <v>24</v>
      </c>
      <c r="C42" s="107">
        <v>9708.33</v>
      </c>
      <c r="D42" s="117">
        <v>9708.33</v>
      </c>
      <c r="E42" s="117">
        <f>6952.85+3500</f>
        <v>10452.85</v>
      </c>
      <c r="F42" s="117">
        <v>9708.33</v>
      </c>
      <c r="G42" s="117">
        <v>13454.83</v>
      </c>
      <c r="H42" s="117">
        <f t="shared" si="5"/>
        <v>13454.82</v>
      </c>
      <c r="I42" s="109">
        <v>66487.490000000005</v>
      </c>
      <c r="J42" s="124"/>
      <c r="K42" s="118">
        <v>69750.010000000009</v>
      </c>
      <c r="M42" s="11"/>
    </row>
    <row r="43" spans="2:13" s="12" customFormat="1" x14ac:dyDescent="0.2">
      <c r="B43" s="90" t="s">
        <v>25</v>
      </c>
      <c r="C43" s="107">
        <v>5116.8</v>
      </c>
      <c r="D43" s="117">
        <v>5116.8</v>
      </c>
      <c r="E43" s="117">
        <v>5116.8</v>
      </c>
      <c r="F43" s="117">
        <f>5116.8+193.49</f>
        <v>5310.29</v>
      </c>
      <c r="G43" s="117">
        <v>5306.8</v>
      </c>
      <c r="H43" s="117">
        <f t="shared" si="5"/>
        <v>5306.7999999999993</v>
      </c>
      <c r="I43" s="109">
        <v>31274.29</v>
      </c>
      <c r="J43" s="124"/>
      <c r="K43" s="118">
        <v>28251.84</v>
      </c>
      <c r="L43" s="17"/>
      <c r="M43" s="11"/>
    </row>
    <row r="44" spans="2:13" s="12" customFormat="1" x14ac:dyDescent="0.2">
      <c r="B44" s="90" t="s">
        <v>26</v>
      </c>
      <c r="C44" s="107">
        <v>59.45</v>
      </c>
      <c r="D44" s="117">
        <v>59.45</v>
      </c>
      <c r="E44" s="117">
        <v>59.45</v>
      </c>
      <c r="F44" s="117">
        <v>59.45</v>
      </c>
      <c r="G44" s="117">
        <v>59.45</v>
      </c>
      <c r="H44" s="117">
        <f t="shared" si="5"/>
        <v>59.449999999999989</v>
      </c>
      <c r="I44" s="109">
        <v>356.7</v>
      </c>
      <c r="J44" s="124"/>
      <c r="K44" s="118">
        <v>0</v>
      </c>
      <c r="L44" s="17"/>
      <c r="M44" s="11"/>
    </row>
    <row r="45" spans="2:13" s="12" customFormat="1" x14ac:dyDescent="0.2">
      <c r="B45" s="90" t="s">
        <v>27</v>
      </c>
      <c r="C45" s="107">
        <f>120-200+160</f>
        <v>80</v>
      </c>
      <c r="D45" s="117">
        <f>178.35-160+160</f>
        <v>178.35</v>
      </c>
      <c r="E45" s="117">
        <v>303.08</v>
      </c>
      <c r="F45" s="117">
        <v>120</v>
      </c>
      <c r="G45" s="117">
        <v>160</v>
      </c>
      <c r="H45" s="117">
        <f t="shared" si="5"/>
        <v>92.959999999999923</v>
      </c>
      <c r="I45" s="109">
        <v>934.39</v>
      </c>
      <c r="J45" s="124"/>
      <c r="K45" s="118">
        <v>1369.37</v>
      </c>
      <c r="L45" s="17"/>
      <c r="M45" s="11"/>
    </row>
    <row r="46" spans="2:13" s="12" customFormat="1" x14ac:dyDescent="0.2">
      <c r="B46" s="90" t="s">
        <v>28</v>
      </c>
      <c r="C46" s="107">
        <v>74</v>
      </c>
      <c r="D46" s="117">
        <f>205.45+65.6</f>
        <v>271.04999999999995</v>
      </c>
      <c r="E46" s="117">
        <f>278.03+80.14</f>
        <v>358.16999999999996</v>
      </c>
      <c r="F46" s="117">
        <f>200.42-140+133</f>
        <v>193.42</v>
      </c>
      <c r="G46" s="117">
        <f>55.21+140</f>
        <v>195.21</v>
      </c>
      <c r="H46" s="117">
        <f t="shared" si="5"/>
        <v>103.80000000000018</v>
      </c>
      <c r="I46" s="109">
        <f>1205.27+123.38-133</f>
        <v>1195.6500000000001</v>
      </c>
      <c r="J46" s="124"/>
      <c r="K46" s="118">
        <v>1716.1999999999998</v>
      </c>
      <c r="L46" s="17"/>
      <c r="M46" s="11"/>
    </row>
    <row r="47" spans="2:13" s="12" customFormat="1" x14ac:dyDescent="0.2">
      <c r="B47" s="90" t="s">
        <v>29</v>
      </c>
      <c r="C47" s="107">
        <v>5899.62</v>
      </c>
      <c r="D47" s="117">
        <f>4508.69+500</f>
        <v>5008.6899999999996</v>
      </c>
      <c r="E47" s="117">
        <v>5818.09</v>
      </c>
      <c r="F47" s="117">
        <f>2922.96+2538+25</f>
        <v>5485.96</v>
      </c>
      <c r="G47" s="117">
        <f>4598.33+39+100</f>
        <v>4737.33</v>
      </c>
      <c r="H47" s="117">
        <f t="shared" si="5"/>
        <v>5802.1999999999971</v>
      </c>
      <c r="I47" s="109">
        <f>500+32451.89-200</f>
        <v>32751.89</v>
      </c>
      <c r="J47" s="124"/>
      <c r="K47" s="118">
        <v>30707.129999999997</v>
      </c>
      <c r="L47" s="17"/>
      <c r="M47" s="11"/>
    </row>
    <row r="48" spans="2:13" s="12" customFormat="1" x14ac:dyDescent="0.2">
      <c r="B48" s="90" t="s">
        <v>30</v>
      </c>
      <c r="C48" s="107"/>
      <c r="D48" s="117">
        <v>150</v>
      </c>
      <c r="E48" s="117"/>
      <c r="F48" s="117"/>
      <c r="G48" s="117"/>
      <c r="H48" s="117">
        <f t="shared" si="5"/>
        <v>0</v>
      </c>
      <c r="I48" s="109">
        <v>150</v>
      </c>
      <c r="J48" s="124"/>
      <c r="K48" s="118">
        <v>920</v>
      </c>
      <c r="L48" s="17"/>
      <c r="M48" s="11"/>
    </row>
    <row r="49" spans="2:13" s="12" customFormat="1" x14ac:dyDescent="0.2">
      <c r="B49" s="90" t="s">
        <v>31</v>
      </c>
      <c r="C49" s="107">
        <v>181.68</v>
      </c>
      <c r="D49" s="117">
        <f>142.46+50</f>
        <v>192.46</v>
      </c>
      <c r="E49" s="117">
        <v>827.28</v>
      </c>
      <c r="F49" s="117">
        <v>201.62</v>
      </c>
      <c r="G49" s="117">
        <v>200</v>
      </c>
      <c r="H49" s="117">
        <f t="shared" si="5"/>
        <v>717.81</v>
      </c>
      <c r="I49" s="109">
        <f>2120.85+200</f>
        <v>2320.85</v>
      </c>
      <c r="J49" s="124"/>
      <c r="K49" s="118">
        <v>658.19</v>
      </c>
      <c r="L49" s="17"/>
      <c r="M49" s="11"/>
    </row>
    <row r="50" spans="2:13" s="12" customFormat="1" x14ac:dyDescent="0.2">
      <c r="B50" s="90" t="s">
        <v>32</v>
      </c>
      <c r="C50" s="107"/>
      <c r="D50" s="117"/>
      <c r="E50" s="117">
        <v>36.869999999999997</v>
      </c>
      <c r="F50" s="117"/>
      <c r="G50" s="117"/>
      <c r="H50" s="117">
        <f>I50-SUM(C50:G50)</f>
        <v>36.869999999999997</v>
      </c>
      <c r="I50" s="109">
        <v>73.739999999999995</v>
      </c>
      <c r="J50" s="124"/>
      <c r="K50" s="118">
        <v>0</v>
      </c>
      <c r="L50" s="17"/>
      <c r="M50" s="11"/>
    </row>
    <row r="51" spans="2:13" s="12" customFormat="1" x14ac:dyDescent="0.2">
      <c r="B51" s="90" t="s">
        <v>33</v>
      </c>
      <c r="C51" s="107">
        <v>1700</v>
      </c>
      <c r="D51" s="117">
        <v>1700</v>
      </c>
      <c r="E51" s="117">
        <v>1700</v>
      </c>
      <c r="F51" s="117">
        <v>1700</v>
      </c>
      <c r="G51" s="117">
        <v>1700</v>
      </c>
      <c r="H51" s="117">
        <f t="shared" si="5"/>
        <v>1700</v>
      </c>
      <c r="I51" s="109">
        <v>10200</v>
      </c>
      <c r="J51" s="124"/>
      <c r="K51" s="118">
        <v>3565.82</v>
      </c>
      <c r="L51" s="17"/>
      <c r="M51" s="11"/>
    </row>
    <row r="52" spans="2:13" s="12" customFormat="1" x14ac:dyDescent="0.2">
      <c r="B52" s="90" t="s">
        <v>34</v>
      </c>
      <c r="C52" s="107">
        <v>1500</v>
      </c>
      <c r="D52" s="117">
        <v>1500</v>
      </c>
      <c r="E52" s="117">
        <v>1500</v>
      </c>
      <c r="F52" s="117">
        <v>1500</v>
      </c>
      <c r="G52" s="117">
        <v>1500</v>
      </c>
      <c r="H52" s="117">
        <f t="shared" si="5"/>
        <v>1500</v>
      </c>
      <c r="I52" s="109">
        <v>9000</v>
      </c>
      <c r="J52" s="124"/>
      <c r="K52" s="118">
        <v>1011.35</v>
      </c>
      <c r="L52" s="17"/>
      <c r="M52" s="11"/>
    </row>
    <row r="53" spans="2:13" s="12" customFormat="1" x14ac:dyDescent="0.2">
      <c r="B53" s="90" t="s">
        <v>35</v>
      </c>
      <c r="C53" s="107"/>
      <c r="D53" s="117"/>
      <c r="E53" s="117"/>
      <c r="F53" s="117"/>
      <c r="G53" s="117"/>
      <c r="H53" s="117">
        <f t="shared" si="5"/>
        <v>0</v>
      </c>
      <c r="I53" s="115"/>
      <c r="J53" s="124"/>
      <c r="K53" s="118">
        <v>184.74</v>
      </c>
      <c r="L53" s="17"/>
      <c r="M53" s="11"/>
    </row>
    <row r="54" spans="2:13" s="12" customFormat="1" x14ac:dyDescent="0.2">
      <c r="B54" s="90" t="s">
        <v>36</v>
      </c>
      <c r="C54" s="107"/>
      <c r="D54" s="117"/>
      <c r="E54" s="117"/>
      <c r="F54" s="117"/>
      <c r="G54" s="117">
        <v>13.1</v>
      </c>
      <c r="H54" s="117">
        <f t="shared" ref="H54:H59" si="6">I54-SUM(C54:G54)</f>
        <v>13.1</v>
      </c>
      <c r="I54" s="109">
        <v>26.2</v>
      </c>
      <c r="J54" s="124"/>
      <c r="K54" s="118">
        <v>0</v>
      </c>
      <c r="L54" s="17"/>
      <c r="M54" s="11"/>
    </row>
    <row r="55" spans="2:13" s="12" customFormat="1" x14ac:dyDescent="0.2">
      <c r="B55" s="90" t="s">
        <v>37</v>
      </c>
      <c r="C55" s="107"/>
      <c r="D55" s="117"/>
      <c r="E55" s="117"/>
      <c r="F55" s="117"/>
      <c r="G55" s="117"/>
      <c r="H55" s="117">
        <f t="shared" si="6"/>
        <v>0</v>
      </c>
      <c r="I55" s="115"/>
      <c r="J55" s="124"/>
      <c r="K55" s="118">
        <v>1146.5999999999999</v>
      </c>
      <c r="L55" s="17"/>
      <c r="M55" s="11"/>
    </row>
    <row r="56" spans="2:13" s="12" customFormat="1" x14ac:dyDescent="0.2">
      <c r="B56" s="90" t="s">
        <v>38</v>
      </c>
      <c r="C56" s="107"/>
      <c r="D56" s="117"/>
      <c r="E56" s="117"/>
      <c r="F56" s="117"/>
      <c r="G56" s="117"/>
      <c r="H56" s="117">
        <f t="shared" si="6"/>
        <v>0</v>
      </c>
      <c r="I56" s="109"/>
      <c r="J56" s="124"/>
      <c r="K56" s="118">
        <v>110</v>
      </c>
      <c r="L56" s="17"/>
      <c r="M56" s="11"/>
    </row>
    <row r="57" spans="2:13" s="12" customFormat="1" x14ac:dyDescent="0.2">
      <c r="B57" s="90" t="s">
        <v>39</v>
      </c>
      <c r="C57" s="107"/>
      <c r="D57" s="117"/>
      <c r="E57" s="117">
        <v>177</v>
      </c>
      <c r="F57" s="117"/>
      <c r="G57" s="117"/>
      <c r="H57" s="117">
        <f t="shared" si="6"/>
        <v>0</v>
      </c>
      <c r="I57" s="109">
        <v>177</v>
      </c>
      <c r="J57" s="124"/>
      <c r="K57" s="118">
        <v>0</v>
      </c>
      <c r="L57" s="17"/>
      <c r="M57" s="11"/>
    </row>
    <row r="58" spans="2:13" s="12" customFormat="1" x14ac:dyDescent="0.2">
      <c r="B58" s="133" t="s">
        <v>40</v>
      </c>
      <c r="C58" s="107"/>
      <c r="D58" s="117"/>
      <c r="E58" s="117"/>
      <c r="F58" s="117"/>
      <c r="G58" s="117"/>
      <c r="H58" s="117">
        <f t="shared" si="6"/>
        <v>0</v>
      </c>
      <c r="I58" s="115"/>
      <c r="J58" s="124"/>
      <c r="K58" s="118">
        <v>988.98</v>
      </c>
      <c r="L58" s="17"/>
      <c r="M58" s="11"/>
    </row>
    <row r="59" spans="2:13" s="12" customFormat="1" x14ac:dyDescent="0.2">
      <c r="B59" s="90" t="s">
        <v>41</v>
      </c>
      <c r="C59" s="107"/>
      <c r="D59" s="117"/>
      <c r="E59" s="117"/>
      <c r="F59" s="117"/>
      <c r="G59" s="117"/>
      <c r="H59" s="117">
        <f t="shared" si="6"/>
        <v>0</v>
      </c>
      <c r="I59" s="115"/>
      <c r="J59" s="124"/>
      <c r="K59" s="118">
        <v>3385</v>
      </c>
      <c r="L59" s="17"/>
      <c r="M59" s="11"/>
    </row>
    <row r="60" spans="2:13" s="12" customFormat="1" x14ac:dyDescent="0.2">
      <c r="B60" s="90" t="s">
        <v>42</v>
      </c>
      <c r="C60" s="107"/>
      <c r="D60" s="117"/>
      <c r="E60" s="117"/>
      <c r="F60" s="117"/>
      <c r="G60" s="117"/>
      <c r="H60" s="117">
        <f t="shared" si="5"/>
        <v>36.950000000000003</v>
      </c>
      <c r="I60" s="109">
        <v>36.950000000000003</v>
      </c>
      <c r="J60" s="124"/>
      <c r="K60" s="118">
        <v>34.81</v>
      </c>
      <c r="L60" s="17"/>
      <c r="M60" s="11"/>
    </row>
    <row r="61" spans="2:13" s="12" customFormat="1" x14ac:dyDescent="0.2">
      <c r="B61" s="90" t="s">
        <v>43</v>
      </c>
      <c r="C61" s="107">
        <f>659.66+297</f>
        <v>956.66</v>
      </c>
      <c r="D61" s="117">
        <f>59.42+215.65+680</f>
        <v>955.06999999999994</v>
      </c>
      <c r="E61" s="117">
        <v>1083.99</v>
      </c>
      <c r="F61" s="117">
        <v>963.37</v>
      </c>
      <c r="G61" s="117">
        <v>941.33</v>
      </c>
      <c r="H61" s="117">
        <f t="shared" si="5"/>
        <v>898.6899999999996</v>
      </c>
      <c r="I61" s="109">
        <v>5799.11</v>
      </c>
      <c r="J61" s="124"/>
      <c r="K61" s="118">
        <v>5953.11</v>
      </c>
      <c r="L61" s="17"/>
      <c r="M61" s="11"/>
    </row>
    <row r="62" spans="2:13" s="12" customFormat="1" x14ac:dyDescent="0.2">
      <c r="B62" s="90" t="s">
        <v>44</v>
      </c>
      <c r="C62" s="107">
        <v>125.77</v>
      </c>
      <c r="D62" s="117">
        <v>150.74</v>
      </c>
      <c r="E62" s="117">
        <v>208.51</v>
      </c>
      <c r="F62" s="117">
        <v>167.87</v>
      </c>
      <c r="G62" s="117"/>
      <c r="H62" s="117">
        <f t="shared" si="5"/>
        <v>468.65999999999997</v>
      </c>
      <c r="I62" s="109">
        <v>1121.55</v>
      </c>
      <c r="J62" s="124"/>
      <c r="K62" s="118">
        <v>1142.8899999999999</v>
      </c>
      <c r="L62" s="17"/>
      <c r="M62" s="11"/>
    </row>
    <row r="63" spans="2:13" s="12" customFormat="1" x14ac:dyDescent="0.2">
      <c r="B63" s="90" t="s">
        <v>45</v>
      </c>
      <c r="C63" s="107">
        <v>15</v>
      </c>
      <c r="D63" s="117"/>
      <c r="E63" s="117"/>
      <c r="F63" s="117"/>
      <c r="G63" s="117"/>
      <c r="H63" s="117">
        <f t="shared" si="5"/>
        <v>537.35</v>
      </c>
      <c r="I63" s="109">
        <v>552.35</v>
      </c>
      <c r="J63" s="124"/>
      <c r="K63" s="118">
        <v>907.72000000000014</v>
      </c>
      <c r="L63" s="17"/>
      <c r="M63" s="11"/>
    </row>
    <row r="64" spans="2:13" s="12" customFormat="1" x14ac:dyDescent="0.2">
      <c r="B64" s="90" t="s">
        <v>46</v>
      </c>
      <c r="C64" s="107">
        <v>1395</v>
      </c>
      <c r="D64" s="117">
        <v>1380</v>
      </c>
      <c r="E64" s="117">
        <v>1972</v>
      </c>
      <c r="F64" s="117">
        <f>1300+90</f>
        <v>1390</v>
      </c>
      <c r="G64" s="117">
        <v>1300</v>
      </c>
      <c r="H64" s="117">
        <f t="shared" si="5"/>
        <v>1375</v>
      </c>
      <c r="I64" s="109">
        <v>8812</v>
      </c>
      <c r="J64" s="124"/>
      <c r="K64" s="118">
        <v>9532</v>
      </c>
      <c r="L64" s="17"/>
      <c r="M64" s="11"/>
    </row>
    <row r="65" spans="2:13" s="12" customFormat="1" x14ac:dyDescent="0.2">
      <c r="B65" s="90" t="s">
        <v>47</v>
      </c>
      <c r="C65" s="107"/>
      <c r="D65" s="117"/>
      <c r="E65" s="117"/>
      <c r="F65" s="117"/>
      <c r="G65" s="117"/>
      <c r="H65" s="117">
        <f t="shared" si="5"/>
        <v>0</v>
      </c>
      <c r="I65" s="117">
        <v>0</v>
      </c>
      <c r="J65" s="124"/>
      <c r="K65" s="118">
        <v>0</v>
      </c>
      <c r="L65" s="17"/>
      <c r="M65" s="11"/>
    </row>
    <row r="66" spans="2:13" s="12" customFormat="1" x14ac:dyDescent="0.2">
      <c r="B66" s="90" t="s">
        <v>48</v>
      </c>
      <c r="C66" s="107">
        <v>178.5</v>
      </c>
      <c r="D66" s="117"/>
      <c r="E66" s="117"/>
      <c r="F66" s="117">
        <v>58</v>
      </c>
      <c r="G66" s="117"/>
      <c r="H66" s="117">
        <f t="shared" si="5"/>
        <v>0</v>
      </c>
      <c r="I66" s="109">
        <v>236.5</v>
      </c>
      <c r="J66" s="124"/>
      <c r="K66" s="118">
        <v>225.5</v>
      </c>
      <c r="L66" s="17"/>
      <c r="M66" s="11"/>
    </row>
    <row r="67" spans="2:13" s="12" customFormat="1" x14ac:dyDescent="0.2">
      <c r="B67" s="90" t="s">
        <v>49</v>
      </c>
      <c r="C67" s="107">
        <f>171.99+139</f>
        <v>310.99</v>
      </c>
      <c r="D67" s="117">
        <f>-139+311.79</f>
        <v>172.79000000000002</v>
      </c>
      <c r="E67" s="117">
        <f>140+31.99</f>
        <v>171.99</v>
      </c>
      <c r="F67" s="117">
        <v>351.99</v>
      </c>
      <c r="G67" s="117">
        <f>550.99-39-340+28.33</f>
        <v>200.32</v>
      </c>
      <c r="H67" s="117">
        <f t="shared" si="5"/>
        <v>200.32000000000016</v>
      </c>
      <c r="I67" s="109">
        <f>1440.39-31.99</f>
        <v>1408.4</v>
      </c>
      <c r="J67" s="124"/>
      <c r="K67" s="118">
        <v>2392.1999999999998</v>
      </c>
      <c r="L67" s="17"/>
      <c r="M67" s="11"/>
    </row>
    <row r="68" spans="2:13" s="12" customFormat="1" x14ac:dyDescent="0.2">
      <c r="B68" s="90" t="s">
        <v>50</v>
      </c>
      <c r="C68" s="107">
        <v>308.06</v>
      </c>
      <c r="D68" s="117">
        <f>107.45+115</f>
        <v>222.45</v>
      </c>
      <c r="E68" s="117">
        <v>247.89</v>
      </c>
      <c r="F68" s="117">
        <v>117.89</v>
      </c>
      <c r="G68" s="117"/>
      <c r="H68" s="117">
        <f t="shared" si="5"/>
        <v>-216.01</v>
      </c>
      <c r="I68" s="109">
        <v>680.28</v>
      </c>
      <c r="J68" s="124"/>
      <c r="K68" s="118">
        <v>4563.28</v>
      </c>
      <c r="L68" s="17"/>
      <c r="M68" s="11"/>
    </row>
    <row r="69" spans="2:13" s="12" customFormat="1" x14ac:dyDescent="0.2">
      <c r="B69" s="90" t="s">
        <v>51</v>
      </c>
      <c r="C69" s="107">
        <f>703.94-650+700</f>
        <v>753.94</v>
      </c>
      <c r="D69" s="117">
        <f>-700+670+668.03</f>
        <v>638.03</v>
      </c>
      <c r="E69" s="117">
        <v>700.21</v>
      </c>
      <c r="F69" s="117">
        <v>707.42</v>
      </c>
      <c r="G69" s="117">
        <v>728.58</v>
      </c>
      <c r="H69" s="117">
        <f t="shared" si="5"/>
        <v>722.57999999999993</v>
      </c>
      <c r="I69" s="109">
        <v>4250.76</v>
      </c>
      <c r="J69" s="124"/>
      <c r="K69" s="118">
        <v>4120.12</v>
      </c>
      <c r="L69" s="17"/>
      <c r="M69" s="11"/>
    </row>
    <row r="70" spans="2:13" s="12" customFormat="1" x14ac:dyDescent="0.2">
      <c r="B70" s="90" t="s">
        <v>52</v>
      </c>
      <c r="C70" s="107">
        <v>1357.3</v>
      </c>
      <c r="D70" s="117">
        <v>959.15</v>
      </c>
      <c r="E70" s="117">
        <v>1078.01</v>
      </c>
      <c r="F70" s="117">
        <f>3744.87-2538</f>
        <v>1206.8699999999999</v>
      </c>
      <c r="G70" s="117">
        <v>1255.6500000000001</v>
      </c>
      <c r="H70" s="117">
        <f t="shared" si="5"/>
        <v>1468.6900000000005</v>
      </c>
      <c r="I70" s="109">
        <v>7325.67</v>
      </c>
      <c r="J70" s="124"/>
      <c r="K70" s="118">
        <v>7064.85</v>
      </c>
      <c r="L70" s="17"/>
      <c r="M70" s="11"/>
    </row>
    <row r="71" spans="2:13" s="12" customFormat="1" x14ac:dyDescent="0.2">
      <c r="B71" s="90" t="s">
        <v>53</v>
      </c>
      <c r="C71" s="107">
        <v>172.47</v>
      </c>
      <c r="D71" s="117">
        <v>160.22999999999999</v>
      </c>
      <c r="E71" s="117">
        <v>157.97</v>
      </c>
      <c r="F71" s="117">
        <v>145.88</v>
      </c>
      <c r="G71" s="117">
        <v>144.38999999999999</v>
      </c>
      <c r="H71" s="117">
        <f t="shared" si="5"/>
        <v>144.00000000000011</v>
      </c>
      <c r="I71" s="109">
        <v>924.94</v>
      </c>
      <c r="J71" s="124"/>
      <c r="K71" s="118">
        <v>1432.47</v>
      </c>
      <c r="L71" s="17"/>
      <c r="M71" s="11"/>
    </row>
    <row r="72" spans="2:13" s="12" customFormat="1" x14ac:dyDescent="0.2">
      <c r="B72" s="90" t="s">
        <v>54</v>
      </c>
      <c r="C72" s="107">
        <v>416.29</v>
      </c>
      <c r="D72" s="117">
        <v>416.29</v>
      </c>
      <c r="E72" s="117">
        <v>416.29</v>
      </c>
      <c r="F72" s="117">
        <v>416.26</v>
      </c>
      <c r="G72" s="117">
        <v>351.48</v>
      </c>
      <c r="H72" s="117">
        <f t="shared" si="5"/>
        <v>351.48</v>
      </c>
      <c r="I72" s="109">
        <v>2368.09</v>
      </c>
      <c r="J72" s="124"/>
      <c r="K72" s="118">
        <v>2733.66</v>
      </c>
      <c r="L72" s="17"/>
      <c r="M72" s="11"/>
    </row>
    <row r="73" spans="2:13" s="12" customFormat="1" x14ac:dyDescent="0.2">
      <c r="B73" s="90" t="s">
        <v>55</v>
      </c>
      <c r="C73" s="107"/>
      <c r="D73" s="117">
        <v>2.5</v>
      </c>
      <c r="E73" s="117"/>
      <c r="F73" s="117"/>
      <c r="G73" s="117"/>
      <c r="H73" s="117">
        <f t="shared" si="5"/>
        <v>32</v>
      </c>
      <c r="I73" s="109">
        <v>34.5</v>
      </c>
      <c r="J73" s="124"/>
      <c r="K73" s="118">
        <v>32</v>
      </c>
      <c r="L73" s="17"/>
      <c r="M73" s="11"/>
    </row>
    <row r="74" spans="2:13" s="12" customFormat="1" x14ac:dyDescent="0.2">
      <c r="B74" s="90" t="s">
        <v>56</v>
      </c>
      <c r="C74" s="107">
        <v>852.07</v>
      </c>
      <c r="D74" s="117">
        <v>948.18</v>
      </c>
      <c r="E74" s="117">
        <v>1211.02</v>
      </c>
      <c r="F74" s="117">
        <v>1200</v>
      </c>
      <c r="G74" s="117">
        <v>489.58</v>
      </c>
      <c r="H74" s="117">
        <f t="shared" si="5"/>
        <v>736.71</v>
      </c>
      <c r="I74" s="109">
        <v>5437.56</v>
      </c>
      <c r="J74" s="124"/>
      <c r="K74" s="118">
        <v>5594.54</v>
      </c>
      <c r="L74" s="17"/>
      <c r="M74" s="11"/>
    </row>
    <row r="75" spans="2:13" s="12" customFormat="1" x14ac:dyDescent="0.2">
      <c r="B75" s="133" t="s">
        <v>57</v>
      </c>
      <c r="C75" s="107"/>
      <c r="D75" s="117"/>
      <c r="E75" s="117">
        <v>150</v>
      </c>
      <c r="F75" s="117">
        <v>1461.82</v>
      </c>
      <c r="G75" s="117"/>
      <c r="H75" s="117">
        <f t="shared" si="5"/>
        <v>300</v>
      </c>
      <c r="I75" s="109">
        <v>1911.82</v>
      </c>
      <c r="J75" s="124"/>
      <c r="K75" s="118">
        <v>3729</v>
      </c>
      <c r="L75" s="17"/>
      <c r="M75" s="11"/>
    </row>
    <row r="76" spans="2:13" s="12" customFormat="1" x14ac:dyDescent="0.2">
      <c r="B76" s="90" t="s">
        <v>58</v>
      </c>
      <c r="C76" s="107">
        <v>64.98</v>
      </c>
      <c r="D76" s="117">
        <v>31.73</v>
      </c>
      <c r="E76" s="117">
        <f>79+349</f>
        <v>428</v>
      </c>
      <c r="F76" s="117">
        <v>68</v>
      </c>
      <c r="G76" s="117">
        <v>436.27</v>
      </c>
      <c r="H76" s="117">
        <f t="shared" si="5"/>
        <v>199.5</v>
      </c>
      <c r="I76" s="109">
        <v>1228.48</v>
      </c>
      <c r="J76" s="124"/>
      <c r="K76" s="118">
        <v>749.06</v>
      </c>
      <c r="L76" s="17"/>
      <c r="M76" s="11"/>
    </row>
    <row r="77" spans="2:13" s="12" customFormat="1" x14ac:dyDescent="0.2">
      <c r="B77" s="90" t="s">
        <v>59</v>
      </c>
      <c r="C77" s="107"/>
      <c r="D77" s="117"/>
      <c r="E77" s="117"/>
      <c r="F77" s="117"/>
      <c r="G77" s="117"/>
      <c r="H77" s="117">
        <f t="shared" si="5"/>
        <v>0</v>
      </c>
      <c r="I77" s="115"/>
      <c r="J77" s="124"/>
      <c r="K77" s="118">
        <v>699.25</v>
      </c>
      <c r="L77" s="17"/>
      <c r="M77" s="11"/>
    </row>
    <row r="78" spans="2:13" s="12" customFormat="1" x14ac:dyDescent="0.2">
      <c r="B78" s="90" t="s">
        <v>60</v>
      </c>
      <c r="C78" s="107">
        <f>2203.44+154</f>
        <v>2357.44</v>
      </c>
      <c r="D78" s="117">
        <f>2225.79+154</f>
        <v>2379.79</v>
      </c>
      <c r="E78" s="117">
        <v>1152.07</v>
      </c>
      <c r="F78" s="117">
        <v>3219.16</v>
      </c>
      <c r="G78" s="117">
        <v>5086.76</v>
      </c>
      <c r="H78" s="117">
        <f t="shared" si="5"/>
        <v>3583.3099999999995</v>
      </c>
      <c r="I78" s="109">
        <v>17778.53</v>
      </c>
      <c r="J78" s="124"/>
      <c r="K78" s="118">
        <v>11972.98</v>
      </c>
      <c r="M78" s="11"/>
    </row>
    <row r="79" spans="2:13" s="12" customFormat="1" x14ac:dyDescent="0.2">
      <c r="B79" s="90" t="s">
        <v>61</v>
      </c>
      <c r="C79" s="107">
        <v>48.71</v>
      </c>
      <c r="D79" s="117">
        <v>353.1</v>
      </c>
      <c r="E79" s="117">
        <v>61.35</v>
      </c>
      <c r="F79" s="117">
        <v>54.7</v>
      </c>
      <c r="G79" s="117">
        <v>93.1</v>
      </c>
      <c r="H79" s="117">
        <f t="shared" si="5"/>
        <v>353.74</v>
      </c>
      <c r="I79" s="109">
        <v>964.7</v>
      </c>
      <c r="J79" s="124"/>
      <c r="K79" s="118">
        <v>1315.1599999999999</v>
      </c>
      <c r="L79" s="17"/>
      <c r="M79" s="11"/>
    </row>
    <row r="80" spans="2:13" s="12" customFormat="1" x14ac:dyDescent="0.2">
      <c r="B80" s="90" t="s">
        <v>63</v>
      </c>
      <c r="C80" s="107"/>
      <c r="D80" s="117"/>
      <c r="E80" s="117"/>
      <c r="F80" s="117"/>
      <c r="G80" s="117"/>
      <c r="H80" s="117">
        <f t="shared" si="5"/>
        <v>0</v>
      </c>
      <c r="I80" s="115">
        <v>0</v>
      </c>
      <c r="J80" s="124"/>
      <c r="K80" s="118">
        <v>384.47999999999996</v>
      </c>
      <c r="L80" s="17"/>
      <c r="M80" s="11"/>
    </row>
    <row r="81" spans="2:15" s="12" customFormat="1" x14ac:dyDescent="0.2">
      <c r="B81" s="90"/>
      <c r="C81" s="107"/>
      <c r="D81" s="117"/>
      <c r="E81" s="117"/>
      <c r="F81" s="117"/>
      <c r="G81" s="117"/>
      <c r="H81" s="117">
        <f t="shared" si="5"/>
        <v>0</v>
      </c>
      <c r="I81" s="115">
        <v>0</v>
      </c>
      <c r="J81" s="124"/>
      <c r="K81" s="118">
        <v>0</v>
      </c>
      <c r="L81" s="17"/>
      <c r="M81" s="11"/>
    </row>
    <row r="82" spans="2:15" s="12" customFormat="1" x14ac:dyDescent="0.2">
      <c r="B82" s="90"/>
      <c r="C82" s="119"/>
      <c r="D82" s="144"/>
      <c r="E82" s="144"/>
      <c r="F82" s="117"/>
      <c r="G82" s="117"/>
      <c r="H82" s="117"/>
      <c r="I82" s="115"/>
      <c r="J82" s="124"/>
      <c r="K82" s="128"/>
      <c r="L82" s="17"/>
      <c r="M82" s="11"/>
    </row>
    <row r="83" spans="2:15" s="12" customFormat="1" x14ac:dyDescent="0.2">
      <c r="B83" s="91" t="s">
        <v>66</v>
      </c>
      <c r="C83" s="134">
        <f>SUM(C39:C81)</f>
        <v>50799.060000000012</v>
      </c>
      <c r="D83" s="139">
        <f t="shared" ref="D83:I83" si="7">SUM(D39:D81)</f>
        <v>51169.500000000007</v>
      </c>
      <c r="E83" s="139">
        <f t="shared" si="7"/>
        <v>57640.56</v>
      </c>
      <c r="F83" s="139">
        <f t="shared" si="7"/>
        <v>57111.25</v>
      </c>
      <c r="G83" s="139">
        <f t="shared" si="7"/>
        <v>57468.180000000008</v>
      </c>
      <c r="H83" s="139">
        <f t="shared" si="7"/>
        <v>57761.049999999996</v>
      </c>
      <c r="I83" s="139">
        <f t="shared" si="7"/>
        <v>331949.60000000015</v>
      </c>
      <c r="J83" s="124"/>
      <c r="K83" s="134">
        <f t="shared" ref="K83" si="8">SUM(K39:K81)</f>
        <v>338942.51999999979</v>
      </c>
      <c r="L83" s="21"/>
      <c r="M83" s="11"/>
    </row>
    <row r="84" spans="2:15" s="12" customFormat="1" x14ac:dyDescent="0.2">
      <c r="B84" s="90"/>
      <c r="C84" s="129"/>
      <c r="D84" s="130"/>
      <c r="E84" s="130"/>
      <c r="F84" s="130"/>
      <c r="G84" s="130"/>
      <c r="H84" s="130"/>
      <c r="I84" s="130"/>
      <c r="J84" s="124"/>
      <c r="K84" s="129"/>
      <c r="L84" s="22"/>
      <c r="M84" s="11"/>
    </row>
    <row r="85" spans="2:15" s="12" customFormat="1" x14ac:dyDescent="0.2">
      <c r="B85" s="91" t="s">
        <v>116</v>
      </c>
      <c r="C85" s="148">
        <f>C27+C35-C83</f>
        <v>-244515.25000000006</v>
      </c>
      <c r="D85" s="135">
        <f t="shared" ref="D85:I85" si="9">D27+D35-D83</f>
        <v>1750.6100000000806</v>
      </c>
      <c r="E85" s="135">
        <f t="shared" si="9"/>
        <v>30925.590000000011</v>
      </c>
      <c r="F85" s="135">
        <f t="shared" si="9"/>
        <v>32181.740000000107</v>
      </c>
      <c r="G85" s="135">
        <f t="shared" si="9"/>
        <v>21023.469999999914</v>
      </c>
      <c r="H85" s="135">
        <f t="shared" si="9"/>
        <v>-87370.679999999586</v>
      </c>
      <c r="I85" s="135">
        <f t="shared" si="9"/>
        <v>116260.57999999967</v>
      </c>
      <c r="J85" s="124"/>
      <c r="K85" s="148">
        <f t="shared" ref="K85" si="10">K27+K35-K83</f>
        <v>115489.07000000053</v>
      </c>
      <c r="L85" s="22"/>
      <c r="M85" s="11"/>
    </row>
    <row r="86" spans="2:15" s="12" customFormat="1" x14ac:dyDescent="0.2">
      <c r="B86" s="90"/>
      <c r="C86" s="129"/>
      <c r="D86" s="130"/>
      <c r="E86" s="130"/>
      <c r="F86" s="130"/>
      <c r="G86" s="130"/>
      <c r="H86" s="130"/>
      <c r="I86" s="130"/>
      <c r="J86" s="124"/>
      <c r="K86" s="129"/>
      <c r="L86" s="22"/>
      <c r="M86" s="11"/>
    </row>
    <row r="87" spans="2:15" s="12" customFormat="1" x14ac:dyDescent="0.2">
      <c r="B87" s="90" t="s">
        <v>65</v>
      </c>
      <c r="C87" s="129">
        <v>359.09</v>
      </c>
      <c r="D87" s="130">
        <v>359.09</v>
      </c>
      <c r="E87" s="130">
        <v>359.09</v>
      </c>
      <c r="F87" s="130">
        <v>359.09</v>
      </c>
      <c r="G87" s="130">
        <v>359.09</v>
      </c>
      <c r="H87" s="130">
        <v>359.09</v>
      </c>
      <c r="I87" s="130">
        <f>SUM(C87:H87)</f>
        <v>2154.54</v>
      </c>
      <c r="J87" s="124"/>
      <c r="K87" s="129">
        <v>1800</v>
      </c>
      <c r="L87" s="22"/>
      <c r="M87" s="11"/>
    </row>
    <row r="88" spans="2:15" s="12" customFormat="1" x14ac:dyDescent="0.2">
      <c r="B88" s="90" t="s">
        <v>62</v>
      </c>
      <c r="C88" s="107"/>
      <c r="D88" s="117"/>
      <c r="E88" s="130">
        <v>1374</v>
      </c>
      <c r="F88" s="117"/>
      <c r="G88" s="117"/>
      <c r="H88" s="130">
        <v>1374</v>
      </c>
      <c r="I88" s="234">
        <f>SUM(C88:H88)</f>
        <v>2748</v>
      </c>
      <c r="J88" s="124"/>
      <c r="K88" s="107"/>
      <c r="L88" s="22"/>
      <c r="M88" s="11"/>
    </row>
    <row r="89" spans="2:15" s="12" customFormat="1" x14ac:dyDescent="0.2">
      <c r="B89" s="90"/>
      <c r="C89" s="129"/>
      <c r="D89" s="130"/>
      <c r="E89" s="130"/>
      <c r="F89" s="130"/>
      <c r="G89" s="130"/>
      <c r="H89" s="130"/>
      <c r="I89" s="130"/>
      <c r="J89" s="124"/>
      <c r="K89" s="129"/>
      <c r="L89" s="22"/>
      <c r="M89" s="11"/>
    </row>
    <row r="90" spans="2:15" s="12" customFormat="1" x14ac:dyDescent="0.2">
      <c r="B90" s="91" t="s">
        <v>117</v>
      </c>
      <c r="C90" s="112">
        <f>C85-C87-C88</f>
        <v>-244874.34000000005</v>
      </c>
      <c r="D90" s="113">
        <f t="shared" ref="D90:I90" si="11">D85-D87-D88</f>
        <v>1391.5200000000807</v>
      </c>
      <c r="E90" s="113">
        <f t="shared" si="11"/>
        <v>29192.500000000011</v>
      </c>
      <c r="F90" s="113">
        <f t="shared" si="11"/>
        <v>31822.650000000107</v>
      </c>
      <c r="G90" s="113">
        <f t="shared" si="11"/>
        <v>20664.379999999914</v>
      </c>
      <c r="H90" s="113">
        <f t="shared" si="11"/>
        <v>-89103.769999999582</v>
      </c>
      <c r="I90" s="113">
        <f t="shared" si="11"/>
        <v>111358.03999999967</v>
      </c>
      <c r="J90" s="124"/>
      <c r="K90" s="112">
        <f t="shared" ref="K90" si="12">K85-K87-K88</f>
        <v>113689.07000000053</v>
      </c>
      <c r="L90" s="23"/>
      <c r="M90" s="11"/>
      <c r="O90" s="24"/>
    </row>
    <row r="91" spans="2:15" s="12" customFormat="1" x14ac:dyDescent="0.2">
      <c r="B91" s="90"/>
      <c r="C91" s="97"/>
      <c r="D91" s="106"/>
      <c r="E91" s="106"/>
      <c r="F91" s="106"/>
      <c r="G91" s="106"/>
      <c r="H91" s="106"/>
      <c r="I91" s="106"/>
      <c r="J91" s="124"/>
      <c r="K91" s="97"/>
      <c r="L91" s="23"/>
      <c r="M91" s="11"/>
      <c r="O91" s="24"/>
    </row>
    <row r="92" spans="2:15" s="12" customFormat="1" x14ac:dyDescent="0.2">
      <c r="B92" s="98" t="s">
        <v>67</v>
      </c>
      <c r="C92" s="94">
        <f>(C90/C14)</f>
        <v>-89.110021834061158</v>
      </c>
      <c r="D92" s="140">
        <f t="shared" ref="D92:I92" si="13">(D90/D14)</f>
        <v>5.7552273898401852E-3</v>
      </c>
      <c r="E92" s="140">
        <f t="shared" si="13"/>
        <v>8.1317410859209391E-2</v>
      </c>
      <c r="F92" s="140">
        <f t="shared" si="13"/>
        <v>0.10296188123064502</v>
      </c>
      <c r="G92" s="140">
        <f t="shared" si="13"/>
        <v>7.6995628014968245E-2</v>
      </c>
      <c r="H92" s="140">
        <f t="shared" si="13"/>
        <v>-0.6761090032814504</v>
      </c>
      <c r="I92" s="140">
        <f t="shared" si="13"/>
        <v>6.6480973172968444E-2</v>
      </c>
      <c r="J92" s="124"/>
      <c r="K92" s="94">
        <f t="shared" ref="K92" si="14">(K90/K14)</f>
        <v>6.4815154663086044E-2</v>
      </c>
      <c r="L92" s="23"/>
      <c r="M92" s="11"/>
      <c r="O92" s="24"/>
    </row>
    <row r="93" spans="2:15" s="12" customFormat="1" x14ac:dyDescent="0.2">
      <c r="B93" s="90"/>
      <c r="C93" s="97"/>
      <c r="D93" s="106"/>
      <c r="E93" s="106"/>
      <c r="F93" s="106"/>
      <c r="G93" s="106"/>
      <c r="H93" s="106"/>
      <c r="I93" s="106"/>
      <c r="J93" s="124"/>
      <c r="K93" s="97"/>
      <c r="L93" s="23"/>
      <c r="M93" s="11"/>
      <c r="O93" s="24"/>
    </row>
    <row r="94" spans="2:15" s="12" customFormat="1" x14ac:dyDescent="0.2">
      <c r="B94" s="90" t="s">
        <v>64</v>
      </c>
      <c r="C94" s="97"/>
      <c r="D94" s="106"/>
      <c r="E94" s="106"/>
      <c r="F94" s="106"/>
      <c r="G94" s="106"/>
      <c r="H94" s="106"/>
      <c r="I94" s="106"/>
      <c r="J94" s="124"/>
      <c r="K94" s="161">
        <v>3467</v>
      </c>
      <c r="L94" s="23"/>
      <c r="M94" s="11"/>
      <c r="O94" s="24"/>
    </row>
    <row r="95" spans="2:15" s="12" customFormat="1" x14ac:dyDescent="0.2">
      <c r="B95" s="90"/>
      <c r="C95" s="97"/>
      <c r="D95" s="106"/>
      <c r="E95" s="106"/>
      <c r="F95" s="106"/>
      <c r="G95" s="106"/>
      <c r="H95" s="106"/>
      <c r="I95" s="106"/>
      <c r="J95" s="124"/>
      <c r="K95" s="97"/>
      <c r="L95" s="23"/>
      <c r="M95" s="11"/>
      <c r="O95" s="24"/>
    </row>
    <row r="96" spans="2:15" s="4" customFormat="1" x14ac:dyDescent="0.2">
      <c r="B96" s="91" t="s">
        <v>118</v>
      </c>
      <c r="C96" s="112">
        <f>C90-C94</f>
        <v>-244874.34000000005</v>
      </c>
      <c r="D96" s="113">
        <f t="shared" ref="D96:I96" si="15">D90-D94</f>
        <v>1391.5200000000807</v>
      </c>
      <c r="E96" s="113">
        <f t="shared" si="15"/>
        <v>29192.500000000011</v>
      </c>
      <c r="F96" s="113">
        <f t="shared" si="15"/>
        <v>31822.650000000107</v>
      </c>
      <c r="G96" s="113">
        <f t="shared" si="15"/>
        <v>20664.379999999914</v>
      </c>
      <c r="H96" s="113">
        <f t="shared" si="15"/>
        <v>-89103.769999999582</v>
      </c>
      <c r="I96" s="113">
        <f t="shared" si="15"/>
        <v>111358.03999999967</v>
      </c>
      <c r="J96" s="124"/>
      <c r="K96" s="112">
        <f t="shared" ref="K96" si="16">K90-K94</f>
        <v>110222.07000000053</v>
      </c>
      <c r="L96" s="13"/>
      <c r="M96" s="5"/>
    </row>
    <row r="97" spans="2:13" s="4" customFormat="1" x14ac:dyDescent="0.2">
      <c r="B97" s="146"/>
      <c r="C97" s="146"/>
      <c r="D97" s="136"/>
      <c r="E97" s="136"/>
      <c r="F97" s="136"/>
      <c r="G97" s="136"/>
      <c r="H97" s="136"/>
      <c r="I97" s="136"/>
      <c r="K97" s="25"/>
      <c r="L97" s="20"/>
      <c r="M97" s="5"/>
    </row>
    <row r="98" spans="2:13" s="4" customFormat="1" x14ac:dyDescent="0.2">
      <c r="B98" s="90" t="s">
        <v>119</v>
      </c>
      <c r="C98" s="25"/>
      <c r="D98" s="137"/>
      <c r="E98" s="137"/>
      <c r="F98" s="137"/>
      <c r="G98" s="137"/>
      <c r="H98" s="137"/>
      <c r="I98" s="137"/>
      <c r="J98" s="124"/>
      <c r="K98" s="162">
        <v>10000</v>
      </c>
      <c r="L98" s="13"/>
      <c r="M98" s="15"/>
    </row>
    <row r="99" spans="2:13" x14ac:dyDescent="0.2">
      <c r="B99" s="147"/>
      <c r="C99" s="16"/>
      <c r="D99" s="78"/>
      <c r="E99" s="78"/>
      <c r="F99" s="78"/>
      <c r="G99" s="78"/>
      <c r="H99" s="78"/>
      <c r="I99" s="78"/>
      <c r="J99" s="124"/>
      <c r="K99" s="16"/>
      <c r="L99" s="28"/>
    </row>
    <row r="100" spans="2:13" x14ac:dyDescent="0.2">
      <c r="B100" s="91" t="s">
        <v>120</v>
      </c>
      <c r="C100" s="112">
        <f>C96-C98</f>
        <v>-244874.34000000005</v>
      </c>
      <c r="D100" s="113">
        <f t="shared" ref="D100:I100" si="17">D96-D98</f>
        <v>1391.5200000000807</v>
      </c>
      <c r="E100" s="113">
        <f t="shared" si="17"/>
        <v>29192.500000000011</v>
      </c>
      <c r="F100" s="113">
        <f t="shared" si="17"/>
        <v>31822.650000000107</v>
      </c>
      <c r="G100" s="113">
        <f t="shared" si="17"/>
        <v>20664.379999999914</v>
      </c>
      <c r="H100" s="113">
        <f t="shared" si="17"/>
        <v>-89103.769999999582</v>
      </c>
      <c r="I100" s="113">
        <f t="shared" si="17"/>
        <v>111358.03999999967</v>
      </c>
      <c r="J100" s="124"/>
      <c r="K100" s="112">
        <f t="shared" ref="K100" si="18">K96-K98</f>
        <v>100222.07000000053</v>
      </c>
      <c r="L100" s="28"/>
    </row>
    <row r="101" spans="2:13" ht="13.2" x14ac:dyDescent="0.25">
      <c r="B101" s="12"/>
      <c r="C101" s="26"/>
      <c r="D101" s="26"/>
      <c r="E101" s="26"/>
      <c r="F101" s="26"/>
      <c r="G101" s="26"/>
      <c r="H101" s="26"/>
      <c r="I101" s="19"/>
      <c r="J101" s="31"/>
    </row>
    <row r="102" spans="2:13" x14ac:dyDescent="0.2">
      <c r="B102" s="12"/>
      <c r="C102" s="29"/>
      <c r="D102" s="29"/>
      <c r="E102" s="29"/>
      <c r="F102" s="29"/>
      <c r="G102" s="29"/>
      <c r="H102" s="29"/>
      <c r="I102" s="19"/>
      <c r="J102" s="31"/>
    </row>
    <row r="103" spans="2:13" x14ac:dyDescent="0.2">
      <c r="B103" s="12"/>
      <c r="C103" s="29"/>
      <c r="D103" s="29"/>
      <c r="E103" s="29"/>
      <c r="F103" s="29"/>
      <c r="G103" s="29"/>
      <c r="H103" s="29"/>
      <c r="I103" s="19"/>
      <c r="J103" s="31"/>
    </row>
    <row r="104" spans="2:13" x14ac:dyDescent="0.2">
      <c r="B104" s="12"/>
      <c r="C104" s="32"/>
      <c r="D104" s="32"/>
      <c r="E104" s="32"/>
      <c r="F104" s="32"/>
      <c r="G104" s="32"/>
      <c r="H104" s="32"/>
      <c r="I104" s="19"/>
      <c r="J104" s="31"/>
    </row>
    <row r="105" spans="2:13" x14ac:dyDescent="0.2">
      <c r="C105" s="29"/>
      <c r="D105" s="29"/>
      <c r="E105" s="29"/>
      <c r="F105" s="29"/>
      <c r="G105" s="29"/>
      <c r="H105" s="29"/>
      <c r="I105" s="19"/>
      <c r="J105" s="31"/>
    </row>
    <row r="106" spans="2:13" x14ac:dyDescent="0.2">
      <c r="C106" s="31"/>
      <c r="D106" s="31"/>
      <c r="E106" s="29"/>
      <c r="F106" s="29"/>
      <c r="G106" s="29"/>
      <c r="H106" s="29"/>
      <c r="I106" s="19"/>
      <c r="J106" s="31"/>
    </row>
    <row r="107" spans="2:13" x14ac:dyDescent="0.2">
      <c r="C107" s="31"/>
      <c r="D107" s="31"/>
      <c r="E107" s="29"/>
      <c r="F107" s="29"/>
      <c r="G107" s="29"/>
      <c r="H107" s="29"/>
      <c r="I107" s="31"/>
      <c r="J107" s="31"/>
    </row>
    <row r="108" spans="2:13" x14ac:dyDescent="0.2">
      <c r="C108" s="31"/>
      <c r="D108" s="31"/>
      <c r="E108" s="29"/>
      <c r="F108" s="29"/>
      <c r="G108" s="29"/>
      <c r="H108" s="29"/>
      <c r="I108" s="31"/>
      <c r="J108" s="31"/>
    </row>
    <row r="109" spans="2:13" x14ac:dyDescent="0.2">
      <c r="C109" s="31"/>
      <c r="D109" s="31"/>
      <c r="E109" s="29"/>
      <c r="F109" s="29"/>
      <c r="G109" s="29"/>
      <c r="H109" s="29"/>
      <c r="I109" s="31"/>
      <c r="J109" s="31"/>
    </row>
    <row r="110" spans="2:13" x14ac:dyDescent="0.2">
      <c r="C110" s="31"/>
      <c r="D110" s="31"/>
      <c r="E110" s="31"/>
      <c r="F110" s="29"/>
      <c r="G110" s="29"/>
      <c r="H110" s="29"/>
      <c r="I110" s="31"/>
      <c r="J110" s="31"/>
    </row>
    <row r="111" spans="2:13" x14ac:dyDescent="0.2">
      <c r="C111" s="31"/>
      <c r="D111" s="31"/>
      <c r="E111" s="31"/>
      <c r="F111" s="29"/>
      <c r="G111" s="29"/>
      <c r="H111" s="29"/>
      <c r="I111" s="31"/>
      <c r="J111" s="31"/>
    </row>
    <row r="112" spans="2:13" x14ac:dyDescent="0.2">
      <c r="C112" s="31"/>
      <c r="D112" s="31"/>
      <c r="E112" s="31"/>
      <c r="F112" s="29"/>
      <c r="G112" s="29"/>
      <c r="H112" s="29"/>
      <c r="I112" s="31"/>
      <c r="J112" s="31"/>
    </row>
  </sheetData>
  <pageMargins left="0.25" right="0.15748031496062992" top="0.47244094488188981" bottom="0.47244094488188981" header="0.51181102362204722" footer="0.51181102362204722"/>
  <pageSetup scale="56" orientation="portrait" r:id="rId1"/>
  <headerFooter alignWithMargins="0"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6069F-D146-4F42-8F28-11BE460E639F}">
  <dimension ref="B3:I65"/>
  <sheetViews>
    <sheetView zoomScaleNormal="100" zoomScaleSheetLayoutView="80" workbookViewId="0"/>
  </sheetViews>
  <sheetFormatPr defaultColWidth="9.109375" defaultRowHeight="12.6" x14ac:dyDescent="0.2"/>
  <cols>
    <col min="1" max="1" width="5.88671875" style="30" customWidth="1"/>
    <col min="2" max="2" width="49.33203125" style="30" customWidth="1"/>
    <col min="3" max="3" width="18.5546875" style="33" bestFit="1" customWidth="1"/>
    <col min="4" max="4" width="16.33203125" style="30" customWidth="1"/>
    <col min="5" max="5" width="14.88671875" style="30" bestFit="1" customWidth="1"/>
    <col min="6" max="7" width="9.109375" style="30"/>
    <col min="8" max="8" width="11.21875" style="30" customWidth="1"/>
    <col min="9" max="9" width="11.44140625" style="30" bestFit="1" customWidth="1"/>
    <col min="10" max="253" width="9.109375" style="30"/>
    <col min="254" max="254" width="5.88671875" style="30" customWidth="1"/>
    <col min="255" max="255" width="45.5546875" style="30" customWidth="1"/>
    <col min="256" max="256" width="14.5546875" style="30" customWidth="1"/>
    <col min="257" max="257" width="15" style="30" customWidth="1"/>
    <col min="258" max="258" width="18.5546875" style="30" bestFit="1" customWidth="1"/>
    <col min="259" max="259" width="16.33203125" style="30" customWidth="1"/>
    <col min="260" max="260" width="14.33203125" style="30" bestFit="1" customWidth="1"/>
    <col min="261" max="261" width="12.88671875" style="30" customWidth="1"/>
    <col min="262" max="509" width="9.109375" style="30"/>
    <col min="510" max="510" width="5.88671875" style="30" customWidth="1"/>
    <col min="511" max="511" width="45.5546875" style="30" customWidth="1"/>
    <col min="512" max="512" width="14.5546875" style="30" customWidth="1"/>
    <col min="513" max="513" width="15" style="30" customWidth="1"/>
    <col min="514" max="514" width="18.5546875" style="30" bestFit="1" customWidth="1"/>
    <col min="515" max="515" width="16.33203125" style="30" customWidth="1"/>
    <col min="516" max="516" width="14.33203125" style="30" bestFit="1" customWidth="1"/>
    <col min="517" max="517" width="12.88671875" style="30" customWidth="1"/>
    <col min="518" max="765" width="9.109375" style="30"/>
    <col min="766" max="766" width="5.88671875" style="30" customWidth="1"/>
    <col min="767" max="767" width="45.5546875" style="30" customWidth="1"/>
    <col min="768" max="768" width="14.5546875" style="30" customWidth="1"/>
    <col min="769" max="769" width="15" style="30" customWidth="1"/>
    <col min="770" max="770" width="18.5546875" style="30" bestFit="1" customWidth="1"/>
    <col min="771" max="771" width="16.33203125" style="30" customWidth="1"/>
    <col min="772" max="772" width="14.33203125" style="30" bestFit="1" customWidth="1"/>
    <col min="773" max="773" width="12.88671875" style="30" customWidth="1"/>
    <col min="774" max="1021" width="9.109375" style="30"/>
    <col min="1022" max="1022" width="5.88671875" style="30" customWidth="1"/>
    <col min="1023" max="1023" width="45.5546875" style="30" customWidth="1"/>
    <col min="1024" max="1024" width="14.5546875" style="30" customWidth="1"/>
    <col min="1025" max="1025" width="15" style="30" customWidth="1"/>
    <col min="1026" max="1026" width="18.5546875" style="30" bestFit="1" customWidth="1"/>
    <col min="1027" max="1027" width="16.33203125" style="30" customWidth="1"/>
    <col min="1028" max="1028" width="14.33203125" style="30" bestFit="1" customWidth="1"/>
    <col min="1029" max="1029" width="12.88671875" style="30" customWidth="1"/>
    <col min="1030" max="1277" width="9.109375" style="30"/>
    <col min="1278" max="1278" width="5.88671875" style="30" customWidth="1"/>
    <col min="1279" max="1279" width="45.5546875" style="30" customWidth="1"/>
    <col min="1280" max="1280" width="14.5546875" style="30" customWidth="1"/>
    <col min="1281" max="1281" width="15" style="30" customWidth="1"/>
    <col min="1282" max="1282" width="18.5546875" style="30" bestFit="1" customWidth="1"/>
    <col min="1283" max="1283" width="16.33203125" style="30" customWidth="1"/>
    <col min="1284" max="1284" width="14.33203125" style="30" bestFit="1" customWidth="1"/>
    <col min="1285" max="1285" width="12.88671875" style="30" customWidth="1"/>
    <col min="1286" max="1533" width="9.109375" style="30"/>
    <col min="1534" max="1534" width="5.88671875" style="30" customWidth="1"/>
    <col min="1535" max="1535" width="45.5546875" style="30" customWidth="1"/>
    <col min="1536" max="1536" width="14.5546875" style="30" customWidth="1"/>
    <col min="1537" max="1537" width="15" style="30" customWidth="1"/>
    <col min="1538" max="1538" width="18.5546875" style="30" bestFit="1" customWidth="1"/>
    <col min="1539" max="1539" width="16.33203125" style="30" customWidth="1"/>
    <col min="1540" max="1540" width="14.33203125" style="30" bestFit="1" customWidth="1"/>
    <col min="1541" max="1541" width="12.88671875" style="30" customWidth="1"/>
    <col min="1542" max="1789" width="9.109375" style="30"/>
    <col min="1790" max="1790" width="5.88671875" style="30" customWidth="1"/>
    <col min="1791" max="1791" width="45.5546875" style="30" customWidth="1"/>
    <col min="1792" max="1792" width="14.5546875" style="30" customWidth="1"/>
    <col min="1793" max="1793" width="15" style="30" customWidth="1"/>
    <col min="1794" max="1794" width="18.5546875" style="30" bestFit="1" customWidth="1"/>
    <col min="1795" max="1795" width="16.33203125" style="30" customWidth="1"/>
    <col min="1796" max="1796" width="14.33203125" style="30" bestFit="1" customWidth="1"/>
    <col min="1797" max="1797" width="12.88671875" style="30" customWidth="1"/>
    <col min="1798" max="2045" width="9.109375" style="30"/>
    <col min="2046" max="2046" width="5.88671875" style="30" customWidth="1"/>
    <col min="2047" max="2047" width="45.5546875" style="30" customWidth="1"/>
    <col min="2048" max="2048" width="14.5546875" style="30" customWidth="1"/>
    <col min="2049" max="2049" width="15" style="30" customWidth="1"/>
    <col min="2050" max="2050" width="18.5546875" style="30" bestFit="1" customWidth="1"/>
    <col min="2051" max="2051" width="16.33203125" style="30" customWidth="1"/>
    <col min="2052" max="2052" width="14.33203125" style="30" bestFit="1" customWidth="1"/>
    <col min="2053" max="2053" width="12.88671875" style="30" customWidth="1"/>
    <col min="2054" max="2301" width="9.109375" style="30"/>
    <col min="2302" max="2302" width="5.88671875" style="30" customWidth="1"/>
    <col min="2303" max="2303" width="45.5546875" style="30" customWidth="1"/>
    <col min="2304" max="2304" width="14.5546875" style="30" customWidth="1"/>
    <col min="2305" max="2305" width="15" style="30" customWidth="1"/>
    <col min="2306" max="2306" width="18.5546875" style="30" bestFit="1" customWidth="1"/>
    <col min="2307" max="2307" width="16.33203125" style="30" customWidth="1"/>
    <col min="2308" max="2308" width="14.33203125" style="30" bestFit="1" customWidth="1"/>
    <col min="2309" max="2309" width="12.88671875" style="30" customWidth="1"/>
    <col min="2310" max="2557" width="9.109375" style="30"/>
    <col min="2558" max="2558" width="5.88671875" style="30" customWidth="1"/>
    <col min="2559" max="2559" width="45.5546875" style="30" customWidth="1"/>
    <col min="2560" max="2560" width="14.5546875" style="30" customWidth="1"/>
    <col min="2561" max="2561" width="15" style="30" customWidth="1"/>
    <col min="2562" max="2562" width="18.5546875" style="30" bestFit="1" customWidth="1"/>
    <col min="2563" max="2563" width="16.33203125" style="30" customWidth="1"/>
    <col min="2564" max="2564" width="14.33203125" style="30" bestFit="1" customWidth="1"/>
    <col min="2565" max="2565" width="12.88671875" style="30" customWidth="1"/>
    <col min="2566" max="2813" width="9.109375" style="30"/>
    <col min="2814" max="2814" width="5.88671875" style="30" customWidth="1"/>
    <col min="2815" max="2815" width="45.5546875" style="30" customWidth="1"/>
    <col min="2816" max="2816" width="14.5546875" style="30" customWidth="1"/>
    <col min="2817" max="2817" width="15" style="30" customWidth="1"/>
    <col min="2818" max="2818" width="18.5546875" style="30" bestFit="1" customWidth="1"/>
    <col min="2819" max="2819" width="16.33203125" style="30" customWidth="1"/>
    <col min="2820" max="2820" width="14.33203125" style="30" bestFit="1" customWidth="1"/>
    <col min="2821" max="2821" width="12.88671875" style="30" customWidth="1"/>
    <col min="2822" max="3069" width="9.109375" style="30"/>
    <col min="3070" max="3070" width="5.88671875" style="30" customWidth="1"/>
    <col min="3071" max="3071" width="45.5546875" style="30" customWidth="1"/>
    <col min="3072" max="3072" width="14.5546875" style="30" customWidth="1"/>
    <col min="3073" max="3073" width="15" style="30" customWidth="1"/>
    <col min="3074" max="3074" width="18.5546875" style="30" bestFit="1" customWidth="1"/>
    <col min="3075" max="3075" width="16.33203125" style="30" customWidth="1"/>
    <col min="3076" max="3076" width="14.33203125" style="30" bestFit="1" customWidth="1"/>
    <col min="3077" max="3077" width="12.88671875" style="30" customWidth="1"/>
    <col min="3078" max="3325" width="9.109375" style="30"/>
    <col min="3326" max="3326" width="5.88671875" style="30" customWidth="1"/>
    <col min="3327" max="3327" width="45.5546875" style="30" customWidth="1"/>
    <col min="3328" max="3328" width="14.5546875" style="30" customWidth="1"/>
    <col min="3329" max="3329" width="15" style="30" customWidth="1"/>
    <col min="3330" max="3330" width="18.5546875" style="30" bestFit="1" customWidth="1"/>
    <col min="3331" max="3331" width="16.33203125" style="30" customWidth="1"/>
    <col min="3332" max="3332" width="14.33203125" style="30" bestFit="1" customWidth="1"/>
    <col min="3333" max="3333" width="12.88671875" style="30" customWidth="1"/>
    <col min="3334" max="3581" width="9.109375" style="30"/>
    <col min="3582" max="3582" width="5.88671875" style="30" customWidth="1"/>
    <col min="3583" max="3583" width="45.5546875" style="30" customWidth="1"/>
    <col min="3584" max="3584" width="14.5546875" style="30" customWidth="1"/>
    <col min="3585" max="3585" width="15" style="30" customWidth="1"/>
    <col min="3586" max="3586" width="18.5546875" style="30" bestFit="1" customWidth="1"/>
    <col min="3587" max="3587" width="16.33203125" style="30" customWidth="1"/>
    <col min="3588" max="3588" width="14.33203125" style="30" bestFit="1" customWidth="1"/>
    <col min="3589" max="3589" width="12.88671875" style="30" customWidth="1"/>
    <col min="3590" max="3837" width="9.109375" style="30"/>
    <col min="3838" max="3838" width="5.88671875" style="30" customWidth="1"/>
    <col min="3839" max="3839" width="45.5546875" style="30" customWidth="1"/>
    <col min="3840" max="3840" width="14.5546875" style="30" customWidth="1"/>
    <col min="3841" max="3841" width="15" style="30" customWidth="1"/>
    <col min="3842" max="3842" width="18.5546875" style="30" bestFit="1" customWidth="1"/>
    <col min="3843" max="3843" width="16.33203125" style="30" customWidth="1"/>
    <col min="3844" max="3844" width="14.33203125" style="30" bestFit="1" customWidth="1"/>
    <col min="3845" max="3845" width="12.88671875" style="30" customWidth="1"/>
    <col min="3846" max="4093" width="9.109375" style="30"/>
    <col min="4094" max="4094" width="5.88671875" style="30" customWidth="1"/>
    <col min="4095" max="4095" width="45.5546875" style="30" customWidth="1"/>
    <col min="4096" max="4096" width="14.5546875" style="30" customWidth="1"/>
    <col min="4097" max="4097" width="15" style="30" customWidth="1"/>
    <col min="4098" max="4098" width="18.5546875" style="30" bestFit="1" customWidth="1"/>
    <col min="4099" max="4099" width="16.33203125" style="30" customWidth="1"/>
    <col min="4100" max="4100" width="14.33203125" style="30" bestFit="1" customWidth="1"/>
    <col min="4101" max="4101" width="12.88671875" style="30" customWidth="1"/>
    <col min="4102" max="4349" width="9.109375" style="30"/>
    <col min="4350" max="4350" width="5.88671875" style="30" customWidth="1"/>
    <col min="4351" max="4351" width="45.5546875" style="30" customWidth="1"/>
    <col min="4352" max="4352" width="14.5546875" style="30" customWidth="1"/>
    <col min="4353" max="4353" width="15" style="30" customWidth="1"/>
    <col min="4354" max="4354" width="18.5546875" style="30" bestFit="1" customWidth="1"/>
    <col min="4355" max="4355" width="16.33203125" style="30" customWidth="1"/>
    <col min="4356" max="4356" width="14.33203125" style="30" bestFit="1" customWidth="1"/>
    <col min="4357" max="4357" width="12.88671875" style="30" customWidth="1"/>
    <col min="4358" max="4605" width="9.109375" style="30"/>
    <col min="4606" max="4606" width="5.88671875" style="30" customWidth="1"/>
    <col min="4607" max="4607" width="45.5546875" style="30" customWidth="1"/>
    <col min="4608" max="4608" width="14.5546875" style="30" customWidth="1"/>
    <col min="4609" max="4609" width="15" style="30" customWidth="1"/>
    <col min="4610" max="4610" width="18.5546875" style="30" bestFit="1" customWidth="1"/>
    <col min="4611" max="4611" width="16.33203125" style="30" customWidth="1"/>
    <col min="4612" max="4612" width="14.33203125" style="30" bestFit="1" customWidth="1"/>
    <col min="4613" max="4613" width="12.88671875" style="30" customWidth="1"/>
    <col min="4614" max="4861" width="9.109375" style="30"/>
    <col min="4862" max="4862" width="5.88671875" style="30" customWidth="1"/>
    <col min="4863" max="4863" width="45.5546875" style="30" customWidth="1"/>
    <col min="4864" max="4864" width="14.5546875" style="30" customWidth="1"/>
    <col min="4865" max="4865" width="15" style="30" customWidth="1"/>
    <col min="4866" max="4866" width="18.5546875" style="30" bestFit="1" customWidth="1"/>
    <col min="4867" max="4867" width="16.33203125" style="30" customWidth="1"/>
    <col min="4868" max="4868" width="14.33203125" style="30" bestFit="1" customWidth="1"/>
    <col min="4869" max="4869" width="12.88671875" style="30" customWidth="1"/>
    <col min="4870" max="5117" width="9.109375" style="30"/>
    <col min="5118" max="5118" width="5.88671875" style="30" customWidth="1"/>
    <col min="5119" max="5119" width="45.5546875" style="30" customWidth="1"/>
    <col min="5120" max="5120" width="14.5546875" style="30" customWidth="1"/>
    <col min="5121" max="5121" width="15" style="30" customWidth="1"/>
    <col min="5122" max="5122" width="18.5546875" style="30" bestFit="1" customWidth="1"/>
    <col min="5123" max="5123" width="16.33203125" style="30" customWidth="1"/>
    <col min="5124" max="5124" width="14.33203125" style="30" bestFit="1" customWidth="1"/>
    <col min="5125" max="5125" width="12.88671875" style="30" customWidth="1"/>
    <col min="5126" max="5373" width="9.109375" style="30"/>
    <col min="5374" max="5374" width="5.88671875" style="30" customWidth="1"/>
    <col min="5375" max="5375" width="45.5546875" style="30" customWidth="1"/>
    <col min="5376" max="5376" width="14.5546875" style="30" customWidth="1"/>
    <col min="5377" max="5377" width="15" style="30" customWidth="1"/>
    <col min="5378" max="5378" width="18.5546875" style="30" bestFit="1" customWidth="1"/>
    <col min="5379" max="5379" width="16.33203125" style="30" customWidth="1"/>
    <col min="5380" max="5380" width="14.33203125" style="30" bestFit="1" customWidth="1"/>
    <col min="5381" max="5381" width="12.88671875" style="30" customWidth="1"/>
    <col min="5382" max="5629" width="9.109375" style="30"/>
    <col min="5630" max="5630" width="5.88671875" style="30" customWidth="1"/>
    <col min="5631" max="5631" width="45.5546875" style="30" customWidth="1"/>
    <col min="5632" max="5632" width="14.5546875" style="30" customWidth="1"/>
    <col min="5633" max="5633" width="15" style="30" customWidth="1"/>
    <col min="5634" max="5634" width="18.5546875" style="30" bestFit="1" customWidth="1"/>
    <col min="5635" max="5635" width="16.33203125" style="30" customWidth="1"/>
    <col min="5636" max="5636" width="14.33203125" style="30" bestFit="1" customWidth="1"/>
    <col min="5637" max="5637" width="12.88671875" style="30" customWidth="1"/>
    <col min="5638" max="5885" width="9.109375" style="30"/>
    <col min="5886" max="5886" width="5.88671875" style="30" customWidth="1"/>
    <col min="5887" max="5887" width="45.5546875" style="30" customWidth="1"/>
    <col min="5888" max="5888" width="14.5546875" style="30" customWidth="1"/>
    <col min="5889" max="5889" width="15" style="30" customWidth="1"/>
    <col min="5890" max="5890" width="18.5546875" style="30" bestFit="1" customWidth="1"/>
    <col min="5891" max="5891" width="16.33203125" style="30" customWidth="1"/>
    <col min="5892" max="5892" width="14.33203125" style="30" bestFit="1" customWidth="1"/>
    <col min="5893" max="5893" width="12.88671875" style="30" customWidth="1"/>
    <col min="5894" max="6141" width="9.109375" style="30"/>
    <col min="6142" max="6142" width="5.88671875" style="30" customWidth="1"/>
    <col min="6143" max="6143" width="45.5546875" style="30" customWidth="1"/>
    <col min="6144" max="6144" width="14.5546875" style="30" customWidth="1"/>
    <col min="6145" max="6145" width="15" style="30" customWidth="1"/>
    <col min="6146" max="6146" width="18.5546875" style="30" bestFit="1" customWidth="1"/>
    <col min="6147" max="6147" width="16.33203125" style="30" customWidth="1"/>
    <col min="6148" max="6148" width="14.33203125" style="30" bestFit="1" customWidth="1"/>
    <col min="6149" max="6149" width="12.88671875" style="30" customWidth="1"/>
    <col min="6150" max="6397" width="9.109375" style="30"/>
    <col min="6398" max="6398" width="5.88671875" style="30" customWidth="1"/>
    <col min="6399" max="6399" width="45.5546875" style="30" customWidth="1"/>
    <col min="6400" max="6400" width="14.5546875" style="30" customWidth="1"/>
    <col min="6401" max="6401" width="15" style="30" customWidth="1"/>
    <col min="6402" max="6402" width="18.5546875" style="30" bestFit="1" customWidth="1"/>
    <col min="6403" max="6403" width="16.33203125" style="30" customWidth="1"/>
    <col min="6404" max="6404" width="14.33203125" style="30" bestFit="1" customWidth="1"/>
    <col min="6405" max="6405" width="12.88671875" style="30" customWidth="1"/>
    <col min="6406" max="6653" width="9.109375" style="30"/>
    <col min="6654" max="6654" width="5.88671875" style="30" customWidth="1"/>
    <col min="6655" max="6655" width="45.5546875" style="30" customWidth="1"/>
    <col min="6656" max="6656" width="14.5546875" style="30" customWidth="1"/>
    <col min="6657" max="6657" width="15" style="30" customWidth="1"/>
    <col min="6658" max="6658" width="18.5546875" style="30" bestFit="1" customWidth="1"/>
    <col min="6659" max="6659" width="16.33203125" style="30" customWidth="1"/>
    <col min="6660" max="6660" width="14.33203125" style="30" bestFit="1" customWidth="1"/>
    <col min="6661" max="6661" width="12.88671875" style="30" customWidth="1"/>
    <col min="6662" max="6909" width="9.109375" style="30"/>
    <col min="6910" max="6910" width="5.88671875" style="30" customWidth="1"/>
    <col min="6911" max="6911" width="45.5546875" style="30" customWidth="1"/>
    <col min="6912" max="6912" width="14.5546875" style="30" customWidth="1"/>
    <col min="6913" max="6913" width="15" style="30" customWidth="1"/>
    <col min="6914" max="6914" width="18.5546875" style="30" bestFit="1" customWidth="1"/>
    <col min="6915" max="6915" width="16.33203125" style="30" customWidth="1"/>
    <col min="6916" max="6916" width="14.33203125" style="30" bestFit="1" customWidth="1"/>
    <col min="6917" max="6917" width="12.88671875" style="30" customWidth="1"/>
    <col min="6918" max="7165" width="9.109375" style="30"/>
    <col min="7166" max="7166" width="5.88671875" style="30" customWidth="1"/>
    <col min="7167" max="7167" width="45.5546875" style="30" customWidth="1"/>
    <col min="7168" max="7168" width="14.5546875" style="30" customWidth="1"/>
    <col min="7169" max="7169" width="15" style="30" customWidth="1"/>
    <col min="7170" max="7170" width="18.5546875" style="30" bestFit="1" customWidth="1"/>
    <col min="7171" max="7171" width="16.33203125" style="30" customWidth="1"/>
    <col min="7172" max="7172" width="14.33203125" style="30" bestFit="1" customWidth="1"/>
    <col min="7173" max="7173" width="12.88671875" style="30" customWidth="1"/>
    <col min="7174" max="7421" width="9.109375" style="30"/>
    <col min="7422" max="7422" width="5.88671875" style="30" customWidth="1"/>
    <col min="7423" max="7423" width="45.5546875" style="30" customWidth="1"/>
    <col min="7424" max="7424" width="14.5546875" style="30" customWidth="1"/>
    <col min="7425" max="7425" width="15" style="30" customWidth="1"/>
    <col min="7426" max="7426" width="18.5546875" style="30" bestFit="1" customWidth="1"/>
    <col min="7427" max="7427" width="16.33203125" style="30" customWidth="1"/>
    <col min="7428" max="7428" width="14.33203125" style="30" bestFit="1" customWidth="1"/>
    <col min="7429" max="7429" width="12.88671875" style="30" customWidth="1"/>
    <col min="7430" max="7677" width="9.109375" style="30"/>
    <col min="7678" max="7678" width="5.88671875" style="30" customWidth="1"/>
    <col min="7679" max="7679" width="45.5546875" style="30" customWidth="1"/>
    <col min="7680" max="7680" width="14.5546875" style="30" customWidth="1"/>
    <col min="7681" max="7681" width="15" style="30" customWidth="1"/>
    <col min="7682" max="7682" width="18.5546875" style="30" bestFit="1" customWidth="1"/>
    <col min="7683" max="7683" width="16.33203125" style="30" customWidth="1"/>
    <col min="7684" max="7684" width="14.33203125" style="30" bestFit="1" customWidth="1"/>
    <col min="7685" max="7685" width="12.88671875" style="30" customWidth="1"/>
    <col min="7686" max="7933" width="9.109375" style="30"/>
    <col min="7934" max="7934" width="5.88671875" style="30" customWidth="1"/>
    <col min="7935" max="7935" width="45.5546875" style="30" customWidth="1"/>
    <col min="7936" max="7936" width="14.5546875" style="30" customWidth="1"/>
    <col min="7937" max="7937" width="15" style="30" customWidth="1"/>
    <col min="7938" max="7938" width="18.5546875" style="30" bestFit="1" customWidth="1"/>
    <col min="7939" max="7939" width="16.33203125" style="30" customWidth="1"/>
    <col min="7940" max="7940" width="14.33203125" style="30" bestFit="1" customWidth="1"/>
    <col min="7941" max="7941" width="12.88671875" style="30" customWidth="1"/>
    <col min="7942" max="8189" width="9.109375" style="30"/>
    <col min="8190" max="8190" width="5.88671875" style="30" customWidth="1"/>
    <col min="8191" max="8191" width="45.5546875" style="30" customWidth="1"/>
    <col min="8192" max="8192" width="14.5546875" style="30" customWidth="1"/>
    <col min="8193" max="8193" width="15" style="30" customWidth="1"/>
    <col min="8194" max="8194" width="18.5546875" style="30" bestFit="1" customWidth="1"/>
    <col min="8195" max="8195" width="16.33203125" style="30" customWidth="1"/>
    <col min="8196" max="8196" width="14.33203125" style="30" bestFit="1" customWidth="1"/>
    <col min="8197" max="8197" width="12.88671875" style="30" customWidth="1"/>
    <col min="8198" max="8445" width="9.109375" style="30"/>
    <col min="8446" max="8446" width="5.88671875" style="30" customWidth="1"/>
    <col min="8447" max="8447" width="45.5546875" style="30" customWidth="1"/>
    <col min="8448" max="8448" width="14.5546875" style="30" customWidth="1"/>
    <col min="8449" max="8449" width="15" style="30" customWidth="1"/>
    <col min="8450" max="8450" width="18.5546875" style="30" bestFit="1" customWidth="1"/>
    <col min="8451" max="8451" width="16.33203125" style="30" customWidth="1"/>
    <col min="8452" max="8452" width="14.33203125" style="30" bestFit="1" customWidth="1"/>
    <col min="8453" max="8453" width="12.88671875" style="30" customWidth="1"/>
    <col min="8454" max="8701" width="9.109375" style="30"/>
    <col min="8702" max="8702" width="5.88671875" style="30" customWidth="1"/>
    <col min="8703" max="8703" width="45.5546875" style="30" customWidth="1"/>
    <col min="8704" max="8704" width="14.5546875" style="30" customWidth="1"/>
    <col min="8705" max="8705" width="15" style="30" customWidth="1"/>
    <col min="8706" max="8706" width="18.5546875" style="30" bestFit="1" customWidth="1"/>
    <col min="8707" max="8707" width="16.33203125" style="30" customWidth="1"/>
    <col min="8708" max="8708" width="14.33203125" style="30" bestFit="1" customWidth="1"/>
    <col min="8709" max="8709" width="12.88671875" style="30" customWidth="1"/>
    <col min="8710" max="8957" width="9.109375" style="30"/>
    <col min="8958" max="8958" width="5.88671875" style="30" customWidth="1"/>
    <col min="8959" max="8959" width="45.5546875" style="30" customWidth="1"/>
    <col min="8960" max="8960" width="14.5546875" style="30" customWidth="1"/>
    <col min="8961" max="8961" width="15" style="30" customWidth="1"/>
    <col min="8962" max="8962" width="18.5546875" style="30" bestFit="1" customWidth="1"/>
    <col min="8963" max="8963" width="16.33203125" style="30" customWidth="1"/>
    <col min="8964" max="8964" width="14.33203125" style="30" bestFit="1" customWidth="1"/>
    <col min="8965" max="8965" width="12.88671875" style="30" customWidth="1"/>
    <col min="8966" max="9213" width="9.109375" style="30"/>
    <col min="9214" max="9214" width="5.88671875" style="30" customWidth="1"/>
    <col min="9215" max="9215" width="45.5546875" style="30" customWidth="1"/>
    <col min="9216" max="9216" width="14.5546875" style="30" customWidth="1"/>
    <col min="9217" max="9217" width="15" style="30" customWidth="1"/>
    <col min="9218" max="9218" width="18.5546875" style="30" bestFit="1" customWidth="1"/>
    <col min="9219" max="9219" width="16.33203125" style="30" customWidth="1"/>
    <col min="9220" max="9220" width="14.33203125" style="30" bestFit="1" customWidth="1"/>
    <col min="9221" max="9221" width="12.88671875" style="30" customWidth="1"/>
    <col min="9222" max="9469" width="9.109375" style="30"/>
    <col min="9470" max="9470" width="5.88671875" style="30" customWidth="1"/>
    <col min="9471" max="9471" width="45.5546875" style="30" customWidth="1"/>
    <col min="9472" max="9472" width="14.5546875" style="30" customWidth="1"/>
    <col min="9473" max="9473" width="15" style="30" customWidth="1"/>
    <col min="9474" max="9474" width="18.5546875" style="30" bestFit="1" customWidth="1"/>
    <col min="9475" max="9475" width="16.33203125" style="30" customWidth="1"/>
    <col min="9476" max="9476" width="14.33203125" style="30" bestFit="1" customWidth="1"/>
    <col min="9477" max="9477" width="12.88671875" style="30" customWidth="1"/>
    <col min="9478" max="9725" width="9.109375" style="30"/>
    <col min="9726" max="9726" width="5.88671875" style="30" customWidth="1"/>
    <col min="9727" max="9727" width="45.5546875" style="30" customWidth="1"/>
    <col min="9728" max="9728" width="14.5546875" style="30" customWidth="1"/>
    <col min="9729" max="9729" width="15" style="30" customWidth="1"/>
    <col min="9730" max="9730" width="18.5546875" style="30" bestFit="1" customWidth="1"/>
    <col min="9731" max="9731" width="16.33203125" style="30" customWidth="1"/>
    <col min="9732" max="9732" width="14.33203125" style="30" bestFit="1" customWidth="1"/>
    <col min="9733" max="9733" width="12.88671875" style="30" customWidth="1"/>
    <col min="9734" max="9981" width="9.109375" style="30"/>
    <col min="9982" max="9982" width="5.88671875" style="30" customWidth="1"/>
    <col min="9983" max="9983" width="45.5546875" style="30" customWidth="1"/>
    <col min="9984" max="9984" width="14.5546875" style="30" customWidth="1"/>
    <col min="9985" max="9985" width="15" style="30" customWidth="1"/>
    <col min="9986" max="9986" width="18.5546875" style="30" bestFit="1" customWidth="1"/>
    <col min="9987" max="9987" width="16.33203125" style="30" customWidth="1"/>
    <col min="9988" max="9988" width="14.33203125" style="30" bestFit="1" customWidth="1"/>
    <col min="9989" max="9989" width="12.88671875" style="30" customWidth="1"/>
    <col min="9990" max="10237" width="9.109375" style="30"/>
    <col min="10238" max="10238" width="5.88671875" style="30" customWidth="1"/>
    <col min="10239" max="10239" width="45.5546875" style="30" customWidth="1"/>
    <col min="10240" max="10240" width="14.5546875" style="30" customWidth="1"/>
    <col min="10241" max="10241" width="15" style="30" customWidth="1"/>
    <col min="10242" max="10242" width="18.5546875" style="30" bestFit="1" customWidth="1"/>
    <col min="10243" max="10243" width="16.33203125" style="30" customWidth="1"/>
    <col min="10244" max="10244" width="14.33203125" style="30" bestFit="1" customWidth="1"/>
    <col min="10245" max="10245" width="12.88671875" style="30" customWidth="1"/>
    <col min="10246" max="10493" width="9.109375" style="30"/>
    <col min="10494" max="10494" width="5.88671875" style="30" customWidth="1"/>
    <col min="10495" max="10495" width="45.5546875" style="30" customWidth="1"/>
    <col min="10496" max="10496" width="14.5546875" style="30" customWidth="1"/>
    <col min="10497" max="10497" width="15" style="30" customWidth="1"/>
    <col min="10498" max="10498" width="18.5546875" style="30" bestFit="1" customWidth="1"/>
    <col min="10499" max="10499" width="16.33203125" style="30" customWidth="1"/>
    <col min="10500" max="10500" width="14.33203125" style="30" bestFit="1" customWidth="1"/>
    <col min="10501" max="10501" width="12.88671875" style="30" customWidth="1"/>
    <col min="10502" max="10749" width="9.109375" style="30"/>
    <col min="10750" max="10750" width="5.88671875" style="30" customWidth="1"/>
    <col min="10751" max="10751" width="45.5546875" style="30" customWidth="1"/>
    <col min="10752" max="10752" width="14.5546875" style="30" customWidth="1"/>
    <col min="10753" max="10753" width="15" style="30" customWidth="1"/>
    <col min="10754" max="10754" width="18.5546875" style="30" bestFit="1" customWidth="1"/>
    <col min="10755" max="10755" width="16.33203125" style="30" customWidth="1"/>
    <col min="10756" max="10756" width="14.33203125" style="30" bestFit="1" customWidth="1"/>
    <col min="10757" max="10757" width="12.88671875" style="30" customWidth="1"/>
    <col min="10758" max="11005" width="9.109375" style="30"/>
    <col min="11006" max="11006" width="5.88671875" style="30" customWidth="1"/>
    <col min="11007" max="11007" width="45.5546875" style="30" customWidth="1"/>
    <col min="11008" max="11008" width="14.5546875" style="30" customWidth="1"/>
    <col min="11009" max="11009" width="15" style="30" customWidth="1"/>
    <col min="11010" max="11010" width="18.5546875" style="30" bestFit="1" customWidth="1"/>
    <col min="11011" max="11011" width="16.33203125" style="30" customWidth="1"/>
    <col min="11012" max="11012" width="14.33203125" style="30" bestFit="1" customWidth="1"/>
    <col min="11013" max="11013" width="12.88671875" style="30" customWidth="1"/>
    <col min="11014" max="11261" width="9.109375" style="30"/>
    <col min="11262" max="11262" width="5.88671875" style="30" customWidth="1"/>
    <col min="11263" max="11263" width="45.5546875" style="30" customWidth="1"/>
    <col min="11264" max="11264" width="14.5546875" style="30" customWidth="1"/>
    <col min="11265" max="11265" width="15" style="30" customWidth="1"/>
    <col min="11266" max="11266" width="18.5546875" style="30" bestFit="1" customWidth="1"/>
    <col min="11267" max="11267" width="16.33203125" style="30" customWidth="1"/>
    <col min="11268" max="11268" width="14.33203125" style="30" bestFit="1" customWidth="1"/>
    <col min="11269" max="11269" width="12.88671875" style="30" customWidth="1"/>
    <col min="11270" max="11517" width="9.109375" style="30"/>
    <col min="11518" max="11518" width="5.88671875" style="30" customWidth="1"/>
    <col min="11519" max="11519" width="45.5546875" style="30" customWidth="1"/>
    <col min="11520" max="11520" width="14.5546875" style="30" customWidth="1"/>
    <col min="11521" max="11521" width="15" style="30" customWidth="1"/>
    <col min="11522" max="11522" width="18.5546875" style="30" bestFit="1" customWidth="1"/>
    <col min="11523" max="11523" width="16.33203125" style="30" customWidth="1"/>
    <col min="11524" max="11524" width="14.33203125" style="30" bestFit="1" customWidth="1"/>
    <col min="11525" max="11525" width="12.88671875" style="30" customWidth="1"/>
    <col min="11526" max="11773" width="9.109375" style="30"/>
    <col min="11774" max="11774" width="5.88671875" style="30" customWidth="1"/>
    <col min="11775" max="11775" width="45.5546875" style="30" customWidth="1"/>
    <col min="11776" max="11776" width="14.5546875" style="30" customWidth="1"/>
    <col min="11777" max="11777" width="15" style="30" customWidth="1"/>
    <col min="11778" max="11778" width="18.5546875" style="30" bestFit="1" customWidth="1"/>
    <col min="11779" max="11779" width="16.33203125" style="30" customWidth="1"/>
    <col min="11780" max="11780" width="14.33203125" style="30" bestFit="1" customWidth="1"/>
    <col min="11781" max="11781" width="12.88671875" style="30" customWidth="1"/>
    <col min="11782" max="12029" width="9.109375" style="30"/>
    <col min="12030" max="12030" width="5.88671875" style="30" customWidth="1"/>
    <col min="12031" max="12031" width="45.5546875" style="30" customWidth="1"/>
    <col min="12032" max="12032" width="14.5546875" style="30" customWidth="1"/>
    <col min="12033" max="12033" width="15" style="30" customWidth="1"/>
    <col min="12034" max="12034" width="18.5546875" style="30" bestFit="1" customWidth="1"/>
    <col min="12035" max="12035" width="16.33203125" style="30" customWidth="1"/>
    <col min="12036" max="12036" width="14.33203125" style="30" bestFit="1" customWidth="1"/>
    <col min="12037" max="12037" width="12.88671875" style="30" customWidth="1"/>
    <col min="12038" max="12285" width="9.109375" style="30"/>
    <col min="12286" max="12286" width="5.88671875" style="30" customWidth="1"/>
    <col min="12287" max="12287" width="45.5546875" style="30" customWidth="1"/>
    <col min="12288" max="12288" width="14.5546875" style="30" customWidth="1"/>
    <col min="12289" max="12289" width="15" style="30" customWidth="1"/>
    <col min="12290" max="12290" width="18.5546875" style="30" bestFit="1" customWidth="1"/>
    <col min="12291" max="12291" width="16.33203125" style="30" customWidth="1"/>
    <col min="12292" max="12292" width="14.33203125" style="30" bestFit="1" customWidth="1"/>
    <col min="12293" max="12293" width="12.88671875" style="30" customWidth="1"/>
    <col min="12294" max="12541" width="9.109375" style="30"/>
    <col min="12542" max="12542" width="5.88671875" style="30" customWidth="1"/>
    <col min="12543" max="12543" width="45.5546875" style="30" customWidth="1"/>
    <col min="12544" max="12544" width="14.5546875" style="30" customWidth="1"/>
    <col min="12545" max="12545" width="15" style="30" customWidth="1"/>
    <col min="12546" max="12546" width="18.5546875" style="30" bestFit="1" customWidth="1"/>
    <col min="12547" max="12547" width="16.33203125" style="30" customWidth="1"/>
    <col min="12548" max="12548" width="14.33203125" style="30" bestFit="1" customWidth="1"/>
    <col min="12549" max="12549" width="12.88671875" style="30" customWidth="1"/>
    <col min="12550" max="12797" width="9.109375" style="30"/>
    <col min="12798" max="12798" width="5.88671875" style="30" customWidth="1"/>
    <col min="12799" max="12799" width="45.5546875" style="30" customWidth="1"/>
    <col min="12800" max="12800" width="14.5546875" style="30" customWidth="1"/>
    <col min="12801" max="12801" width="15" style="30" customWidth="1"/>
    <col min="12802" max="12802" width="18.5546875" style="30" bestFit="1" customWidth="1"/>
    <col min="12803" max="12803" width="16.33203125" style="30" customWidth="1"/>
    <col min="12804" max="12804" width="14.33203125" style="30" bestFit="1" customWidth="1"/>
    <col min="12805" max="12805" width="12.88671875" style="30" customWidth="1"/>
    <col min="12806" max="13053" width="9.109375" style="30"/>
    <col min="13054" max="13054" width="5.88671875" style="30" customWidth="1"/>
    <col min="13055" max="13055" width="45.5546875" style="30" customWidth="1"/>
    <col min="13056" max="13056" width="14.5546875" style="30" customWidth="1"/>
    <col min="13057" max="13057" width="15" style="30" customWidth="1"/>
    <col min="13058" max="13058" width="18.5546875" style="30" bestFit="1" customWidth="1"/>
    <col min="13059" max="13059" width="16.33203125" style="30" customWidth="1"/>
    <col min="13060" max="13060" width="14.33203125" style="30" bestFit="1" customWidth="1"/>
    <col min="13061" max="13061" width="12.88671875" style="30" customWidth="1"/>
    <col min="13062" max="13309" width="9.109375" style="30"/>
    <col min="13310" max="13310" width="5.88671875" style="30" customWidth="1"/>
    <col min="13311" max="13311" width="45.5546875" style="30" customWidth="1"/>
    <col min="13312" max="13312" width="14.5546875" style="30" customWidth="1"/>
    <col min="13313" max="13313" width="15" style="30" customWidth="1"/>
    <col min="13314" max="13314" width="18.5546875" style="30" bestFit="1" customWidth="1"/>
    <col min="13315" max="13315" width="16.33203125" style="30" customWidth="1"/>
    <col min="13316" max="13316" width="14.33203125" style="30" bestFit="1" customWidth="1"/>
    <col min="13317" max="13317" width="12.88671875" style="30" customWidth="1"/>
    <col min="13318" max="13565" width="9.109375" style="30"/>
    <col min="13566" max="13566" width="5.88671875" style="30" customWidth="1"/>
    <col min="13567" max="13567" width="45.5546875" style="30" customWidth="1"/>
    <col min="13568" max="13568" width="14.5546875" style="30" customWidth="1"/>
    <col min="13569" max="13569" width="15" style="30" customWidth="1"/>
    <col min="13570" max="13570" width="18.5546875" style="30" bestFit="1" customWidth="1"/>
    <col min="13571" max="13571" width="16.33203125" style="30" customWidth="1"/>
    <col min="13572" max="13572" width="14.33203125" style="30" bestFit="1" customWidth="1"/>
    <col min="13573" max="13573" width="12.88671875" style="30" customWidth="1"/>
    <col min="13574" max="13821" width="9.109375" style="30"/>
    <col min="13822" max="13822" width="5.88671875" style="30" customWidth="1"/>
    <col min="13823" max="13823" width="45.5546875" style="30" customWidth="1"/>
    <col min="13824" max="13824" width="14.5546875" style="30" customWidth="1"/>
    <col min="13825" max="13825" width="15" style="30" customWidth="1"/>
    <col min="13826" max="13826" width="18.5546875" style="30" bestFit="1" customWidth="1"/>
    <col min="13827" max="13827" width="16.33203125" style="30" customWidth="1"/>
    <col min="13828" max="13828" width="14.33203125" style="30" bestFit="1" customWidth="1"/>
    <col min="13829" max="13829" width="12.88671875" style="30" customWidth="1"/>
    <col min="13830" max="14077" width="9.109375" style="30"/>
    <col min="14078" max="14078" width="5.88671875" style="30" customWidth="1"/>
    <col min="14079" max="14079" width="45.5546875" style="30" customWidth="1"/>
    <col min="14080" max="14080" width="14.5546875" style="30" customWidth="1"/>
    <col min="14081" max="14081" width="15" style="30" customWidth="1"/>
    <col min="14082" max="14082" width="18.5546875" style="30" bestFit="1" customWidth="1"/>
    <col min="14083" max="14083" width="16.33203125" style="30" customWidth="1"/>
    <col min="14084" max="14084" width="14.33203125" style="30" bestFit="1" customWidth="1"/>
    <col min="14085" max="14085" width="12.88671875" style="30" customWidth="1"/>
    <col min="14086" max="14333" width="9.109375" style="30"/>
    <col min="14334" max="14334" width="5.88671875" style="30" customWidth="1"/>
    <col min="14335" max="14335" width="45.5546875" style="30" customWidth="1"/>
    <col min="14336" max="14336" width="14.5546875" style="30" customWidth="1"/>
    <col min="14337" max="14337" width="15" style="30" customWidth="1"/>
    <col min="14338" max="14338" width="18.5546875" style="30" bestFit="1" customWidth="1"/>
    <col min="14339" max="14339" width="16.33203125" style="30" customWidth="1"/>
    <col min="14340" max="14340" width="14.33203125" style="30" bestFit="1" customWidth="1"/>
    <col min="14341" max="14341" width="12.88671875" style="30" customWidth="1"/>
    <col min="14342" max="14589" width="9.109375" style="30"/>
    <col min="14590" max="14590" width="5.88671875" style="30" customWidth="1"/>
    <col min="14591" max="14591" width="45.5546875" style="30" customWidth="1"/>
    <col min="14592" max="14592" width="14.5546875" style="30" customWidth="1"/>
    <col min="14593" max="14593" width="15" style="30" customWidth="1"/>
    <col min="14594" max="14594" width="18.5546875" style="30" bestFit="1" customWidth="1"/>
    <col min="14595" max="14595" width="16.33203125" style="30" customWidth="1"/>
    <col min="14596" max="14596" width="14.33203125" style="30" bestFit="1" customWidth="1"/>
    <col min="14597" max="14597" width="12.88671875" style="30" customWidth="1"/>
    <col min="14598" max="14845" width="9.109375" style="30"/>
    <col min="14846" max="14846" width="5.88671875" style="30" customWidth="1"/>
    <col min="14847" max="14847" width="45.5546875" style="30" customWidth="1"/>
    <col min="14848" max="14848" width="14.5546875" style="30" customWidth="1"/>
    <col min="14849" max="14849" width="15" style="30" customWidth="1"/>
    <col min="14850" max="14850" width="18.5546875" style="30" bestFit="1" customWidth="1"/>
    <col min="14851" max="14851" width="16.33203125" style="30" customWidth="1"/>
    <col min="14852" max="14852" width="14.33203125" style="30" bestFit="1" customWidth="1"/>
    <col min="14853" max="14853" width="12.88671875" style="30" customWidth="1"/>
    <col min="14854" max="15101" width="9.109375" style="30"/>
    <col min="15102" max="15102" width="5.88671875" style="30" customWidth="1"/>
    <col min="15103" max="15103" width="45.5546875" style="30" customWidth="1"/>
    <col min="15104" max="15104" width="14.5546875" style="30" customWidth="1"/>
    <col min="15105" max="15105" width="15" style="30" customWidth="1"/>
    <col min="15106" max="15106" width="18.5546875" style="30" bestFit="1" customWidth="1"/>
    <col min="15107" max="15107" width="16.33203125" style="30" customWidth="1"/>
    <col min="15108" max="15108" width="14.33203125" style="30" bestFit="1" customWidth="1"/>
    <col min="15109" max="15109" width="12.88671875" style="30" customWidth="1"/>
    <col min="15110" max="15357" width="9.109375" style="30"/>
    <col min="15358" max="15358" width="5.88671875" style="30" customWidth="1"/>
    <col min="15359" max="15359" width="45.5546875" style="30" customWidth="1"/>
    <col min="15360" max="15360" width="14.5546875" style="30" customWidth="1"/>
    <col min="15361" max="15361" width="15" style="30" customWidth="1"/>
    <col min="15362" max="15362" width="18.5546875" style="30" bestFit="1" customWidth="1"/>
    <col min="15363" max="15363" width="16.33203125" style="30" customWidth="1"/>
    <col min="15364" max="15364" width="14.33203125" style="30" bestFit="1" customWidth="1"/>
    <col min="15365" max="15365" width="12.88671875" style="30" customWidth="1"/>
    <col min="15366" max="15613" width="9.109375" style="30"/>
    <col min="15614" max="15614" width="5.88671875" style="30" customWidth="1"/>
    <col min="15615" max="15615" width="45.5546875" style="30" customWidth="1"/>
    <col min="15616" max="15616" width="14.5546875" style="30" customWidth="1"/>
    <col min="15617" max="15617" width="15" style="30" customWidth="1"/>
    <col min="15618" max="15618" width="18.5546875" style="30" bestFit="1" customWidth="1"/>
    <col min="15619" max="15619" width="16.33203125" style="30" customWidth="1"/>
    <col min="15620" max="15620" width="14.33203125" style="30" bestFit="1" customWidth="1"/>
    <col min="15621" max="15621" width="12.88671875" style="30" customWidth="1"/>
    <col min="15622" max="15869" width="9.109375" style="30"/>
    <col min="15870" max="15870" width="5.88671875" style="30" customWidth="1"/>
    <col min="15871" max="15871" width="45.5546875" style="30" customWidth="1"/>
    <col min="15872" max="15872" width="14.5546875" style="30" customWidth="1"/>
    <col min="15873" max="15873" width="15" style="30" customWidth="1"/>
    <col min="15874" max="15874" width="18.5546875" style="30" bestFit="1" customWidth="1"/>
    <col min="15875" max="15875" width="16.33203125" style="30" customWidth="1"/>
    <col min="15876" max="15876" width="14.33203125" style="30" bestFit="1" customWidth="1"/>
    <col min="15877" max="15877" width="12.88671875" style="30" customWidth="1"/>
    <col min="15878" max="16125" width="9.109375" style="30"/>
    <col min="16126" max="16126" width="5.88671875" style="30" customWidth="1"/>
    <col min="16127" max="16127" width="45.5546875" style="30" customWidth="1"/>
    <col min="16128" max="16128" width="14.5546875" style="30" customWidth="1"/>
    <col min="16129" max="16129" width="15" style="30" customWidth="1"/>
    <col min="16130" max="16130" width="18.5546875" style="30" bestFit="1" customWidth="1"/>
    <col min="16131" max="16131" width="16.33203125" style="30" customWidth="1"/>
    <col min="16132" max="16132" width="14.33203125" style="30" bestFit="1" customWidth="1"/>
    <col min="16133" max="16133" width="12.88671875" style="30" customWidth="1"/>
    <col min="16134" max="16384" width="9.109375" style="30"/>
  </cols>
  <sheetData>
    <row r="3" spans="2:8" ht="16.2" x14ac:dyDescent="0.3">
      <c r="B3" s="149" t="s">
        <v>111</v>
      </c>
    </row>
    <row r="4" spans="2:8" ht="13.8" x14ac:dyDescent="0.25">
      <c r="B4" s="150" t="s">
        <v>121</v>
      </c>
      <c r="D4" s="34"/>
    </row>
    <row r="5" spans="2:8" ht="13.8" x14ac:dyDescent="0.25">
      <c r="B5" s="151">
        <v>43800</v>
      </c>
    </row>
    <row r="6" spans="2:8" x14ac:dyDescent="0.2">
      <c r="C6" s="30"/>
      <c r="H6" s="30" t="s">
        <v>167</v>
      </c>
    </row>
    <row r="7" spans="2:8" ht="16.2" x14ac:dyDescent="0.35">
      <c r="C7" s="159" t="s">
        <v>114</v>
      </c>
      <c r="E7" s="185" t="s">
        <v>113</v>
      </c>
    </row>
    <row r="8" spans="2:8" ht="16.2" x14ac:dyDescent="0.35">
      <c r="B8" s="165" t="s">
        <v>68</v>
      </c>
      <c r="C8" s="101" t="s">
        <v>2</v>
      </c>
      <c r="D8" s="30" t="s">
        <v>124</v>
      </c>
      <c r="E8" s="186" t="s">
        <v>2</v>
      </c>
    </row>
    <row r="9" spans="2:8" x14ac:dyDescent="0.2">
      <c r="B9" s="35"/>
      <c r="C9" s="171"/>
      <c r="E9" s="184"/>
    </row>
    <row r="10" spans="2:8" s="38" customFormat="1" ht="13.8" x14ac:dyDescent="0.2">
      <c r="B10" s="36" t="s">
        <v>70</v>
      </c>
      <c r="C10" s="172">
        <v>9769.1700000000092</v>
      </c>
      <c r="D10" s="37"/>
      <c r="E10" s="177">
        <v>12000</v>
      </c>
    </row>
    <row r="11" spans="2:8" s="38" customFormat="1" ht="13.8" x14ac:dyDescent="0.2">
      <c r="B11" s="36"/>
      <c r="C11" s="172"/>
      <c r="D11" s="37"/>
      <c r="E11" s="177"/>
    </row>
    <row r="12" spans="2:8" s="38" customFormat="1" ht="13.8" x14ac:dyDescent="0.2">
      <c r="B12" s="36" t="s">
        <v>71</v>
      </c>
      <c r="C12" s="172">
        <v>5911.3200000000015</v>
      </c>
      <c r="D12" s="37"/>
      <c r="E12" s="177">
        <v>7000</v>
      </c>
    </row>
    <row r="13" spans="2:8" ht="13.8" x14ac:dyDescent="0.2">
      <c r="C13" s="173"/>
      <c r="D13" s="39"/>
      <c r="E13" s="119"/>
    </row>
    <row r="14" spans="2:8" ht="13.8" x14ac:dyDescent="0.2">
      <c r="B14" s="166" t="s">
        <v>123</v>
      </c>
      <c r="C14" s="174">
        <f>SUM(C9:C13)</f>
        <v>15680.490000000011</v>
      </c>
      <c r="D14" s="40"/>
      <c r="E14" s="187">
        <f>SUM(E9:E13)</f>
        <v>19000</v>
      </c>
      <c r="H14" s="229">
        <f>E14-C14</f>
        <v>3319.5099999999893</v>
      </c>
    </row>
    <row r="15" spans="2:8" ht="13.8" x14ac:dyDescent="0.2">
      <c r="C15" s="119"/>
      <c r="D15" s="39"/>
      <c r="E15" s="119"/>
    </row>
    <row r="16" spans="2:8" ht="13.8" x14ac:dyDescent="0.2">
      <c r="C16" s="175"/>
      <c r="D16" s="39"/>
      <c r="E16" s="119"/>
    </row>
    <row r="17" spans="2:9" ht="13.8" x14ac:dyDescent="0.25">
      <c r="B17" s="165" t="s">
        <v>125</v>
      </c>
      <c r="C17" s="175"/>
      <c r="D17" s="30" t="s">
        <v>124</v>
      </c>
      <c r="E17" s="119"/>
    </row>
    <row r="18" spans="2:9" ht="13.5" customHeight="1" x14ac:dyDescent="0.2">
      <c r="B18" s="38"/>
      <c r="C18" s="175"/>
      <c r="D18" s="39"/>
      <c r="E18" s="119"/>
    </row>
    <row r="19" spans="2:9" s="38" customFormat="1" ht="13.8" x14ac:dyDescent="0.2">
      <c r="B19" s="36" t="s">
        <v>72</v>
      </c>
      <c r="C19" s="232">
        <f>+'[5]Cash at Bank'!E20</f>
        <v>94284.75</v>
      </c>
      <c r="D19" s="37"/>
      <c r="E19" s="231">
        <v>75000</v>
      </c>
    </row>
    <row r="20" spans="2:9" s="38" customFormat="1" ht="13.8" x14ac:dyDescent="0.2">
      <c r="B20" s="36"/>
      <c r="C20" s="172"/>
      <c r="D20" s="37"/>
      <c r="E20" s="177"/>
    </row>
    <row r="21" spans="2:9" ht="14.4" x14ac:dyDescent="0.25">
      <c r="B21" s="165" t="s">
        <v>73</v>
      </c>
      <c r="C21" s="176"/>
      <c r="D21" s="39"/>
      <c r="E21" s="119"/>
      <c r="H21" s="30" t="s">
        <v>168</v>
      </c>
      <c r="I21" s="30" t="s">
        <v>169</v>
      </c>
    </row>
    <row r="22" spans="2:9" s="38" customFormat="1" ht="13.8" x14ac:dyDescent="0.2">
      <c r="B22" s="36" t="s">
        <v>74</v>
      </c>
      <c r="C22" s="172">
        <f>+'[5] Debtors'!E14</f>
        <v>138968.76</v>
      </c>
      <c r="D22" s="37"/>
      <c r="E22" s="177">
        <v>105000</v>
      </c>
      <c r="H22" s="230">
        <f>E22-C22</f>
        <v>-33968.760000000009</v>
      </c>
    </row>
    <row r="23" spans="2:9" s="38" customFormat="1" ht="13.8" x14ac:dyDescent="0.2">
      <c r="B23" s="36" t="s">
        <v>75</v>
      </c>
      <c r="C23" s="172">
        <f>+'[5]Other Debtors'!F12</f>
        <v>57500</v>
      </c>
      <c r="D23" s="37"/>
      <c r="E23" s="177">
        <v>50000</v>
      </c>
      <c r="H23" s="227">
        <f t="shared" ref="H23:H26" si="0">E23-C23</f>
        <v>-7500</v>
      </c>
    </row>
    <row r="24" spans="2:9" s="38" customFormat="1" ht="13.8" x14ac:dyDescent="0.2">
      <c r="B24" s="36" t="s">
        <v>76</v>
      </c>
      <c r="C24" s="172">
        <f>+[5]Prepayments!N41</f>
        <v>44807.025567662939</v>
      </c>
      <c r="D24" s="37"/>
      <c r="E24" s="177">
        <v>30000</v>
      </c>
      <c r="H24" s="227">
        <f t="shared" si="0"/>
        <v>-14807.025567662939</v>
      </c>
    </row>
    <row r="25" spans="2:9" s="38" customFormat="1" ht="13.8" x14ac:dyDescent="0.2">
      <c r="B25" s="36" t="s">
        <v>77</v>
      </c>
      <c r="C25" s="172">
        <f>+[5]Stock!E12</f>
        <v>588995.72</v>
      </c>
      <c r="D25" s="37"/>
      <c r="E25" s="177">
        <v>500000</v>
      </c>
      <c r="H25" s="230">
        <f t="shared" si="0"/>
        <v>-88995.719999999972</v>
      </c>
    </row>
    <row r="26" spans="2:9" s="38" customFormat="1" ht="13.8" x14ac:dyDescent="0.2">
      <c r="B26" s="36" t="s">
        <v>78</v>
      </c>
      <c r="C26" s="172">
        <f>+'[5]Directors Loan'!D15</f>
        <v>36461.859999999928</v>
      </c>
      <c r="D26" s="37"/>
      <c r="E26" s="177">
        <v>25000</v>
      </c>
      <c r="H26" s="227">
        <f t="shared" si="0"/>
        <v>-11461.859999999928</v>
      </c>
      <c r="I26" s="230">
        <f>H26+H23+H24</f>
        <v>-33768.885567662866</v>
      </c>
    </row>
    <row r="27" spans="2:9" ht="13.8" x14ac:dyDescent="0.2">
      <c r="B27" s="36"/>
      <c r="C27" s="172"/>
      <c r="D27" s="39"/>
      <c r="E27" s="119"/>
    </row>
    <row r="28" spans="2:9" ht="13.8" x14ac:dyDescent="0.2">
      <c r="B28" s="167" t="s">
        <v>126</v>
      </c>
      <c r="C28" s="174">
        <f>SUM(C18:C27)</f>
        <v>961018.11556766275</v>
      </c>
      <c r="D28" s="39"/>
      <c r="E28" s="187">
        <f>SUM(E18:E27)</f>
        <v>785000</v>
      </c>
    </row>
    <row r="29" spans="2:9" ht="13.8" x14ac:dyDescent="0.2">
      <c r="B29" s="36"/>
      <c r="C29" s="119"/>
      <c r="D29" s="39"/>
      <c r="E29" s="119"/>
    </row>
    <row r="30" spans="2:9" ht="13.8" x14ac:dyDescent="0.25">
      <c r="B30" s="168" t="s">
        <v>79</v>
      </c>
      <c r="C30" s="119"/>
      <c r="D30" s="30" t="s">
        <v>124</v>
      </c>
      <c r="E30" s="119"/>
      <c r="H30" s="30" t="s">
        <v>170</v>
      </c>
      <c r="I30" s="30" t="s">
        <v>169</v>
      </c>
    </row>
    <row r="31" spans="2:9" s="38" customFormat="1" ht="13.8" x14ac:dyDescent="0.2">
      <c r="B31" s="36" t="s">
        <v>80</v>
      </c>
      <c r="C31" s="172">
        <f>+[5]Creditors!D12</f>
        <v>220235.92</v>
      </c>
      <c r="D31" s="37"/>
      <c r="E31" s="177">
        <v>175000</v>
      </c>
      <c r="H31" s="230">
        <f>C31-E31</f>
        <v>45235.920000000013</v>
      </c>
    </row>
    <row r="32" spans="2:9" s="38" customFormat="1" ht="13.8" x14ac:dyDescent="0.2">
      <c r="B32" s="36" t="s">
        <v>81</v>
      </c>
      <c r="C32" s="172">
        <f>+[5]Accrual!M32</f>
        <v>30961.230000000003</v>
      </c>
      <c r="D32" s="37"/>
      <c r="E32" s="177">
        <v>25000</v>
      </c>
      <c r="H32" s="227">
        <f t="shared" ref="H32:H36" si="1">C32-E32</f>
        <v>5961.2300000000032</v>
      </c>
    </row>
    <row r="33" spans="2:9" s="38" customFormat="1" ht="13.8" x14ac:dyDescent="0.2">
      <c r="B33" s="36" t="s">
        <v>82</v>
      </c>
      <c r="C33" s="172">
        <f>+[5]VAT!C22</f>
        <v>23720.539999999994</v>
      </c>
      <c r="D33" s="37"/>
      <c r="E33" s="177">
        <v>20000</v>
      </c>
      <c r="H33" s="230">
        <f t="shared" si="1"/>
        <v>3720.5399999999936</v>
      </c>
    </row>
    <row r="34" spans="2:9" s="38" customFormat="1" ht="13.8" x14ac:dyDescent="0.2">
      <c r="B34" s="36" t="s">
        <v>83</v>
      </c>
      <c r="C34" s="172">
        <f>+'[5]Net Wages'!E18</f>
        <v>12515.539999999979</v>
      </c>
      <c r="D34" s="42"/>
      <c r="E34" s="177">
        <v>11000</v>
      </c>
      <c r="H34" s="227">
        <f t="shared" si="1"/>
        <v>1515.539999999979</v>
      </c>
    </row>
    <row r="35" spans="2:9" s="38" customFormat="1" ht="13.8" x14ac:dyDescent="0.2">
      <c r="B35" s="36" t="s">
        <v>84</v>
      </c>
      <c r="C35" s="172">
        <f>+[5]PAYE!E16</f>
        <v>5376.2799999999952</v>
      </c>
      <c r="D35" s="42"/>
      <c r="E35" s="177">
        <v>5000</v>
      </c>
      <c r="H35" s="227">
        <f t="shared" si="1"/>
        <v>376.2799999999952</v>
      </c>
    </row>
    <row r="36" spans="2:9" s="38" customFormat="1" ht="13.8" x14ac:dyDescent="0.2">
      <c r="B36" s="36" t="s">
        <v>85</v>
      </c>
      <c r="C36" s="172">
        <f>+'[5]Other Creditors'!F18</f>
        <v>325989.18</v>
      </c>
      <c r="D36" s="42"/>
      <c r="E36" s="177">
        <v>300000</v>
      </c>
      <c r="H36" s="227">
        <f t="shared" si="1"/>
        <v>25989.179999999993</v>
      </c>
      <c r="I36" s="230">
        <f>SUM(H34:H36)+H32</f>
        <v>33842.229999999967</v>
      </c>
    </row>
    <row r="37" spans="2:9" s="38" customFormat="1" ht="13.8" hidden="1" x14ac:dyDescent="0.2">
      <c r="B37" s="36"/>
      <c r="C37" s="177"/>
      <c r="D37" s="37"/>
      <c r="E37" s="177"/>
    </row>
    <row r="38" spans="2:9" ht="13.8" x14ac:dyDescent="0.2">
      <c r="B38" s="36"/>
      <c r="C38" s="172"/>
      <c r="D38" s="43"/>
      <c r="E38" s="119"/>
    </row>
    <row r="39" spans="2:9" ht="13.8" x14ac:dyDescent="0.2">
      <c r="B39" s="166" t="s">
        <v>127</v>
      </c>
      <c r="C39" s="174">
        <f>SUM(C31:C38)</f>
        <v>618798.68999999994</v>
      </c>
      <c r="D39" s="39"/>
      <c r="E39" s="187">
        <f>SUM(E31:E38)</f>
        <v>536000</v>
      </c>
    </row>
    <row r="40" spans="2:9" ht="13.8" x14ac:dyDescent="0.2">
      <c r="C40" s="119"/>
      <c r="D40" s="39"/>
      <c r="E40" s="119"/>
    </row>
    <row r="41" spans="2:9" ht="14.4" x14ac:dyDescent="0.25">
      <c r="B41" s="169" t="s">
        <v>128</v>
      </c>
      <c r="C41" s="174">
        <f>C14+C28-C39</f>
        <v>357899.9155676628</v>
      </c>
      <c r="D41" s="45"/>
      <c r="E41" s="187">
        <f>E14+E28-E39</f>
        <v>268000</v>
      </c>
    </row>
    <row r="42" spans="2:9" ht="13.8" x14ac:dyDescent="0.2">
      <c r="C42" s="119"/>
      <c r="D42" s="39"/>
      <c r="E42" s="119"/>
    </row>
    <row r="43" spans="2:9" ht="14.4" x14ac:dyDescent="0.25">
      <c r="B43" s="168" t="s">
        <v>129</v>
      </c>
      <c r="C43" s="119"/>
      <c r="D43" s="39"/>
      <c r="E43" s="119"/>
      <c r="H43" s="30" t="s">
        <v>170</v>
      </c>
      <c r="I43" s="30" t="s">
        <v>169</v>
      </c>
    </row>
    <row r="44" spans="2:9" ht="13.8" x14ac:dyDescent="0.2">
      <c r="C44" s="119"/>
      <c r="D44" s="39"/>
      <c r="E44" s="119"/>
    </row>
    <row r="45" spans="2:9" ht="13.8" x14ac:dyDescent="0.2">
      <c r="B45" s="36" t="s">
        <v>86</v>
      </c>
      <c r="C45" s="172">
        <f>+'[5]Loan Account'!R24</f>
        <v>87651.629999999976</v>
      </c>
      <c r="D45" s="39"/>
      <c r="E45" s="119">
        <v>95000</v>
      </c>
      <c r="H45" s="229">
        <f>C45-E45</f>
        <v>-7348.3700000000244</v>
      </c>
    </row>
    <row r="46" spans="2:9" ht="13.8" x14ac:dyDescent="0.2">
      <c r="B46" s="36"/>
      <c r="C46" s="172"/>
      <c r="D46" s="39"/>
      <c r="E46" s="119"/>
    </row>
    <row r="47" spans="2:9" ht="15" thickBot="1" x14ac:dyDescent="0.3">
      <c r="B47" s="168" t="s">
        <v>130</v>
      </c>
      <c r="C47" s="178">
        <f>C41-C45</f>
        <v>270248.2855676628</v>
      </c>
      <c r="D47" s="40"/>
      <c r="E47" s="188">
        <f>E41-E45</f>
        <v>173000</v>
      </c>
    </row>
    <row r="48" spans="2:9" ht="14.4" thickTop="1" x14ac:dyDescent="0.2">
      <c r="C48" s="119"/>
      <c r="D48" s="39"/>
      <c r="E48" s="119"/>
    </row>
    <row r="49" spans="2:9" ht="13.8" x14ac:dyDescent="0.2">
      <c r="B49" s="163"/>
      <c r="C49" s="179"/>
      <c r="D49" s="39"/>
      <c r="E49" s="189"/>
    </row>
    <row r="50" spans="2:9" ht="14.4" x14ac:dyDescent="0.25">
      <c r="B50" s="165" t="s">
        <v>131</v>
      </c>
      <c r="C50" s="180" t="s">
        <v>101</v>
      </c>
      <c r="D50" s="39"/>
      <c r="E50" s="190" t="s">
        <v>101</v>
      </c>
    </row>
    <row r="51" spans="2:9" ht="13.8" x14ac:dyDescent="0.2">
      <c r="C51" s="119"/>
      <c r="D51" s="39"/>
      <c r="E51" s="119"/>
      <c r="H51" s="30" t="s">
        <v>170</v>
      </c>
      <c r="I51" s="30" t="s">
        <v>169</v>
      </c>
    </row>
    <row r="52" spans="2:9" s="38" customFormat="1" ht="13.8" x14ac:dyDescent="0.2">
      <c r="B52" s="36" t="s">
        <v>122</v>
      </c>
      <c r="C52" s="181">
        <v>200</v>
      </c>
      <c r="D52" s="37"/>
      <c r="E52" s="177">
        <v>200</v>
      </c>
      <c r="H52" s="228">
        <f>C52-E52</f>
        <v>0</v>
      </c>
    </row>
    <row r="53" spans="2:9" s="38" customFormat="1" ht="13.8" x14ac:dyDescent="0.2">
      <c r="C53" s="177"/>
      <c r="D53" s="37"/>
      <c r="E53" s="177"/>
    </row>
    <row r="54" spans="2:9" s="38" customFormat="1" ht="13.8" x14ac:dyDescent="0.2">
      <c r="B54" s="164" t="s">
        <v>87</v>
      </c>
      <c r="C54" s="181"/>
      <c r="D54" s="37"/>
      <c r="E54" s="177"/>
    </row>
    <row r="55" spans="2:9" s="38" customFormat="1" ht="13.8" x14ac:dyDescent="0.2">
      <c r="B55" s="36" t="s">
        <v>88</v>
      </c>
      <c r="C55" s="181">
        <v>156535.57</v>
      </c>
      <c r="D55" s="37"/>
      <c r="E55" s="231">
        <v>16264</v>
      </c>
    </row>
    <row r="56" spans="2:9" s="38" customFormat="1" ht="13.8" x14ac:dyDescent="0.2">
      <c r="B56" s="36" t="s">
        <v>89</v>
      </c>
      <c r="C56" s="182">
        <v>113512.71999999956</v>
      </c>
      <c r="D56" s="46"/>
      <c r="E56" s="177">
        <v>156536</v>
      </c>
    </row>
    <row r="57" spans="2:9" ht="13.8" x14ac:dyDescent="0.2">
      <c r="C57" s="119"/>
      <c r="D57" s="39"/>
      <c r="E57" s="119"/>
    </row>
    <row r="58" spans="2:9" ht="15" thickBot="1" x14ac:dyDescent="0.3">
      <c r="B58" s="168" t="s">
        <v>132</v>
      </c>
      <c r="C58" s="178">
        <f>SUM(C52:C56)</f>
        <v>270248.28999999957</v>
      </c>
      <c r="D58" s="47"/>
      <c r="E58" s="188">
        <f>SUM(E52:E56)</f>
        <v>173000</v>
      </c>
    </row>
    <row r="59" spans="2:9" ht="13.2" thickTop="1" x14ac:dyDescent="0.2">
      <c r="C59" s="183"/>
      <c r="D59" s="44"/>
      <c r="E59" s="183"/>
    </row>
    <row r="60" spans="2:9" x14ac:dyDescent="0.2">
      <c r="C60" s="170">
        <f>+C47-C58</f>
        <v>-4.4323367765173316E-3</v>
      </c>
      <c r="E60" s="170">
        <f>+E47-E58</f>
        <v>0</v>
      </c>
    </row>
    <row r="61" spans="2:9" x14ac:dyDescent="0.2">
      <c r="C61" s="41"/>
      <c r="D61" s="49"/>
    </row>
    <row r="62" spans="2:9" x14ac:dyDescent="0.2">
      <c r="C62" s="41"/>
      <c r="D62" s="50"/>
    </row>
    <row r="63" spans="2:9" x14ac:dyDescent="0.2">
      <c r="C63" s="41"/>
      <c r="D63" s="48"/>
    </row>
    <row r="64" spans="2:9" x14ac:dyDescent="0.2">
      <c r="C64" s="41"/>
    </row>
    <row r="65" spans="3:3" x14ac:dyDescent="0.2">
      <c r="C65" s="41"/>
    </row>
  </sheetData>
  <pageMargins left="0.98425196850393704" right="0.98425196850393704" top="0.59" bottom="0.61" header="0.51181102362204722" footer="0.51181102362204722"/>
  <pageSetup scale="75" orientation="portrait" r:id="rId1"/>
  <headerFooter alignWithMargins="0"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690DF-D173-44DB-A885-BC55EF8CB944}">
  <dimension ref="A4:F57"/>
  <sheetViews>
    <sheetView workbookViewId="0"/>
  </sheetViews>
  <sheetFormatPr defaultRowHeight="14.4" x14ac:dyDescent="0.3"/>
  <cols>
    <col min="2" max="2" width="53.109375" customWidth="1"/>
    <col min="3" max="3" width="11.33203125" bestFit="1" customWidth="1"/>
  </cols>
  <sheetData>
    <row r="4" spans="1:5" ht="16.2" x14ac:dyDescent="0.3">
      <c r="B4" s="149" t="s">
        <v>111</v>
      </c>
      <c r="C4" s="1"/>
    </row>
    <row r="5" spans="1:5" x14ac:dyDescent="0.3">
      <c r="B5" s="150" t="s">
        <v>160</v>
      </c>
      <c r="C5" s="1"/>
    </row>
    <row r="6" spans="1:5" x14ac:dyDescent="0.3">
      <c r="B6" s="151">
        <v>43800</v>
      </c>
      <c r="C6" s="1"/>
    </row>
    <row r="7" spans="1:5" x14ac:dyDescent="0.3">
      <c r="B7" s="6"/>
      <c r="C7" s="1"/>
    </row>
    <row r="8" spans="1:5" ht="16.2" x14ac:dyDescent="0.35">
      <c r="B8" s="99"/>
      <c r="C8" s="104"/>
    </row>
    <row r="9" spans="1:5" ht="16.2" x14ac:dyDescent="0.35">
      <c r="B9" s="103" t="s">
        <v>112</v>
      </c>
      <c r="C9" s="153">
        <v>43800</v>
      </c>
    </row>
    <row r="10" spans="1:5" x14ac:dyDescent="0.3">
      <c r="B10" s="244"/>
      <c r="C10" s="236"/>
    </row>
    <row r="11" spans="1:5" x14ac:dyDescent="0.3">
      <c r="B11" s="244"/>
      <c r="C11" s="236"/>
    </row>
    <row r="12" spans="1:5" x14ac:dyDescent="0.3">
      <c r="B12" s="245" t="s">
        <v>116</v>
      </c>
      <c r="C12" s="237">
        <f>'Profit &amp; loss account detail'!I85</f>
        <v>116260.57999999967</v>
      </c>
      <c r="E12" s="226" t="s">
        <v>165</v>
      </c>
    </row>
    <row r="13" spans="1:5" x14ac:dyDescent="0.3">
      <c r="B13" s="245"/>
      <c r="C13" s="238"/>
    </row>
    <row r="14" spans="1:5" x14ac:dyDescent="0.3">
      <c r="B14" s="245" t="s">
        <v>166</v>
      </c>
      <c r="C14" s="238">
        <f>'Profit &amp; loss account detail'!I88</f>
        <v>2748</v>
      </c>
    </row>
    <row r="15" spans="1:5" x14ac:dyDescent="0.3">
      <c r="B15" s="245"/>
      <c r="C15" s="238"/>
    </row>
    <row r="16" spans="1:5" x14ac:dyDescent="0.3">
      <c r="A16" s="225" t="s">
        <v>144</v>
      </c>
      <c r="B16" s="245" t="s">
        <v>178</v>
      </c>
      <c r="C16" s="237">
        <f>C12-C14</f>
        <v>113512.57999999967</v>
      </c>
    </row>
    <row r="17" spans="1:4" x14ac:dyDescent="0.3">
      <c r="B17" s="244"/>
      <c r="C17" s="238"/>
    </row>
    <row r="18" spans="1:4" x14ac:dyDescent="0.3">
      <c r="A18" s="225" t="s">
        <v>145</v>
      </c>
      <c r="B18" s="246" t="s">
        <v>134</v>
      </c>
      <c r="C18" s="238"/>
    </row>
    <row r="19" spans="1:4" x14ac:dyDescent="0.3">
      <c r="B19" s="244"/>
      <c r="C19" s="238"/>
    </row>
    <row r="20" spans="1:4" x14ac:dyDescent="0.3">
      <c r="B20" s="244" t="s">
        <v>163</v>
      </c>
      <c r="C20" s="239">
        <f>'Balance sheet'!H22</f>
        <v>-33968.760000000009</v>
      </c>
      <c r="D20" t="s">
        <v>135</v>
      </c>
    </row>
    <row r="21" spans="1:4" x14ac:dyDescent="0.3">
      <c r="B21" s="244" t="s">
        <v>136</v>
      </c>
      <c r="C21" s="239">
        <f>'Balance sheet'!H25</f>
        <v>-88995.719999999972</v>
      </c>
      <c r="D21" t="s">
        <v>135</v>
      </c>
    </row>
    <row r="22" spans="1:4" x14ac:dyDescent="0.3">
      <c r="B22" s="244" t="s">
        <v>137</v>
      </c>
      <c r="C22" s="239">
        <f>'Balance sheet'!I26</f>
        <v>-33768.885567662866</v>
      </c>
      <c r="D22" t="s">
        <v>138</v>
      </c>
    </row>
    <row r="23" spans="1:4" x14ac:dyDescent="0.3">
      <c r="B23" s="244" t="s">
        <v>164</v>
      </c>
      <c r="C23" s="238">
        <f>'Balance sheet'!H31</f>
        <v>45235.920000000013</v>
      </c>
      <c r="D23" t="s">
        <v>139</v>
      </c>
    </row>
    <row r="24" spans="1:4" x14ac:dyDescent="0.3">
      <c r="B24" s="244" t="s">
        <v>140</v>
      </c>
      <c r="C24" s="238">
        <f>'Balance sheet'!I36</f>
        <v>33842.229999999967</v>
      </c>
      <c r="D24" t="s">
        <v>141</v>
      </c>
    </row>
    <row r="25" spans="1:4" x14ac:dyDescent="0.3">
      <c r="B25" s="244" t="s">
        <v>142</v>
      </c>
      <c r="C25" s="238">
        <f>'Balance sheet'!H33</f>
        <v>3720.5399999999936</v>
      </c>
      <c r="D25" t="s">
        <v>139</v>
      </c>
    </row>
    <row r="26" spans="1:4" x14ac:dyDescent="0.3">
      <c r="B26" s="244"/>
      <c r="C26" s="238"/>
    </row>
    <row r="27" spans="1:4" x14ac:dyDescent="0.3">
      <c r="B27" s="245" t="s">
        <v>143</v>
      </c>
      <c r="C27" s="240">
        <f>SUM(C20:C26)</f>
        <v>-73934.675567662867</v>
      </c>
    </row>
    <row r="28" spans="1:4" x14ac:dyDescent="0.3">
      <c r="B28" s="244"/>
      <c r="C28" s="238"/>
    </row>
    <row r="29" spans="1:4" x14ac:dyDescent="0.3">
      <c r="A29" s="225" t="s">
        <v>150</v>
      </c>
      <c r="B29" s="245" t="s">
        <v>152</v>
      </c>
      <c r="C29" s="238"/>
    </row>
    <row r="30" spans="1:4" x14ac:dyDescent="0.3">
      <c r="A30" s="224"/>
      <c r="B30" s="245"/>
      <c r="C30" s="238"/>
    </row>
    <row r="31" spans="1:4" x14ac:dyDescent="0.3">
      <c r="B31" s="244"/>
      <c r="C31" s="238"/>
    </row>
    <row r="32" spans="1:4" x14ac:dyDescent="0.3">
      <c r="B32" s="244" t="s">
        <v>179</v>
      </c>
      <c r="C32" s="238">
        <f>'Balance sheet'!H14</f>
        <v>3319.5099999999893</v>
      </c>
      <c r="D32" t="s">
        <v>146</v>
      </c>
    </row>
    <row r="33" spans="1:4" x14ac:dyDescent="0.3">
      <c r="B33" s="244" t="s">
        <v>147</v>
      </c>
      <c r="C33" s="238"/>
      <c r="D33" t="s">
        <v>148</v>
      </c>
    </row>
    <row r="34" spans="1:4" x14ac:dyDescent="0.3">
      <c r="B34" s="244"/>
      <c r="C34" s="238"/>
    </row>
    <row r="35" spans="1:4" x14ac:dyDescent="0.3">
      <c r="B35" s="245" t="s">
        <v>149</v>
      </c>
      <c r="C35" s="237">
        <f>SUM(C31:C34)</f>
        <v>3319.5099999999893</v>
      </c>
    </row>
    <row r="36" spans="1:4" x14ac:dyDescent="0.3">
      <c r="B36" s="244"/>
      <c r="C36" s="238"/>
    </row>
    <row r="37" spans="1:4" x14ac:dyDescent="0.3">
      <c r="A37" s="225" t="s">
        <v>158</v>
      </c>
      <c r="B37" s="245" t="s">
        <v>151</v>
      </c>
      <c r="C37" s="238"/>
    </row>
    <row r="38" spans="1:4" x14ac:dyDescent="0.3">
      <c r="B38" s="244"/>
      <c r="C38" s="238"/>
      <c r="D38" s="223" t="s">
        <v>161</v>
      </c>
    </row>
    <row r="39" spans="1:4" x14ac:dyDescent="0.3">
      <c r="B39" s="248" t="s">
        <v>171</v>
      </c>
      <c r="C39" s="239">
        <f>'Balance sheet'!H45</f>
        <v>-7348.3700000000244</v>
      </c>
      <c r="D39" t="s">
        <v>153</v>
      </c>
    </row>
    <row r="40" spans="1:4" x14ac:dyDescent="0.3">
      <c r="B40" s="248" t="s">
        <v>172</v>
      </c>
      <c r="C40" s="238">
        <v>0</v>
      </c>
      <c r="D40" t="s">
        <v>119</v>
      </c>
    </row>
    <row r="41" spans="1:4" x14ac:dyDescent="0.3">
      <c r="B41" s="248" t="s">
        <v>173</v>
      </c>
      <c r="C41" s="238">
        <v>0</v>
      </c>
      <c r="D41" s="223" t="s">
        <v>162</v>
      </c>
    </row>
    <row r="42" spans="1:4" x14ac:dyDescent="0.3">
      <c r="B42" s="248" t="s">
        <v>177</v>
      </c>
      <c r="C42" s="239">
        <f>-'Balance sheet'!E55</f>
        <v>-16264</v>
      </c>
    </row>
    <row r="43" spans="1:4" x14ac:dyDescent="0.3">
      <c r="B43" s="244"/>
      <c r="C43" s="238"/>
    </row>
    <row r="44" spans="1:4" x14ac:dyDescent="0.3">
      <c r="B44" s="245" t="s">
        <v>154</v>
      </c>
      <c r="C44" s="237">
        <f>SUM(C39:C42)</f>
        <v>-23612.370000000024</v>
      </c>
    </row>
    <row r="45" spans="1:4" x14ac:dyDescent="0.3">
      <c r="B45" s="244"/>
      <c r="C45" s="238"/>
    </row>
    <row r="46" spans="1:4" ht="15" thickBot="1" x14ac:dyDescent="0.35">
      <c r="B46" s="245" t="s">
        <v>155</v>
      </c>
      <c r="C46" s="241">
        <f>C16+C27+C35+C44</f>
        <v>19285.044432336763</v>
      </c>
      <c r="D46" t="s">
        <v>175</v>
      </c>
    </row>
    <row r="47" spans="1:4" ht="15" thickTop="1" x14ac:dyDescent="0.3">
      <c r="B47" s="244"/>
      <c r="C47" s="238"/>
    </row>
    <row r="48" spans="1:4" x14ac:dyDescent="0.3">
      <c r="A48" s="225" t="s">
        <v>174</v>
      </c>
      <c r="B48" s="244" t="s">
        <v>156</v>
      </c>
      <c r="C48" s="238">
        <f>'Balance sheet'!E19</f>
        <v>75000</v>
      </c>
      <c r="D48" t="s">
        <v>159</v>
      </c>
    </row>
    <row r="49" spans="2:6" ht="15" thickBot="1" x14ac:dyDescent="0.35">
      <c r="B49" s="244"/>
      <c r="C49" s="238"/>
    </row>
    <row r="50" spans="2:6" ht="15" thickBot="1" x14ac:dyDescent="0.35">
      <c r="B50" s="245" t="s">
        <v>157</v>
      </c>
      <c r="C50" s="243">
        <f>C46+C48</f>
        <v>94285.044432336756</v>
      </c>
      <c r="D50" t="s">
        <v>176</v>
      </c>
    </row>
    <row r="51" spans="2:6" x14ac:dyDescent="0.3">
      <c r="B51" s="247"/>
      <c r="C51" s="242"/>
      <c r="D51">
        <f>'Balance sheet'!C19</f>
        <v>94284.75</v>
      </c>
      <c r="F51" s="233">
        <f>D51-C50</f>
        <v>-0.29443233675556257</v>
      </c>
    </row>
    <row r="53" spans="2:6" x14ac:dyDescent="0.3">
      <c r="B53" s="223"/>
    </row>
    <row r="55" spans="2:6" x14ac:dyDescent="0.3">
      <c r="B55" s="223"/>
    </row>
    <row r="57" spans="2:6" x14ac:dyDescent="0.3">
      <c r="C57" s="23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F617F-3B36-4407-A254-27CEFF18FED7}">
  <dimension ref="B2:T35"/>
  <sheetViews>
    <sheetView zoomScale="80" zoomScaleNormal="80" zoomScaleSheetLayoutView="80" workbookViewId="0">
      <pane xSplit="4" ySplit="7" topLeftCell="E8" activePane="bottomRight" state="frozen"/>
      <selection activeCell="F34" sqref="F34"/>
      <selection pane="topRight" activeCell="F34" sqref="F34"/>
      <selection pane="bottomLeft" activeCell="F34" sqref="F34"/>
      <selection pane="bottomRight" activeCell="E8" sqref="E8"/>
    </sheetView>
  </sheetViews>
  <sheetFormatPr defaultColWidth="9.109375" defaultRowHeight="12.6" x14ac:dyDescent="0.2"/>
  <cols>
    <col min="1" max="1" width="2.6640625" style="30" customWidth="1"/>
    <col min="2" max="2" width="39.6640625" style="30" customWidth="1"/>
    <col min="3" max="3" width="13.33203125" style="30" customWidth="1"/>
    <col min="4" max="4" width="1.6640625" style="30" customWidth="1"/>
    <col min="5" max="5" width="15.6640625" style="30" bestFit="1" customWidth="1"/>
    <col min="6" max="6" width="14.109375" style="30" bestFit="1" customWidth="1"/>
    <col min="7" max="7" width="15.33203125" style="30" bestFit="1" customWidth="1"/>
    <col min="8" max="8" width="1.6640625" style="30" customWidth="1"/>
    <col min="9" max="9" width="10.88671875" style="30" customWidth="1"/>
    <col min="10" max="10" width="1.6640625" style="30" customWidth="1"/>
    <col min="11" max="11" width="14.88671875" style="30" bestFit="1" customWidth="1"/>
    <col min="12" max="12" width="12.33203125" style="30" bestFit="1" customWidth="1"/>
    <col min="13" max="17" width="12.109375" style="30" customWidth="1"/>
    <col min="18" max="18" width="15.44140625" style="30" bestFit="1" customWidth="1"/>
    <col min="19" max="19" width="14.6640625" style="30" bestFit="1" customWidth="1"/>
    <col min="20" max="20" width="11.33203125" style="30" bestFit="1" customWidth="1"/>
    <col min="21" max="254" width="9.109375" style="30"/>
    <col min="255" max="255" width="2.6640625" style="30" customWidth="1"/>
    <col min="256" max="256" width="39.6640625" style="30" customWidth="1"/>
    <col min="257" max="257" width="13.33203125" style="30" customWidth="1"/>
    <col min="258" max="258" width="1.6640625" style="30" customWidth="1"/>
    <col min="259" max="259" width="15.6640625" style="30" bestFit="1" customWidth="1"/>
    <col min="260" max="260" width="14.109375" style="30" bestFit="1" customWidth="1"/>
    <col min="261" max="261" width="15.33203125" style="30" bestFit="1" customWidth="1"/>
    <col min="262" max="262" width="1.6640625" style="30" customWidth="1"/>
    <col min="263" max="263" width="10.88671875" style="30" customWidth="1"/>
    <col min="264" max="264" width="1.6640625" style="30" customWidth="1"/>
    <col min="265" max="265" width="14.88671875" style="30" bestFit="1" customWidth="1"/>
    <col min="266" max="266" width="12.33203125" style="30" bestFit="1" customWidth="1"/>
    <col min="267" max="271" width="12.109375" style="30" customWidth="1"/>
    <col min="272" max="272" width="15.44140625" style="30" bestFit="1" customWidth="1"/>
    <col min="273" max="273" width="14.6640625" style="30" bestFit="1" customWidth="1"/>
    <col min="274" max="274" width="11.33203125" style="30" bestFit="1" customWidth="1"/>
    <col min="275" max="510" width="9.109375" style="30"/>
    <col min="511" max="511" width="2.6640625" style="30" customWidth="1"/>
    <col min="512" max="512" width="39.6640625" style="30" customWidth="1"/>
    <col min="513" max="513" width="13.33203125" style="30" customWidth="1"/>
    <col min="514" max="514" width="1.6640625" style="30" customWidth="1"/>
    <col min="515" max="515" width="15.6640625" style="30" bestFit="1" customWidth="1"/>
    <col min="516" max="516" width="14.109375" style="30" bestFit="1" customWidth="1"/>
    <col min="517" max="517" width="15.33203125" style="30" bestFit="1" customWidth="1"/>
    <col min="518" max="518" width="1.6640625" style="30" customWidth="1"/>
    <col min="519" max="519" width="10.88671875" style="30" customWidth="1"/>
    <col min="520" max="520" width="1.6640625" style="30" customWidth="1"/>
    <col min="521" max="521" width="14.88671875" style="30" bestFit="1" customWidth="1"/>
    <col min="522" max="522" width="12.33203125" style="30" bestFit="1" customWidth="1"/>
    <col min="523" max="527" width="12.109375" style="30" customWidth="1"/>
    <col min="528" max="528" width="15.44140625" style="30" bestFit="1" customWidth="1"/>
    <col min="529" max="529" width="14.6640625" style="30" bestFit="1" customWidth="1"/>
    <col min="530" max="530" width="11.33203125" style="30" bestFit="1" customWidth="1"/>
    <col min="531" max="766" width="9.109375" style="30"/>
    <col min="767" max="767" width="2.6640625" style="30" customWidth="1"/>
    <col min="768" max="768" width="39.6640625" style="30" customWidth="1"/>
    <col min="769" max="769" width="13.33203125" style="30" customWidth="1"/>
    <col min="770" max="770" width="1.6640625" style="30" customWidth="1"/>
    <col min="771" max="771" width="15.6640625" style="30" bestFit="1" customWidth="1"/>
    <col min="772" max="772" width="14.109375" style="30" bestFit="1" customWidth="1"/>
    <col min="773" max="773" width="15.33203125" style="30" bestFit="1" customWidth="1"/>
    <col min="774" max="774" width="1.6640625" style="30" customWidth="1"/>
    <col min="775" max="775" width="10.88671875" style="30" customWidth="1"/>
    <col min="776" max="776" width="1.6640625" style="30" customWidth="1"/>
    <col min="777" max="777" width="14.88671875" style="30" bestFit="1" customWidth="1"/>
    <col min="778" max="778" width="12.33203125" style="30" bestFit="1" customWidth="1"/>
    <col min="779" max="783" width="12.109375" style="30" customWidth="1"/>
    <col min="784" max="784" width="15.44140625" style="30" bestFit="1" customWidth="1"/>
    <col min="785" max="785" width="14.6640625" style="30" bestFit="1" customWidth="1"/>
    <col min="786" max="786" width="11.33203125" style="30" bestFit="1" customWidth="1"/>
    <col min="787" max="1022" width="9.109375" style="30"/>
    <col min="1023" max="1023" width="2.6640625" style="30" customWidth="1"/>
    <col min="1024" max="1024" width="39.6640625" style="30" customWidth="1"/>
    <col min="1025" max="1025" width="13.33203125" style="30" customWidth="1"/>
    <col min="1026" max="1026" width="1.6640625" style="30" customWidth="1"/>
    <col min="1027" max="1027" width="15.6640625" style="30" bestFit="1" customWidth="1"/>
    <col min="1028" max="1028" width="14.109375" style="30" bestFit="1" customWidth="1"/>
    <col min="1029" max="1029" width="15.33203125" style="30" bestFit="1" customWidth="1"/>
    <col min="1030" max="1030" width="1.6640625" style="30" customWidth="1"/>
    <col min="1031" max="1031" width="10.88671875" style="30" customWidth="1"/>
    <col min="1032" max="1032" width="1.6640625" style="30" customWidth="1"/>
    <col min="1033" max="1033" width="14.88671875" style="30" bestFit="1" customWidth="1"/>
    <col min="1034" max="1034" width="12.33203125" style="30" bestFit="1" customWidth="1"/>
    <col min="1035" max="1039" width="12.109375" style="30" customWidth="1"/>
    <col min="1040" max="1040" width="15.44140625" style="30" bestFit="1" customWidth="1"/>
    <col min="1041" max="1041" width="14.6640625" style="30" bestFit="1" customWidth="1"/>
    <col min="1042" max="1042" width="11.33203125" style="30" bestFit="1" customWidth="1"/>
    <col min="1043" max="1278" width="9.109375" style="30"/>
    <col min="1279" max="1279" width="2.6640625" style="30" customWidth="1"/>
    <col min="1280" max="1280" width="39.6640625" style="30" customWidth="1"/>
    <col min="1281" max="1281" width="13.33203125" style="30" customWidth="1"/>
    <col min="1282" max="1282" width="1.6640625" style="30" customWidth="1"/>
    <col min="1283" max="1283" width="15.6640625" style="30" bestFit="1" customWidth="1"/>
    <col min="1284" max="1284" width="14.109375" style="30" bestFit="1" customWidth="1"/>
    <col min="1285" max="1285" width="15.33203125" style="30" bestFit="1" customWidth="1"/>
    <col min="1286" max="1286" width="1.6640625" style="30" customWidth="1"/>
    <col min="1287" max="1287" width="10.88671875" style="30" customWidth="1"/>
    <col min="1288" max="1288" width="1.6640625" style="30" customWidth="1"/>
    <col min="1289" max="1289" width="14.88671875" style="30" bestFit="1" customWidth="1"/>
    <col min="1290" max="1290" width="12.33203125" style="30" bestFit="1" customWidth="1"/>
    <col min="1291" max="1295" width="12.109375" style="30" customWidth="1"/>
    <col min="1296" max="1296" width="15.44140625" style="30" bestFit="1" customWidth="1"/>
    <col min="1297" max="1297" width="14.6640625" style="30" bestFit="1" customWidth="1"/>
    <col min="1298" max="1298" width="11.33203125" style="30" bestFit="1" customWidth="1"/>
    <col min="1299" max="1534" width="9.109375" style="30"/>
    <col min="1535" max="1535" width="2.6640625" style="30" customWidth="1"/>
    <col min="1536" max="1536" width="39.6640625" style="30" customWidth="1"/>
    <col min="1537" max="1537" width="13.33203125" style="30" customWidth="1"/>
    <col min="1538" max="1538" width="1.6640625" style="30" customWidth="1"/>
    <col min="1539" max="1539" width="15.6640625" style="30" bestFit="1" customWidth="1"/>
    <col min="1540" max="1540" width="14.109375" style="30" bestFit="1" customWidth="1"/>
    <col min="1541" max="1541" width="15.33203125" style="30" bestFit="1" customWidth="1"/>
    <col min="1542" max="1542" width="1.6640625" style="30" customWidth="1"/>
    <col min="1543" max="1543" width="10.88671875" style="30" customWidth="1"/>
    <col min="1544" max="1544" width="1.6640625" style="30" customWidth="1"/>
    <col min="1545" max="1545" width="14.88671875" style="30" bestFit="1" customWidth="1"/>
    <col min="1546" max="1546" width="12.33203125" style="30" bestFit="1" customWidth="1"/>
    <col min="1547" max="1551" width="12.109375" style="30" customWidth="1"/>
    <col min="1552" max="1552" width="15.44140625" style="30" bestFit="1" customWidth="1"/>
    <col min="1553" max="1553" width="14.6640625" style="30" bestFit="1" customWidth="1"/>
    <col min="1554" max="1554" width="11.33203125" style="30" bestFit="1" customWidth="1"/>
    <col min="1555" max="1790" width="9.109375" style="30"/>
    <col min="1791" max="1791" width="2.6640625" style="30" customWidth="1"/>
    <col min="1792" max="1792" width="39.6640625" style="30" customWidth="1"/>
    <col min="1793" max="1793" width="13.33203125" style="30" customWidth="1"/>
    <col min="1794" max="1794" width="1.6640625" style="30" customWidth="1"/>
    <col min="1795" max="1795" width="15.6640625" style="30" bestFit="1" customWidth="1"/>
    <col min="1796" max="1796" width="14.109375" style="30" bestFit="1" customWidth="1"/>
    <col min="1797" max="1797" width="15.33203125" style="30" bestFit="1" customWidth="1"/>
    <col min="1798" max="1798" width="1.6640625" style="30" customWidth="1"/>
    <col min="1799" max="1799" width="10.88671875" style="30" customWidth="1"/>
    <col min="1800" max="1800" width="1.6640625" style="30" customWidth="1"/>
    <col min="1801" max="1801" width="14.88671875" style="30" bestFit="1" customWidth="1"/>
    <col min="1802" max="1802" width="12.33203125" style="30" bestFit="1" customWidth="1"/>
    <col min="1803" max="1807" width="12.109375" style="30" customWidth="1"/>
    <col min="1808" max="1808" width="15.44140625" style="30" bestFit="1" customWidth="1"/>
    <col min="1809" max="1809" width="14.6640625" style="30" bestFit="1" customWidth="1"/>
    <col min="1810" max="1810" width="11.33203125" style="30" bestFit="1" customWidth="1"/>
    <col min="1811" max="2046" width="9.109375" style="30"/>
    <col min="2047" max="2047" width="2.6640625" style="30" customWidth="1"/>
    <col min="2048" max="2048" width="39.6640625" style="30" customWidth="1"/>
    <col min="2049" max="2049" width="13.33203125" style="30" customWidth="1"/>
    <col min="2050" max="2050" width="1.6640625" style="30" customWidth="1"/>
    <col min="2051" max="2051" width="15.6640625" style="30" bestFit="1" customWidth="1"/>
    <col min="2052" max="2052" width="14.109375" style="30" bestFit="1" customWidth="1"/>
    <col min="2053" max="2053" width="15.33203125" style="30" bestFit="1" customWidth="1"/>
    <col min="2054" max="2054" width="1.6640625" style="30" customWidth="1"/>
    <col min="2055" max="2055" width="10.88671875" style="30" customWidth="1"/>
    <col min="2056" max="2056" width="1.6640625" style="30" customWidth="1"/>
    <col min="2057" max="2057" width="14.88671875" style="30" bestFit="1" customWidth="1"/>
    <col min="2058" max="2058" width="12.33203125" style="30" bestFit="1" customWidth="1"/>
    <col min="2059" max="2063" width="12.109375" style="30" customWidth="1"/>
    <col min="2064" max="2064" width="15.44140625" style="30" bestFit="1" customWidth="1"/>
    <col min="2065" max="2065" width="14.6640625" style="30" bestFit="1" customWidth="1"/>
    <col min="2066" max="2066" width="11.33203125" style="30" bestFit="1" customWidth="1"/>
    <col min="2067" max="2302" width="9.109375" style="30"/>
    <col min="2303" max="2303" width="2.6640625" style="30" customWidth="1"/>
    <col min="2304" max="2304" width="39.6640625" style="30" customWidth="1"/>
    <col min="2305" max="2305" width="13.33203125" style="30" customWidth="1"/>
    <col min="2306" max="2306" width="1.6640625" style="30" customWidth="1"/>
    <col min="2307" max="2307" width="15.6640625" style="30" bestFit="1" customWidth="1"/>
    <col min="2308" max="2308" width="14.109375" style="30" bestFit="1" customWidth="1"/>
    <col min="2309" max="2309" width="15.33203125" style="30" bestFit="1" customWidth="1"/>
    <col min="2310" max="2310" width="1.6640625" style="30" customWidth="1"/>
    <col min="2311" max="2311" width="10.88671875" style="30" customWidth="1"/>
    <col min="2312" max="2312" width="1.6640625" style="30" customWidth="1"/>
    <col min="2313" max="2313" width="14.88671875" style="30" bestFit="1" customWidth="1"/>
    <col min="2314" max="2314" width="12.33203125" style="30" bestFit="1" customWidth="1"/>
    <col min="2315" max="2319" width="12.109375" style="30" customWidth="1"/>
    <col min="2320" max="2320" width="15.44140625" style="30" bestFit="1" customWidth="1"/>
    <col min="2321" max="2321" width="14.6640625" style="30" bestFit="1" customWidth="1"/>
    <col min="2322" max="2322" width="11.33203125" style="30" bestFit="1" customWidth="1"/>
    <col min="2323" max="2558" width="9.109375" style="30"/>
    <col min="2559" max="2559" width="2.6640625" style="30" customWidth="1"/>
    <col min="2560" max="2560" width="39.6640625" style="30" customWidth="1"/>
    <col min="2561" max="2561" width="13.33203125" style="30" customWidth="1"/>
    <col min="2562" max="2562" width="1.6640625" style="30" customWidth="1"/>
    <col min="2563" max="2563" width="15.6640625" style="30" bestFit="1" customWidth="1"/>
    <col min="2564" max="2564" width="14.109375" style="30" bestFit="1" customWidth="1"/>
    <col min="2565" max="2565" width="15.33203125" style="30" bestFit="1" customWidth="1"/>
    <col min="2566" max="2566" width="1.6640625" style="30" customWidth="1"/>
    <col min="2567" max="2567" width="10.88671875" style="30" customWidth="1"/>
    <col min="2568" max="2568" width="1.6640625" style="30" customWidth="1"/>
    <col min="2569" max="2569" width="14.88671875" style="30" bestFit="1" customWidth="1"/>
    <col min="2570" max="2570" width="12.33203125" style="30" bestFit="1" customWidth="1"/>
    <col min="2571" max="2575" width="12.109375" style="30" customWidth="1"/>
    <col min="2576" max="2576" width="15.44140625" style="30" bestFit="1" customWidth="1"/>
    <col min="2577" max="2577" width="14.6640625" style="30" bestFit="1" customWidth="1"/>
    <col min="2578" max="2578" width="11.33203125" style="30" bestFit="1" customWidth="1"/>
    <col min="2579" max="2814" width="9.109375" style="30"/>
    <col min="2815" max="2815" width="2.6640625" style="30" customWidth="1"/>
    <col min="2816" max="2816" width="39.6640625" style="30" customWidth="1"/>
    <col min="2817" max="2817" width="13.33203125" style="30" customWidth="1"/>
    <col min="2818" max="2818" width="1.6640625" style="30" customWidth="1"/>
    <col min="2819" max="2819" width="15.6640625" style="30" bestFit="1" customWidth="1"/>
    <col min="2820" max="2820" width="14.109375" style="30" bestFit="1" customWidth="1"/>
    <col min="2821" max="2821" width="15.33203125" style="30" bestFit="1" customWidth="1"/>
    <col min="2822" max="2822" width="1.6640625" style="30" customWidth="1"/>
    <col min="2823" max="2823" width="10.88671875" style="30" customWidth="1"/>
    <col min="2824" max="2824" width="1.6640625" style="30" customWidth="1"/>
    <col min="2825" max="2825" width="14.88671875" style="30" bestFit="1" customWidth="1"/>
    <col min="2826" max="2826" width="12.33203125" style="30" bestFit="1" customWidth="1"/>
    <col min="2827" max="2831" width="12.109375" style="30" customWidth="1"/>
    <col min="2832" max="2832" width="15.44140625" style="30" bestFit="1" customWidth="1"/>
    <col min="2833" max="2833" width="14.6640625" style="30" bestFit="1" customWidth="1"/>
    <col min="2834" max="2834" width="11.33203125" style="30" bestFit="1" customWidth="1"/>
    <col min="2835" max="3070" width="9.109375" style="30"/>
    <col min="3071" max="3071" width="2.6640625" style="30" customWidth="1"/>
    <col min="3072" max="3072" width="39.6640625" style="30" customWidth="1"/>
    <col min="3073" max="3073" width="13.33203125" style="30" customWidth="1"/>
    <col min="3074" max="3074" width="1.6640625" style="30" customWidth="1"/>
    <col min="3075" max="3075" width="15.6640625" style="30" bestFit="1" customWidth="1"/>
    <col min="3076" max="3076" width="14.109375" style="30" bestFit="1" customWidth="1"/>
    <col min="3077" max="3077" width="15.33203125" style="30" bestFit="1" customWidth="1"/>
    <col min="3078" max="3078" width="1.6640625" style="30" customWidth="1"/>
    <col min="3079" max="3079" width="10.88671875" style="30" customWidth="1"/>
    <col min="3080" max="3080" width="1.6640625" style="30" customWidth="1"/>
    <col min="3081" max="3081" width="14.88671875" style="30" bestFit="1" customWidth="1"/>
    <col min="3082" max="3082" width="12.33203125" style="30" bestFit="1" customWidth="1"/>
    <col min="3083" max="3087" width="12.109375" style="30" customWidth="1"/>
    <col min="3088" max="3088" width="15.44140625" style="30" bestFit="1" customWidth="1"/>
    <col min="3089" max="3089" width="14.6640625" style="30" bestFit="1" customWidth="1"/>
    <col min="3090" max="3090" width="11.33203125" style="30" bestFit="1" customWidth="1"/>
    <col min="3091" max="3326" width="9.109375" style="30"/>
    <col min="3327" max="3327" width="2.6640625" style="30" customWidth="1"/>
    <col min="3328" max="3328" width="39.6640625" style="30" customWidth="1"/>
    <col min="3329" max="3329" width="13.33203125" style="30" customWidth="1"/>
    <col min="3330" max="3330" width="1.6640625" style="30" customWidth="1"/>
    <col min="3331" max="3331" width="15.6640625" style="30" bestFit="1" customWidth="1"/>
    <col min="3332" max="3332" width="14.109375" style="30" bestFit="1" customWidth="1"/>
    <col min="3333" max="3333" width="15.33203125" style="30" bestFit="1" customWidth="1"/>
    <col min="3334" max="3334" width="1.6640625" style="30" customWidth="1"/>
    <col min="3335" max="3335" width="10.88671875" style="30" customWidth="1"/>
    <col min="3336" max="3336" width="1.6640625" style="30" customWidth="1"/>
    <col min="3337" max="3337" width="14.88671875" style="30" bestFit="1" customWidth="1"/>
    <col min="3338" max="3338" width="12.33203125" style="30" bestFit="1" customWidth="1"/>
    <col min="3339" max="3343" width="12.109375" style="30" customWidth="1"/>
    <col min="3344" max="3344" width="15.44140625" style="30" bestFit="1" customWidth="1"/>
    <col min="3345" max="3345" width="14.6640625" style="30" bestFit="1" customWidth="1"/>
    <col min="3346" max="3346" width="11.33203125" style="30" bestFit="1" customWidth="1"/>
    <col min="3347" max="3582" width="9.109375" style="30"/>
    <col min="3583" max="3583" width="2.6640625" style="30" customWidth="1"/>
    <col min="3584" max="3584" width="39.6640625" style="30" customWidth="1"/>
    <col min="3585" max="3585" width="13.33203125" style="30" customWidth="1"/>
    <col min="3586" max="3586" width="1.6640625" style="30" customWidth="1"/>
    <col min="3587" max="3587" width="15.6640625" style="30" bestFit="1" customWidth="1"/>
    <col min="3588" max="3588" width="14.109375" style="30" bestFit="1" customWidth="1"/>
    <col min="3589" max="3589" width="15.33203125" style="30" bestFit="1" customWidth="1"/>
    <col min="3590" max="3590" width="1.6640625" style="30" customWidth="1"/>
    <col min="3591" max="3591" width="10.88671875" style="30" customWidth="1"/>
    <col min="3592" max="3592" width="1.6640625" style="30" customWidth="1"/>
    <col min="3593" max="3593" width="14.88671875" style="30" bestFit="1" customWidth="1"/>
    <col min="3594" max="3594" width="12.33203125" style="30" bestFit="1" customWidth="1"/>
    <col min="3595" max="3599" width="12.109375" style="30" customWidth="1"/>
    <col min="3600" max="3600" width="15.44140625" style="30" bestFit="1" customWidth="1"/>
    <col min="3601" max="3601" width="14.6640625" style="30" bestFit="1" customWidth="1"/>
    <col min="3602" max="3602" width="11.33203125" style="30" bestFit="1" customWidth="1"/>
    <col min="3603" max="3838" width="9.109375" style="30"/>
    <col min="3839" max="3839" width="2.6640625" style="30" customWidth="1"/>
    <col min="3840" max="3840" width="39.6640625" style="30" customWidth="1"/>
    <col min="3841" max="3841" width="13.33203125" style="30" customWidth="1"/>
    <col min="3842" max="3842" width="1.6640625" style="30" customWidth="1"/>
    <col min="3843" max="3843" width="15.6640625" style="30" bestFit="1" customWidth="1"/>
    <col min="3844" max="3844" width="14.109375" style="30" bestFit="1" customWidth="1"/>
    <col min="3845" max="3845" width="15.33203125" style="30" bestFit="1" customWidth="1"/>
    <col min="3846" max="3846" width="1.6640625" style="30" customWidth="1"/>
    <col min="3847" max="3847" width="10.88671875" style="30" customWidth="1"/>
    <col min="3848" max="3848" width="1.6640625" style="30" customWidth="1"/>
    <col min="3849" max="3849" width="14.88671875" style="30" bestFit="1" customWidth="1"/>
    <col min="3850" max="3850" width="12.33203125" style="30" bestFit="1" customWidth="1"/>
    <col min="3851" max="3855" width="12.109375" style="30" customWidth="1"/>
    <col min="3856" max="3856" width="15.44140625" style="30" bestFit="1" customWidth="1"/>
    <col min="3857" max="3857" width="14.6640625" style="30" bestFit="1" customWidth="1"/>
    <col min="3858" max="3858" width="11.33203125" style="30" bestFit="1" customWidth="1"/>
    <col min="3859" max="4094" width="9.109375" style="30"/>
    <col min="4095" max="4095" width="2.6640625" style="30" customWidth="1"/>
    <col min="4096" max="4096" width="39.6640625" style="30" customWidth="1"/>
    <col min="4097" max="4097" width="13.33203125" style="30" customWidth="1"/>
    <col min="4098" max="4098" width="1.6640625" style="30" customWidth="1"/>
    <col min="4099" max="4099" width="15.6640625" style="30" bestFit="1" customWidth="1"/>
    <col min="4100" max="4100" width="14.109375" style="30" bestFit="1" customWidth="1"/>
    <col min="4101" max="4101" width="15.33203125" style="30" bestFit="1" customWidth="1"/>
    <col min="4102" max="4102" width="1.6640625" style="30" customWidth="1"/>
    <col min="4103" max="4103" width="10.88671875" style="30" customWidth="1"/>
    <col min="4104" max="4104" width="1.6640625" style="30" customWidth="1"/>
    <col min="4105" max="4105" width="14.88671875" style="30" bestFit="1" customWidth="1"/>
    <col min="4106" max="4106" width="12.33203125" style="30" bestFit="1" customWidth="1"/>
    <col min="4107" max="4111" width="12.109375" style="30" customWidth="1"/>
    <col min="4112" max="4112" width="15.44140625" style="30" bestFit="1" customWidth="1"/>
    <col min="4113" max="4113" width="14.6640625" style="30" bestFit="1" customWidth="1"/>
    <col min="4114" max="4114" width="11.33203125" style="30" bestFit="1" customWidth="1"/>
    <col min="4115" max="4350" width="9.109375" style="30"/>
    <col min="4351" max="4351" width="2.6640625" style="30" customWidth="1"/>
    <col min="4352" max="4352" width="39.6640625" style="30" customWidth="1"/>
    <col min="4353" max="4353" width="13.33203125" style="30" customWidth="1"/>
    <col min="4354" max="4354" width="1.6640625" style="30" customWidth="1"/>
    <col min="4355" max="4355" width="15.6640625" style="30" bestFit="1" customWidth="1"/>
    <col min="4356" max="4356" width="14.109375" style="30" bestFit="1" customWidth="1"/>
    <col min="4357" max="4357" width="15.33203125" style="30" bestFit="1" customWidth="1"/>
    <col min="4358" max="4358" width="1.6640625" style="30" customWidth="1"/>
    <col min="4359" max="4359" width="10.88671875" style="30" customWidth="1"/>
    <col min="4360" max="4360" width="1.6640625" style="30" customWidth="1"/>
    <col min="4361" max="4361" width="14.88671875" style="30" bestFit="1" customWidth="1"/>
    <col min="4362" max="4362" width="12.33203125" style="30" bestFit="1" customWidth="1"/>
    <col min="4363" max="4367" width="12.109375" style="30" customWidth="1"/>
    <col min="4368" max="4368" width="15.44140625" style="30" bestFit="1" customWidth="1"/>
    <col min="4369" max="4369" width="14.6640625" style="30" bestFit="1" customWidth="1"/>
    <col min="4370" max="4370" width="11.33203125" style="30" bestFit="1" customWidth="1"/>
    <col min="4371" max="4606" width="9.109375" style="30"/>
    <col min="4607" max="4607" width="2.6640625" style="30" customWidth="1"/>
    <col min="4608" max="4608" width="39.6640625" style="30" customWidth="1"/>
    <col min="4609" max="4609" width="13.33203125" style="30" customWidth="1"/>
    <col min="4610" max="4610" width="1.6640625" style="30" customWidth="1"/>
    <col min="4611" max="4611" width="15.6640625" style="30" bestFit="1" customWidth="1"/>
    <col min="4612" max="4612" width="14.109375" style="30" bestFit="1" customWidth="1"/>
    <col min="4613" max="4613" width="15.33203125" style="30" bestFit="1" customWidth="1"/>
    <col min="4614" max="4614" width="1.6640625" style="30" customWidth="1"/>
    <col min="4615" max="4615" width="10.88671875" style="30" customWidth="1"/>
    <col min="4616" max="4616" width="1.6640625" style="30" customWidth="1"/>
    <col min="4617" max="4617" width="14.88671875" style="30" bestFit="1" customWidth="1"/>
    <col min="4618" max="4618" width="12.33203125" style="30" bestFit="1" customWidth="1"/>
    <col min="4619" max="4623" width="12.109375" style="30" customWidth="1"/>
    <col min="4624" max="4624" width="15.44140625" style="30" bestFit="1" customWidth="1"/>
    <col min="4625" max="4625" width="14.6640625" style="30" bestFit="1" customWidth="1"/>
    <col min="4626" max="4626" width="11.33203125" style="30" bestFit="1" customWidth="1"/>
    <col min="4627" max="4862" width="9.109375" style="30"/>
    <col min="4863" max="4863" width="2.6640625" style="30" customWidth="1"/>
    <col min="4864" max="4864" width="39.6640625" style="30" customWidth="1"/>
    <col min="4865" max="4865" width="13.33203125" style="30" customWidth="1"/>
    <col min="4866" max="4866" width="1.6640625" style="30" customWidth="1"/>
    <col min="4867" max="4867" width="15.6640625" style="30" bestFit="1" customWidth="1"/>
    <col min="4868" max="4868" width="14.109375" style="30" bestFit="1" customWidth="1"/>
    <col min="4869" max="4869" width="15.33203125" style="30" bestFit="1" customWidth="1"/>
    <col min="4870" max="4870" width="1.6640625" style="30" customWidth="1"/>
    <col min="4871" max="4871" width="10.88671875" style="30" customWidth="1"/>
    <col min="4872" max="4872" width="1.6640625" style="30" customWidth="1"/>
    <col min="4873" max="4873" width="14.88671875" style="30" bestFit="1" customWidth="1"/>
    <col min="4874" max="4874" width="12.33203125" style="30" bestFit="1" customWidth="1"/>
    <col min="4875" max="4879" width="12.109375" style="30" customWidth="1"/>
    <col min="4880" max="4880" width="15.44140625" style="30" bestFit="1" customWidth="1"/>
    <col min="4881" max="4881" width="14.6640625" style="30" bestFit="1" customWidth="1"/>
    <col min="4882" max="4882" width="11.33203125" style="30" bestFit="1" customWidth="1"/>
    <col min="4883" max="5118" width="9.109375" style="30"/>
    <col min="5119" max="5119" width="2.6640625" style="30" customWidth="1"/>
    <col min="5120" max="5120" width="39.6640625" style="30" customWidth="1"/>
    <col min="5121" max="5121" width="13.33203125" style="30" customWidth="1"/>
    <col min="5122" max="5122" width="1.6640625" style="30" customWidth="1"/>
    <col min="5123" max="5123" width="15.6640625" style="30" bestFit="1" customWidth="1"/>
    <col min="5124" max="5124" width="14.109375" style="30" bestFit="1" customWidth="1"/>
    <col min="5125" max="5125" width="15.33203125" style="30" bestFit="1" customWidth="1"/>
    <col min="5126" max="5126" width="1.6640625" style="30" customWidth="1"/>
    <col min="5127" max="5127" width="10.88671875" style="30" customWidth="1"/>
    <col min="5128" max="5128" width="1.6640625" style="30" customWidth="1"/>
    <col min="5129" max="5129" width="14.88671875" style="30" bestFit="1" customWidth="1"/>
    <col min="5130" max="5130" width="12.33203125" style="30" bestFit="1" customWidth="1"/>
    <col min="5131" max="5135" width="12.109375" style="30" customWidth="1"/>
    <col min="5136" max="5136" width="15.44140625" style="30" bestFit="1" customWidth="1"/>
    <col min="5137" max="5137" width="14.6640625" style="30" bestFit="1" customWidth="1"/>
    <col min="5138" max="5138" width="11.33203125" style="30" bestFit="1" customWidth="1"/>
    <col min="5139" max="5374" width="9.109375" style="30"/>
    <col min="5375" max="5375" width="2.6640625" style="30" customWidth="1"/>
    <col min="5376" max="5376" width="39.6640625" style="30" customWidth="1"/>
    <col min="5377" max="5377" width="13.33203125" style="30" customWidth="1"/>
    <col min="5378" max="5378" width="1.6640625" style="30" customWidth="1"/>
    <col min="5379" max="5379" width="15.6640625" style="30" bestFit="1" customWidth="1"/>
    <col min="5380" max="5380" width="14.109375" style="30" bestFit="1" customWidth="1"/>
    <col min="5381" max="5381" width="15.33203125" style="30" bestFit="1" customWidth="1"/>
    <col min="5382" max="5382" width="1.6640625" style="30" customWidth="1"/>
    <col min="5383" max="5383" width="10.88671875" style="30" customWidth="1"/>
    <col min="5384" max="5384" width="1.6640625" style="30" customWidth="1"/>
    <col min="5385" max="5385" width="14.88671875" style="30" bestFit="1" customWidth="1"/>
    <col min="5386" max="5386" width="12.33203125" style="30" bestFit="1" customWidth="1"/>
    <col min="5387" max="5391" width="12.109375" style="30" customWidth="1"/>
    <col min="5392" max="5392" width="15.44140625" style="30" bestFit="1" customWidth="1"/>
    <col min="5393" max="5393" width="14.6640625" style="30" bestFit="1" customWidth="1"/>
    <col min="5394" max="5394" width="11.33203125" style="30" bestFit="1" customWidth="1"/>
    <col min="5395" max="5630" width="9.109375" style="30"/>
    <col min="5631" max="5631" width="2.6640625" style="30" customWidth="1"/>
    <col min="5632" max="5632" width="39.6640625" style="30" customWidth="1"/>
    <col min="5633" max="5633" width="13.33203125" style="30" customWidth="1"/>
    <col min="5634" max="5634" width="1.6640625" style="30" customWidth="1"/>
    <col min="5635" max="5635" width="15.6640625" style="30" bestFit="1" customWidth="1"/>
    <col min="5636" max="5636" width="14.109375" style="30" bestFit="1" customWidth="1"/>
    <col min="5637" max="5637" width="15.33203125" style="30" bestFit="1" customWidth="1"/>
    <col min="5638" max="5638" width="1.6640625" style="30" customWidth="1"/>
    <col min="5639" max="5639" width="10.88671875" style="30" customWidth="1"/>
    <col min="5640" max="5640" width="1.6640625" style="30" customWidth="1"/>
    <col min="5641" max="5641" width="14.88671875" style="30" bestFit="1" customWidth="1"/>
    <col min="5642" max="5642" width="12.33203125" style="30" bestFit="1" customWidth="1"/>
    <col min="5643" max="5647" width="12.109375" style="30" customWidth="1"/>
    <col min="5648" max="5648" width="15.44140625" style="30" bestFit="1" customWidth="1"/>
    <col min="5649" max="5649" width="14.6640625" style="30" bestFit="1" customWidth="1"/>
    <col min="5650" max="5650" width="11.33203125" style="30" bestFit="1" customWidth="1"/>
    <col min="5651" max="5886" width="9.109375" style="30"/>
    <col min="5887" max="5887" width="2.6640625" style="30" customWidth="1"/>
    <col min="5888" max="5888" width="39.6640625" style="30" customWidth="1"/>
    <col min="5889" max="5889" width="13.33203125" style="30" customWidth="1"/>
    <col min="5890" max="5890" width="1.6640625" style="30" customWidth="1"/>
    <col min="5891" max="5891" width="15.6640625" style="30" bestFit="1" customWidth="1"/>
    <col min="5892" max="5892" width="14.109375" style="30" bestFit="1" customWidth="1"/>
    <col min="5893" max="5893" width="15.33203125" style="30" bestFit="1" customWidth="1"/>
    <col min="5894" max="5894" width="1.6640625" style="30" customWidth="1"/>
    <col min="5895" max="5895" width="10.88671875" style="30" customWidth="1"/>
    <col min="5896" max="5896" width="1.6640625" style="30" customWidth="1"/>
    <col min="5897" max="5897" width="14.88671875" style="30" bestFit="1" customWidth="1"/>
    <col min="5898" max="5898" width="12.33203125" style="30" bestFit="1" customWidth="1"/>
    <col min="5899" max="5903" width="12.109375" style="30" customWidth="1"/>
    <col min="5904" max="5904" width="15.44140625" style="30" bestFit="1" customWidth="1"/>
    <col min="5905" max="5905" width="14.6640625" style="30" bestFit="1" customWidth="1"/>
    <col min="5906" max="5906" width="11.33203125" style="30" bestFit="1" customWidth="1"/>
    <col min="5907" max="6142" width="9.109375" style="30"/>
    <col min="6143" max="6143" width="2.6640625" style="30" customWidth="1"/>
    <col min="6144" max="6144" width="39.6640625" style="30" customWidth="1"/>
    <col min="6145" max="6145" width="13.33203125" style="30" customWidth="1"/>
    <col min="6146" max="6146" width="1.6640625" style="30" customWidth="1"/>
    <col min="6147" max="6147" width="15.6640625" style="30" bestFit="1" customWidth="1"/>
    <col min="6148" max="6148" width="14.109375" style="30" bestFit="1" customWidth="1"/>
    <col min="6149" max="6149" width="15.33203125" style="30" bestFit="1" customWidth="1"/>
    <col min="6150" max="6150" width="1.6640625" style="30" customWidth="1"/>
    <col min="6151" max="6151" width="10.88671875" style="30" customWidth="1"/>
    <col min="6152" max="6152" width="1.6640625" style="30" customWidth="1"/>
    <col min="6153" max="6153" width="14.88671875" style="30" bestFit="1" customWidth="1"/>
    <col min="6154" max="6154" width="12.33203125" style="30" bestFit="1" customWidth="1"/>
    <col min="6155" max="6159" width="12.109375" style="30" customWidth="1"/>
    <col min="6160" max="6160" width="15.44140625" style="30" bestFit="1" customWidth="1"/>
    <col min="6161" max="6161" width="14.6640625" style="30" bestFit="1" customWidth="1"/>
    <col min="6162" max="6162" width="11.33203125" style="30" bestFit="1" customWidth="1"/>
    <col min="6163" max="6398" width="9.109375" style="30"/>
    <col min="6399" max="6399" width="2.6640625" style="30" customWidth="1"/>
    <col min="6400" max="6400" width="39.6640625" style="30" customWidth="1"/>
    <col min="6401" max="6401" width="13.33203125" style="30" customWidth="1"/>
    <col min="6402" max="6402" width="1.6640625" style="30" customWidth="1"/>
    <col min="6403" max="6403" width="15.6640625" style="30" bestFit="1" customWidth="1"/>
    <col min="6404" max="6404" width="14.109375" style="30" bestFit="1" customWidth="1"/>
    <col min="6405" max="6405" width="15.33203125" style="30" bestFit="1" customWidth="1"/>
    <col min="6406" max="6406" width="1.6640625" style="30" customWidth="1"/>
    <col min="6407" max="6407" width="10.88671875" style="30" customWidth="1"/>
    <col min="6408" max="6408" width="1.6640625" style="30" customWidth="1"/>
    <col min="6409" max="6409" width="14.88671875" style="30" bestFit="1" customWidth="1"/>
    <col min="6410" max="6410" width="12.33203125" style="30" bestFit="1" customWidth="1"/>
    <col min="6411" max="6415" width="12.109375" style="30" customWidth="1"/>
    <col min="6416" max="6416" width="15.44140625" style="30" bestFit="1" customWidth="1"/>
    <col min="6417" max="6417" width="14.6640625" style="30" bestFit="1" customWidth="1"/>
    <col min="6418" max="6418" width="11.33203125" style="30" bestFit="1" customWidth="1"/>
    <col min="6419" max="6654" width="9.109375" style="30"/>
    <col min="6655" max="6655" width="2.6640625" style="30" customWidth="1"/>
    <col min="6656" max="6656" width="39.6640625" style="30" customWidth="1"/>
    <col min="6657" max="6657" width="13.33203125" style="30" customWidth="1"/>
    <col min="6658" max="6658" width="1.6640625" style="30" customWidth="1"/>
    <col min="6659" max="6659" width="15.6640625" style="30" bestFit="1" customWidth="1"/>
    <col min="6660" max="6660" width="14.109375" style="30" bestFit="1" customWidth="1"/>
    <col min="6661" max="6661" width="15.33203125" style="30" bestFit="1" customWidth="1"/>
    <col min="6662" max="6662" width="1.6640625" style="30" customWidth="1"/>
    <col min="6663" max="6663" width="10.88671875" style="30" customWidth="1"/>
    <col min="6664" max="6664" width="1.6640625" style="30" customWidth="1"/>
    <col min="6665" max="6665" width="14.88671875" style="30" bestFit="1" customWidth="1"/>
    <col min="6666" max="6666" width="12.33203125" style="30" bestFit="1" customWidth="1"/>
    <col min="6667" max="6671" width="12.109375" style="30" customWidth="1"/>
    <col min="6672" max="6672" width="15.44140625" style="30" bestFit="1" customWidth="1"/>
    <col min="6673" max="6673" width="14.6640625" style="30" bestFit="1" customWidth="1"/>
    <col min="6674" max="6674" width="11.33203125" style="30" bestFit="1" customWidth="1"/>
    <col min="6675" max="6910" width="9.109375" style="30"/>
    <col min="6911" max="6911" width="2.6640625" style="30" customWidth="1"/>
    <col min="6912" max="6912" width="39.6640625" style="30" customWidth="1"/>
    <col min="6913" max="6913" width="13.33203125" style="30" customWidth="1"/>
    <col min="6914" max="6914" width="1.6640625" style="30" customWidth="1"/>
    <col min="6915" max="6915" width="15.6640625" style="30" bestFit="1" customWidth="1"/>
    <col min="6916" max="6916" width="14.109375" style="30" bestFit="1" customWidth="1"/>
    <col min="6917" max="6917" width="15.33203125" style="30" bestFit="1" customWidth="1"/>
    <col min="6918" max="6918" width="1.6640625" style="30" customWidth="1"/>
    <col min="6919" max="6919" width="10.88671875" style="30" customWidth="1"/>
    <col min="6920" max="6920" width="1.6640625" style="30" customWidth="1"/>
    <col min="6921" max="6921" width="14.88671875" style="30" bestFit="1" customWidth="1"/>
    <col min="6922" max="6922" width="12.33203125" style="30" bestFit="1" customWidth="1"/>
    <col min="6923" max="6927" width="12.109375" style="30" customWidth="1"/>
    <col min="6928" max="6928" width="15.44140625" style="30" bestFit="1" customWidth="1"/>
    <col min="6929" max="6929" width="14.6640625" style="30" bestFit="1" customWidth="1"/>
    <col min="6930" max="6930" width="11.33203125" style="30" bestFit="1" customWidth="1"/>
    <col min="6931" max="7166" width="9.109375" style="30"/>
    <col min="7167" max="7167" width="2.6640625" style="30" customWidth="1"/>
    <col min="7168" max="7168" width="39.6640625" style="30" customWidth="1"/>
    <col min="7169" max="7169" width="13.33203125" style="30" customWidth="1"/>
    <col min="7170" max="7170" width="1.6640625" style="30" customWidth="1"/>
    <col min="7171" max="7171" width="15.6640625" style="30" bestFit="1" customWidth="1"/>
    <col min="7172" max="7172" width="14.109375" style="30" bestFit="1" customWidth="1"/>
    <col min="7173" max="7173" width="15.33203125" style="30" bestFit="1" customWidth="1"/>
    <col min="7174" max="7174" width="1.6640625" style="30" customWidth="1"/>
    <col min="7175" max="7175" width="10.88671875" style="30" customWidth="1"/>
    <col min="7176" max="7176" width="1.6640625" style="30" customWidth="1"/>
    <col min="7177" max="7177" width="14.88671875" style="30" bestFit="1" customWidth="1"/>
    <col min="7178" max="7178" width="12.33203125" style="30" bestFit="1" customWidth="1"/>
    <col min="7179" max="7183" width="12.109375" style="30" customWidth="1"/>
    <col min="7184" max="7184" width="15.44140625" style="30" bestFit="1" customWidth="1"/>
    <col min="7185" max="7185" width="14.6640625" style="30" bestFit="1" customWidth="1"/>
    <col min="7186" max="7186" width="11.33203125" style="30" bestFit="1" customWidth="1"/>
    <col min="7187" max="7422" width="9.109375" style="30"/>
    <col min="7423" max="7423" width="2.6640625" style="30" customWidth="1"/>
    <col min="7424" max="7424" width="39.6640625" style="30" customWidth="1"/>
    <col min="7425" max="7425" width="13.33203125" style="30" customWidth="1"/>
    <col min="7426" max="7426" width="1.6640625" style="30" customWidth="1"/>
    <col min="7427" max="7427" width="15.6640625" style="30" bestFit="1" customWidth="1"/>
    <col min="7428" max="7428" width="14.109375" style="30" bestFit="1" customWidth="1"/>
    <col min="7429" max="7429" width="15.33203125" style="30" bestFit="1" customWidth="1"/>
    <col min="7430" max="7430" width="1.6640625" style="30" customWidth="1"/>
    <col min="7431" max="7431" width="10.88671875" style="30" customWidth="1"/>
    <col min="7432" max="7432" width="1.6640625" style="30" customWidth="1"/>
    <col min="7433" max="7433" width="14.88671875" style="30" bestFit="1" customWidth="1"/>
    <col min="7434" max="7434" width="12.33203125" style="30" bestFit="1" customWidth="1"/>
    <col min="7435" max="7439" width="12.109375" style="30" customWidth="1"/>
    <col min="7440" max="7440" width="15.44140625" style="30" bestFit="1" customWidth="1"/>
    <col min="7441" max="7441" width="14.6640625" style="30" bestFit="1" customWidth="1"/>
    <col min="7442" max="7442" width="11.33203125" style="30" bestFit="1" customWidth="1"/>
    <col min="7443" max="7678" width="9.109375" style="30"/>
    <col min="7679" max="7679" width="2.6640625" style="30" customWidth="1"/>
    <col min="7680" max="7680" width="39.6640625" style="30" customWidth="1"/>
    <col min="7681" max="7681" width="13.33203125" style="30" customWidth="1"/>
    <col min="7682" max="7682" width="1.6640625" style="30" customWidth="1"/>
    <col min="7683" max="7683" width="15.6640625" style="30" bestFit="1" customWidth="1"/>
    <col min="7684" max="7684" width="14.109375" style="30" bestFit="1" customWidth="1"/>
    <col min="7685" max="7685" width="15.33203125" style="30" bestFit="1" customWidth="1"/>
    <col min="7686" max="7686" width="1.6640625" style="30" customWidth="1"/>
    <col min="7687" max="7687" width="10.88671875" style="30" customWidth="1"/>
    <col min="7688" max="7688" width="1.6640625" style="30" customWidth="1"/>
    <col min="7689" max="7689" width="14.88671875" style="30" bestFit="1" customWidth="1"/>
    <col min="7690" max="7690" width="12.33203125" style="30" bestFit="1" customWidth="1"/>
    <col min="7691" max="7695" width="12.109375" style="30" customWidth="1"/>
    <col min="7696" max="7696" width="15.44140625" style="30" bestFit="1" customWidth="1"/>
    <col min="7697" max="7697" width="14.6640625" style="30" bestFit="1" customWidth="1"/>
    <col min="7698" max="7698" width="11.33203125" style="30" bestFit="1" customWidth="1"/>
    <col min="7699" max="7934" width="9.109375" style="30"/>
    <col min="7935" max="7935" width="2.6640625" style="30" customWidth="1"/>
    <col min="7936" max="7936" width="39.6640625" style="30" customWidth="1"/>
    <col min="7937" max="7937" width="13.33203125" style="30" customWidth="1"/>
    <col min="7938" max="7938" width="1.6640625" style="30" customWidth="1"/>
    <col min="7939" max="7939" width="15.6640625" style="30" bestFit="1" customWidth="1"/>
    <col min="7940" max="7940" width="14.109375" style="30" bestFit="1" customWidth="1"/>
    <col min="7941" max="7941" width="15.33203125" style="30" bestFit="1" customWidth="1"/>
    <col min="7942" max="7942" width="1.6640625" style="30" customWidth="1"/>
    <col min="7943" max="7943" width="10.88671875" style="30" customWidth="1"/>
    <col min="7944" max="7944" width="1.6640625" style="30" customWidth="1"/>
    <col min="7945" max="7945" width="14.88671875" style="30" bestFit="1" customWidth="1"/>
    <col min="7946" max="7946" width="12.33203125" style="30" bestFit="1" customWidth="1"/>
    <col min="7947" max="7951" width="12.109375" style="30" customWidth="1"/>
    <col min="7952" max="7952" width="15.44140625" style="30" bestFit="1" customWidth="1"/>
    <col min="7953" max="7953" width="14.6640625" style="30" bestFit="1" customWidth="1"/>
    <col min="7954" max="7954" width="11.33203125" style="30" bestFit="1" customWidth="1"/>
    <col min="7955" max="8190" width="9.109375" style="30"/>
    <col min="8191" max="8191" width="2.6640625" style="30" customWidth="1"/>
    <col min="8192" max="8192" width="39.6640625" style="30" customWidth="1"/>
    <col min="8193" max="8193" width="13.33203125" style="30" customWidth="1"/>
    <col min="8194" max="8194" width="1.6640625" style="30" customWidth="1"/>
    <col min="8195" max="8195" width="15.6640625" style="30" bestFit="1" customWidth="1"/>
    <col min="8196" max="8196" width="14.109375" style="30" bestFit="1" customWidth="1"/>
    <col min="8197" max="8197" width="15.33203125" style="30" bestFit="1" customWidth="1"/>
    <col min="8198" max="8198" width="1.6640625" style="30" customWidth="1"/>
    <col min="8199" max="8199" width="10.88671875" style="30" customWidth="1"/>
    <col min="8200" max="8200" width="1.6640625" style="30" customWidth="1"/>
    <col min="8201" max="8201" width="14.88671875" style="30" bestFit="1" customWidth="1"/>
    <col min="8202" max="8202" width="12.33203125" style="30" bestFit="1" customWidth="1"/>
    <col min="8203" max="8207" width="12.109375" style="30" customWidth="1"/>
    <col min="8208" max="8208" width="15.44140625" style="30" bestFit="1" customWidth="1"/>
    <col min="8209" max="8209" width="14.6640625" style="30" bestFit="1" customWidth="1"/>
    <col min="8210" max="8210" width="11.33203125" style="30" bestFit="1" customWidth="1"/>
    <col min="8211" max="8446" width="9.109375" style="30"/>
    <col min="8447" max="8447" width="2.6640625" style="30" customWidth="1"/>
    <col min="8448" max="8448" width="39.6640625" style="30" customWidth="1"/>
    <col min="8449" max="8449" width="13.33203125" style="30" customWidth="1"/>
    <col min="8450" max="8450" width="1.6640625" style="30" customWidth="1"/>
    <col min="8451" max="8451" width="15.6640625" style="30" bestFit="1" customWidth="1"/>
    <col min="8452" max="8452" width="14.109375" style="30" bestFit="1" customWidth="1"/>
    <col min="8453" max="8453" width="15.33203125" style="30" bestFit="1" customWidth="1"/>
    <col min="8454" max="8454" width="1.6640625" style="30" customWidth="1"/>
    <col min="8455" max="8455" width="10.88671875" style="30" customWidth="1"/>
    <col min="8456" max="8456" width="1.6640625" style="30" customWidth="1"/>
    <col min="8457" max="8457" width="14.88671875" style="30" bestFit="1" customWidth="1"/>
    <col min="8458" max="8458" width="12.33203125" style="30" bestFit="1" customWidth="1"/>
    <col min="8459" max="8463" width="12.109375" style="30" customWidth="1"/>
    <col min="8464" max="8464" width="15.44140625" style="30" bestFit="1" customWidth="1"/>
    <col min="8465" max="8465" width="14.6640625" style="30" bestFit="1" customWidth="1"/>
    <col min="8466" max="8466" width="11.33203125" style="30" bestFit="1" customWidth="1"/>
    <col min="8467" max="8702" width="9.109375" style="30"/>
    <col min="8703" max="8703" width="2.6640625" style="30" customWidth="1"/>
    <col min="8704" max="8704" width="39.6640625" style="30" customWidth="1"/>
    <col min="8705" max="8705" width="13.33203125" style="30" customWidth="1"/>
    <col min="8706" max="8706" width="1.6640625" style="30" customWidth="1"/>
    <col min="8707" max="8707" width="15.6640625" style="30" bestFit="1" customWidth="1"/>
    <col min="8708" max="8708" width="14.109375" style="30" bestFit="1" customWidth="1"/>
    <col min="8709" max="8709" width="15.33203125" style="30" bestFit="1" customWidth="1"/>
    <col min="8710" max="8710" width="1.6640625" style="30" customWidth="1"/>
    <col min="8711" max="8711" width="10.88671875" style="30" customWidth="1"/>
    <col min="8712" max="8712" width="1.6640625" style="30" customWidth="1"/>
    <col min="8713" max="8713" width="14.88671875" style="30" bestFit="1" customWidth="1"/>
    <col min="8714" max="8714" width="12.33203125" style="30" bestFit="1" customWidth="1"/>
    <col min="8715" max="8719" width="12.109375" style="30" customWidth="1"/>
    <col min="8720" max="8720" width="15.44140625" style="30" bestFit="1" customWidth="1"/>
    <col min="8721" max="8721" width="14.6640625" style="30" bestFit="1" customWidth="1"/>
    <col min="8722" max="8722" width="11.33203125" style="30" bestFit="1" customWidth="1"/>
    <col min="8723" max="8958" width="9.109375" style="30"/>
    <col min="8959" max="8959" width="2.6640625" style="30" customWidth="1"/>
    <col min="8960" max="8960" width="39.6640625" style="30" customWidth="1"/>
    <col min="8961" max="8961" width="13.33203125" style="30" customWidth="1"/>
    <col min="8962" max="8962" width="1.6640625" style="30" customWidth="1"/>
    <col min="8963" max="8963" width="15.6640625" style="30" bestFit="1" customWidth="1"/>
    <col min="8964" max="8964" width="14.109375" style="30" bestFit="1" customWidth="1"/>
    <col min="8965" max="8965" width="15.33203125" style="30" bestFit="1" customWidth="1"/>
    <col min="8966" max="8966" width="1.6640625" style="30" customWidth="1"/>
    <col min="8967" max="8967" width="10.88671875" style="30" customWidth="1"/>
    <col min="8968" max="8968" width="1.6640625" style="30" customWidth="1"/>
    <col min="8969" max="8969" width="14.88671875" style="30" bestFit="1" customWidth="1"/>
    <col min="8970" max="8970" width="12.33203125" style="30" bestFit="1" customWidth="1"/>
    <col min="8971" max="8975" width="12.109375" style="30" customWidth="1"/>
    <col min="8976" max="8976" width="15.44140625" style="30" bestFit="1" customWidth="1"/>
    <col min="8977" max="8977" width="14.6640625" style="30" bestFit="1" customWidth="1"/>
    <col min="8978" max="8978" width="11.33203125" style="30" bestFit="1" customWidth="1"/>
    <col min="8979" max="9214" width="9.109375" style="30"/>
    <col min="9215" max="9215" width="2.6640625" style="30" customWidth="1"/>
    <col min="9216" max="9216" width="39.6640625" style="30" customWidth="1"/>
    <col min="9217" max="9217" width="13.33203125" style="30" customWidth="1"/>
    <col min="9218" max="9218" width="1.6640625" style="30" customWidth="1"/>
    <col min="9219" max="9219" width="15.6640625" style="30" bestFit="1" customWidth="1"/>
    <col min="9220" max="9220" width="14.109375" style="30" bestFit="1" customWidth="1"/>
    <col min="9221" max="9221" width="15.33203125" style="30" bestFit="1" customWidth="1"/>
    <col min="9222" max="9222" width="1.6640625" style="30" customWidth="1"/>
    <col min="9223" max="9223" width="10.88671875" style="30" customWidth="1"/>
    <col min="9224" max="9224" width="1.6640625" style="30" customWidth="1"/>
    <col min="9225" max="9225" width="14.88671875" style="30" bestFit="1" customWidth="1"/>
    <col min="9226" max="9226" width="12.33203125" style="30" bestFit="1" customWidth="1"/>
    <col min="9227" max="9231" width="12.109375" style="30" customWidth="1"/>
    <col min="9232" max="9232" width="15.44140625" style="30" bestFit="1" customWidth="1"/>
    <col min="9233" max="9233" width="14.6640625" style="30" bestFit="1" customWidth="1"/>
    <col min="9234" max="9234" width="11.33203125" style="30" bestFit="1" customWidth="1"/>
    <col min="9235" max="9470" width="9.109375" style="30"/>
    <col min="9471" max="9471" width="2.6640625" style="30" customWidth="1"/>
    <col min="9472" max="9472" width="39.6640625" style="30" customWidth="1"/>
    <col min="9473" max="9473" width="13.33203125" style="30" customWidth="1"/>
    <col min="9474" max="9474" width="1.6640625" style="30" customWidth="1"/>
    <col min="9475" max="9475" width="15.6640625" style="30" bestFit="1" customWidth="1"/>
    <col min="9476" max="9476" width="14.109375" style="30" bestFit="1" customWidth="1"/>
    <col min="9477" max="9477" width="15.33203125" style="30" bestFit="1" customWidth="1"/>
    <col min="9478" max="9478" width="1.6640625" style="30" customWidth="1"/>
    <col min="9479" max="9479" width="10.88671875" style="30" customWidth="1"/>
    <col min="9480" max="9480" width="1.6640625" style="30" customWidth="1"/>
    <col min="9481" max="9481" width="14.88671875" style="30" bestFit="1" customWidth="1"/>
    <col min="9482" max="9482" width="12.33203125" style="30" bestFit="1" customWidth="1"/>
    <col min="9483" max="9487" width="12.109375" style="30" customWidth="1"/>
    <col min="9488" max="9488" width="15.44140625" style="30" bestFit="1" customWidth="1"/>
    <col min="9489" max="9489" width="14.6640625" style="30" bestFit="1" customWidth="1"/>
    <col min="9490" max="9490" width="11.33203125" style="30" bestFit="1" customWidth="1"/>
    <col min="9491" max="9726" width="9.109375" style="30"/>
    <col min="9727" max="9727" width="2.6640625" style="30" customWidth="1"/>
    <col min="9728" max="9728" width="39.6640625" style="30" customWidth="1"/>
    <col min="9729" max="9729" width="13.33203125" style="30" customWidth="1"/>
    <col min="9730" max="9730" width="1.6640625" style="30" customWidth="1"/>
    <col min="9731" max="9731" width="15.6640625" style="30" bestFit="1" customWidth="1"/>
    <col min="9732" max="9732" width="14.109375" style="30" bestFit="1" customWidth="1"/>
    <col min="9733" max="9733" width="15.33203125" style="30" bestFit="1" customWidth="1"/>
    <col min="9734" max="9734" width="1.6640625" style="30" customWidth="1"/>
    <col min="9735" max="9735" width="10.88671875" style="30" customWidth="1"/>
    <col min="9736" max="9736" width="1.6640625" style="30" customWidth="1"/>
    <col min="9737" max="9737" width="14.88671875" style="30" bestFit="1" customWidth="1"/>
    <col min="9738" max="9738" width="12.33203125" style="30" bestFit="1" customWidth="1"/>
    <col min="9739" max="9743" width="12.109375" style="30" customWidth="1"/>
    <col min="9744" max="9744" width="15.44140625" style="30" bestFit="1" customWidth="1"/>
    <col min="9745" max="9745" width="14.6640625" style="30" bestFit="1" customWidth="1"/>
    <col min="9746" max="9746" width="11.33203125" style="30" bestFit="1" customWidth="1"/>
    <col min="9747" max="9982" width="9.109375" style="30"/>
    <col min="9983" max="9983" width="2.6640625" style="30" customWidth="1"/>
    <col min="9984" max="9984" width="39.6640625" style="30" customWidth="1"/>
    <col min="9985" max="9985" width="13.33203125" style="30" customWidth="1"/>
    <col min="9986" max="9986" width="1.6640625" style="30" customWidth="1"/>
    <col min="9987" max="9987" width="15.6640625" style="30" bestFit="1" customWidth="1"/>
    <col min="9988" max="9988" width="14.109375" style="30" bestFit="1" customWidth="1"/>
    <col min="9989" max="9989" width="15.33203125" style="30" bestFit="1" customWidth="1"/>
    <col min="9990" max="9990" width="1.6640625" style="30" customWidth="1"/>
    <col min="9991" max="9991" width="10.88671875" style="30" customWidth="1"/>
    <col min="9992" max="9992" width="1.6640625" style="30" customWidth="1"/>
    <col min="9993" max="9993" width="14.88671875" style="30" bestFit="1" customWidth="1"/>
    <col min="9994" max="9994" width="12.33203125" style="30" bestFit="1" customWidth="1"/>
    <col min="9995" max="9999" width="12.109375" style="30" customWidth="1"/>
    <col min="10000" max="10000" width="15.44140625" style="30" bestFit="1" customWidth="1"/>
    <col min="10001" max="10001" width="14.6640625" style="30" bestFit="1" customWidth="1"/>
    <col min="10002" max="10002" width="11.33203125" style="30" bestFit="1" customWidth="1"/>
    <col min="10003" max="10238" width="9.109375" style="30"/>
    <col min="10239" max="10239" width="2.6640625" style="30" customWidth="1"/>
    <col min="10240" max="10240" width="39.6640625" style="30" customWidth="1"/>
    <col min="10241" max="10241" width="13.33203125" style="30" customWidth="1"/>
    <col min="10242" max="10242" width="1.6640625" style="30" customWidth="1"/>
    <col min="10243" max="10243" width="15.6640625" style="30" bestFit="1" customWidth="1"/>
    <col min="10244" max="10244" width="14.109375" style="30" bestFit="1" customWidth="1"/>
    <col min="10245" max="10245" width="15.33203125" style="30" bestFit="1" customWidth="1"/>
    <col min="10246" max="10246" width="1.6640625" style="30" customWidth="1"/>
    <col min="10247" max="10247" width="10.88671875" style="30" customWidth="1"/>
    <col min="10248" max="10248" width="1.6640625" style="30" customWidth="1"/>
    <col min="10249" max="10249" width="14.88671875" style="30" bestFit="1" customWidth="1"/>
    <col min="10250" max="10250" width="12.33203125" style="30" bestFit="1" customWidth="1"/>
    <col min="10251" max="10255" width="12.109375" style="30" customWidth="1"/>
    <col min="10256" max="10256" width="15.44140625" style="30" bestFit="1" customWidth="1"/>
    <col min="10257" max="10257" width="14.6640625" style="30" bestFit="1" customWidth="1"/>
    <col min="10258" max="10258" width="11.33203125" style="30" bestFit="1" customWidth="1"/>
    <col min="10259" max="10494" width="9.109375" style="30"/>
    <col min="10495" max="10495" width="2.6640625" style="30" customWidth="1"/>
    <col min="10496" max="10496" width="39.6640625" style="30" customWidth="1"/>
    <col min="10497" max="10497" width="13.33203125" style="30" customWidth="1"/>
    <col min="10498" max="10498" width="1.6640625" style="30" customWidth="1"/>
    <col min="10499" max="10499" width="15.6640625" style="30" bestFit="1" customWidth="1"/>
    <col min="10500" max="10500" width="14.109375" style="30" bestFit="1" customWidth="1"/>
    <col min="10501" max="10501" width="15.33203125" style="30" bestFit="1" customWidth="1"/>
    <col min="10502" max="10502" width="1.6640625" style="30" customWidth="1"/>
    <col min="10503" max="10503" width="10.88671875" style="30" customWidth="1"/>
    <col min="10504" max="10504" width="1.6640625" style="30" customWidth="1"/>
    <col min="10505" max="10505" width="14.88671875" style="30" bestFit="1" customWidth="1"/>
    <col min="10506" max="10506" width="12.33203125" style="30" bestFit="1" customWidth="1"/>
    <col min="10507" max="10511" width="12.109375" style="30" customWidth="1"/>
    <col min="10512" max="10512" width="15.44140625" style="30" bestFit="1" customWidth="1"/>
    <col min="10513" max="10513" width="14.6640625" style="30" bestFit="1" customWidth="1"/>
    <col min="10514" max="10514" width="11.33203125" style="30" bestFit="1" customWidth="1"/>
    <col min="10515" max="10750" width="9.109375" style="30"/>
    <col min="10751" max="10751" width="2.6640625" style="30" customWidth="1"/>
    <col min="10752" max="10752" width="39.6640625" style="30" customWidth="1"/>
    <col min="10753" max="10753" width="13.33203125" style="30" customWidth="1"/>
    <col min="10754" max="10754" width="1.6640625" style="30" customWidth="1"/>
    <col min="10755" max="10755" width="15.6640625" style="30" bestFit="1" customWidth="1"/>
    <col min="10756" max="10756" width="14.109375" style="30" bestFit="1" customWidth="1"/>
    <col min="10757" max="10757" width="15.33203125" style="30" bestFit="1" customWidth="1"/>
    <col min="10758" max="10758" width="1.6640625" style="30" customWidth="1"/>
    <col min="10759" max="10759" width="10.88671875" style="30" customWidth="1"/>
    <col min="10760" max="10760" width="1.6640625" style="30" customWidth="1"/>
    <col min="10761" max="10761" width="14.88671875" style="30" bestFit="1" customWidth="1"/>
    <col min="10762" max="10762" width="12.33203125" style="30" bestFit="1" customWidth="1"/>
    <col min="10763" max="10767" width="12.109375" style="30" customWidth="1"/>
    <col min="10768" max="10768" width="15.44140625" style="30" bestFit="1" customWidth="1"/>
    <col min="10769" max="10769" width="14.6640625" style="30" bestFit="1" customWidth="1"/>
    <col min="10770" max="10770" width="11.33203125" style="30" bestFit="1" customWidth="1"/>
    <col min="10771" max="11006" width="9.109375" style="30"/>
    <col min="11007" max="11007" width="2.6640625" style="30" customWidth="1"/>
    <col min="11008" max="11008" width="39.6640625" style="30" customWidth="1"/>
    <col min="11009" max="11009" width="13.33203125" style="30" customWidth="1"/>
    <col min="11010" max="11010" width="1.6640625" style="30" customWidth="1"/>
    <col min="11011" max="11011" width="15.6640625" style="30" bestFit="1" customWidth="1"/>
    <col min="11012" max="11012" width="14.109375" style="30" bestFit="1" customWidth="1"/>
    <col min="11013" max="11013" width="15.33203125" style="30" bestFit="1" customWidth="1"/>
    <col min="11014" max="11014" width="1.6640625" style="30" customWidth="1"/>
    <col min="11015" max="11015" width="10.88671875" style="30" customWidth="1"/>
    <col min="11016" max="11016" width="1.6640625" style="30" customWidth="1"/>
    <col min="11017" max="11017" width="14.88671875" style="30" bestFit="1" customWidth="1"/>
    <col min="11018" max="11018" width="12.33203125" style="30" bestFit="1" customWidth="1"/>
    <col min="11019" max="11023" width="12.109375" style="30" customWidth="1"/>
    <col min="11024" max="11024" width="15.44140625" style="30" bestFit="1" customWidth="1"/>
    <col min="11025" max="11025" width="14.6640625" style="30" bestFit="1" customWidth="1"/>
    <col min="11026" max="11026" width="11.33203125" style="30" bestFit="1" customWidth="1"/>
    <col min="11027" max="11262" width="9.109375" style="30"/>
    <col min="11263" max="11263" width="2.6640625" style="30" customWidth="1"/>
    <col min="11264" max="11264" width="39.6640625" style="30" customWidth="1"/>
    <col min="11265" max="11265" width="13.33203125" style="30" customWidth="1"/>
    <col min="11266" max="11266" width="1.6640625" style="30" customWidth="1"/>
    <col min="11267" max="11267" width="15.6640625" style="30" bestFit="1" customWidth="1"/>
    <col min="11268" max="11268" width="14.109375" style="30" bestFit="1" customWidth="1"/>
    <col min="11269" max="11269" width="15.33203125" style="30" bestFit="1" customWidth="1"/>
    <col min="11270" max="11270" width="1.6640625" style="30" customWidth="1"/>
    <col min="11271" max="11271" width="10.88671875" style="30" customWidth="1"/>
    <col min="11272" max="11272" width="1.6640625" style="30" customWidth="1"/>
    <col min="11273" max="11273" width="14.88671875" style="30" bestFit="1" customWidth="1"/>
    <col min="11274" max="11274" width="12.33203125" style="30" bestFit="1" customWidth="1"/>
    <col min="11275" max="11279" width="12.109375" style="30" customWidth="1"/>
    <col min="11280" max="11280" width="15.44140625" style="30" bestFit="1" customWidth="1"/>
    <col min="11281" max="11281" width="14.6640625" style="30" bestFit="1" customWidth="1"/>
    <col min="11282" max="11282" width="11.33203125" style="30" bestFit="1" customWidth="1"/>
    <col min="11283" max="11518" width="9.109375" style="30"/>
    <col min="11519" max="11519" width="2.6640625" style="30" customWidth="1"/>
    <col min="11520" max="11520" width="39.6640625" style="30" customWidth="1"/>
    <col min="11521" max="11521" width="13.33203125" style="30" customWidth="1"/>
    <col min="11522" max="11522" width="1.6640625" style="30" customWidth="1"/>
    <col min="11523" max="11523" width="15.6640625" style="30" bestFit="1" customWidth="1"/>
    <col min="11524" max="11524" width="14.109375" style="30" bestFit="1" customWidth="1"/>
    <col min="11525" max="11525" width="15.33203125" style="30" bestFit="1" customWidth="1"/>
    <col min="11526" max="11526" width="1.6640625" style="30" customWidth="1"/>
    <col min="11527" max="11527" width="10.88671875" style="30" customWidth="1"/>
    <col min="11528" max="11528" width="1.6640625" style="30" customWidth="1"/>
    <col min="11529" max="11529" width="14.88671875" style="30" bestFit="1" customWidth="1"/>
    <col min="11530" max="11530" width="12.33203125" style="30" bestFit="1" customWidth="1"/>
    <col min="11531" max="11535" width="12.109375" style="30" customWidth="1"/>
    <col min="11536" max="11536" width="15.44140625" style="30" bestFit="1" customWidth="1"/>
    <col min="11537" max="11537" width="14.6640625" style="30" bestFit="1" customWidth="1"/>
    <col min="11538" max="11538" width="11.33203125" style="30" bestFit="1" customWidth="1"/>
    <col min="11539" max="11774" width="9.109375" style="30"/>
    <col min="11775" max="11775" width="2.6640625" style="30" customWidth="1"/>
    <col min="11776" max="11776" width="39.6640625" style="30" customWidth="1"/>
    <col min="11777" max="11777" width="13.33203125" style="30" customWidth="1"/>
    <col min="11778" max="11778" width="1.6640625" style="30" customWidth="1"/>
    <col min="11779" max="11779" width="15.6640625" style="30" bestFit="1" customWidth="1"/>
    <col min="11780" max="11780" width="14.109375" style="30" bestFit="1" customWidth="1"/>
    <col min="11781" max="11781" width="15.33203125" style="30" bestFit="1" customWidth="1"/>
    <col min="11782" max="11782" width="1.6640625" style="30" customWidth="1"/>
    <col min="11783" max="11783" width="10.88671875" style="30" customWidth="1"/>
    <col min="11784" max="11784" width="1.6640625" style="30" customWidth="1"/>
    <col min="11785" max="11785" width="14.88671875" style="30" bestFit="1" customWidth="1"/>
    <col min="11786" max="11786" width="12.33203125" style="30" bestFit="1" customWidth="1"/>
    <col min="11787" max="11791" width="12.109375" style="30" customWidth="1"/>
    <col min="11792" max="11792" width="15.44140625" style="30" bestFit="1" customWidth="1"/>
    <col min="11793" max="11793" width="14.6640625" style="30" bestFit="1" customWidth="1"/>
    <col min="11794" max="11794" width="11.33203125" style="30" bestFit="1" customWidth="1"/>
    <col min="11795" max="12030" width="9.109375" style="30"/>
    <col min="12031" max="12031" width="2.6640625" style="30" customWidth="1"/>
    <col min="12032" max="12032" width="39.6640625" style="30" customWidth="1"/>
    <col min="12033" max="12033" width="13.33203125" style="30" customWidth="1"/>
    <col min="12034" max="12034" width="1.6640625" style="30" customWidth="1"/>
    <col min="12035" max="12035" width="15.6640625" style="30" bestFit="1" customWidth="1"/>
    <col min="12036" max="12036" width="14.109375" style="30" bestFit="1" customWidth="1"/>
    <col min="12037" max="12037" width="15.33203125" style="30" bestFit="1" customWidth="1"/>
    <col min="12038" max="12038" width="1.6640625" style="30" customWidth="1"/>
    <col min="12039" max="12039" width="10.88671875" style="30" customWidth="1"/>
    <col min="12040" max="12040" width="1.6640625" style="30" customWidth="1"/>
    <col min="12041" max="12041" width="14.88671875" style="30" bestFit="1" customWidth="1"/>
    <col min="12042" max="12042" width="12.33203125" style="30" bestFit="1" customWidth="1"/>
    <col min="12043" max="12047" width="12.109375" style="30" customWidth="1"/>
    <col min="12048" max="12048" width="15.44140625" style="30" bestFit="1" customWidth="1"/>
    <col min="12049" max="12049" width="14.6640625" style="30" bestFit="1" customWidth="1"/>
    <col min="12050" max="12050" width="11.33203125" style="30" bestFit="1" customWidth="1"/>
    <col min="12051" max="12286" width="9.109375" style="30"/>
    <col min="12287" max="12287" width="2.6640625" style="30" customWidth="1"/>
    <col min="12288" max="12288" width="39.6640625" style="30" customWidth="1"/>
    <col min="12289" max="12289" width="13.33203125" style="30" customWidth="1"/>
    <col min="12290" max="12290" width="1.6640625" style="30" customWidth="1"/>
    <col min="12291" max="12291" width="15.6640625" style="30" bestFit="1" customWidth="1"/>
    <col min="12292" max="12292" width="14.109375" style="30" bestFit="1" customWidth="1"/>
    <col min="12293" max="12293" width="15.33203125" style="30" bestFit="1" customWidth="1"/>
    <col min="12294" max="12294" width="1.6640625" style="30" customWidth="1"/>
    <col min="12295" max="12295" width="10.88671875" style="30" customWidth="1"/>
    <col min="12296" max="12296" width="1.6640625" style="30" customWidth="1"/>
    <col min="12297" max="12297" width="14.88671875" style="30" bestFit="1" customWidth="1"/>
    <col min="12298" max="12298" width="12.33203125" style="30" bestFit="1" customWidth="1"/>
    <col min="12299" max="12303" width="12.109375" style="30" customWidth="1"/>
    <col min="12304" max="12304" width="15.44140625" style="30" bestFit="1" customWidth="1"/>
    <col min="12305" max="12305" width="14.6640625" style="30" bestFit="1" customWidth="1"/>
    <col min="12306" max="12306" width="11.33203125" style="30" bestFit="1" customWidth="1"/>
    <col min="12307" max="12542" width="9.109375" style="30"/>
    <col min="12543" max="12543" width="2.6640625" style="30" customWidth="1"/>
    <col min="12544" max="12544" width="39.6640625" style="30" customWidth="1"/>
    <col min="12545" max="12545" width="13.33203125" style="30" customWidth="1"/>
    <col min="12546" max="12546" width="1.6640625" style="30" customWidth="1"/>
    <col min="12547" max="12547" width="15.6640625" style="30" bestFit="1" customWidth="1"/>
    <col min="12548" max="12548" width="14.109375" style="30" bestFit="1" customWidth="1"/>
    <col min="12549" max="12549" width="15.33203125" style="30" bestFit="1" customWidth="1"/>
    <col min="12550" max="12550" width="1.6640625" style="30" customWidth="1"/>
    <col min="12551" max="12551" width="10.88671875" style="30" customWidth="1"/>
    <col min="12552" max="12552" width="1.6640625" style="30" customWidth="1"/>
    <col min="12553" max="12553" width="14.88671875" style="30" bestFit="1" customWidth="1"/>
    <col min="12554" max="12554" width="12.33203125" style="30" bestFit="1" customWidth="1"/>
    <col min="12555" max="12559" width="12.109375" style="30" customWidth="1"/>
    <col min="12560" max="12560" width="15.44140625" style="30" bestFit="1" customWidth="1"/>
    <col min="12561" max="12561" width="14.6640625" style="30" bestFit="1" customWidth="1"/>
    <col min="12562" max="12562" width="11.33203125" style="30" bestFit="1" customWidth="1"/>
    <col min="12563" max="12798" width="9.109375" style="30"/>
    <col min="12799" max="12799" width="2.6640625" style="30" customWidth="1"/>
    <col min="12800" max="12800" width="39.6640625" style="30" customWidth="1"/>
    <col min="12801" max="12801" width="13.33203125" style="30" customWidth="1"/>
    <col min="12802" max="12802" width="1.6640625" style="30" customWidth="1"/>
    <col min="12803" max="12803" width="15.6640625" style="30" bestFit="1" customWidth="1"/>
    <col min="12804" max="12804" width="14.109375" style="30" bestFit="1" customWidth="1"/>
    <col min="12805" max="12805" width="15.33203125" style="30" bestFit="1" customWidth="1"/>
    <col min="12806" max="12806" width="1.6640625" style="30" customWidth="1"/>
    <col min="12807" max="12807" width="10.88671875" style="30" customWidth="1"/>
    <col min="12808" max="12808" width="1.6640625" style="30" customWidth="1"/>
    <col min="12809" max="12809" width="14.88671875" style="30" bestFit="1" customWidth="1"/>
    <col min="12810" max="12810" width="12.33203125" style="30" bestFit="1" customWidth="1"/>
    <col min="12811" max="12815" width="12.109375" style="30" customWidth="1"/>
    <col min="12816" max="12816" width="15.44140625" style="30" bestFit="1" customWidth="1"/>
    <col min="12817" max="12817" width="14.6640625" style="30" bestFit="1" customWidth="1"/>
    <col min="12818" max="12818" width="11.33203125" style="30" bestFit="1" customWidth="1"/>
    <col min="12819" max="13054" width="9.109375" style="30"/>
    <col min="13055" max="13055" width="2.6640625" style="30" customWidth="1"/>
    <col min="13056" max="13056" width="39.6640625" style="30" customWidth="1"/>
    <col min="13057" max="13057" width="13.33203125" style="30" customWidth="1"/>
    <col min="13058" max="13058" width="1.6640625" style="30" customWidth="1"/>
    <col min="13059" max="13059" width="15.6640625" style="30" bestFit="1" customWidth="1"/>
    <col min="13060" max="13060" width="14.109375" style="30" bestFit="1" customWidth="1"/>
    <col min="13061" max="13061" width="15.33203125" style="30" bestFit="1" customWidth="1"/>
    <col min="13062" max="13062" width="1.6640625" style="30" customWidth="1"/>
    <col min="13063" max="13063" width="10.88671875" style="30" customWidth="1"/>
    <col min="13064" max="13064" width="1.6640625" style="30" customWidth="1"/>
    <col min="13065" max="13065" width="14.88671875" style="30" bestFit="1" customWidth="1"/>
    <col min="13066" max="13066" width="12.33203125" style="30" bestFit="1" customWidth="1"/>
    <col min="13067" max="13071" width="12.109375" style="30" customWidth="1"/>
    <col min="13072" max="13072" width="15.44140625" style="30" bestFit="1" customWidth="1"/>
    <col min="13073" max="13073" width="14.6640625" style="30" bestFit="1" customWidth="1"/>
    <col min="13074" max="13074" width="11.33203125" style="30" bestFit="1" customWidth="1"/>
    <col min="13075" max="13310" width="9.109375" style="30"/>
    <col min="13311" max="13311" width="2.6640625" style="30" customWidth="1"/>
    <col min="13312" max="13312" width="39.6640625" style="30" customWidth="1"/>
    <col min="13313" max="13313" width="13.33203125" style="30" customWidth="1"/>
    <col min="13314" max="13314" width="1.6640625" style="30" customWidth="1"/>
    <col min="13315" max="13315" width="15.6640625" style="30" bestFit="1" customWidth="1"/>
    <col min="13316" max="13316" width="14.109375" style="30" bestFit="1" customWidth="1"/>
    <col min="13317" max="13317" width="15.33203125" style="30" bestFit="1" customWidth="1"/>
    <col min="13318" max="13318" width="1.6640625" style="30" customWidth="1"/>
    <col min="13319" max="13319" width="10.88671875" style="30" customWidth="1"/>
    <col min="13320" max="13320" width="1.6640625" style="30" customWidth="1"/>
    <col min="13321" max="13321" width="14.88671875" style="30" bestFit="1" customWidth="1"/>
    <col min="13322" max="13322" width="12.33203125" style="30" bestFit="1" customWidth="1"/>
    <col min="13323" max="13327" width="12.109375" style="30" customWidth="1"/>
    <col min="13328" max="13328" width="15.44140625" style="30" bestFit="1" customWidth="1"/>
    <col min="13329" max="13329" width="14.6640625" style="30" bestFit="1" customWidth="1"/>
    <col min="13330" max="13330" width="11.33203125" style="30" bestFit="1" customWidth="1"/>
    <col min="13331" max="13566" width="9.109375" style="30"/>
    <col min="13567" max="13567" width="2.6640625" style="30" customWidth="1"/>
    <col min="13568" max="13568" width="39.6640625" style="30" customWidth="1"/>
    <col min="13569" max="13569" width="13.33203125" style="30" customWidth="1"/>
    <col min="13570" max="13570" width="1.6640625" style="30" customWidth="1"/>
    <col min="13571" max="13571" width="15.6640625" style="30" bestFit="1" customWidth="1"/>
    <col min="13572" max="13572" width="14.109375" style="30" bestFit="1" customWidth="1"/>
    <col min="13573" max="13573" width="15.33203125" style="30" bestFit="1" customWidth="1"/>
    <col min="13574" max="13574" width="1.6640625" style="30" customWidth="1"/>
    <col min="13575" max="13575" width="10.88671875" style="30" customWidth="1"/>
    <col min="13576" max="13576" width="1.6640625" style="30" customWidth="1"/>
    <col min="13577" max="13577" width="14.88671875" style="30" bestFit="1" customWidth="1"/>
    <col min="13578" max="13578" width="12.33203125" style="30" bestFit="1" customWidth="1"/>
    <col min="13579" max="13583" width="12.109375" style="30" customWidth="1"/>
    <col min="13584" max="13584" width="15.44140625" style="30" bestFit="1" customWidth="1"/>
    <col min="13585" max="13585" width="14.6640625" style="30" bestFit="1" customWidth="1"/>
    <col min="13586" max="13586" width="11.33203125" style="30" bestFit="1" customWidth="1"/>
    <col min="13587" max="13822" width="9.109375" style="30"/>
    <col min="13823" max="13823" width="2.6640625" style="30" customWidth="1"/>
    <col min="13824" max="13824" width="39.6640625" style="30" customWidth="1"/>
    <col min="13825" max="13825" width="13.33203125" style="30" customWidth="1"/>
    <col min="13826" max="13826" width="1.6640625" style="30" customWidth="1"/>
    <col min="13827" max="13827" width="15.6640625" style="30" bestFit="1" customWidth="1"/>
    <col min="13828" max="13828" width="14.109375" style="30" bestFit="1" customWidth="1"/>
    <col min="13829" max="13829" width="15.33203125" style="30" bestFit="1" customWidth="1"/>
    <col min="13830" max="13830" width="1.6640625" style="30" customWidth="1"/>
    <col min="13831" max="13831" width="10.88671875" style="30" customWidth="1"/>
    <col min="13832" max="13832" width="1.6640625" style="30" customWidth="1"/>
    <col min="13833" max="13833" width="14.88671875" style="30" bestFit="1" customWidth="1"/>
    <col min="13834" max="13834" width="12.33203125" style="30" bestFit="1" customWidth="1"/>
    <col min="13835" max="13839" width="12.109375" style="30" customWidth="1"/>
    <col min="13840" max="13840" width="15.44140625" style="30" bestFit="1" customWidth="1"/>
    <col min="13841" max="13841" width="14.6640625" style="30" bestFit="1" customWidth="1"/>
    <col min="13842" max="13842" width="11.33203125" style="30" bestFit="1" customWidth="1"/>
    <col min="13843" max="14078" width="9.109375" style="30"/>
    <col min="14079" max="14079" width="2.6640625" style="30" customWidth="1"/>
    <col min="14080" max="14080" width="39.6640625" style="30" customWidth="1"/>
    <col min="14081" max="14081" width="13.33203125" style="30" customWidth="1"/>
    <col min="14082" max="14082" width="1.6640625" style="30" customWidth="1"/>
    <col min="14083" max="14083" width="15.6640625" style="30" bestFit="1" customWidth="1"/>
    <col min="14084" max="14084" width="14.109375" style="30" bestFit="1" customWidth="1"/>
    <col min="14085" max="14085" width="15.33203125" style="30" bestFit="1" customWidth="1"/>
    <col min="14086" max="14086" width="1.6640625" style="30" customWidth="1"/>
    <col min="14087" max="14087" width="10.88671875" style="30" customWidth="1"/>
    <col min="14088" max="14088" width="1.6640625" style="30" customWidth="1"/>
    <col min="14089" max="14089" width="14.88671875" style="30" bestFit="1" customWidth="1"/>
    <col min="14090" max="14090" width="12.33203125" style="30" bestFit="1" customWidth="1"/>
    <col min="14091" max="14095" width="12.109375" style="30" customWidth="1"/>
    <col min="14096" max="14096" width="15.44140625" style="30" bestFit="1" customWidth="1"/>
    <col min="14097" max="14097" width="14.6640625" style="30" bestFit="1" customWidth="1"/>
    <col min="14098" max="14098" width="11.33203125" style="30" bestFit="1" customWidth="1"/>
    <col min="14099" max="14334" width="9.109375" style="30"/>
    <col min="14335" max="14335" width="2.6640625" style="30" customWidth="1"/>
    <col min="14336" max="14336" width="39.6640625" style="30" customWidth="1"/>
    <col min="14337" max="14337" width="13.33203125" style="30" customWidth="1"/>
    <col min="14338" max="14338" width="1.6640625" style="30" customWidth="1"/>
    <col min="14339" max="14339" width="15.6640625" style="30" bestFit="1" customWidth="1"/>
    <col min="14340" max="14340" width="14.109375" style="30" bestFit="1" customWidth="1"/>
    <col min="14341" max="14341" width="15.33203125" style="30" bestFit="1" customWidth="1"/>
    <col min="14342" max="14342" width="1.6640625" style="30" customWidth="1"/>
    <col min="14343" max="14343" width="10.88671875" style="30" customWidth="1"/>
    <col min="14344" max="14344" width="1.6640625" style="30" customWidth="1"/>
    <col min="14345" max="14345" width="14.88671875" style="30" bestFit="1" customWidth="1"/>
    <col min="14346" max="14346" width="12.33203125" style="30" bestFit="1" customWidth="1"/>
    <col min="14347" max="14351" width="12.109375" style="30" customWidth="1"/>
    <col min="14352" max="14352" width="15.44140625" style="30" bestFit="1" customWidth="1"/>
    <col min="14353" max="14353" width="14.6640625" style="30" bestFit="1" customWidth="1"/>
    <col min="14354" max="14354" width="11.33203125" style="30" bestFit="1" customWidth="1"/>
    <col min="14355" max="14590" width="9.109375" style="30"/>
    <col min="14591" max="14591" width="2.6640625" style="30" customWidth="1"/>
    <col min="14592" max="14592" width="39.6640625" style="30" customWidth="1"/>
    <col min="14593" max="14593" width="13.33203125" style="30" customWidth="1"/>
    <col min="14594" max="14594" width="1.6640625" style="30" customWidth="1"/>
    <col min="14595" max="14595" width="15.6640625" style="30" bestFit="1" customWidth="1"/>
    <col min="14596" max="14596" width="14.109375" style="30" bestFit="1" customWidth="1"/>
    <col min="14597" max="14597" width="15.33203125" style="30" bestFit="1" customWidth="1"/>
    <col min="14598" max="14598" width="1.6640625" style="30" customWidth="1"/>
    <col min="14599" max="14599" width="10.88671875" style="30" customWidth="1"/>
    <col min="14600" max="14600" width="1.6640625" style="30" customWidth="1"/>
    <col min="14601" max="14601" width="14.88671875" style="30" bestFit="1" customWidth="1"/>
    <col min="14602" max="14602" width="12.33203125" style="30" bestFit="1" customWidth="1"/>
    <col min="14603" max="14607" width="12.109375" style="30" customWidth="1"/>
    <col min="14608" max="14608" width="15.44140625" style="30" bestFit="1" customWidth="1"/>
    <col min="14609" max="14609" width="14.6640625" style="30" bestFit="1" customWidth="1"/>
    <col min="14610" max="14610" width="11.33203125" style="30" bestFit="1" customWidth="1"/>
    <col min="14611" max="14846" width="9.109375" style="30"/>
    <col min="14847" max="14847" width="2.6640625" style="30" customWidth="1"/>
    <col min="14848" max="14848" width="39.6640625" style="30" customWidth="1"/>
    <col min="14849" max="14849" width="13.33203125" style="30" customWidth="1"/>
    <col min="14850" max="14850" width="1.6640625" style="30" customWidth="1"/>
    <col min="14851" max="14851" width="15.6640625" style="30" bestFit="1" customWidth="1"/>
    <col min="14852" max="14852" width="14.109375" style="30" bestFit="1" customWidth="1"/>
    <col min="14853" max="14853" width="15.33203125" style="30" bestFit="1" customWidth="1"/>
    <col min="14854" max="14854" width="1.6640625" style="30" customWidth="1"/>
    <col min="14855" max="14855" width="10.88671875" style="30" customWidth="1"/>
    <col min="14856" max="14856" width="1.6640625" style="30" customWidth="1"/>
    <col min="14857" max="14857" width="14.88671875" style="30" bestFit="1" customWidth="1"/>
    <col min="14858" max="14858" width="12.33203125" style="30" bestFit="1" customWidth="1"/>
    <col min="14859" max="14863" width="12.109375" style="30" customWidth="1"/>
    <col min="14864" max="14864" width="15.44140625" style="30" bestFit="1" customWidth="1"/>
    <col min="14865" max="14865" width="14.6640625" style="30" bestFit="1" customWidth="1"/>
    <col min="14866" max="14866" width="11.33203125" style="30" bestFit="1" customWidth="1"/>
    <col min="14867" max="15102" width="9.109375" style="30"/>
    <col min="15103" max="15103" width="2.6640625" style="30" customWidth="1"/>
    <col min="15104" max="15104" width="39.6640625" style="30" customWidth="1"/>
    <col min="15105" max="15105" width="13.33203125" style="30" customWidth="1"/>
    <col min="15106" max="15106" width="1.6640625" style="30" customWidth="1"/>
    <col min="15107" max="15107" width="15.6640625" style="30" bestFit="1" customWidth="1"/>
    <col min="15108" max="15108" width="14.109375" style="30" bestFit="1" customWidth="1"/>
    <col min="15109" max="15109" width="15.33203125" style="30" bestFit="1" customWidth="1"/>
    <col min="15110" max="15110" width="1.6640625" style="30" customWidth="1"/>
    <col min="15111" max="15111" width="10.88671875" style="30" customWidth="1"/>
    <col min="15112" max="15112" width="1.6640625" style="30" customWidth="1"/>
    <col min="15113" max="15113" width="14.88671875" style="30" bestFit="1" customWidth="1"/>
    <col min="15114" max="15114" width="12.33203125" style="30" bestFit="1" customWidth="1"/>
    <col min="15115" max="15119" width="12.109375" style="30" customWidth="1"/>
    <col min="15120" max="15120" width="15.44140625" style="30" bestFit="1" customWidth="1"/>
    <col min="15121" max="15121" width="14.6640625" style="30" bestFit="1" customWidth="1"/>
    <col min="15122" max="15122" width="11.33203125" style="30" bestFit="1" customWidth="1"/>
    <col min="15123" max="15358" width="9.109375" style="30"/>
    <col min="15359" max="15359" width="2.6640625" style="30" customWidth="1"/>
    <col min="15360" max="15360" width="39.6640625" style="30" customWidth="1"/>
    <col min="15361" max="15361" width="13.33203125" style="30" customWidth="1"/>
    <col min="15362" max="15362" width="1.6640625" style="30" customWidth="1"/>
    <col min="15363" max="15363" width="15.6640625" style="30" bestFit="1" customWidth="1"/>
    <col min="15364" max="15364" width="14.109375" style="30" bestFit="1" customWidth="1"/>
    <col min="15365" max="15365" width="15.33203125" style="30" bestFit="1" customWidth="1"/>
    <col min="15366" max="15366" width="1.6640625" style="30" customWidth="1"/>
    <col min="15367" max="15367" width="10.88671875" style="30" customWidth="1"/>
    <col min="15368" max="15368" width="1.6640625" style="30" customWidth="1"/>
    <col min="15369" max="15369" width="14.88671875" style="30" bestFit="1" customWidth="1"/>
    <col min="15370" max="15370" width="12.33203125" style="30" bestFit="1" customWidth="1"/>
    <col min="15371" max="15375" width="12.109375" style="30" customWidth="1"/>
    <col min="15376" max="15376" width="15.44140625" style="30" bestFit="1" customWidth="1"/>
    <col min="15377" max="15377" width="14.6640625" style="30" bestFit="1" customWidth="1"/>
    <col min="15378" max="15378" width="11.33203125" style="30" bestFit="1" customWidth="1"/>
    <col min="15379" max="15614" width="9.109375" style="30"/>
    <col min="15615" max="15615" width="2.6640625" style="30" customWidth="1"/>
    <col min="15616" max="15616" width="39.6640625" style="30" customWidth="1"/>
    <col min="15617" max="15617" width="13.33203125" style="30" customWidth="1"/>
    <col min="15618" max="15618" width="1.6640625" style="30" customWidth="1"/>
    <col min="15619" max="15619" width="15.6640625" style="30" bestFit="1" customWidth="1"/>
    <col min="15620" max="15620" width="14.109375" style="30" bestFit="1" customWidth="1"/>
    <col min="15621" max="15621" width="15.33203125" style="30" bestFit="1" customWidth="1"/>
    <col min="15622" max="15622" width="1.6640625" style="30" customWidth="1"/>
    <col min="15623" max="15623" width="10.88671875" style="30" customWidth="1"/>
    <col min="15624" max="15624" width="1.6640625" style="30" customWidth="1"/>
    <col min="15625" max="15625" width="14.88671875" style="30" bestFit="1" customWidth="1"/>
    <col min="15626" max="15626" width="12.33203125" style="30" bestFit="1" customWidth="1"/>
    <col min="15627" max="15631" width="12.109375" style="30" customWidth="1"/>
    <col min="15632" max="15632" width="15.44140625" style="30" bestFit="1" customWidth="1"/>
    <col min="15633" max="15633" width="14.6640625" style="30" bestFit="1" customWidth="1"/>
    <col min="15634" max="15634" width="11.33203125" style="30" bestFit="1" customWidth="1"/>
    <col min="15635" max="15870" width="9.109375" style="30"/>
    <col min="15871" max="15871" width="2.6640625" style="30" customWidth="1"/>
    <col min="15872" max="15872" width="39.6640625" style="30" customWidth="1"/>
    <col min="15873" max="15873" width="13.33203125" style="30" customWidth="1"/>
    <col min="15874" max="15874" width="1.6640625" style="30" customWidth="1"/>
    <col min="15875" max="15875" width="15.6640625" style="30" bestFit="1" customWidth="1"/>
    <col min="15876" max="15876" width="14.109375" style="30" bestFit="1" customWidth="1"/>
    <col min="15877" max="15877" width="15.33203125" style="30" bestFit="1" customWidth="1"/>
    <col min="15878" max="15878" width="1.6640625" style="30" customWidth="1"/>
    <col min="15879" max="15879" width="10.88671875" style="30" customWidth="1"/>
    <col min="15880" max="15880" width="1.6640625" style="30" customWidth="1"/>
    <col min="15881" max="15881" width="14.88671875" style="30" bestFit="1" customWidth="1"/>
    <col min="15882" max="15882" width="12.33203125" style="30" bestFit="1" customWidth="1"/>
    <col min="15883" max="15887" width="12.109375" style="30" customWidth="1"/>
    <col min="15888" max="15888" width="15.44140625" style="30" bestFit="1" customWidth="1"/>
    <col min="15889" max="15889" width="14.6640625" style="30" bestFit="1" customWidth="1"/>
    <col min="15890" max="15890" width="11.33203125" style="30" bestFit="1" customWidth="1"/>
    <col min="15891" max="16126" width="9.109375" style="30"/>
    <col min="16127" max="16127" width="2.6640625" style="30" customWidth="1"/>
    <col min="16128" max="16128" width="39.6640625" style="30" customWidth="1"/>
    <col min="16129" max="16129" width="13.33203125" style="30" customWidth="1"/>
    <col min="16130" max="16130" width="1.6640625" style="30" customWidth="1"/>
    <col min="16131" max="16131" width="15.6640625" style="30" bestFit="1" customWidth="1"/>
    <col min="16132" max="16132" width="14.109375" style="30" bestFit="1" customWidth="1"/>
    <col min="16133" max="16133" width="15.33203125" style="30" bestFit="1" customWidth="1"/>
    <col min="16134" max="16134" width="1.6640625" style="30" customWidth="1"/>
    <col min="16135" max="16135" width="10.88671875" style="30" customWidth="1"/>
    <col min="16136" max="16136" width="1.6640625" style="30" customWidth="1"/>
    <col min="16137" max="16137" width="14.88671875" style="30" bestFit="1" customWidth="1"/>
    <col min="16138" max="16138" width="12.33203125" style="30" bestFit="1" customWidth="1"/>
    <col min="16139" max="16143" width="12.109375" style="30" customWidth="1"/>
    <col min="16144" max="16144" width="15.44140625" style="30" bestFit="1" customWidth="1"/>
    <col min="16145" max="16145" width="14.6640625" style="30" bestFit="1" customWidth="1"/>
    <col min="16146" max="16146" width="11.33203125" style="30" bestFit="1" customWidth="1"/>
    <col min="16147" max="16384" width="9.109375" style="30"/>
  </cols>
  <sheetData>
    <row r="2" spans="2:20" ht="17.399999999999999" x14ac:dyDescent="0.3">
      <c r="B2" s="149" t="s">
        <v>111</v>
      </c>
      <c r="C2" s="51"/>
      <c r="D2" s="51"/>
      <c r="E2" s="52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53"/>
      <c r="S2" s="36"/>
    </row>
    <row r="3" spans="2:20" ht="16.2" x14ac:dyDescent="0.3">
      <c r="B3" s="54" t="s">
        <v>90</v>
      </c>
      <c r="C3" s="55"/>
      <c r="D3" s="55"/>
      <c r="E3" s="56"/>
      <c r="F3" s="57"/>
      <c r="G3" s="57"/>
      <c r="H3" s="57"/>
      <c r="I3" s="36"/>
      <c r="J3" s="36"/>
      <c r="K3" s="36"/>
      <c r="L3" s="36"/>
      <c r="M3" s="36"/>
      <c r="N3" s="36"/>
      <c r="O3" s="36"/>
      <c r="P3" s="36"/>
      <c r="Q3" s="36"/>
      <c r="R3" s="36"/>
    </row>
    <row r="4" spans="2:20" x14ac:dyDescent="0.2">
      <c r="B4" s="6">
        <v>43800</v>
      </c>
      <c r="C4" s="6"/>
      <c r="D4" s="6"/>
      <c r="E4" s="52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</row>
    <row r="5" spans="2:20" x14ac:dyDescent="0.2">
      <c r="B5" s="36"/>
      <c r="C5" s="36"/>
      <c r="D5" s="36"/>
      <c r="E5" s="52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</row>
    <row r="6" spans="2:20" x14ac:dyDescent="0.2">
      <c r="B6" s="210" t="s">
        <v>69</v>
      </c>
      <c r="C6" s="210" t="s">
        <v>91</v>
      </c>
      <c r="D6" s="211"/>
      <c r="E6" s="212" t="s">
        <v>92</v>
      </c>
      <c r="F6" s="213" t="s">
        <v>93</v>
      </c>
      <c r="G6" s="211" t="s">
        <v>1</v>
      </c>
      <c r="H6" s="211"/>
      <c r="I6" s="211" t="s">
        <v>94</v>
      </c>
      <c r="J6" s="211"/>
      <c r="K6" s="211" t="s">
        <v>95</v>
      </c>
      <c r="L6" s="222">
        <v>43647</v>
      </c>
      <c r="M6" s="222">
        <v>43678</v>
      </c>
      <c r="N6" s="222">
        <v>43709</v>
      </c>
      <c r="O6" s="222">
        <v>43739</v>
      </c>
      <c r="P6" s="222">
        <v>43770</v>
      </c>
      <c r="Q6" s="222">
        <v>43800</v>
      </c>
      <c r="R6" s="211" t="s">
        <v>96</v>
      </c>
      <c r="S6" s="214" t="s">
        <v>97</v>
      </c>
    </row>
    <row r="7" spans="2:20" x14ac:dyDescent="0.2">
      <c r="B7" s="215"/>
      <c r="C7" s="215"/>
      <c r="D7" s="216"/>
      <c r="E7" s="221" t="s">
        <v>98</v>
      </c>
      <c r="F7" s="217"/>
      <c r="G7" s="218"/>
      <c r="H7" s="218"/>
      <c r="I7" s="218" t="s">
        <v>99</v>
      </c>
      <c r="J7" s="218"/>
      <c r="K7" s="218" t="s">
        <v>100</v>
      </c>
      <c r="L7" s="218" t="s">
        <v>101</v>
      </c>
      <c r="M7" s="218" t="s">
        <v>101</v>
      </c>
      <c r="N7" s="218" t="s">
        <v>101</v>
      </c>
      <c r="O7" s="218" t="s">
        <v>101</v>
      </c>
      <c r="P7" s="218" t="s">
        <v>101</v>
      </c>
      <c r="Q7" s="218" t="s">
        <v>101</v>
      </c>
      <c r="R7" s="219" t="s">
        <v>101</v>
      </c>
      <c r="S7" s="220" t="s">
        <v>101</v>
      </c>
    </row>
    <row r="8" spans="2:20" x14ac:dyDescent="0.2">
      <c r="B8" s="58"/>
      <c r="C8" s="59"/>
      <c r="D8" s="59"/>
      <c r="E8" s="60"/>
      <c r="F8" s="61"/>
      <c r="G8" s="61"/>
      <c r="H8" s="62"/>
      <c r="I8" s="63"/>
      <c r="J8" s="63"/>
      <c r="K8" s="64"/>
      <c r="L8" s="64"/>
      <c r="M8" s="64"/>
      <c r="N8" s="64"/>
      <c r="O8" s="64"/>
      <c r="P8" s="64"/>
      <c r="Q8" s="64"/>
      <c r="R8" s="64"/>
      <c r="S8" s="64"/>
    </row>
    <row r="9" spans="2:20" x14ac:dyDescent="0.2">
      <c r="B9" s="65" t="s">
        <v>102</v>
      </c>
      <c r="C9" s="66"/>
      <c r="D9" s="66"/>
      <c r="E9" s="67">
        <v>28989.59</v>
      </c>
      <c r="F9" s="68"/>
      <c r="G9" s="68">
        <f>SUM(E9:F9)</f>
        <v>28989.59</v>
      </c>
      <c r="H9" s="69"/>
      <c r="I9" s="70">
        <v>0.25</v>
      </c>
      <c r="J9" s="70"/>
      <c r="K9" s="68">
        <v>17824.82</v>
      </c>
      <c r="L9" s="68">
        <f>ROUND((G9-K9)*I9/12,2)</f>
        <v>232.6</v>
      </c>
      <c r="M9" s="68">
        <f>ROUND((G9-K9)*I9/12,2)</f>
        <v>232.6</v>
      </c>
      <c r="N9" s="68">
        <f>ROUND((G9-K9)*I9/12,2)</f>
        <v>232.6</v>
      </c>
      <c r="O9" s="68">
        <f>ROUND(($G9-$K9)*$I9/12,2)</f>
        <v>232.6</v>
      </c>
      <c r="P9" s="68">
        <f>ROUND(($G9-$K9)*$I9/12,2)</f>
        <v>232.6</v>
      </c>
      <c r="Q9" s="68">
        <f>ROUND(($G9-$K9)*$I9/12,2)</f>
        <v>232.6</v>
      </c>
      <c r="R9" s="68">
        <f>SUM(K9:Q9)</f>
        <v>19220.419999999991</v>
      </c>
      <c r="S9" s="68">
        <f>+G9-R9</f>
        <v>9769.1700000000092</v>
      </c>
    </row>
    <row r="10" spans="2:20" x14ac:dyDescent="0.2">
      <c r="B10" s="65"/>
      <c r="C10" s="66"/>
      <c r="D10" s="66"/>
      <c r="E10" s="67"/>
      <c r="F10" s="68"/>
      <c r="G10" s="68"/>
      <c r="H10" s="69"/>
      <c r="I10" s="70"/>
      <c r="J10" s="70"/>
      <c r="K10" s="68"/>
      <c r="L10" s="68"/>
      <c r="M10" s="68"/>
      <c r="N10" s="68"/>
      <c r="O10" s="68"/>
      <c r="P10" s="68"/>
      <c r="Q10" s="68"/>
      <c r="R10" s="68"/>
      <c r="S10" s="68"/>
    </row>
    <row r="11" spans="2:20" x14ac:dyDescent="0.2">
      <c r="B11" s="65"/>
      <c r="C11" s="66"/>
      <c r="D11" s="66"/>
      <c r="E11" s="67"/>
      <c r="F11" s="68"/>
      <c r="G11" s="68"/>
      <c r="H11" s="69"/>
      <c r="I11" s="70"/>
      <c r="J11" s="70"/>
      <c r="K11" s="68"/>
      <c r="L11" s="68"/>
      <c r="M11" s="68"/>
      <c r="N11" s="68"/>
      <c r="O11" s="68"/>
      <c r="P11" s="68"/>
      <c r="Q11" s="68"/>
      <c r="R11" s="68"/>
      <c r="S11" s="68"/>
    </row>
    <row r="12" spans="2:20" x14ac:dyDescent="0.2">
      <c r="B12" s="71" t="s">
        <v>71</v>
      </c>
      <c r="C12" s="66"/>
      <c r="D12" s="66"/>
      <c r="E12" s="67"/>
      <c r="F12" s="68"/>
      <c r="G12" s="68"/>
      <c r="H12" s="69"/>
      <c r="I12" s="70"/>
      <c r="J12" s="70"/>
      <c r="K12" s="68"/>
      <c r="L12" s="68"/>
      <c r="M12" s="68"/>
      <c r="N12" s="68"/>
      <c r="O12" s="68"/>
      <c r="P12" s="68"/>
      <c r="Q12" s="68"/>
      <c r="R12" s="68"/>
      <c r="S12" s="68"/>
      <c r="T12" s="29"/>
    </row>
    <row r="13" spans="2:20" x14ac:dyDescent="0.2">
      <c r="B13" s="65" t="s">
        <v>103</v>
      </c>
      <c r="C13" s="72">
        <v>39946</v>
      </c>
      <c r="D13" s="72"/>
      <c r="E13" s="68">
        <v>764</v>
      </c>
      <c r="F13" s="68"/>
      <c r="G13" s="68">
        <f t="shared" ref="G13:G21" si="0">SUM(E13:F13)</f>
        <v>764</v>
      </c>
      <c r="H13" s="69"/>
      <c r="I13" s="70">
        <v>0.25</v>
      </c>
      <c r="J13" s="70"/>
      <c r="K13" s="68">
        <v>191</v>
      </c>
      <c r="L13" s="68">
        <f t="shared" ref="L13:L19" si="1">ROUND((G13-K13)*I13/12,2)</f>
        <v>11.94</v>
      </c>
      <c r="M13" s="68">
        <f t="shared" ref="M13:M19" si="2">ROUND((G13-K13)*I13/12,2)</f>
        <v>11.94</v>
      </c>
      <c r="N13" s="68">
        <f>ROUND(($G$13-$K$13)*$I13/12,2)</f>
        <v>11.94</v>
      </c>
      <c r="O13" s="68">
        <f>ROUND(($G$13-$K$13)*$I13/12,2)</f>
        <v>11.94</v>
      </c>
      <c r="P13" s="68">
        <f>ROUND(($G13-$K13)*$I13/12,2)</f>
        <v>11.94</v>
      </c>
      <c r="Q13" s="68">
        <f>ROUND(($G13-$K13)*$I13/12,2)</f>
        <v>11.94</v>
      </c>
      <c r="R13" s="68">
        <f t="shared" ref="R13:R21" si="3">SUM(K13:Q13)</f>
        <v>262.64</v>
      </c>
      <c r="S13" s="68">
        <f t="shared" ref="S13:S21" si="4">+G13-R13</f>
        <v>501.36</v>
      </c>
      <c r="T13" s="29"/>
    </row>
    <row r="14" spans="2:20" x14ac:dyDescent="0.2">
      <c r="B14" s="65" t="s">
        <v>104</v>
      </c>
      <c r="C14" s="72">
        <v>39975</v>
      </c>
      <c r="D14" s="72"/>
      <c r="E14" s="68">
        <v>600</v>
      </c>
      <c r="F14" s="68"/>
      <c r="G14" s="68">
        <f t="shared" si="0"/>
        <v>600</v>
      </c>
      <c r="H14" s="69"/>
      <c r="I14" s="70">
        <v>0.25</v>
      </c>
      <c r="J14" s="70"/>
      <c r="K14" s="68">
        <v>150</v>
      </c>
      <c r="L14" s="68">
        <f t="shared" si="1"/>
        <v>9.3800000000000008</v>
      </c>
      <c r="M14" s="68">
        <f t="shared" si="2"/>
        <v>9.3800000000000008</v>
      </c>
      <c r="N14" s="68">
        <f t="shared" ref="N14:N19" si="5">ROUND((G14-K14)*I14/12,2)</f>
        <v>9.3800000000000008</v>
      </c>
      <c r="O14" s="68">
        <f t="shared" ref="O14:O19" si="6">ROUND((G14-K14)*I14/12,2)</f>
        <v>9.3800000000000008</v>
      </c>
      <c r="P14" s="68">
        <f t="shared" ref="P14:Q19" si="7">ROUND(($G14-$K14)*$I14/12,2)</f>
        <v>9.3800000000000008</v>
      </c>
      <c r="Q14" s="68">
        <f t="shared" si="7"/>
        <v>9.3800000000000008</v>
      </c>
      <c r="R14" s="68">
        <f t="shared" si="3"/>
        <v>206.27999999999997</v>
      </c>
      <c r="S14" s="68">
        <f t="shared" si="4"/>
        <v>393.72</v>
      </c>
      <c r="T14" s="29"/>
    </row>
    <row r="15" spans="2:20" x14ac:dyDescent="0.2">
      <c r="B15" s="65" t="s">
        <v>105</v>
      </c>
      <c r="C15" s="72">
        <v>39980</v>
      </c>
      <c r="D15" s="72"/>
      <c r="E15" s="68">
        <v>434</v>
      </c>
      <c r="F15" s="68"/>
      <c r="G15" s="68">
        <f t="shared" si="0"/>
        <v>434</v>
      </c>
      <c r="H15" s="69"/>
      <c r="I15" s="70">
        <v>0.25</v>
      </c>
      <c r="J15" s="70"/>
      <c r="K15" s="68">
        <v>108.5</v>
      </c>
      <c r="L15" s="68">
        <f t="shared" si="1"/>
        <v>6.78</v>
      </c>
      <c r="M15" s="68">
        <f t="shared" si="2"/>
        <v>6.78</v>
      </c>
      <c r="N15" s="68">
        <f t="shared" si="5"/>
        <v>6.78</v>
      </c>
      <c r="O15" s="68">
        <f t="shared" si="6"/>
        <v>6.78</v>
      </c>
      <c r="P15" s="68">
        <f t="shared" si="7"/>
        <v>6.78</v>
      </c>
      <c r="Q15" s="68">
        <f t="shared" si="7"/>
        <v>6.78</v>
      </c>
      <c r="R15" s="68">
        <f t="shared" si="3"/>
        <v>149.18</v>
      </c>
      <c r="S15" s="68">
        <f t="shared" si="4"/>
        <v>284.82</v>
      </c>
      <c r="T15" s="29"/>
    </row>
    <row r="16" spans="2:20" x14ac:dyDescent="0.2">
      <c r="B16" s="65" t="s">
        <v>106</v>
      </c>
      <c r="C16" s="72">
        <v>40091</v>
      </c>
      <c r="D16" s="72"/>
      <c r="E16" s="68">
        <v>800</v>
      </c>
      <c r="F16" s="68"/>
      <c r="G16" s="68">
        <f t="shared" si="0"/>
        <v>800</v>
      </c>
      <c r="H16" s="69"/>
      <c r="I16" s="70">
        <v>0.25</v>
      </c>
      <c r="J16" s="70"/>
      <c r="K16" s="68">
        <v>200</v>
      </c>
      <c r="L16" s="68">
        <f t="shared" si="1"/>
        <v>12.5</v>
      </c>
      <c r="M16" s="68">
        <f t="shared" si="2"/>
        <v>12.5</v>
      </c>
      <c r="N16" s="68">
        <f t="shared" si="5"/>
        <v>12.5</v>
      </c>
      <c r="O16" s="68">
        <f t="shared" si="6"/>
        <v>12.5</v>
      </c>
      <c r="P16" s="68">
        <f t="shared" si="7"/>
        <v>12.5</v>
      </c>
      <c r="Q16" s="68">
        <f t="shared" si="7"/>
        <v>12.5</v>
      </c>
      <c r="R16" s="68">
        <f t="shared" si="3"/>
        <v>275</v>
      </c>
      <c r="S16" s="68">
        <f t="shared" si="4"/>
        <v>525</v>
      </c>
      <c r="T16" s="29"/>
    </row>
    <row r="17" spans="2:20" x14ac:dyDescent="0.2">
      <c r="B17" s="65" t="s">
        <v>107</v>
      </c>
      <c r="C17" s="72">
        <v>40211</v>
      </c>
      <c r="D17" s="72"/>
      <c r="E17" s="68">
        <v>4294</v>
      </c>
      <c r="F17" s="68"/>
      <c r="G17" s="68">
        <f t="shared" si="0"/>
        <v>4294</v>
      </c>
      <c r="H17" s="69"/>
      <c r="I17" s="70">
        <v>0.25</v>
      </c>
      <c r="J17" s="70"/>
      <c r="K17" s="68">
        <v>1073.5016666666666</v>
      </c>
      <c r="L17" s="68">
        <f t="shared" si="1"/>
        <v>67.09</v>
      </c>
      <c r="M17" s="68">
        <f t="shared" si="2"/>
        <v>67.09</v>
      </c>
      <c r="N17" s="68">
        <f t="shared" si="5"/>
        <v>67.09</v>
      </c>
      <c r="O17" s="68">
        <f t="shared" si="6"/>
        <v>67.09</v>
      </c>
      <c r="P17" s="68">
        <f t="shared" si="7"/>
        <v>67.09</v>
      </c>
      <c r="Q17" s="68">
        <f t="shared" si="7"/>
        <v>67.09</v>
      </c>
      <c r="R17" s="68">
        <f t="shared" si="3"/>
        <v>1476.0416666666661</v>
      </c>
      <c r="S17" s="68">
        <f t="shared" si="4"/>
        <v>2817.9583333333339</v>
      </c>
      <c r="T17" s="29"/>
    </row>
    <row r="18" spans="2:20" x14ac:dyDescent="0.2">
      <c r="B18" s="65" t="s">
        <v>108</v>
      </c>
      <c r="C18" s="72">
        <v>40233</v>
      </c>
      <c r="D18" s="72"/>
      <c r="E18" s="68">
        <v>494</v>
      </c>
      <c r="F18" s="68"/>
      <c r="G18" s="68">
        <f t="shared" si="0"/>
        <v>494</v>
      </c>
      <c r="H18" s="69"/>
      <c r="I18" s="70">
        <v>0.25</v>
      </c>
      <c r="J18" s="70"/>
      <c r="K18" s="68">
        <v>123.49833333333333</v>
      </c>
      <c r="L18" s="68">
        <f t="shared" si="1"/>
        <v>7.72</v>
      </c>
      <c r="M18" s="68">
        <f t="shared" si="2"/>
        <v>7.72</v>
      </c>
      <c r="N18" s="68">
        <f t="shared" si="5"/>
        <v>7.72</v>
      </c>
      <c r="O18" s="68">
        <f t="shared" si="6"/>
        <v>7.72</v>
      </c>
      <c r="P18" s="68">
        <f t="shared" si="7"/>
        <v>7.72</v>
      </c>
      <c r="Q18" s="68">
        <f t="shared" si="7"/>
        <v>7.72</v>
      </c>
      <c r="R18" s="68">
        <f t="shared" si="3"/>
        <v>169.81833333333333</v>
      </c>
      <c r="S18" s="68">
        <f t="shared" si="4"/>
        <v>324.18166666666667</v>
      </c>
      <c r="T18" s="29"/>
    </row>
    <row r="19" spans="2:20" x14ac:dyDescent="0.2">
      <c r="B19" s="65" t="s">
        <v>103</v>
      </c>
      <c r="C19" s="72">
        <v>40238</v>
      </c>
      <c r="D19" s="72"/>
      <c r="E19" s="68">
        <v>709</v>
      </c>
      <c r="F19" s="68"/>
      <c r="G19" s="68">
        <f t="shared" si="0"/>
        <v>709</v>
      </c>
      <c r="H19" s="69"/>
      <c r="I19" s="70">
        <v>0.25</v>
      </c>
      <c r="J19" s="70"/>
      <c r="K19" s="68">
        <v>177.25</v>
      </c>
      <c r="L19" s="68">
        <f t="shared" si="1"/>
        <v>11.08</v>
      </c>
      <c r="M19" s="68">
        <f t="shared" si="2"/>
        <v>11.08</v>
      </c>
      <c r="N19" s="68">
        <f t="shared" si="5"/>
        <v>11.08</v>
      </c>
      <c r="O19" s="68">
        <f t="shared" si="6"/>
        <v>11.08</v>
      </c>
      <c r="P19" s="68">
        <f t="shared" si="7"/>
        <v>11.08</v>
      </c>
      <c r="Q19" s="68">
        <f t="shared" si="7"/>
        <v>11.08</v>
      </c>
      <c r="R19" s="68">
        <f t="shared" si="3"/>
        <v>243.73000000000008</v>
      </c>
      <c r="S19" s="68">
        <f t="shared" si="4"/>
        <v>465.26999999999992</v>
      </c>
      <c r="T19" s="29"/>
    </row>
    <row r="20" spans="2:20" x14ac:dyDescent="0.2">
      <c r="B20" s="65" t="s">
        <v>109</v>
      </c>
      <c r="C20" s="72">
        <v>40358</v>
      </c>
      <c r="D20" s="72"/>
      <c r="E20" s="68"/>
      <c r="F20" s="68">
        <v>360</v>
      </c>
      <c r="G20" s="68">
        <f t="shared" si="0"/>
        <v>360</v>
      </c>
      <c r="H20" s="69"/>
      <c r="I20" s="70">
        <v>0.25</v>
      </c>
      <c r="J20" s="70"/>
      <c r="K20" s="68"/>
      <c r="L20" s="68"/>
      <c r="M20" s="68"/>
      <c r="N20" s="68">
        <f>ROUND((G20-K20)*I20/10,2)</f>
        <v>9</v>
      </c>
      <c r="O20" s="68">
        <f>ROUND(($G20-$K20)*$I20/10,2)</f>
        <v>9</v>
      </c>
      <c r="P20" s="68">
        <f>ROUND(($G20-$K20)*$I20/10,2)</f>
        <v>9</v>
      </c>
      <c r="Q20" s="68">
        <f>ROUND(($G20-$K20)*$I20/10,2)</f>
        <v>9</v>
      </c>
      <c r="R20" s="68">
        <f t="shared" si="3"/>
        <v>36</v>
      </c>
      <c r="S20" s="68">
        <f>+G20-R20</f>
        <v>324</v>
      </c>
      <c r="T20" s="29"/>
    </row>
    <row r="21" spans="2:20" x14ac:dyDescent="0.2">
      <c r="B21" s="65" t="s">
        <v>110</v>
      </c>
      <c r="C21" s="72">
        <v>40336</v>
      </c>
      <c r="D21" s="72"/>
      <c r="E21" s="67"/>
      <c r="F21" s="68">
        <v>300</v>
      </c>
      <c r="G21" s="68">
        <f t="shared" si="0"/>
        <v>300</v>
      </c>
      <c r="H21" s="69"/>
      <c r="I21" s="70">
        <v>0.25</v>
      </c>
      <c r="J21" s="70"/>
      <c r="K21" s="68"/>
      <c r="L21" s="68"/>
      <c r="M21" s="68"/>
      <c r="N21" s="68"/>
      <c r="O21" s="68">
        <f>ROUND(($G21-$K21)*$I21/9,2)</f>
        <v>8.33</v>
      </c>
      <c r="P21" s="68">
        <f>ROUND(($G21-$K21)*$I21/9,2)</f>
        <v>8.33</v>
      </c>
      <c r="Q21" s="68">
        <f>ROUND(($G21-$K21)*$I21/9,2)</f>
        <v>8.33</v>
      </c>
      <c r="R21" s="68">
        <f t="shared" si="3"/>
        <v>24.990000000000002</v>
      </c>
      <c r="S21" s="68">
        <f t="shared" si="4"/>
        <v>275.01</v>
      </c>
      <c r="T21" s="29"/>
    </row>
    <row r="22" spans="2:20" x14ac:dyDescent="0.2">
      <c r="B22" s="65"/>
      <c r="C22" s="72"/>
      <c r="D22" s="72"/>
      <c r="E22" s="67"/>
      <c r="F22" s="68"/>
      <c r="G22" s="68"/>
      <c r="H22" s="69"/>
      <c r="I22" s="70"/>
      <c r="J22" s="70"/>
      <c r="K22" s="68"/>
      <c r="L22" s="68"/>
      <c r="M22" s="68"/>
      <c r="N22" s="68"/>
      <c r="O22" s="68" t="s">
        <v>15</v>
      </c>
      <c r="P22" s="68"/>
      <c r="Q22" s="68"/>
      <c r="R22" s="68"/>
      <c r="S22" s="68"/>
      <c r="T22" s="29"/>
    </row>
    <row r="23" spans="2:20" x14ac:dyDescent="0.2">
      <c r="B23" s="65"/>
      <c r="C23" s="72"/>
      <c r="D23" s="72"/>
      <c r="E23" s="73">
        <f>SUM(E13:E21)</f>
        <v>8095</v>
      </c>
      <c r="F23" s="73">
        <f>SUM(F13:F21)</f>
        <v>660</v>
      </c>
      <c r="G23" s="73">
        <f>SUM(G13:G21)</f>
        <v>8755</v>
      </c>
      <c r="H23" s="74"/>
      <c r="I23" s="70"/>
      <c r="J23" s="70"/>
      <c r="K23" s="73">
        <f t="shared" ref="K23:S23" si="8">SUM(K13:K21)</f>
        <v>2023.75</v>
      </c>
      <c r="L23" s="73">
        <f t="shared" si="8"/>
        <v>126.49</v>
      </c>
      <c r="M23" s="73">
        <f t="shared" si="8"/>
        <v>126.49</v>
      </c>
      <c r="N23" s="73">
        <f t="shared" si="8"/>
        <v>135.49</v>
      </c>
      <c r="O23" s="73">
        <f t="shared" si="8"/>
        <v>143.82000000000002</v>
      </c>
      <c r="P23" s="73">
        <f>SUM(P13:P21)</f>
        <v>143.82000000000002</v>
      </c>
      <c r="Q23" s="73">
        <f>SUM(Q13:Q21)</f>
        <v>143.82000000000002</v>
      </c>
      <c r="R23" s="73">
        <f t="shared" si="8"/>
        <v>2843.6799999999989</v>
      </c>
      <c r="S23" s="73">
        <f t="shared" si="8"/>
        <v>5911.32</v>
      </c>
      <c r="T23" s="29"/>
    </row>
    <row r="24" spans="2:20" x14ac:dyDescent="0.2">
      <c r="B24" s="65"/>
      <c r="C24" s="72"/>
      <c r="D24" s="72"/>
      <c r="E24" s="18"/>
      <c r="F24" s="18"/>
      <c r="G24" s="18"/>
      <c r="H24" s="75"/>
      <c r="I24" s="70"/>
      <c r="J24" s="70"/>
      <c r="K24" s="18"/>
      <c r="L24" s="18"/>
      <c r="M24" s="18"/>
      <c r="N24" s="18"/>
      <c r="O24" s="18"/>
      <c r="P24" s="18"/>
      <c r="Q24" s="18"/>
      <c r="R24" s="18"/>
      <c r="S24" s="18"/>
      <c r="T24" s="29"/>
    </row>
    <row r="25" spans="2:20" ht="13.2" thickBot="1" x14ac:dyDescent="0.25">
      <c r="B25" s="76" t="s">
        <v>1</v>
      </c>
      <c r="C25" s="72"/>
      <c r="D25" s="72"/>
      <c r="E25" s="77">
        <f>+E9+E23</f>
        <v>37084.589999999997</v>
      </c>
      <c r="F25" s="77">
        <f>+F9+F23</f>
        <v>660</v>
      </c>
      <c r="G25" s="77">
        <f>+G9+G23</f>
        <v>37744.589999999997</v>
      </c>
      <c r="H25" s="78"/>
      <c r="I25" s="79"/>
      <c r="J25" s="79"/>
      <c r="K25" s="77">
        <f t="shared" ref="K25:S25" si="9">+K9+K23</f>
        <v>19848.57</v>
      </c>
      <c r="L25" s="77">
        <f t="shared" si="9"/>
        <v>359.09</v>
      </c>
      <c r="M25" s="77">
        <f t="shared" si="9"/>
        <v>359.09</v>
      </c>
      <c r="N25" s="77">
        <f t="shared" si="9"/>
        <v>368.09000000000003</v>
      </c>
      <c r="O25" s="77">
        <f t="shared" si="9"/>
        <v>376.42</v>
      </c>
      <c r="P25" s="77">
        <f>+P9+P23</f>
        <v>376.42</v>
      </c>
      <c r="Q25" s="77">
        <f>+Q9+Q23</f>
        <v>376.42</v>
      </c>
      <c r="R25" s="77">
        <f t="shared" si="9"/>
        <v>22064.099999999991</v>
      </c>
      <c r="S25" s="77">
        <f t="shared" si="9"/>
        <v>15680.490000000009</v>
      </c>
      <c r="T25" s="29"/>
    </row>
    <row r="26" spans="2:20" ht="13.2" thickTop="1" x14ac:dyDescent="0.2">
      <c r="B26" s="80"/>
      <c r="C26" s="81"/>
      <c r="D26" s="81"/>
      <c r="E26" s="82"/>
      <c r="F26" s="82"/>
      <c r="G26" s="82"/>
      <c r="H26" s="83"/>
      <c r="I26" s="84"/>
      <c r="J26" s="84"/>
      <c r="K26" s="85"/>
      <c r="L26" s="85"/>
      <c r="M26" s="85"/>
      <c r="N26" s="85"/>
      <c r="O26" s="85"/>
      <c r="P26" s="85"/>
      <c r="Q26" s="85"/>
      <c r="R26" s="85"/>
      <c r="S26" s="85"/>
    </row>
    <row r="27" spans="2:20" x14ac:dyDescent="0.2">
      <c r="B27" s="36"/>
      <c r="C27" s="36"/>
      <c r="D27" s="36"/>
      <c r="E27" s="27"/>
      <c r="F27" s="27"/>
      <c r="G27" s="86"/>
      <c r="H27" s="86"/>
      <c r="I27" s="36"/>
      <c r="J27" s="36"/>
      <c r="K27" s="27"/>
      <c r="L27" s="27"/>
      <c r="M27" s="27"/>
      <c r="N27" s="27"/>
      <c r="O27" s="27"/>
      <c r="P27" s="27"/>
      <c r="Q27" s="27"/>
      <c r="R27" s="27"/>
      <c r="S27" s="27"/>
    </row>
    <row r="28" spans="2:20" x14ac:dyDescent="0.2">
      <c r="B28" s="36"/>
      <c r="C28" s="36"/>
      <c r="D28" s="36"/>
      <c r="E28" s="27"/>
      <c r="F28" s="27"/>
      <c r="G28" s="86"/>
      <c r="H28" s="86"/>
      <c r="I28" s="36"/>
      <c r="J28" s="36"/>
      <c r="K28" s="27"/>
      <c r="L28" s="27"/>
      <c r="M28" s="29"/>
      <c r="N28" s="29"/>
      <c r="O28" s="29"/>
      <c r="P28" s="29"/>
      <c r="Q28" s="29"/>
      <c r="R28" s="29"/>
      <c r="S28" s="29"/>
    </row>
    <row r="29" spans="2:20" x14ac:dyDescent="0.2">
      <c r="B29" s="36"/>
      <c r="C29" s="36"/>
      <c r="D29" s="36"/>
      <c r="E29" s="36"/>
      <c r="F29" s="36"/>
      <c r="G29" s="27"/>
      <c r="H29" s="87"/>
      <c r="I29" s="36"/>
      <c r="J29" s="36"/>
      <c r="K29" s="36"/>
      <c r="L29" s="36"/>
    </row>
    <row r="30" spans="2:20" x14ac:dyDescent="0.2">
      <c r="B30" s="36"/>
      <c r="C30" s="36"/>
      <c r="D30" s="36"/>
      <c r="E30" s="36"/>
      <c r="F30" s="36"/>
      <c r="G30" s="27"/>
      <c r="H30" s="87"/>
      <c r="I30" s="36"/>
      <c r="J30" s="36"/>
      <c r="K30" s="36"/>
      <c r="L30" s="36"/>
    </row>
    <row r="31" spans="2:20" x14ac:dyDescent="0.2">
      <c r="B31" s="36"/>
      <c r="C31" s="36"/>
      <c r="D31" s="36"/>
      <c r="E31" s="36"/>
      <c r="F31" s="36"/>
      <c r="G31" s="27"/>
      <c r="H31" s="87"/>
      <c r="I31" s="36"/>
      <c r="J31" s="36"/>
      <c r="K31" s="36"/>
      <c r="L31" s="36"/>
    </row>
    <row r="32" spans="2:20" x14ac:dyDescent="0.2">
      <c r="B32" s="36"/>
      <c r="C32" s="36"/>
      <c r="D32" s="36"/>
      <c r="E32" s="36"/>
      <c r="F32" s="36"/>
      <c r="G32" s="87"/>
      <c r="H32" s="87"/>
      <c r="I32" s="36"/>
      <c r="J32" s="36"/>
      <c r="K32" s="36"/>
      <c r="L32" s="36"/>
    </row>
    <row r="33" spans="7:8" x14ac:dyDescent="0.2">
      <c r="G33" s="44"/>
      <c r="H33" s="44"/>
    </row>
    <row r="34" spans="7:8" x14ac:dyDescent="0.2">
      <c r="G34" s="44"/>
      <c r="H34" s="44"/>
    </row>
    <row r="35" spans="7:8" x14ac:dyDescent="0.2">
      <c r="G35" s="44"/>
      <c r="H35" s="44"/>
    </row>
  </sheetData>
  <pageMargins left="0.39370078740157483" right="0.15748031496062992" top="0.98425196850393704" bottom="0.98425196850393704" header="0.51181102362204722" footer="0.51181102362204722"/>
  <pageSetup scale="57" orientation="landscape" r:id="rId1"/>
  <headerFooter alignWithMargins="0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Profit Summary</vt:lpstr>
      <vt:lpstr>Profit &amp; loss account detail</vt:lpstr>
      <vt:lpstr>Balance sheet</vt:lpstr>
      <vt:lpstr>Cash Flow statement</vt:lpstr>
      <vt:lpstr>Fixed assets</vt:lpstr>
      <vt:lpstr>'Balance sheet'!Print_Area</vt:lpstr>
      <vt:lpstr>'Fixed assets'!Print_Area</vt:lpstr>
      <vt:lpstr>'Profit &amp; loss account detail'!Print_Area</vt:lpstr>
      <vt:lpstr>'Profit &amp; loss account detail'!Print_Titles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Kehul</dc:creator>
  <cp:lastModifiedBy>Kehul Patel</cp:lastModifiedBy>
  <dcterms:created xsi:type="dcterms:W3CDTF">2020-06-23T11:50:49Z</dcterms:created>
  <dcterms:modified xsi:type="dcterms:W3CDTF">2020-09-09T09:37:53Z</dcterms:modified>
</cp:coreProperties>
</file>