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ductor" sheetId="1" r:id="rId3"/>
    <sheet state="visible" name="FET" sheetId="2" r:id="rId4"/>
    <sheet state="visible" name="Arduino" sheetId="3" r:id="rId5"/>
    <sheet state="visible" name="Components" sheetId="4" r:id="rId6"/>
  </sheets>
  <definedNames/>
  <calcPr/>
</workbook>
</file>

<file path=xl/sharedStrings.xml><?xml version="1.0" encoding="utf-8"?>
<sst xmlns="http://schemas.openxmlformats.org/spreadsheetml/2006/main" count="194" uniqueCount="173">
  <si>
    <t>Inductor sizing</t>
  </si>
  <si>
    <t>Deb calculation</t>
  </si>
  <si>
    <t>Start calc. For higher rating</t>
  </si>
  <si>
    <t>Input voltage</t>
  </si>
  <si>
    <t>Output voltage</t>
  </si>
  <si>
    <t>Input power</t>
  </si>
  <si>
    <t>Output current</t>
  </si>
  <si>
    <t>MOSFET parameters and selection</t>
  </si>
  <si>
    <t>IRFZ44N</t>
  </si>
  <si>
    <t>IRF540</t>
  </si>
  <si>
    <t>IRFB4321</t>
  </si>
  <si>
    <t>AP9970GP</t>
  </si>
  <si>
    <t>AP9970GP *2</t>
  </si>
  <si>
    <t>RdsON (milli ohms)</t>
  </si>
  <si>
    <t>Frequency</t>
  </si>
  <si>
    <t>Duty cycle</t>
  </si>
  <si>
    <t>Vdss Volts</t>
  </si>
  <si>
    <t>Id Amps</t>
  </si>
  <si>
    <t>Design target:</t>
  </si>
  <si>
    <t>Ripple current vs Load current</t>
  </si>
  <si>
    <t>Vgc Gate capacitance pF</t>
  </si>
  <si>
    <t>Tr Rise time ns</t>
  </si>
  <si>
    <t>Ripple current (absolute, p-p)</t>
  </si>
  <si>
    <t>Tf Fall time ns</t>
  </si>
  <si>
    <t>Vds reverse diode voltage (10A)</t>
  </si>
  <si>
    <t>Buck converter situation</t>
  </si>
  <si>
    <t>Inductor value</t>
  </si>
  <si>
    <t>Panel voltage</t>
  </si>
  <si>
    <t>Battery voltage</t>
  </si>
  <si>
    <t>Battery current</t>
  </si>
  <si>
    <t>Power (Watts)</t>
  </si>
  <si>
    <t>Arduino pin assignments</t>
  </si>
  <si>
    <t>Pin</t>
  </si>
  <si>
    <t>Function</t>
  </si>
  <si>
    <t>PWM duty cycle</t>
  </si>
  <si>
    <t>J1 header</t>
  </si>
  <si>
    <t>D1/TX</t>
  </si>
  <si>
    <t>USB?</t>
  </si>
  <si>
    <t>D0/RX</t>
  </si>
  <si>
    <t>Inductor value (Microhenry)</t>
  </si>
  <si>
    <t>RESET</t>
  </si>
  <si>
    <t>Reset key</t>
  </si>
  <si>
    <t>GND</t>
  </si>
  <si>
    <t>Ground</t>
  </si>
  <si>
    <t>D2</t>
  </si>
  <si>
    <t>WiFi RX?</t>
  </si>
  <si>
    <t>D3</t>
  </si>
  <si>
    <t>WiFi TX?</t>
  </si>
  <si>
    <t>D4</t>
  </si>
  <si>
    <t>D5</t>
  </si>
  <si>
    <t>Backlight key</t>
  </si>
  <si>
    <t>D6</t>
  </si>
  <si>
    <t>Load switching</t>
  </si>
  <si>
    <t>D7</t>
  </si>
  <si>
    <t>Gate drive voltage</t>
  </si>
  <si>
    <t>D8</t>
  </si>
  <si>
    <t>Driver disable</t>
  </si>
  <si>
    <t>PWM period (microseconds)</t>
  </si>
  <si>
    <t>D9</t>
  </si>
  <si>
    <t>Driver PWM</t>
  </si>
  <si>
    <t>D10</t>
  </si>
  <si>
    <t>Derived values</t>
  </si>
  <si>
    <t>Resistive loss, Q1</t>
  </si>
  <si>
    <t>D11/MOSI</t>
  </si>
  <si>
    <t>Cycle length (microseconds)</t>
  </si>
  <si>
    <t>LED GREEN</t>
  </si>
  <si>
    <t>D12/MISO</t>
  </si>
  <si>
    <t>LED Yellow</t>
  </si>
  <si>
    <t>J2 header</t>
  </si>
  <si>
    <t>VIN (&lt;25V)</t>
  </si>
  <si>
    <t>+5V IN/OUT</t>
  </si>
  <si>
    <t>5V Buck converter</t>
  </si>
  <si>
    <t>A7</t>
  </si>
  <si>
    <t>A6</t>
  </si>
  <si>
    <t>A5</t>
  </si>
  <si>
    <t>LCD SCL</t>
  </si>
  <si>
    <t>A4</t>
  </si>
  <si>
    <t>LCD SDA</t>
  </si>
  <si>
    <t>A3</t>
  </si>
  <si>
    <t>Panel feed time (microseconds)</t>
  </si>
  <si>
    <t>A2</t>
  </si>
  <si>
    <t>Resistive loss, Q2</t>
  </si>
  <si>
    <t>Battery voltage sense</t>
  </si>
  <si>
    <t>A1</t>
  </si>
  <si>
    <t>Solar current sense</t>
  </si>
  <si>
    <t>A0</t>
  </si>
  <si>
    <t>Solar voltage sense</t>
  </si>
  <si>
    <t>AREF</t>
  </si>
  <si>
    <t>+3.3V 50mA</t>
  </si>
  <si>
    <t>D13/SCK</t>
  </si>
  <si>
    <t>LED RED</t>
  </si>
  <si>
    <t xml:space="preserve">Vacant pins: </t>
  </si>
  <si>
    <t>Data</t>
  </si>
  <si>
    <t>Earth feed time (microseconds)</t>
  </si>
  <si>
    <t>Analogue</t>
  </si>
  <si>
    <t>Panel current</t>
  </si>
  <si>
    <t>Total resistive loss Q1 + Q2</t>
  </si>
  <si>
    <t>Currents based on V = L * dI / dt</t>
  </si>
  <si>
    <t>earth current change (dI)</t>
  </si>
  <si>
    <t>Total resistive loss as % of power</t>
  </si>
  <si>
    <t>Panel current change (dI)</t>
  </si>
  <si>
    <t>Components of MPPT controller</t>
  </si>
  <si>
    <t>Arduino nano – see separate sheet</t>
  </si>
  <si>
    <t>LCD display</t>
  </si>
  <si>
    <t>Gate drive capacitor power loss</t>
  </si>
  <si>
    <t>Capacitance Power loss Watts</t>
  </si>
  <si>
    <t>Max current</t>
  </si>
  <si>
    <t>I2C</t>
  </si>
  <si>
    <t>20 character * 4 rows</t>
  </si>
  <si>
    <t>JHD629-204A, M12</t>
  </si>
  <si>
    <t>Interfaces</t>
  </si>
  <si>
    <t>Min current</t>
  </si>
  <si>
    <t xml:space="preserve">Power Input </t>
  </si>
  <si>
    <t>5V from buck converter</t>
  </si>
  <si>
    <t>from buck converter</t>
  </si>
  <si>
    <t>Data In</t>
  </si>
  <si>
    <t>Arduino A4</t>
  </si>
  <si>
    <t>Data Out</t>
  </si>
  <si>
    <t>Arduino A5</t>
  </si>
  <si>
    <t>Buck converter</t>
  </si>
  <si>
    <t>Converts 12 V battery to 5V logic power supply</t>
  </si>
  <si>
    <t>D-SUN 3 Amps</t>
  </si>
  <si>
    <t>Resistance calculation</t>
  </si>
  <si>
    <t>12 V Battery</t>
  </si>
  <si>
    <t>Wire size (wire gauge)</t>
  </si>
  <si>
    <t>Outputs to</t>
  </si>
  <si>
    <t>Arduino</t>
  </si>
  <si>
    <t>Vgs^2 * Cgs/Period</t>
  </si>
  <si>
    <t>USB port female</t>
  </si>
  <si>
    <t>Wire diameter</t>
  </si>
  <si>
    <t>Capacitance Power loss as %</t>
  </si>
  <si>
    <t>LCD</t>
  </si>
  <si>
    <t>Wire size (mm^2)</t>
  </si>
  <si>
    <t>3.3 V regulator</t>
  </si>
  <si>
    <t>Resistivity of wire (mohm/m)</t>
  </si>
  <si>
    <t>Core dimensions (mm)</t>
  </si>
  <si>
    <t>OD</t>
  </si>
  <si>
    <t>3.3V regulator</t>
  </si>
  <si>
    <t>ID</t>
  </si>
  <si>
    <t>AMS1117</t>
  </si>
  <si>
    <t>Width</t>
  </si>
  <si>
    <t>WiFi</t>
  </si>
  <si>
    <t>AI (uH / 100 turns)</t>
  </si>
  <si>
    <t>Turns for required inductance</t>
  </si>
  <si>
    <t>On/OFF switching loss</t>
  </si>
  <si>
    <t>Q1 only Watts</t>
  </si>
  <si>
    <t>ESP8266</t>
  </si>
  <si>
    <t>See instructables step 31</t>
  </si>
  <si>
    <t>Data in</t>
  </si>
  <si>
    <t>Arduino D0 ??</t>
  </si>
  <si>
    <t>Arduino D1 ??</t>
  </si>
  <si>
    <t>radio link</t>
  </si>
  <si>
    <t>Anything plugged in for USB power</t>
  </si>
  <si>
    <t>Length per turn</t>
  </si>
  <si>
    <t>Q2 only Watts</t>
  </si>
  <si>
    <t>Q1 Switching loss as %</t>
  </si>
  <si>
    <t>Total length for turns</t>
  </si>
  <si>
    <t>Q2 Switching loss as %</t>
  </si>
  <si>
    <t>Length of each tail</t>
  </si>
  <si>
    <t>Total length</t>
  </si>
  <si>
    <t>Total dissipation in Q1</t>
  </si>
  <si>
    <t>Inductor resistance milliohms</t>
  </si>
  <si>
    <t>Total dissipation in Q2</t>
  </si>
  <si>
    <t>Voltage drop in inductor (V)</t>
  </si>
  <si>
    <t>Loss as percentage</t>
  </si>
  <si>
    <t>Turns per cm of coil no insulation</t>
  </si>
  <si>
    <t>Turns per cm of coil enamel insulation</t>
  </si>
  <si>
    <t>Length of internal diameter (mm)</t>
  </si>
  <si>
    <t>Total dissipation in Q1+Q2</t>
  </si>
  <si>
    <t>No. of turns in layer one</t>
  </si>
  <si>
    <t>Total dissipation in Q1 as %</t>
  </si>
  <si>
    <t>Total dissipation in Q2 as %</t>
  </si>
  <si>
    <t>Total dissipation in Q1+Q2 as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</si>
</sst>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>
      <sz val="10.0"/>
      <name val="Arial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1" numFmtId="0" xfId="0" applyFont="1"/>
    <xf borderId="0" fillId="0" fontId="1" numFmtId="9" xfId="0" applyFont="1" applyNumberFormat="1"/>
    <xf borderId="0" fillId="0" fontId="1" numFmtId="2" xfId="0" applyFont="1" applyNumberFormat="1"/>
    <xf borderId="0" fillId="0" fontId="1" numFmtId="11" xfId="0" applyFont="1" applyNumberFormat="1"/>
    <xf borderId="0" fillId="0" fontId="2" numFmtId="11" xfId="0" applyFont="1" applyNumberFormat="1"/>
    <xf borderId="0" fillId="0" fontId="2" numFmtId="2" xfId="0" applyFont="1" applyNumberFormat="1"/>
    <xf borderId="0" fillId="0" fontId="1" numFmtId="0" xfId="0" applyFont="1"/>
    <xf borderId="0" fillId="0" fontId="1" numFmtId="10" xfId="0" applyFont="1" applyNumberFormat="1"/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2" width="11.57"/>
    <col customWidth="1" min="13" max="26" width="10.0"/>
  </cols>
  <sheetData>
    <row r="1" ht="14.25" customHeight="1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 t="s">
        <v>102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1" t="s">
        <v>103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2" t="s">
        <v>107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2" t="s">
        <v>108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2" t="s">
        <v>109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00.5" customHeight="1">
      <c r="A7" s="1" t="s">
        <v>110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 t="s">
        <v>112</v>
      </c>
      <c r="B8" s="1" t="s">
        <v>113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 t="s">
        <v>42</v>
      </c>
      <c r="B9" s="1" t="s">
        <v>114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 t="s">
        <v>115</v>
      </c>
      <c r="B10" s="1" t="s">
        <v>116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 t="s">
        <v>117</v>
      </c>
      <c r="B11" s="1" t="s">
        <v>118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1" t="s">
        <v>119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 t="s">
        <v>120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 t="s">
        <v>121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 t="s">
        <v>112</v>
      </c>
      <c r="B16" s="1" t="s">
        <v>123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 t="s">
        <v>125</v>
      </c>
      <c r="B17" s="1" t="s">
        <v>126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 t="s">
        <v>125</v>
      </c>
      <c r="B18" s="1" t="s">
        <v>128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 t="s">
        <v>125</v>
      </c>
      <c r="B19" s="1" t="s">
        <v>131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 t="s">
        <v>125</v>
      </c>
      <c r="B20" s="1" t="s">
        <v>133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1" t="s">
        <v>137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 t="s">
        <v>139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 t="s">
        <v>112</v>
      </c>
      <c r="B24" s="1" t="s">
        <v>71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 t="s">
        <v>125</v>
      </c>
      <c r="B25" s="1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1" t="s">
        <v>141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 t="s">
        <v>146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 t="s">
        <v>147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 t="s">
        <v>112</v>
      </c>
      <c r="B30" s="1" t="s">
        <v>133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 t="s">
        <v>148</v>
      </c>
      <c r="B31" s="1" t="s">
        <v>149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 t="s">
        <v>117</v>
      </c>
      <c r="B32" s="1" t="s">
        <v>150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 t="s">
        <v>125</v>
      </c>
      <c r="B33" s="1" t="s">
        <v>151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1" t="s">
        <v>128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 t="s">
        <v>112</v>
      </c>
      <c r="B36" s="1" t="s">
        <v>71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 t="s">
        <v>125</v>
      </c>
      <c r="B37" s="1" t="s">
        <v>152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0"/>
    <col customWidth="1" min="2" max="16" width="11.57"/>
    <col customWidth="1" min="17" max="26" width="10.0"/>
  </cols>
  <sheetData>
    <row r="1" ht="14.25" customHeight="1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 t="s">
        <v>13</v>
      </c>
      <c r="B3" s="1">
        <v>17.5</v>
      </c>
      <c r="C3" s="1">
        <v>77.0</v>
      </c>
      <c r="D3" s="1">
        <v>15.0</v>
      </c>
      <c r="E3" s="1">
        <v>3.2</v>
      </c>
      <c r="F3" s="3" t="str">
        <f>E3/2</f>
        <v>1.6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 t="s">
        <v>16</v>
      </c>
      <c r="B4" s="1">
        <v>55.0</v>
      </c>
      <c r="C4" s="1">
        <v>100.0</v>
      </c>
      <c r="D4" s="1">
        <v>150.0</v>
      </c>
      <c r="E4" s="1">
        <v>60.0</v>
      </c>
      <c r="F4" s="3" t="str">
        <f>E4</f>
        <v>60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 t="s">
        <v>17</v>
      </c>
      <c r="B5" s="1">
        <v>49.0</v>
      </c>
      <c r="C5" s="1">
        <v>28.0</v>
      </c>
      <c r="D5" s="1">
        <v>85.0</v>
      </c>
      <c r="E5" s="1">
        <v>240.0</v>
      </c>
      <c r="F5" s="3" t="str">
        <f t="shared" ref="F5:F6" si="1">E5*2</f>
        <v>480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 t="s">
        <v>20</v>
      </c>
      <c r="B6" s="1">
        <v>1470.0</v>
      </c>
      <c r="C6" s="1">
        <v>1700.0</v>
      </c>
      <c r="D6" s="1">
        <v>4460.0</v>
      </c>
      <c r="E6" s="1">
        <v>6430.0</v>
      </c>
      <c r="F6" s="3" t="str">
        <f t="shared" si="1"/>
        <v>12860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 t="s">
        <v>21</v>
      </c>
      <c r="B7" s="1">
        <v>60.0</v>
      </c>
      <c r="C7" s="1">
        <v>44.0</v>
      </c>
      <c r="D7" s="1">
        <v>60.0</v>
      </c>
      <c r="E7" s="1">
        <v>200.0</v>
      </c>
      <c r="F7" s="3" t="str">
        <f t="shared" ref="F7:F9" si="2">E7</f>
        <v>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 t="s">
        <v>23</v>
      </c>
      <c r="B8" s="1">
        <v>45.0</v>
      </c>
      <c r="C8" s="1">
        <v>43.0</v>
      </c>
      <c r="D8" s="1">
        <v>35.0</v>
      </c>
      <c r="E8" s="1">
        <v>240.0</v>
      </c>
      <c r="F8" s="3" t="str">
        <f t="shared" si="2"/>
        <v>240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 t="s">
        <v>24</v>
      </c>
      <c r="B9" s="1">
        <v>0.9</v>
      </c>
      <c r="C9" s="1">
        <v>0.7</v>
      </c>
      <c r="D9" s="1">
        <v>0.8</v>
      </c>
      <c r="E9" s="1">
        <v>1.3</v>
      </c>
      <c r="F9" s="3" t="str">
        <f t="shared" si="2"/>
        <v>1.3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 t="s">
        <v>25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 t="s">
        <v>27</v>
      </c>
      <c r="B12" s="1">
        <v>30.0</v>
      </c>
      <c r="C12" s="1">
        <v>30.0</v>
      </c>
      <c r="D12" s="1">
        <v>30.0</v>
      </c>
      <c r="E12" s="1">
        <v>30.0</v>
      </c>
      <c r="F12" s="1">
        <v>30.0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 t="s">
        <v>28</v>
      </c>
      <c r="B13" s="1">
        <v>12.0</v>
      </c>
      <c r="C13" s="1">
        <v>12.0</v>
      </c>
      <c r="D13" s="1">
        <v>12.0</v>
      </c>
      <c r="E13" s="1">
        <v>12.0</v>
      </c>
      <c r="F13" s="1">
        <v>12.0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 t="s">
        <v>29</v>
      </c>
      <c r="B14" s="1">
        <v>10.0</v>
      </c>
      <c r="C14" s="1">
        <v>10.0</v>
      </c>
      <c r="D14" s="1">
        <v>10.0</v>
      </c>
      <c r="E14" s="1">
        <v>10.0</v>
      </c>
      <c r="F14" s="1">
        <v>10.0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 t="s">
        <v>30</v>
      </c>
      <c r="B15" s="3" t="str">
        <f t="shared" ref="B15:F15" si="3">B13*B14</f>
        <v>120</v>
      </c>
      <c r="C15" s="3" t="str">
        <f t="shared" si="3"/>
        <v>120</v>
      </c>
      <c r="D15" s="3" t="str">
        <f t="shared" si="3"/>
        <v>120</v>
      </c>
      <c r="E15" s="3" t="str">
        <f t="shared" si="3"/>
        <v>120</v>
      </c>
      <c r="F15" s="3" t="str">
        <f t="shared" si="3"/>
        <v>120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 t="s">
        <v>34</v>
      </c>
      <c r="B16" s="3" t="str">
        <f t="shared" ref="B16:F16" si="4">B13/B12</f>
        <v>0.4</v>
      </c>
      <c r="C16" s="3" t="str">
        <f t="shared" si="4"/>
        <v>0.4</v>
      </c>
      <c r="D16" s="3" t="str">
        <f t="shared" si="4"/>
        <v>0.4</v>
      </c>
      <c r="E16" s="3" t="str">
        <f t="shared" si="4"/>
        <v>0.4</v>
      </c>
      <c r="F16" s="3" t="str">
        <f t="shared" si="4"/>
        <v>0.4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 t="s">
        <v>54</v>
      </c>
      <c r="B17" s="1">
        <v>12.0</v>
      </c>
      <c r="C17" s="1">
        <v>12.0</v>
      </c>
      <c r="D17" s="1">
        <v>12.0</v>
      </c>
      <c r="E17" s="1">
        <v>12.0</v>
      </c>
      <c r="F17" s="1">
        <v>12.0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 t="s">
        <v>57</v>
      </c>
      <c r="B18" s="1">
        <v>20.0</v>
      </c>
      <c r="C18" s="1">
        <v>20.0</v>
      </c>
      <c r="D18" s="1">
        <v>20.0</v>
      </c>
      <c r="E18" s="1">
        <v>20.0</v>
      </c>
      <c r="F18" s="1">
        <v>20.0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 t="s">
        <v>62</v>
      </c>
      <c r="B21" s="9" t="str">
        <f t="shared" ref="B21:F21" si="5">B14^2*B3*B16/1000</f>
        <v>0.7</v>
      </c>
      <c r="C21" s="9" t="str">
        <f t="shared" si="5"/>
        <v>3.08</v>
      </c>
      <c r="D21" s="9" t="str">
        <f t="shared" si="5"/>
        <v>0.6</v>
      </c>
      <c r="E21" s="9" t="str">
        <f t="shared" si="5"/>
        <v>0.128</v>
      </c>
      <c r="F21" s="9" t="str">
        <f t="shared" si="5"/>
        <v>0.064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 t="s">
        <v>81</v>
      </c>
      <c r="B22" s="3" t="str">
        <f t="shared" ref="B22:F22" si="6">B14^2*B3*(1-B16)/1000</f>
        <v>1.05</v>
      </c>
      <c r="C22" s="3" t="str">
        <f t="shared" si="6"/>
        <v>4.62</v>
      </c>
      <c r="D22" s="3" t="str">
        <f t="shared" si="6"/>
        <v>0.9</v>
      </c>
      <c r="E22" s="3" t="str">
        <f t="shared" si="6"/>
        <v>0.192</v>
      </c>
      <c r="F22" s="3" t="str">
        <f t="shared" si="6"/>
        <v>0.096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 t="s">
        <v>96</v>
      </c>
      <c r="B23" s="3" t="str">
        <f t="shared" ref="B23:F23" si="7">SUM(B21:B22)</f>
        <v>1.75</v>
      </c>
      <c r="C23" s="3" t="str">
        <f t="shared" si="7"/>
        <v>7.7</v>
      </c>
      <c r="D23" s="3" t="str">
        <f t="shared" si="7"/>
        <v>1.5</v>
      </c>
      <c r="E23" s="3" t="str">
        <f t="shared" si="7"/>
        <v>0.32</v>
      </c>
      <c r="F23" s="3" t="str">
        <f t="shared" si="7"/>
        <v>0.16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 t="s">
        <v>99</v>
      </c>
      <c r="B24" s="10" t="str">
        <f t="shared" ref="B24:F24" si="8">B23/B15</f>
        <v>1.46%</v>
      </c>
      <c r="C24" s="10" t="str">
        <f t="shared" si="8"/>
        <v>6.42%</v>
      </c>
      <c r="D24" s="10" t="str">
        <f t="shared" si="8"/>
        <v>1.25%</v>
      </c>
      <c r="E24" s="10" t="str">
        <f t="shared" si="8"/>
        <v>0.27%</v>
      </c>
      <c r="F24" s="10" t="str">
        <f t="shared" si="8"/>
        <v>0.13%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 t="s">
        <v>104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 t="s">
        <v>105</v>
      </c>
      <c r="B27" s="3" t="str">
        <f t="shared" ref="B27:F27" si="9">B17^2*B6/B18*10^-6</f>
        <v>0.010584</v>
      </c>
      <c r="C27" s="3" t="str">
        <f t="shared" si="9"/>
        <v>0.01224</v>
      </c>
      <c r="D27" s="3" t="str">
        <f t="shared" si="9"/>
        <v>0.032112</v>
      </c>
      <c r="E27" s="3" t="str">
        <f t="shared" si="9"/>
        <v>0.046296</v>
      </c>
      <c r="F27" s="3" t="str">
        <f t="shared" si="9"/>
        <v>0.092592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 t="s">
        <v>127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 t="s">
        <v>130</v>
      </c>
      <c r="B29" s="10" t="str">
        <f t="shared" ref="B29:F29" si="10">B27/B15</f>
        <v>0.01%</v>
      </c>
      <c r="C29" s="10" t="str">
        <f t="shared" si="10"/>
        <v>0.01%</v>
      </c>
      <c r="D29" s="10" t="str">
        <f t="shared" si="10"/>
        <v>0.03%</v>
      </c>
      <c r="E29" s="10" t="str">
        <f t="shared" si="10"/>
        <v>0.04%</v>
      </c>
      <c r="F29" s="10" t="str">
        <f t="shared" si="10"/>
        <v>0.08%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 t="s">
        <v>144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 t="s">
        <v>145</v>
      </c>
      <c r="B32" s="3" t="str">
        <f t="shared" ref="B32:F32" si="11">(B7+B8)/2*B14*B12/B18/1000</f>
        <v>0.7875</v>
      </c>
      <c r="C32" s="3" t="str">
        <f t="shared" si="11"/>
        <v>0.6525</v>
      </c>
      <c r="D32" s="3" t="str">
        <f t="shared" si="11"/>
        <v>0.7125</v>
      </c>
      <c r="E32" s="3" t="str">
        <f t="shared" si="11"/>
        <v>3.3</v>
      </c>
      <c r="F32" s="3" t="str">
        <f t="shared" si="11"/>
        <v>3.3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 t="s">
        <v>154</v>
      </c>
      <c r="B33" s="9" t="str">
        <f t="shared" ref="B33:F33" si="12">(B7+B8)/2*B14*B9/B18/1000</f>
        <v>0.023625</v>
      </c>
      <c r="C33" s="9" t="str">
        <f t="shared" si="12"/>
        <v>0.015225</v>
      </c>
      <c r="D33" s="9" t="str">
        <f t="shared" si="12"/>
        <v>0.019</v>
      </c>
      <c r="E33" s="9" t="str">
        <f t="shared" si="12"/>
        <v>0.143</v>
      </c>
      <c r="F33" s="9" t="str">
        <f t="shared" si="12"/>
        <v>0.143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 t="s">
        <v>155</v>
      </c>
      <c r="B34" s="10" t="str">
        <f t="shared" ref="B34:F34" si="13">B32/B$15</f>
        <v>0.66%</v>
      </c>
      <c r="C34" s="10" t="str">
        <f t="shared" si="13"/>
        <v>0.54%</v>
      </c>
      <c r="D34" s="10" t="str">
        <f t="shared" si="13"/>
        <v>0.59%</v>
      </c>
      <c r="E34" s="10" t="str">
        <f t="shared" si="13"/>
        <v>2.75%</v>
      </c>
      <c r="F34" s="10" t="str">
        <f t="shared" si="13"/>
        <v>2.75%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 t="s">
        <v>157</v>
      </c>
      <c r="B35" s="10" t="str">
        <f t="shared" ref="B35:F35" si="14">B33/B$15</f>
        <v>0.02%</v>
      </c>
      <c r="C35" s="10" t="str">
        <f t="shared" si="14"/>
        <v>0.01%</v>
      </c>
      <c r="D35" s="10" t="str">
        <f t="shared" si="14"/>
        <v>0.02%</v>
      </c>
      <c r="E35" s="10" t="str">
        <f t="shared" si="14"/>
        <v>0.12%</v>
      </c>
      <c r="F35" s="10" t="str">
        <f t="shared" si="14"/>
        <v>0.12%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2"/>
      <c r="C36" s="12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 t="s">
        <v>160</v>
      </c>
      <c r="B37" s="3" t="str">
        <f t="shared" ref="B37:F37" si="15">B21+B27+B32</f>
        <v>1.498084</v>
      </c>
      <c r="C37" s="3" t="str">
        <f t="shared" si="15"/>
        <v>3.74474</v>
      </c>
      <c r="D37" s="3" t="str">
        <f t="shared" si="15"/>
        <v>1.344612</v>
      </c>
      <c r="E37" s="3" t="str">
        <f t="shared" si="15"/>
        <v>3.474296</v>
      </c>
      <c r="F37" s="3" t="str">
        <f t="shared" si="15"/>
        <v>3.456592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 t="s">
        <v>162</v>
      </c>
      <c r="B38" s="3" t="str">
        <f t="shared" ref="B38:F38" si="16">B22+B27+B33</f>
        <v>1.084209</v>
      </c>
      <c r="C38" s="3" t="str">
        <f t="shared" si="16"/>
        <v>4.647465</v>
      </c>
      <c r="D38" s="3" t="str">
        <f t="shared" si="16"/>
        <v>0.951112</v>
      </c>
      <c r="E38" s="3" t="str">
        <f t="shared" si="16"/>
        <v>0.381296</v>
      </c>
      <c r="F38" s="3" t="str">
        <f t="shared" si="16"/>
        <v>0.331592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 t="s">
        <v>168</v>
      </c>
      <c r="B39" s="3" t="str">
        <f t="shared" ref="B39:F39" si="17">SUM(B37:B38)</f>
        <v>2.582293</v>
      </c>
      <c r="C39" s="3" t="str">
        <f t="shared" si="17"/>
        <v>8.392205</v>
      </c>
      <c r="D39" s="3" t="str">
        <f t="shared" si="17"/>
        <v>2.295724</v>
      </c>
      <c r="E39" s="3" t="str">
        <f t="shared" si="17"/>
        <v>3.855592</v>
      </c>
      <c r="F39" s="3" t="str">
        <f t="shared" si="17"/>
        <v>3.788184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 t="s">
        <v>170</v>
      </c>
      <c r="B41" s="10" t="str">
        <f t="shared" ref="B41:F41" si="18">B37/B$15</f>
        <v>1.25%</v>
      </c>
      <c r="C41" s="10" t="str">
        <f t="shared" si="18"/>
        <v>3.12%</v>
      </c>
      <c r="D41" s="10" t="str">
        <f t="shared" si="18"/>
        <v>1.12%</v>
      </c>
      <c r="E41" s="10" t="str">
        <f t="shared" si="18"/>
        <v>2.90%</v>
      </c>
      <c r="F41" s="10" t="str">
        <f t="shared" si="18"/>
        <v>2.88%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 t="s">
        <v>171</v>
      </c>
      <c r="B42" s="10" t="str">
        <f t="shared" ref="B42:F42" si="19">B38/B$15</f>
        <v>0.90%</v>
      </c>
      <c r="C42" s="10" t="str">
        <f t="shared" si="19"/>
        <v>3.87%</v>
      </c>
      <c r="D42" s="10" t="str">
        <f t="shared" si="19"/>
        <v>0.79%</v>
      </c>
      <c r="E42" s="10" t="str">
        <f t="shared" si="19"/>
        <v>0.32%</v>
      </c>
      <c r="F42" s="10" t="str">
        <f t="shared" si="19"/>
        <v>0.28%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 t="s">
        <v>172</v>
      </c>
      <c r="B43" s="10" t="str">
        <f t="shared" ref="B43:F43" si="20">B39/B$15</f>
        <v>2.15%</v>
      </c>
      <c r="C43" s="10" t="str">
        <f t="shared" si="20"/>
        <v>6.99%</v>
      </c>
      <c r="D43" s="10" t="str">
        <f t="shared" si="20"/>
        <v>1.91%</v>
      </c>
      <c r="E43" s="10" t="str">
        <f t="shared" si="20"/>
        <v>3.21%</v>
      </c>
      <c r="F43" s="10" t="str">
        <f t="shared" si="20"/>
        <v>3.16%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2.0"/>
    <col customWidth="1" min="2" max="14" width="11.57"/>
    <col customWidth="1" min="15" max="26" width="10.0"/>
  </cols>
  <sheetData>
    <row r="1" ht="14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 t="s">
        <v>1</v>
      </c>
      <c r="C2" s="1"/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 t="s">
        <v>3</v>
      </c>
      <c r="B3" s="1">
        <v>15.0</v>
      </c>
      <c r="C3" s="1">
        <v>20.0</v>
      </c>
      <c r="D3" s="1">
        <v>40.0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 t="s">
        <v>4</v>
      </c>
      <c r="B4" s="1">
        <v>12.0</v>
      </c>
      <c r="C4" s="1">
        <v>12.0</v>
      </c>
      <c r="D4" s="1">
        <v>12.0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 t="s">
        <v>5</v>
      </c>
      <c r="B5" s="1">
        <v>50.0</v>
      </c>
      <c r="C5" s="1">
        <v>50.0</v>
      </c>
      <c r="D5" s="1">
        <v>500.0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 t="s">
        <v>6</v>
      </c>
      <c r="B6" s="2" t="str">
        <f t="shared" ref="B6:D6" si="1">B5/B4</f>
        <v>4.167</v>
      </c>
      <c r="C6" s="2" t="str">
        <f t="shared" si="1"/>
        <v>4.167</v>
      </c>
      <c r="D6" s="2" t="str">
        <f t="shared" si="1"/>
        <v>41.667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 t="s">
        <v>14</v>
      </c>
      <c r="B7" s="1">
        <v>50000.0</v>
      </c>
      <c r="C7" s="1">
        <v>50000.0</v>
      </c>
      <c r="D7" s="1">
        <v>50000.0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 t="s">
        <v>15</v>
      </c>
      <c r="B8" s="3" t="str">
        <f t="shared" ref="B8:D8" si="2">B4/B3</f>
        <v>0.8</v>
      </c>
      <c r="C8" s="2" t="str">
        <f t="shared" si="2"/>
        <v>0.600</v>
      </c>
      <c r="D8" s="3" t="str">
        <f t="shared" si="2"/>
        <v>0.3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 t="s">
        <v>18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 t="s">
        <v>19</v>
      </c>
      <c r="B10" s="4">
        <v>0.35</v>
      </c>
      <c r="C10" s="4">
        <v>0.35</v>
      </c>
      <c r="D10" s="4">
        <v>0.35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 t="s">
        <v>22</v>
      </c>
      <c r="B11" s="2" t="str">
        <f t="shared" ref="B11:D11" si="3">B6*B10</f>
        <v>1.458</v>
      </c>
      <c r="C11" s="5" t="str">
        <f t="shared" si="3"/>
        <v>1.46</v>
      </c>
      <c r="D11" s="2" t="str">
        <f t="shared" si="3"/>
        <v>14.583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 t="s">
        <v>26</v>
      </c>
      <c r="B12" s="6" t="str">
        <f>(B3-B4)*B8/B7/B10/B6</f>
        <v>3.29E-05</v>
      </c>
      <c r="C12" s="7" t="str">
        <f t="shared" ref="C12:C13" si="4">B12</f>
        <v>3.29E-05</v>
      </c>
      <c r="D12" s="6" t="str">
        <f>(D3-D4)*D8/D7/D10/D6</f>
        <v>1.15E-05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 t="s">
        <v>39</v>
      </c>
      <c r="B13" s="5" t="str">
        <f>B12*1000000</f>
        <v>32.91</v>
      </c>
      <c r="C13" s="8" t="str">
        <f t="shared" si="4"/>
        <v>32.91</v>
      </c>
      <c r="D13" s="5" t="str">
        <f>D12*1000000</f>
        <v>11.52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 t="s">
        <v>61</v>
      </c>
      <c r="B14" s="5"/>
      <c r="C14" s="5"/>
      <c r="D14" s="5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 t="s">
        <v>64</v>
      </c>
      <c r="B15" s="3" t="str">
        <f t="shared" ref="B15:D15" si="5">1000000/B7</f>
        <v>20</v>
      </c>
      <c r="C15" s="3" t="str">
        <f t="shared" si="5"/>
        <v>20</v>
      </c>
      <c r="D15" s="3" t="str">
        <f t="shared" si="5"/>
        <v>20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 t="s">
        <v>79</v>
      </c>
      <c r="B16" s="3" t="str">
        <f t="shared" ref="B16:D16" si="6">B15*B8</f>
        <v>16</v>
      </c>
      <c r="C16" s="5" t="str">
        <f t="shared" si="6"/>
        <v>12.00</v>
      </c>
      <c r="D16" s="3" t="str">
        <f t="shared" si="6"/>
        <v>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 t="s">
        <v>93</v>
      </c>
      <c r="B17" s="3" t="str">
        <f t="shared" ref="B17:D17" si="7">B15*(1-B8)</f>
        <v>4</v>
      </c>
      <c r="C17" s="5" t="str">
        <f t="shared" si="7"/>
        <v>8.00</v>
      </c>
      <c r="D17" s="3" t="str">
        <f t="shared" si="7"/>
        <v>14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 t="s">
        <v>95</v>
      </c>
      <c r="B18" s="3" t="str">
        <f t="shared" ref="B18:D18" si="8">B5/B3</f>
        <v>3.333333333</v>
      </c>
      <c r="C18" s="3" t="str">
        <f t="shared" si="8"/>
        <v>2.5</v>
      </c>
      <c r="D18" s="3" t="str">
        <f t="shared" si="8"/>
        <v>12.5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 t="s">
        <v>97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 t="s">
        <v>98</v>
      </c>
      <c r="B20" s="2" t="str">
        <f t="shared" ref="B20:D20" si="9">-B4*B17/B13</f>
        <v>-1.458</v>
      </c>
      <c r="C20" s="2" t="str">
        <f t="shared" si="9"/>
        <v>-2.917</v>
      </c>
      <c r="D20" s="2" t="str">
        <f t="shared" si="9"/>
        <v>-14.583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 t="s">
        <v>100</v>
      </c>
      <c r="B21" s="2" t="str">
        <f t="shared" ref="B21:D21" si="10">(B3-B4)*B16/B13</f>
        <v>1.458</v>
      </c>
      <c r="C21" s="2" t="str">
        <f t="shared" si="10"/>
        <v>2.917</v>
      </c>
      <c r="D21" s="2" t="str">
        <f t="shared" si="10"/>
        <v>14.583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 t="s">
        <v>106</v>
      </c>
      <c r="B22" s="5" t="str">
        <f t="shared" ref="B22:D22" si="11">B6+B21/2</f>
        <v>4.90</v>
      </c>
      <c r="C22" s="5" t="str">
        <f t="shared" si="11"/>
        <v>5.63</v>
      </c>
      <c r="D22" s="5" t="str">
        <f t="shared" si="11"/>
        <v>48.96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 t="s">
        <v>111</v>
      </c>
      <c r="B23" s="5" t="str">
        <f t="shared" ref="B23:D23" si="12">B6+B20/2</f>
        <v>3.44</v>
      </c>
      <c r="C23" s="5" t="str">
        <f t="shared" si="12"/>
        <v>2.71</v>
      </c>
      <c r="D23" s="5" t="str">
        <f t="shared" si="12"/>
        <v>34.38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 t="s">
        <v>122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 t="s">
        <v>124</v>
      </c>
      <c r="B26" s="1">
        <v>20.0</v>
      </c>
      <c r="C26" s="1"/>
      <c r="D26" s="1">
        <v>20.0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 t="s">
        <v>129</v>
      </c>
      <c r="B27" s="1">
        <v>0.81</v>
      </c>
      <c r="C27" s="1"/>
      <c r="D27" s="1">
        <v>0.81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 t="s">
        <v>132</v>
      </c>
      <c r="B28" s="1">
        <v>0.518</v>
      </c>
      <c r="C28" s="1"/>
      <c r="D28" s="1">
        <v>0.518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 t="s">
        <v>134</v>
      </c>
      <c r="B29" s="1">
        <v>33.31</v>
      </c>
      <c r="C29" s="1"/>
      <c r="D29" s="1">
        <v>33.31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 t="s">
        <v>135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 t="s">
        <v>136</v>
      </c>
      <c r="B31" s="1">
        <v>23.9</v>
      </c>
      <c r="C31" s="1"/>
      <c r="D31" s="1">
        <v>23.9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 t="s">
        <v>138</v>
      </c>
      <c r="B32" s="1">
        <v>14.2</v>
      </c>
      <c r="C32" s="1"/>
      <c r="D32" s="1">
        <v>14.2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 t="s">
        <v>140</v>
      </c>
      <c r="B33" s="1">
        <v>7.9</v>
      </c>
      <c r="C33" s="1"/>
      <c r="D33" s="1">
        <v>7.9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 t="s">
        <v>142</v>
      </c>
      <c r="B34" s="1">
        <v>590.0</v>
      </c>
      <c r="C34" s="1"/>
      <c r="D34" s="1">
        <v>590.0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 t="s">
        <v>143</v>
      </c>
      <c r="B35" s="3" t="str">
        <f>ROUND(100*(B13/B34)^0.5,0)</f>
        <v>24</v>
      </c>
      <c r="C35" s="1"/>
      <c r="D35" s="3" t="str">
        <f>ROUND(100*(D13/D34)^0.5,0)</f>
        <v>14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 t="s">
        <v>153</v>
      </c>
      <c r="B36" s="3" t="str">
        <f>(B31-B32)+B33*2</f>
        <v>25.5</v>
      </c>
      <c r="C36" s="1"/>
      <c r="D36" s="3" t="str">
        <f>(D31-D32)+D33*2</f>
        <v>25.5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 t="s">
        <v>156</v>
      </c>
      <c r="B37" s="3" t="str">
        <f>B35*B36</f>
        <v>612</v>
      </c>
      <c r="C37" s="1"/>
      <c r="D37" s="3" t="str">
        <f>D35*D36</f>
        <v>357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 t="s">
        <v>158</v>
      </c>
      <c r="B38" s="1">
        <v>30.0</v>
      </c>
      <c r="C38" s="1"/>
      <c r="D38" s="1">
        <v>30.0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 t="s">
        <v>159</v>
      </c>
      <c r="B39" s="3" t="str">
        <f>B37+2*B38</f>
        <v>672</v>
      </c>
      <c r="C39" s="1"/>
      <c r="D39" s="3" t="str">
        <f>D37+2*D38</f>
        <v>417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 t="s">
        <v>161</v>
      </c>
      <c r="B40" s="5" t="str">
        <f>B29*B39/1000</f>
        <v>22.38</v>
      </c>
      <c r="C40" s="1"/>
      <c r="D40" s="5" t="str">
        <f>D29*D39/1000</f>
        <v>13.89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 t="s">
        <v>163</v>
      </c>
      <c r="B41" s="2" t="str">
        <f>B6*B40/1000</f>
        <v>0.093</v>
      </c>
      <c r="C41" s="1"/>
      <c r="D41" s="2" t="str">
        <f>D6*D40/1000</f>
        <v>0.579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 t="s">
        <v>164</v>
      </c>
      <c r="B42" s="10" t="str">
        <f>B41/B4</f>
        <v>0.78%</v>
      </c>
      <c r="C42" s="1"/>
      <c r="D42" s="10" t="str">
        <f>D41/D4</f>
        <v>4.82%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 t="s">
        <v>165</v>
      </c>
      <c r="B43" s="1">
        <v>12.5</v>
      </c>
      <c r="C43" s="1"/>
      <c r="D43" s="1">
        <v>12.5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 t="s">
        <v>166</v>
      </c>
      <c r="B44" s="1">
        <v>11.0</v>
      </c>
      <c r="C44" s="1"/>
      <c r="D44" s="1">
        <v>11.0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 t="s">
        <v>167</v>
      </c>
      <c r="B45" s="3" t="str">
        <f>ROUND((B32-B27)*PI(),0)</f>
        <v>42</v>
      </c>
      <c r="C45" s="1"/>
      <c r="D45" s="3" t="str">
        <f>ROUND((D32-D27)*PI(),0)</f>
        <v>42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 t="s">
        <v>169</v>
      </c>
      <c r="B46" s="3" t="str">
        <f>ROUND(B45*B44/10,0)</f>
        <v>46</v>
      </c>
      <c r="C46" s="1"/>
      <c r="D46" s="3" t="str">
        <f>ROUND(D45*D44/10,0)</f>
        <v>46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1.57"/>
    <col customWidth="1" min="3" max="3" width="18.43"/>
    <col customWidth="1" min="4" max="13" width="11.57"/>
    <col customWidth="1" min="14" max="26" width="10.0"/>
  </cols>
  <sheetData>
    <row r="1" ht="14.25" customHeight="1">
      <c r="A1" s="1" t="s">
        <v>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 t="s">
        <v>32</v>
      </c>
      <c r="C2" s="1" t="s">
        <v>33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>
        <v>1.0</v>
      </c>
      <c r="B4" s="1" t="s">
        <v>36</v>
      </c>
      <c r="C4" s="1" t="s">
        <v>37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>
        <v>2.0</v>
      </c>
      <c r="B5" s="1" t="s">
        <v>38</v>
      </c>
      <c r="C5" s="1" t="s">
        <v>37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>
        <v>3.0</v>
      </c>
      <c r="B6" s="1" t="s">
        <v>40</v>
      </c>
      <c r="C6" s="1" t="s">
        <v>41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>
        <v>4.0</v>
      </c>
      <c r="B7" s="1" t="s">
        <v>42</v>
      </c>
      <c r="C7" s="1" t="s">
        <v>43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>
        <v>5.0</v>
      </c>
      <c r="B8" s="1" t="s">
        <v>44</v>
      </c>
      <c r="C8" s="1" t="s">
        <v>45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>
        <v>6.0</v>
      </c>
      <c r="B9" s="1" t="s">
        <v>46</v>
      </c>
      <c r="C9" s="1" t="s">
        <v>47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>
        <v>7.0</v>
      </c>
      <c r="B10" s="1" t="s">
        <v>48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>
        <v>8.0</v>
      </c>
      <c r="B11" s="1" t="s">
        <v>49</v>
      </c>
      <c r="C11" s="1" t="s">
        <v>50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>
        <v>9.0</v>
      </c>
      <c r="B12" s="1" t="s">
        <v>51</v>
      </c>
      <c r="C12" s="1" t="s">
        <v>52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>
        <v>10.0</v>
      </c>
      <c r="B13" s="1" t="s">
        <v>53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>
        <v>11.0</v>
      </c>
      <c r="B14" s="1" t="s">
        <v>55</v>
      </c>
      <c r="C14" s="1" t="s">
        <v>56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>
        <v>12.0</v>
      </c>
      <c r="B15" s="1" t="s">
        <v>58</v>
      </c>
      <c r="C15" s="1" t="s">
        <v>59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>
        <v>13.0</v>
      </c>
      <c r="B16" s="1" t="s">
        <v>60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>
        <v>14.0</v>
      </c>
      <c r="B17" s="1" t="s">
        <v>63</v>
      </c>
      <c r="C17" s="1" t="s">
        <v>65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>
        <v>15.0</v>
      </c>
      <c r="B18" s="1" t="s">
        <v>66</v>
      </c>
      <c r="C18" s="1" t="s">
        <v>67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 t="s">
        <v>68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>
        <v>1.0</v>
      </c>
      <c r="B20" s="1" t="s">
        <v>69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>
        <v>2.0</v>
      </c>
      <c r="B21" s="1" t="s">
        <v>42</v>
      </c>
      <c r="C21" s="1" t="s">
        <v>43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>
        <v>3.0</v>
      </c>
      <c r="B22" s="1" t="s">
        <v>40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>
        <v>4.0</v>
      </c>
      <c r="B23" s="1" t="s">
        <v>70</v>
      </c>
      <c r="C23" s="1" t="s">
        <v>71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>
        <v>5.0</v>
      </c>
      <c r="B24" s="1" t="s">
        <v>72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>
        <v>6.0</v>
      </c>
      <c r="B25" s="1" t="s">
        <v>73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>
        <v>7.0</v>
      </c>
      <c r="B26" s="1" t="s">
        <v>74</v>
      </c>
      <c r="C26" s="1" t="s">
        <v>75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>
        <v>8.0</v>
      </c>
      <c r="B27" s="1" t="s">
        <v>76</v>
      </c>
      <c r="C27" s="1" t="s">
        <v>77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>
        <v>9.0</v>
      </c>
      <c r="B28" s="1" t="s">
        <v>78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>
        <v>10.0</v>
      </c>
      <c r="B29" s="1" t="s">
        <v>80</v>
      </c>
      <c r="C29" s="1" t="s">
        <v>82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>
        <v>11.0</v>
      </c>
      <c r="B30" s="1" t="s">
        <v>83</v>
      </c>
      <c r="C30" s="1" t="s">
        <v>84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>
        <v>12.0</v>
      </c>
      <c r="B31" s="1" t="s">
        <v>85</v>
      </c>
      <c r="C31" s="1" t="s">
        <v>86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>
        <v>13.0</v>
      </c>
      <c r="B32" s="1" t="s">
        <v>87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>
        <v>14.0</v>
      </c>
      <c r="B33" s="1" t="s">
        <v>88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>
        <v>15.0</v>
      </c>
      <c r="B34" s="1" t="s">
        <v>89</v>
      </c>
      <c r="C34" s="1" t="s">
        <v>90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 t="s">
        <v>91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 t="s">
        <v>92</v>
      </c>
      <c r="B37" s="1">
        <v>3.0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 t="s">
        <v>94</v>
      </c>
      <c r="B38" s="1">
        <v>3.0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