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tro\data\DeepSkyCatalogs\Format\Classific\Red Star and Carbon Star\"/>
    </mc:Choice>
  </mc:AlternateContent>
  <bookViews>
    <workbookView xWindow="0" yWindow="0" windowWidth="20490" windowHeight="7560"/>
  </bookViews>
  <sheets>
    <sheet name="映射表" sheetId="3" r:id="rId1"/>
    <sheet name="原表" sheetId="2" r:id="rId2"/>
    <sheet name="参考" sheetId="1" r:id="rId3"/>
  </sheets>
  <definedNames>
    <definedName name="__Anonymous_Sheet_DB__1">原表!$A$1:$Y$151</definedName>
    <definedName name="_xlnm._FilterDatabase" localSheetId="1" hidden="1">原表!$T$1:$T$157</definedName>
    <definedName name="_xlnm.Print_Area" localSheetId="1">原表!$E:$R</definedName>
    <definedName name="_xlnm.Print_Titles" localSheetId="1">原表!$1:$1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1" i="3" l="1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<sst xmlns="http://schemas.openxmlformats.org/spreadsheetml/2006/main" count="1992" uniqueCount="1039">
  <si>
    <t>PSA</t>
  </si>
  <si>
    <t>RASC</t>
  </si>
  <si>
    <t>CSC</t>
  </si>
  <si>
    <t>OTH</t>
  </si>
  <si>
    <t>Date</t>
  </si>
  <si>
    <t>Comments</t>
  </si>
  <si>
    <t>vMag</t>
  </si>
  <si>
    <t>PSA Ch</t>
  </si>
  <si>
    <t>Name</t>
  </si>
  <si>
    <t>ID</t>
    <phoneticPr fontId="4" type="noConversion"/>
  </si>
  <si>
    <t>R.A.</t>
  </si>
  <si>
    <t>Dec.</t>
  </si>
  <si>
    <t>vMag Range</t>
  </si>
  <si>
    <t>RASC B-V</t>
  </si>
  <si>
    <t>My B-V</t>
  </si>
  <si>
    <t>B-V Source</t>
  </si>
  <si>
    <t>Cat. #</t>
  </si>
  <si>
    <t>Per</t>
  </si>
  <si>
    <t>HIP</t>
  </si>
  <si>
    <t>Spec Type</t>
  </si>
  <si>
    <t>Var Type</t>
  </si>
  <si>
    <t>CSH Comments</t>
  </si>
  <si>
    <t>Etc</t>
  </si>
  <si>
    <t>PSA Notes</t>
  </si>
  <si>
    <t>WZ Cas</t>
  </si>
  <si>
    <t>00 01 15</t>
  </si>
  <si>
    <t>+60 21 19</t>
  </si>
  <si>
    <t>6.9 - 11.0</t>
  </si>
  <si>
    <t>1978A&amp;AS...34....1N</t>
  </si>
  <si>
    <t>SAO 21002</t>
  </si>
  <si>
    <t>C9,2JLi</t>
  </si>
  <si>
    <t>Semiregular</t>
  </si>
  <si>
    <t>Great colour contrast with nearby star.</t>
  </si>
  <si>
    <t>Not named</t>
  </si>
  <si>
    <t>SU And</t>
  </si>
  <si>
    <t>00 04 36</t>
  </si>
  <si>
    <t>+43 33 04</t>
  </si>
  <si>
    <t xml:space="preserve">8.0 - 8.5 </t>
  </si>
  <si>
    <t>GSC 2793: 243</t>
  </si>
  <si>
    <t>Irr</t>
  </si>
  <si>
    <t>C6,4</t>
  </si>
  <si>
    <t>LC</t>
  </si>
  <si>
    <t>SAO 109003 (Psc)</t>
  </si>
  <si>
    <t>SAO 109003</t>
  </si>
  <si>
    <t>00 05 22</t>
  </si>
  <si>
    <t>+08 47 16</t>
  </si>
  <si>
    <t xml:space="preserve">8.2 - 8.3 </t>
  </si>
  <si>
    <t>--</t>
  </si>
  <si>
    <t>1964ApJ...139.1163W</t>
  </si>
  <si>
    <t>GSC 594: 778</t>
  </si>
  <si>
    <t xml:space="preserve">  ?</t>
  </si>
  <si>
    <t>G4V:p</t>
  </si>
  <si>
    <t>???</t>
  </si>
  <si>
    <t>Guide says no variability detected</t>
  </si>
  <si>
    <t>Star with envelope of CH type. May not be C* or V*.</t>
  </si>
  <si>
    <t>ST Cas</t>
  </si>
  <si>
    <t>00 17 32</t>
  </si>
  <si>
    <t>+50 17 14</t>
  </si>
  <si>
    <t>GSC 3255: 823</t>
  </si>
  <si>
    <t>?</t>
  </si>
  <si>
    <t>C4,4</t>
  </si>
  <si>
    <t>vsx mag p, used guide 8</t>
  </si>
  <si>
    <t>VX And</t>
  </si>
  <si>
    <t>00 19 54</t>
  </si>
  <si>
    <t>+44 42 33</t>
  </si>
  <si>
    <t xml:space="preserve">7.8 - 9.3 </t>
  </si>
  <si>
    <t>Skiff B-V</t>
  </si>
  <si>
    <t>GSC 2794: 14</t>
  </si>
  <si>
    <t>C4,5J</t>
  </si>
  <si>
    <t>Carbon Mira</t>
  </si>
  <si>
    <t>NQ Cas</t>
  </si>
  <si>
    <t>00 24 35</t>
  </si>
  <si>
    <t>+54 17 38</t>
  </si>
  <si>
    <t>GSC 3653: 1117</t>
  </si>
  <si>
    <t>LB</t>
  </si>
  <si>
    <t>vsx mag b, used guide 8</t>
  </si>
  <si>
    <t>AQ And</t>
  </si>
  <si>
    <t>00 27 31</t>
  </si>
  <si>
    <t>+35 35 14</t>
  </si>
  <si>
    <t xml:space="preserve">6.9 - 8.6 </t>
  </si>
  <si>
    <t>1971ApJ...167..521R</t>
  </si>
  <si>
    <t>GSC 2270: 318</t>
  </si>
  <si>
    <t>C5,4</t>
  </si>
  <si>
    <t>NSV 15196 (And)</t>
  </si>
  <si>
    <t>SAO 74353</t>
  </si>
  <si>
    <t>00 54 13</t>
  </si>
  <si>
    <t>+24 04 01</t>
  </si>
  <si>
    <t xml:space="preserve">8.3 - 8.7 </t>
  </si>
  <si>
    <t>1986EgUBV........0M</t>
  </si>
  <si>
    <t>C1,2CH</t>
  </si>
  <si>
    <t>Suspected</t>
  </si>
  <si>
    <t>W Cas</t>
  </si>
  <si>
    <t>00 54 53</t>
  </si>
  <si>
    <t>+58 33 49</t>
  </si>
  <si>
    <t>7.8 - 12.5</t>
  </si>
  <si>
    <t>GSC 368: 1824</t>
  </si>
  <si>
    <t>C7,1e</t>
  </si>
  <si>
    <t>Z Psc</t>
  </si>
  <si>
    <t>01 16 05</t>
  </si>
  <si>
    <t>+25 46 09</t>
  </si>
  <si>
    <t xml:space="preserve">6.5 - 7.9 </t>
  </si>
  <si>
    <t>SAO 74593</t>
  </si>
  <si>
    <t>C7,2</t>
  </si>
  <si>
    <t>R Scl</t>
  </si>
  <si>
    <t>01 26 58</t>
  </si>
  <si>
    <t>-32 32 36</t>
  </si>
  <si>
    <t>5.7 – 8.1</t>
  </si>
  <si>
    <t>SAO 193122</t>
  </si>
  <si>
    <t>C6,5ea</t>
  </si>
  <si>
    <t>WW Cas</t>
  </si>
  <si>
    <t>01 33 33</t>
  </si>
  <si>
    <t>+57 45 05</t>
  </si>
  <si>
    <t>9.1 – 11.7</t>
  </si>
  <si>
    <t>7260 A</t>
  </si>
  <si>
    <t>C5,5</t>
  </si>
  <si>
    <t>double star</t>
  </si>
  <si>
    <t>V Ari</t>
  </si>
  <si>
    <t>02 15 00</t>
  </si>
  <si>
    <t>+12 14 23</t>
  </si>
  <si>
    <t>8.3 - 10.8</t>
  </si>
  <si>
    <t>SAO 92853</t>
  </si>
  <si>
    <t>C5p,5</t>
  </si>
  <si>
    <t>R For</t>
  </si>
  <si>
    <t>02 29 15</t>
  </si>
  <si>
    <t>-26 05 56</t>
  </si>
  <si>
    <t>7.5 – 13.0</t>
  </si>
  <si>
    <t>1980SAAOC...1..112W</t>
  </si>
  <si>
    <t>GSC 6433: 295</t>
  </si>
  <si>
    <t>C4,3e</t>
  </si>
  <si>
    <t>SAO 129989 (Cet)</t>
  </si>
  <si>
    <t>SAO 129989</t>
  </si>
  <si>
    <t>02 35 06</t>
  </si>
  <si>
    <t>-09 26 34</t>
  </si>
  <si>
    <t xml:space="preserve">8.2 - 8.5 </t>
  </si>
  <si>
    <t>GSC 5285:3</t>
  </si>
  <si>
    <t>C2,3</t>
  </si>
  <si>
    <t>aka HD 16115 in RASC</t>
  </si>
  <si>
    <t>DY Per</t>
  </si>
  <si>
    <t>02 35 17</t>
  </si>
  <si>
    <t>+56 08 45</t>
  </si>
  <si>
    <t>10.6 – 13.2</t>
  </si>
  <si>
    <t>GSC 03691-01782</t>
  </si>
  <si>
    <t>C4,5</t>
  </si>
  <si>
    <t>UY And</t>
  </si>
  <si>
    <t>02 38 23</t>
  </si>
  <si>
    <t>+39 10 09</t>
  </si>
  <si>
    <t>7.4 - 12.3</t>
  </si>
  <si>
    <t>GSC 2832:2</t>
  </si>
  <si>
    <t>C5,4(N3)</t>
  </si>
  <si>
    <t>Plotted, named, no (c)</t>
  </si>
  <si>
    <t>V623 Cas</t>
  </si>
  <si>
    <t>03 11 25</t>
  </si>
  <si>
    <t>+57 54 11</t>
  </si>
  <si>
    <t xml:space="preserve">7.3 - 8.1 </t>
  </si>
  <si>
    <t>SAO 23858</t>
  </si>
  <si>
    <t>Plotted, not named</t>
  </si>
  <si>
    <t>Y Per</t>
  </si>
  <si>
    <t>03 27 42</t>
  </si>
  <si>
    <t>+44 10 36</t>
  </si>
  <si>
    <t>8.1 - 11.3</t>
  </si>
  <si>
    <t>GSC 2873: 1287</t>
  </si>
  <si>
    <t>V466 Per</t>
  </si>
  <si>
    <t>03 41 29</t>
  </si>
  <si>
    <t>+51 30 11</t>
  </si>
  <si>
    <t xml:space="preserve">8.4 - 8.9 </t>
  </si>
  <si>
    <t>NSV 1223</t>
  </si>
  <si>
    <t>U Cam</t>
  </si>
  <si>
    <t>03 41 48</t>
  </si>
  <si>
    <t>+62 38 54</t>
  </si>
  <si>
    <t xml:space="preserve">6.9 - 7.6 </t>
  </si>
  <si>
    <t>SAO 12870</t>
  </si>
  <si>
    <t>17257 A</t>
  </si>
  <si>
    <t>C5,5e</t>
  </si>
  <si>
    <t>AC Per</t>
  </si>
  <si>
    <t>03 45 03</t>
  </si>
  <si>
    <t>+44 46 52</t>
  </si>
  <si>
    <t>TYC 2875-2430-1</t>
  </si>
  <si>
    <t>C6,3</t>
  </si>
  <si>
    <t>UV Cam</t>
  </si>
  <si>
    <t>04 05 53</t>
  </si>
  <si>
    <t>+61 47 39</t>
  </si>
  <si>
    <t xml:space="preserve">7.5 - 8.1 </t>
  </si>
  <si>
    <t>SAO 13009</t>
  </si>
  <si>
    <t>C5,3</t>
  </si>
  <si>
    <t>XX Cam</t>
  </si>
  <si>
    <t>04 08 38</t>
  </si>
  <si>
    <t>+53 21 39</t>
  </si>
  <si>
    <t>7.1 - 10.0</t>
  </si>
  <si>
    <t>1973PASP...85..606L</t>
  </si>
  <si>
    <t>SAO 24431</t>
  </si>
  <si>
    <t>G1I(C0-2,0)</t>
  </si>
  <si>
    <t>R Crb ???</t>
  </si>
  <si>
    <t>T Cae</t>
  </si>
  <si>
    <t xml:space="preserve">04 47 19 </t>
  </si>
  <si>
    <t>-36 12 34</t>
  </si>
  <si>
    <t>SAO 19529</t>
  </si>
  <si>
    <t>ST Cam</t>
  </si>
  <si>
    <t>04 51 13</t>
  </si>
  <si>
    <t>+68 10 07</t>
  </si>
  <si>
    <t xml:space="preserve">6.7 - 8.4 </t>
  </si>
  <si>
    <t>SAO 13285</t>
  </si>
  <si>
    <t>TT Tau</t>
  </si>
  <si>
    <t>04 51 31</t>
  </si>
  <si>
    <t>+28 31 36</t>
  </si>
  <si>
    <t>7.7 - 10.0</t>
  </si>
  <si>
    <t>SAO 76788</t>
  </si>
  <si>
    <t>C7,4</t>
  </si>
  <si>
    <t>V346 Aur</t>
  </si>
  <si>
    <t>04 52 35</t>
  </si>
  <si>
    <t>+38 30 20</t>
  </si>
  <si>
    <t>SAO 57472</t>
  </si>
  <si>
    <t>C8,1J</t>
  </si>
  <si>
    <t>R Lep</t>
  </si>
  <si>
    <t>04 59 36</t>
  </si>
  <si>
    <t>-14 48 22</t>
  </si>
  <si>
    <t>5.5 - 11.7</t>
  </si>
  <si>
    <t>SAO 150058</t>
  </si>
  <si>
    <t>C7,6e</t>
  </si>
  <si>
    <t>Hind's Crimson Star</t>
  </si>
  <si>
    <t>EL Aur</t>
  </si>
  <si>
    <t>05 03 23</t>
  </si>
  <si>
    <t>+50 37 58</t>
  </si>
  <si>
    <t xml:space="preserve">8.5 - 8.7 </t>
  </si>
  <si>
    <t>SAO 24981</t>
  </si>
  <si>
    <t>W Ori</t>
  </si>
  <si>
    <t>05 05 23</t>
  </si>
  <si>
    <t>+01 10 39</t>
  </si>
  <si>
    <t>5.8 - 10.0</t>
  </si>
  <si>
    <t>SAO 112406</t>
  </si>
  <si>
    <t>TX Aur</t>
  </si>
  <si>
    <t>05 09 05</t>
  </si>
  <si>
    <t>+39 00 08</t>
  </si>
  <si>
    <t xml:space="preserve">8.5 - 9.2 </t>
  </si>
  <si>
    <t>GSC 2895: 203</t>
  </si>
  <si>
    <t>SY Eri</t>
  </si>
  <si>
    <t>05 09 48</t>
  </si>
  <si>
    <t>-05 30 55</t>
  </si>
  <si>
    <t>8.3 - 10.0</t>
  </si>
  <si>
    <t>SAO 131832</t>
  </si>
  <si>
    <t>UV Aur</t>
  </si>
  <si>
    <t>05 21 48</t>
  </si>
  <si>
    <t>+32 30 43</t>
  </si>
  <si>
    <t>7.4 - 10.6</t>
  </si>
  <si>
    <t>SAO 57941</t>
  </si>
  <si>
    <t>C7,2Jep</t>
  </si>
  <si>
    <t>S Aur</t>
  </si>
  <si>
    <t>05 27 07</t>
  </si>
  <si>
    <t>+34 08 59</t>
  </si>
  <si>
    <t>8.2 - 13.3</t>
  </si>
  <si>
    <t>GSC 2411: 222</t>
  </si>
  <si>
    <t>C4-5</t>
  </si>
  <si>
    <t>RT Ori</t>
  </si>
  <si>
    <t>05 33 13</t>
  </si>
  <si>
    <t>+07 09 12</t>
  </si>
  <si>
    <t xml:space="preserve">8.0 - 8.9 </t>
  </si>
  <si>
    <t>GSC 126: 161</t>
  </si>
  <si>
    <t>SZ Lep</t>
  </si>
  <si>
    <t>05 35 48</t>
  </si>
  <si>
    <t>-25 44 19</t>
  </si>
  <si>
    <t>7.4 – 7.9</t>
  </si>
  <si>
    <t>SAO 170582</t>
  </si>
  <si>
    <t>C7,3</t>
  </si>
  <si>
    <t>S Cam</t>
  </si>
  <si>
    <t>05 41 02</t>
  </si>
  <si>
    <t>+68 47 55</t>
  </si>
  <si>
    <t>7.7 - 11.6</t>
  </si>
  <si>
    <t>1958AJ.....63..477V</t>
  </si>
  <si>
    <t>SAO 13563</t>
  </si>
  <si>
    <t>C7,3e</t>
  </si>
  <si>
    <t>TU Tau</t>
  </si>
  <si>
    <t>05 45 13</t>
  </si>
  <si>
    <t>+24 25 12</t>
  </si>
  <si>
    <t xml:space="preserve">5.9 - 9.2 </t>
  </si>
  <si>
    <t>SAO 77502</t>
  </si>
  <si>
    <t>Y Tau</t>
  </si>
  <si>
    <t>05 45 39</t>
  </si>
  <si>
    <t>+20 41 42</t>
  </si>
  <si>
    <t xml:space="preserve">6.5 - 9.2 </t>
  </si>
  <si>
    <t>SAO 77516</t>
  </si>
  <si>
    <t>C6.5,4e</t>
  </si>
  <si>
    <t>FU Aur</t>
  </si>
  <si>
    <t>05 48 08</t>
  </si>
  <si>
    <t>+30 37 51</t>
  </si>
  <si>
    <t xml:space="preserve">8.3 - 8.5 </t>
  </si>
  <si>
    <t>SAO 58449</t>
  </si>
  <si>
    <t>added in RASC 2015</t>
  </si>
  <si>
    <t>SU Tau</t>
  </si>
  <si>
    <t>05 49 00</t>
  </si>
  <si>
    <t>+19 04 00</t>
  </si>
  <si>
    <t>9.1 – 18.0</t>
  </si>
  <si>
    <t>C1,0</t>
  </si>
  <si>
    <t>TU Gem</t>
  </si>
  <si>
    <t>06 10 53</t>
  </si>
  <si>
    <t>+26 00 53</t>
  </si>
  <si>
    <t xml:space="preserve">7.4 - 8.4 </t>
  </si>
  <si>
    <t>SAO 78066</t>
  </si>
  <si>
    <t>GK Ori</t>
  </si>
  <si>
    <t>06 17 42</t>
  </si>
  <si>
    <t>+08 31 11</t>
  </si>
  <si>
    <t>9.5 – 11.0</t>
  </si>
  <si>
    <t>FU Mon</t>
  </si>
  <si>
    <t>06 22 23</t>
  </si>
  <si>
    <t>+03 25 27</t>
  </si>
  <si>
    <t xml:space="preserve">8.5 - 9.8 </t>
  </si>
  <si>
    <t>GSC 136: 183</t>
  </si>
  <si>
    <t>C8,0J(CSe)</t>
  </si>
  <si>
    <t>V Aur</t>
  </si>
  <si>
    <t>06 24 02</t>
  </si>
  <si>
    <t>+47 42 23</t>
  </si>
  <si>
    <t>8.5 - 13.0</t>
  </si>
  <si>
    <t>GSC 3380: 1119</t>
  </si>
  <si>
    <t>C6,2e</t>
  </si>
  <si>
    <t>BL Ori</t>
  </si>
  <si>
    <t>06 25 28</t>
  </si>
  <si>
    <t>+14 43 19</t>
  </si>
  <si>
    <t xml:space="preserve">6.0 - 7.0 </t>
  </si>
  <si>
    <t>SAO 95659</t>
  </si>
  <si>
    <t>RV Aur</t>
  </si>
  <si>
    <t>06 34 45</t>
  </si>
  <si>
    <t>+42 30 13</t>
  </si>
  <si>
    <t>HD 46321</t>
  </si>
  <si>
    <t>UU Aur</t>
  </si>
  <si>
    <t>06 36 32</t>
  </si>
  <si>
    <t>+38 26 43</t>
  </si>
  <si>
    <t xml:space="preserve">5.1 - 7.0 </t>
  </si>
  <si>
    <t>SAO 59280</t>
  </si>
  <si>
    <t>VW Gem</t>
  </si>
  <si>
    <t>06 42 08</t>
  </si>
  <si>
    <t>+31 27 17</t>
  </si>
  <si>
    <t xml:space="preserve">8.1 - 8.5 </t>
  </si>
  <si>
    <t>SAO 59383</t>
  </si>
  <si>
    <t>GY Mon</t>
  </si>
  <si>
    <t>06 53 11</t>
  </si>
  <si>
    <t>-04 34 34</t>
  </si>
  <si>
    <t xml:space="preserve">8.1 - 9.0 </t>
  </si>
  <si>
    <t>SAO 133825</t>
  </si>
  <si>
    <t>NP Pup</t>
  </si>
  <si>
    <t>06 54 27</t>
  </si>
  <si>
    <t>-42 21 56</t>
  </si>
  <si>
    <t>6.2 – 6.5</t>
  </si>
  <si>
    <t>SAO 218296</t>
  </si>
  <si>
    <t>C-R3</t>
  </si>
  <si>
    <t>RV Mon</t>
  </si>
  <si>
    <t>06 58 21</t>
  </si>
  <si>
    <t>+06 10 01</t>
  </si>
  <si>
    <t xml:space="preserve">7.0 - 8.9 </t>
  </si>
  <si>
    <t>SAO 114704</t>
  </si>
  <si>
    <t>V614 Mon</t>
  </si>
  <si>
    <t>07 01 01</t>
  </si>
  <si>
    <t>-03 15 09</t>
  </si>
  <si>
    <t xml:space="preserve">7.0 - 7.4 </t>
  </si>
  <si>
    <t>SAO 134049</t>
  </si>
  <si>
    <t>RY Mon</t>
  </si>
  <si>
    <t>07 06 56</t>
  </si>
  <si>
    <t>-07 33 26</t>
  </si>
  <si>
    <t xml:space="preserve">7.5 - 9.2 </t>
  </si>
  <si>
    <t>GSC 5381: 403</t>
  </si>
  <si>
    <t>C5,5:</t>
  </si>
  <si>
    <t>W CMa</t>
  </si>
  <si>
    <t>07 08 03</t>
  </si>
  <si>
    <t>-11 55 23</t>
  </si>
  <si>
    <t xml:space="preserve">6.4 - 7.9 </t>
  </si>
  <si>
    <t>SAO 152427</t>
  </si>
  <si>
    <t>R CMi</t>
  </si>
  <si>
    <t>07 08 42</t>
  </si>
  <si>
    <t>+10 01 26</t>
  </si>
  <si>
    <t>7.3 - 11.6</t>
  </si>
  <si>
    <t>1955AnAp...18..292J</t>
  </si>
  <si>
    <t>SAO 96548</t>
  </si>
  <si>
    <t>C7,1Je</t>
  </si>
  <si>
    <t>BM Gem</t>
  </si>
  <si>
    <t>07 20 59</t>
  </si>
  <si>
    <t>+24 59 58</t>
  </si>
  <si>
    <t xml:space="preserve">8.3 - 9.2 </t>
  </si>
  <si>
    <t>GSC 1913: 1170</t>
  </si>
  <si>
    <t>C5,4J</t>
  </si>
  <si>
    <t>RU Cam</t>
  </si>
  <si>
    <t>07 21 44</t>
  </si>
  <si>
    <t>+69 40 14</t>
  </si>
  <si>
    <t xml:space="preserve">8.1 - 9.8 </t>
  </si>
  <si>
    <t>SAO 14157</t>
  </si>
  <si>
    <t>C2,3e</t>
  </si>
  <si>
    <t>CWA</t>
  </si>
  <si>
    <t>BE CMa</t>
  </si>
  <si>
    <t>07 23 39</t>
  </si>
  <si>
    <t>-22 58 11</t>
  </si>
  <si>
    <t>GSC 6537: 508</t>
  </si>
  <si>
    <t>C5,5J</t>
  </si>
  <si>
    <t>NQ Gem</t>
  </si>
  <si>
    <t>07 31 54</t>
  </si>
  <si>
    <t>+24 30 12</t>
  </si>
  <si>
    <t xml:space="preserve">7.4 - 8.0 </t>
  </si>
  <si>
    <t>SAO 79474</t>
  </si>
  <si>
    <t>Symbiotic</t>
  </si>
  <si>
    <t>W CMi</t>
  </si>
  <si>
    <t>07 48 46</t>
  </si>
  <si>
    <t>+05 23 35</t>
  </si>
  <si>
    <t>8.7 – 9.0</t>
  </si>
  <si>
    <t>SAO 115963</t>
  </si>
  <si>
    <t>RT Pup</t>
  </si>
  <si>
    <t>08 05 20</t>
  </si>
  <si>
    <t>-38 46 36</t>
  </si>
  <si>
    <t>SAO 198783</t>
  </si>
  <si>
    <t>C6,2</t>
  </si>
  <si>
    <t>RU Pup</t>
  </si>
  <si>
    <t>08 07 29</t>
  </si>
  <si>
    <t>-22 54 45</t>
  </si>
  <si>
    <t>8.1 - 11.1</t>
  </si>
  <si>
    <t>SAO 175215</t>
  </si>
  <si>
    <t>BL</t>
  </si>
  <si>
    <t>IR Pup</t>
  </si>
  <si>
    <t>08 11 41</t>
  </si>
  <si>
    <t>-21 12 37</t>
  </si>
  <si>
    <t>TYC 6008-2034-1</t>
  </si>
  <si>
    <t>C4,3(N)</t>
  </si>
  <si>
    <t>RY Hya</t>
  </si>
  <si>
    <t>08 20 06</t>
  </si>
  <si>
    <t>+02 45 56</t>
  </si>
  <si>
    <t>C6,4e</t>
  </si>
  <si>
    <t>AC Pup</t>
  </si>
  <si>
    <t>08 22 44</t>
  </si>
  <si>
    <t>-15 54 59</t>
  </si>
  <si>
    <t>8.9 – 10.1</t>
  </si>
  <si>
    <t>GSC 5997: 899</t>
  </si>
  <si>
    <t>41061 A</t>
  </si>
  <si>
    <t>YY Pyx</t>
  </si>
  <si>
    <t>08 28 14</t>
  </si>
  <si>
    <t>-27 15 28</t>
  </si>
  <si>
    <t>GSC 6577: 244</t>
  </si>
  <si>
    <t>C</t>
  </si>
  <si>
    <t>vsx mag Hp, used guide 8</t>
  </si>
  <si>
    <t>UZ Pyx</t>
  </si>
  <si>
    <t>08 46 36</t>
  </si>
  <si>
    <t>-29 43 41</t>
  </si>
  <si>
    <t>7.0 – 7.5</t>
  </si>
  <si>
    <t>SAO 176458</t>
  </si>
  <si>
    <t>X Cnc</t>
  </si>
  <si>
    <t>08 55 22</t>
  </si>
  <si>
    <t>+17 13 52</t>
  </si>
  <si>
    <t xml:space="preserve">5.6 - 7.5 </t>
  </si>
  <si>
    <t>1966CoLPL...4...99J</t>
  </si>
  <si>
    <t>SAO 98230</t>
  </si>
  <si>
    <t>T Cnc</t>
  </si>
  <si>
    <t>08 56 40</t>
  </si>
  <si>
    <t>+19 50 56</t>
  </si>
  <si>
    <t>7.6 - 10.5</t>
  </si>
  <si>
    <t>SAO 80524</t>
  </si>
  <si>
    <t>C4,7</t>
  </si>
  <si>
    <t>RT UMa</t>
  </si>
  <si>
    <t>09 18 24</t>
  </si>
  <si>
    <t>+51 24 07</t>
  </si>
  <si>
    <t>8.6 – 9.6</t>
  </si>
  <si>
    <t>Y Hya</t>
  </si>
  <si>
    <t>09 51 03</t>
  </si>
  <si>
    <t>-23 01 02</t>
  </si>
  <si>
    <t xml:space="preserve">6.5 - 9.0 </t>
  </si>
  <si>
    <t>SAO 178088</t>
  </si>
  <si>
    <t>Sa</t>
  </si>
  <si>
    <t>X Vel</t>
  </si>
  <si>
    <t>09 55 26</t>
  </si>
  <si>
    <t>-41 35 13</t>
  </si>
  <si>
    <t>SAO 221606</t>
  </si>
  <si>
    <t>C4-5,4-5(Nb)</t>
  </si>
  <si>
    <t>SZ Car</t>
  </si>
  <si>
    <t>09 59 52</t>
  </si>
  <si>
    <t>-60 13 06</t>
  </si>
  <si>
    <t>GSC 8942: 2668</t>
  </si>
  <si>
    <t>AB Ant</t>
  </si>
  <si>
    <t>10 11 54</t>
  </si>
  <si>
    <t>-35 19 29</t>
  </si>
  <si>
    <t>6.8 – 6.9</t>
  </si>
  <si>
    <t>SAO 201156</t>
  </si>
  <si>
    <t>U Ant</t>
  </si>
  <si>
    <t>10 35 13</t>
  </si>
  <si>
    <t>-39 33 45</t>
  </si>
  <si>
    <t>SAO 201533</t>
  </si>
  <si>
    <t>C5,3(Nb)</t>
  </si>
  <si>
    <t>semiregular</t>
  </si>
  <si>
    <t>U Hya</t>
  </si>
  <si>
    <t>10 37 33</t>
  </si>
  <si>
    <t>-13 23 04</t>
  </si>
  <si>
    <t xml:space="preserve">4.5 - 6.2 </t>
  </si>
  <si>
    <t>SAO 156110</t>
  </si>
  <si>
    <t>C6.5,3</t>
  </si>
  <si>
    <t>VY UMa</t>
  </si>
  <si>
    <t>10 45 04</t>
  </si>
  <si>
    <t>+67 24 40</t>
  </si>
  <si>
    <t xml:space="preserve">5.9 - 7.0 </t>
  </si>
  <si>
    <t>SAO 15274</t>
  </si>
  <si>
    <t>TZ Car</t>
  </si>
  <si>
    <t>10 46 03</t>
  </si>
  <si>
    <t>-65 36 53</t>
  </si>
  <si>
    <t>GSC 8965: 623</t>
  </si>
  <si>
    <t>V Hya</t>
  </si>
  <si>
    <t>10 51 37</t>
  </si>
  <si>
    <t>-21 15 00</t>
  </si>
  <si>
    <t>6.5 - 12.0</t>
  </si>
  <si>
    <t>SAO 179278</t>
  </si>
  <si>
    <t>C6,3e</t>
  </si>
  <si>
    <t>SY Car</t>
  </si>
  <si>
    <t>11 15 39</t>
  </si>
  <si>
    <t>-57 55 42</t>
  </si>
  <si>
    <t>GSC 8624: 485</t>
  </si>
  <si>
    <t>S Cen</t>
  </si>
  <si>
    <t>12 24 34</t>
  </si>
  <si>
    <t>-49 26 25</t>
  </si>
  <si>
    <t>SAO 223414</t>
  </si>
  <si>
    <t>SS Vir</t>
  </si>
  <si>
    <t>12 25 14</t>
  </si>
  <si>
    <t>+00 46 10</t>
  </si>
  <si>
    <t xml:space="preserve">6.0 - 9.6 </t>
  </si>
  <si>
    <t>GSC 282:753</t>
  </si>
  <si>
    <t>Y CVn</t>
  </si>
  <si>
    <t>12 45 07</t>
  </si>
  <si>
    <t>+45 26 24</t>
  </si>
  <si>
    <t xml:space="preserve">4.8 - 6.4 </t>
  </si>
  <si>
    <t>SAO 44317</t>
  </si>
  <si>
    <t>La Superba</t>
  </si>
  <si>
    <t>RU Vir</t>
  </si>
  <si>
    <t>12 47 18</t>
  </si>
  <si>
    <t>+04 08 41</t>
  </si>
  <si>
    <t>7.9 – 14.2</t>
  </si>
  <si>
    <t>HD 111166</t>
  </si>
  <si>
    <t>C8,1e</t>
  </si>
  <si>
    <t>Sk</t>
  </si>
  <si>
    <t>DY Cru</t>
  </si>
  <si>
    <t>12 47 25</t>
  </si>
  <si>
    <t>-59 41 41</t>
  </si>
  <si>
    <t>8.4 – 9.9</t>
  </si>
  <si>
    <t>GSC 8659: 1394</t>
  </si>
  <si>
    <t>aka EsB 365</t>
  </si>
  <si>
    <t>RY Dra</t>
  </si>
  <si>
    <t>12 56 25</t>
  </si>
  <si>
    <t>+65 59 39</t>
  </si>
  <si>
    <t xml:space="preserve">6.0 - 8.0 </t>
  </si>
  <si>
    <t>1965ApJ...141..161M</t>
  </si>
  <si>
    <t>SAO 15945</t>
  </si>
  <si>
    <t>TT CVn</t>
  </si>
  <si>
    <t>12 59 23</t>
  </si>
  <si>
    <t>+37 49 04</t>
  </si>
  <si>
    <t>SAO 63280</t>
  </si>
  <si>
    <t>C3,5CH</t>
  </si>
  <si>
    <t>SAO 157721 (Vir)</t>
  </si>
  <si>
    <t>SAO 157721</t>
  </si>
  <si>
    <t>13 06 24</t>
  </si>
  <si>
    <t>-20 03 31</t>
  </si>
  <si>
    <t xml:space="preserve">8.5 - 8.5 </t>
  </si>
  <si>
    <t>GSC 6118: 1194</t>
  </si>
  <si>
    <t>C2(K5p)</t>
  </si>
  <si>
    <t>No variability detected</t>
  </si>
  <si>
    <t>HM Lib</t>
  </si>
  <si>
    <t>15 27 48</t>
  </si>
  <si>
    <t>-25 10 10</t>
  </si>
  <si>
    <t>7.4 – 7.6</t>
  </si>
  <si>
    <t>SAO 183485</t>
  </si>
  <si>
    <t>C-Hd2lb C2 3.5 CH0</t>
  </si>
  <si>
    <t>R CrB</t>
  </si>
  <si>
    <t>15 48 36</t>
  </si>
  <si>
    <t>+28 09 00</t>
  </si>
  <si>
    <t>5.7 – 15.2</t>
  </si>
  <si>
    <t>C0,0</t>
  </si>
  <si>
    <t>V CrB</t>
  </si>
  <si>
    <t>15 49 31</t>
  </si>
  <si>
    <t>+39 34 17</t>
  </si>
  <si>
    <t>6.9 - 12.6</t>
  </si>
  <si>
    <t>SAO 64929</t>
  </si>
  <si>
    <t>RR Her</t>
  </si>
  <si>
    <t>16 04 13</t>
  </si>
  <si>
    <t>+50 29 56</t>
  </si>
  <si>
    <t>SAO 29781</t>
  </si>
  <si>
    <t>C6,5e</t>
  </si>
  <si>
    <t>V Oph</t>
  </si>
  <si>
    <t>16 26 43</t>
  </si>
  <si>
    <t>-12 25 35</t>
  </si>
  <si>
    <t>1973PASP...85..625L</t>
  </si>
  <si>
    <t>SAO 159916</t>
  </si>
  <si>
    <t>80550 A</t>
  </si>
  <si>
    <t>SU Sco</t>
  </si>
  <si>
    <t>16 40 39</t>
  </si>
  <si>
    <t>-32 22 48</t>
  </si>
  <si>
    <t>SAO 207911</t>
  </si>
  <si>
    <t>V901 Sco</t>
  </si>
  <si>
    <t>17 02 46</t>
  </si>
  <si>
    <t>-32 43 32</t>
  </si>
  <si>
    <t>GSC 7364: 692</t>
  </si>
  <si>
    <t>Ce(Ne)</t>
  </si>
  <si>
    <t>is not HIP 83404</t>
  </si>
  <si>
    <t>vsx mag p, used BL</t>
  </si>
  <si>
    <t>SAO 46574 (Her)</t>
  </si>
  <si>
    <t>SAO 46574</t>
  </si>
  <si>
    <t>17 13 31</t>
  </si>
  <si>
    <t>+42 06 22</t>
  </si>
  <si>
    <t xml:space="preserve">7.3 - 7.7 </t>
  </si>
  <si>
    <t>GSC 3081: 810</t>
  </si>
  <si>
    <t>C3(R0)</t>
  </si>
  <si>
    <t>TW Oph</t>
  </si>
  <si>
    <t>17 29 43</t>
  </si>
  <si>
    <t>-19 28 22</t>
  </si>
  <si>
    <t xml:space="preserve">7.0 - 9.0 </t>
  </si>
  <si>
    <t>GSC 6243: 462</t>
  </si>
  <si>
    <t>V Pav</t>
  </si>
  <si>
    <t>17 43 19</t>
  </si>
  <si>
    <t>-57 43 26</t>
  </si>
  <si>
    <t>GSC 8737: 1110</t>
  </si>
  <si>
    <t>C6,4(Nb)</t>
  </si>
  <si>
    <t>SZ Sgr</t>
  </si>
  <si>
    <t>17 44 56</t>
  </si>
  <si>
    <t>-18 39 26</t>
  </si>
  <si>
    <t xml:space="preserve">8.2 - 9.2 </t>
  </si>
  <si>
    <t>SAO 160795</t>
  </si>
  <si>
    <t>86873 A</t>
  </si>
  <si>
    <t>SX Sco</t>
  </si>
  <si>
    <t>17 47 28</t>
  </si>
  <si>
    <t>-35 42 05</t>
  </si>
  <si>
    <t>SAO 209256</t>
  </si>
  <si>
    <t>T Dra</t>
  </si>
  <si>
    <t>17 56 23</t>
  </si>
  <si>
    <t>+58 13 06</t>
  </si>
  <si>
    <t>7.2 - 13.5</t>
  </si>
  <si>
    <t>GSC 3914: 546</t>
  </si>
  <si>
    <t>C7,2e</t>
  </si>
  <si>
    <t>wide double</t>
  </si>
  <si>
    <t>FO Ser</t>
  </si>
  <si>
    <t>18 19 21</t>
  </si>
  <si>
    <t>-15 36 46</t>
  </si>
  <si>
    <t>SAO 161327</t>
  </si>
  <si>
    <t>AC Her</t>
  </si>
  <si>
    <t>18 30 16</t>
  </si>
  <si>
    <t>+21 52 00</t>
  </si>
  <si>
    <t xml:space="preserve">6.9 - 9.0 </t>
  </si>
  <si>
    <t>SAO 86134</t>
  </si>
  <si>
    <t>F2pIb-K4e(C0,0)</t>
  </si>
  <si>
    <t>RV Tau</t>
  </si>
  <si>
    <t>SS Sgr</t>
  </si>
  <si>
    <t>18 30 26</t>
  </si>
  <si>
    <t>-16 53 49</t>
  </si>
  <si>
    <t>GSC 6270: 1521</t>
  </si>
  <si>
    <t>C3,4</t>
  </si>
  <si>
    <t>T Lyr</t>
  </si>
  <si>
    <t>18 32 20</t>
  </si>
  <si>
    <t>+36 59 55</t>
  </si>
  <si>
    <t xml:space="preserve">7.5 - 9.3 </t>
  </si>
  <si>
    <t>SAO 67087</t>
  </si>
  <si>
    <t>C6,5</t>
  </si>
  <si>
    <t>Irregular</t>
  </si>
  <si>
    <t>HK Lyr</t>
  </si>
  <si>
    <t>18 42 50</t>
  </si>
  <si>
    <t>+36 57 30</t>
  </si>
  <si>
    <t xml:space="preserve">7.8 - 9.6 </t>
  </si>
  <si>
    <t>1986A&amp;AS...65..405O</t>
  </si>
  <si>
    <t>GSC 2649: 507</t>
  </si>
  <si>
    <t>RV Sct</t>
  </si>
  <si>
    <t>18 44 25</t>
  </si>
  <si>
    <t>-13 12 48</t>
  </si>
  <si>
    <t>GSC 5704: 100</t>
  </si>
  <si>
    <t>DR Ser</t>
  </si>
  <si>
    <t>18 47 21</t>
  </si>
  <si>
    <t>+05 27 19</t>
  </si>
  <si>
    <t>1975ApJ...200...88O</t>
  </si>
  <si>
    <t>GSC 456: 4</t>
  </si>
  <si>
    <t>C6,4(N)</t>
  </si>
  <si>
    <t>S Sct</t>
  </si>
  <si>
    <t>18 50 20</t>
  </si>
  <si>
    <t>-07 54 27</t>
  </si>
  <si>
    <t xml:space="preserve">6.3 - 9.0 </t>
  </si>
  <si>
    <t>SAO 142674</t>
  </si>
  <si>
    <t>UV Aql</t>
  </si>
  <si>
    <t>18 58 32</t>
  </si>
  <si>
    <t>+14 21 49</t>
  </si>
  <si>
    <t xml:space="preserve">8.0 - 9.6 </t>
  </si>
  <si>
    <t>GSC 1051: 51</t>
  </si>
  <si>
    <t>C5,4-5</t>
  </si>
  <si>
    <t>V Aql</t>
  </si>
  <si>
    <t>19 04 24</t>
  </si>
  <si>
    <t>-05 41 05</t>
  </si>
  <si>
    <t xml:space="preserve">6.6 - 8.4 </t>
  </si>
  <si>
    <t>SAO 142985</t>
  </si>
  <si>
    <t>V1942 Sgr</t>
  </si>
  <si>
    <t>19 19 09</t>
  </si>
  <si>
    <t>-15 54 30</t>
  </si>
  <si>
    <t xml:space="preserve">6.7 - 7.0 </t>
  </si>
  <si>
    <t>SAO 162465</t>
  </si>
  <si>
    <t>U Lyr</t>
  </si>
  <si>
    <t>19 20 09</t>
  </si>
  <si>
    <t>+37 52 36</t>
  </si>
  <si>
    <t>8.3 - 13.5</t>
  </si>
  <si>
    <t>GSC 3134: 1708</t>
  </si>
  <si>
    <t>C4,5e(N0e)</t>
  </si>
  <si>
    <t>UX Dra</t>
  </si>
  <si>
    <t>19 21 35</t>
  </si>
  <si>
    <t>+76 33 34</t>
  </si>
  <si>
    <t xml:space="preserve">5.9 - 7.1 </t>
  </si>
  <si>
    <t>SAO 9404</t>
  </si>
  <si>
    <t>NSV 11960 (Aql)</t>
  </si>
  <si>
    <t>NSV 11960</t>
  </si>
  <si>
    <t>19 23 10</t>
  </si>
  <si>
    <t>-10 42 11</t>
  </si>
  <si>
    <t xml:space="preserve">7.0 - 7.1 </t>
  </si>
  <si>
    <t>SAO 162551</t>
  </si>
  <si>
    <t>C2(R0)</t>
  </si>
  <si>
    <t>AW Cyg</t>
  </si>
  <si>
    <t>19 28 47</t>
  </si>
  <si>
    <t>+46 02 38</t>
  </si>
  <si>
    <t xml:space="preserve">7.1 - 8.5 </t>
  </si>
  <si>
    <t>GSC 3543: 2275</t>
  </si>
  <si>
    <t>95777 A</t>
  </si>
  <si>
    <t>AQ Sgr</t>
  </si>
  <si>
    <t>19 34 18</t>
  </si>
  <si>
    <t>-16 22 27</t>
  </si>
  <si>
    <t xml:space="preserve">6.6 - 8.5 </t>
  </si>
  <si>
    <t>SAO 162777</t>
  </si>
  <si>
    <t>TT Cyg</t>
  </si>
  <si>
    <t>19 40 57</t>
  </si>
  <si>
    <t>+32 37 05</t>
  </si>
  <si>
    <t xml:space="preserve">7.0 - 9.1 </t>
  </si>
  <si>
    <t>SAO 68688</t>
  </si>
  <si>
    <t>C5,4e</t>
  </si>
  <si>
    <t>AX Cyg</t>
  </si>
  <si>
    <t>19 57 12</t>
  </si>
  <si>
    <t>+44 15 40</t>
  </si>
  <si>
    <t xml:space="preserve">7.9 - 8.8 </t>
  </si>
  <si>
    <t>1976ApJS...30...97D</t>
  </si>
  <si>
    <t>GSC 3149: 942</t>
  </si>
  <si>
    <t>V1469 Aql</t>
  </si>
  <si>
    <t>20 01 03</t>
  </si>
  <si>
    <t>+09 30 51</t>
  </si>
  <si>
    <t xml:space="preserve">8.4 - 8.7 </t>
  </si>
  <si>
    <t>SAO 125356</t>
  </si>
  <si>
    <t>BF Sge</t>
  </si>
  <si>
    <t>20 02 23</t>
  </si>
  <si>
    <t>+21 05 24</t>
  </si>
  <si>
    <t>8.5 - 10.0</t>
  </si>
  <si>
    <t>GSC 1629: 945</t>
  </si>
  <si>
    <t>C4,4(N3)</t>
  </si>
  <si>
    <t>X Sge</t>
  </si>
  <si>
    <t>20 05 05</t>
  </si>
  <si>
    <t>+20 38 51</t>
  </si>
  <si>
    <t xml:space="preserve">7.0 - 9.7 </t>
  </si>
  <si>
    <t>HD 190606</t>
  </si>
  <si>
    <t>C6-,5(N3)</t>
  </si>
  <si>
    <t>SV Cyg</t>
  </si>
  <si>
    <t>20 09 30</t>
  </si>
  <si>
    <t>+47 52 17</t>
  </si>
  <si>
    <t>GSC 3563: 462</t>
  </si>
  <si>
    <t>RY Cyg</t>
  </si>
  <si>
    <t>20 10 23</t>
  </si>
  <si>
    <t>+35 56 50</t>
  </si>
  <si>
    <t>8.5 - 10.3</t>
  </si>
  <si>
    <t>GSC 2683: 3082</t>
  </si>
  <si>
    <t>RS Cyg</t>
  </si>
  <si>
    <t>20 13 23</t>
  </si>
  <si>
    <t>+38 43 44</t>
  </si>
  <si>
    <t xml:space="preserve">6.5 - 9.5 </t>
  </si>
  <si>
    <t>SAO 69636</t>
  </si>
  <si>
    <t>C8,2e</t>
  </si>
  <si>
    <t>RT Cap</t>
  </si>
  <si>
    <t>20 17 06</t>
  </si>
  <si>
    <t>-21 19 04</t>
  </si>
  <si>
    <t xml:space="preserve">7.0 - 8.1 </t>
  </si>
  <si>
    <t>GSC 6340: 1015</t>
  </si>
  <si>
    <t>WX Cyg</t>
  </si>
  <si>
    <t>20 18 33</t>
  </si>
  <si>
    <t>+37 26 59</t>
  </si>
  <si>
    <t>8.8 – 13.2</t>
  </si>
  <si>
    <t>GSC 2684: 689</t>
  </si>
  <si>
    <t>C8,2JLi</t>
  </si>
  <si>
    <t>U Cyg</t>
  </si>
  <si>
    <t>20 19 36</t>
  </si>
  <si>
    <t>+47 53 39</t>
  </si>
  <si>
    <t>5.9 - 12.1</t>
  </si>
  <si>
    <t>SAO 49477</t>
  </si>
  <si>
    <t>V778 Cyg</t>
  </si>
  <si>
    <t>20 36 07</t>
  </si>
  <si>
    <t>+60 05 26</t>
  </si>
  <si>
    <t>GSC 4246: 1005</t>
  </si>
  <si>
    <t>BD Vul</t>
  </si>
  <si>
    <t>20 37 18</t>
  </si>
  <si>
    <t>+26 39 13</t>
  </si>
  <si>
    <t>9.3 – 12.7</t>
  </si>
  <si>
    <t>V Cyg</t>
  </si>
  <si>
    <t>20 41 18</t>
  </si>
  <si>
    <t>+48 08 28</t>
  </si>
  <si>
    <t>7.7 - 13.9</t>
  </si>
  <si>
    <t>SAO 49940</t>
  </si>
  <si>
    <t>CY Cyg</t>
  </si>
  <si>
    <t>20 46 50</t>
  </si>
  <si>
    <t>+46 03 06</t>
  </si>
  <si>
    <t xml:space="preserve">7.9 - 8.4 </t>
  </si>
  <si>
    <t>SAO 50053</t>
  </si>
  <si>
    <t>CS(M2p)</t>
  </si>
  <si>
    <t>SAO 106516 (Del)</t>
  </si>
  <si>
    <t>SAO 106516</t>
  </si>
  <si>
    <t>20 48 36</t>
  </si>
  <si>
    <t>+17 50 23</t>
  </si>
  <si>
    <t xml:space="preserve">7.9 - 8.1 </t>
  </si>
  <si>
    <t>GSC 1651: 1359</t>
  </si>
  <si>
    <t>C1(R0)</t>
  </si>
  <si>
    <t>Star with envelope of CH type.</t>
  </si>
  <si>
    <t>NSV 13571 (Vul)</t>
  </si>
  <si>
    <t>NSV 13571</t>
  </si>
  <si>
    <t>21 09 59</t>
  </si>
  <si>
    <t>+26 36 54</t>
  </si>
  <si>
    <t xml:space="preserve">8.1 - 8.2 </t>
  </si>
  <si>
    <t>SAO 89499</t>
  </si>
  <si>
    <t>C1(Kp)</t>
  </si>
  <si>
    <t>S Cep</t>
  </si>
  <si>
    <t>21 35 12</t>
  </si>
  <si>
    <t>+78 37 28</t>
  </si>
  <si>
    <t>7.4 - 12.9</t>
  </si>
  <si>
    <t>SAO 10100</t>
  </si>
  <si>
    <t>C7,4e</t>
  </si>
  <si>
    <t>V460 Cyg</t>
  </si>
  <si>
    <t>21 42 01</t>
  </si>
  <si>
    <t>+35 30 36</t>
  </si>
  <si>
    <t xml:space="preserve">5.6 - 7.0 </t>
  </si>
  <si>
    <t>SAO 71613</t>
  </si>
  <si>
    <t>RV Cyg</t>
  </si>
  <si>
    <t>21 43 16</t>
  </si>
  <si>
    <t>+38 01 02</t>
  </si>
  <si>
    <t xml:space="preserve">7.1 - 9.3 </t>
  </si>
  <si>
    <t>SAO 71642</t>
  </si>
  <si>
    <t>LW Cyg</t>
  </si>
  <si>
    <t>21 55 14</t>
  </si>
  <si>
    <t>+50 29 50</t>
  </si>
  <si>
    <t>HD 208512</t>
  </si>
  <si>
    <t>C5,4(R3)</t>
  </si>
  <si>
    <t>RX Peg</t>
  </si>
  <si>
    <t>21 56 22</t>
  </si>
  <si>
    <t>+22 51 39</t>
  </si>
  <si>
    <t xml:space="preserve">7.7 - 9.5 </t>
  </si>
  <si>
    <t>HD 208526</t>
  </si>
  <si>
    <t>C4,4J</t>
  </si>
  <si>
    <t>not observed by HIP</t>
  </si>
  <si>
    <t>RZ Peg</t>
  </si>
  <si>
    <t>22 05 52</t>
  </si>
  <si>
    <t>+33 30 24</t>
  </si>
  <si>
    <t>7.6 - 13.6</t>
  </si>
  <si>
    <t>GSC 2724: 1872</t>
  </si>
  <si>
    <t>C9,1e</t>
  </si>
  <si>
    <t>DG Cep</t>
  </si>
  <si>
    <t>22 44 11</t>
  </si>
  <si>
    <t>+61 43 43</t>
  </si>
  <si>
    <t>GSC 4265: 376</t>
  </si>
  <si>
    <t>TV Lac</t>
  </si>
  <si>
    <t>22 56 07</t>
  </si>
  <si>
    <t>+54 13 46</t>
  </si>
  <si>
    <t>SAO 34966</t>
  </si>
  <si>
    <t>VY And</t>
  </si>
  <si>
    <t>23 01 49</t>
  </si>
  <si>
    <t>+45 53 09</t>
  </si>
  <si>
    <t>9.6 – 11.8</t>
  </si>
  <si>
    <t>113715 A</t>
  </si>
  <si>
    <t>RU Aqr</t>
  </si>
  <si>
    <t>23 24 24</t>
  </si>
  <si>
    <t>-17 19 08</t>
  </si>
  <si>
    <t>8.5 - 10.1</t>
  </si>
  <si>
    <t>SAO 165676</t>
  </si>
  <si>
    <t>M4/5III</t>
  </si>
  <si>
    <t>may not be C*</t>
  </si>
  <si>
    <t>EW And</t>
  </si>
  <si>
    <t>23 26 57</t>
  </si>
  <si>
    <t>+49 30 59</t>
  </si>
  <si>
    <t>SAO 53036</t>
  </si>
  <si>
    <t>ST And</t>
  </si>
  <si>
    <t>23 38 45</t>
  </si>
  <si>
    <t>+35 46 21</t>
  </si>
  <si>
    <t>7.7 - 11.8</t>
  </si>
  <si>
    <t>GSC 2778: 765</t>
  </si>
  <si>
    <t>C5,3e</t>
  </si>
  <si>
    <t>TX Psc</t>
  </si>
  <si>
    <t>23 46 23</t>
  </si>
  <si>
    <t>+03 29 12</t>
  </si>
  <si>
    <t xml:space="preserve">4.8 - 5.2 </t>
  </si>
  <si>
    <t>SAO 128374</t>
  </si>
  <si>
    <t>aka 19 Psc</t>
  </si>
  <si>
    <t>SAO 128396 (Psc)</t>
  </si>
  <si>
    <t>SAO 128396</t>
  </si>
  <si>
    <t>23 49 05</t>
  </si>
  <si>
    <t>+06 22 56</t>
  </si>
  <si>
    <t xml:space="preserve">8.5 - 8.8 </t>
  </si>
  <si>
    <t>GSC 592: 649</t>
  </si>
  <si>
    <t>C3(R3)</t>
  </si>
  <si>
    <t>ID</t>
    <phoneticPr fontId="4" type="noConversion"/>
  </si>
  <si>
    <t>RA</t>
  </si>
  <si>
    <t>DEC</t>
  </si>
  <si>
    <t>VMAG</t>
    <phoneticPr fontId="4" type="noConversion"/>
  </si>
  <si>
    <t>R1B</t>
  </si>
  <si>
    <t>R2C</t>
  </si>
  <si>
    <t>R3D</t>
  </si>
  <si>
    <t>R4C</t>
  </si>
  <si>
    <t>R5S</t>
  </si>
  <si>
    <t>R6D</t>
  </si>
  <si>
    <t>R7S</t>
  </si>
  <si>
    <t>R8D</t>
  </si>
  <si>
    <t>R9C</t>
  </si>
  <si>
    <t>R10B</t>
  </si>
  <si>
    <t>R11S</t>
  </si>
  <si>
    <t>R12C</t>
  </si>
  <si>
    <t>R13C</t>
  </si>
  <si>
    <t>R14SS</t>
  </si>
  <si>
    <t>R15D</t>
  </si>
  <si>
    <t>R16</t>
  </si>
  <si>
    <t>R17</t>
  </si>
  <si>
    <t>R18C</t>
  </si>
  <si>
    <t>R19B</t>
  </si>
  <si>
    <t>R20S</t>
  </si>
  <si>
    <t>R21S</t>
  </si>
  <si>
    <t>R22A</t>
  </si>
  <si>
    <t>R23C</t>
  </si>
  <si>
    <t>R24D</t>
  </si>
  <si>
    <t>R25C</t>
  </si>
  <si>
    <t>R26A</t>
  </si>
  <si>
    <t>R27B</t>
  </si>
  <si>
    <t>R28B</t>
  </si>
  <si>
    <t>R29SS</t>
  </si>
  <si>
    <t>R30A</t>
  </si>
  <si>
    <t>R31A</t>
  </si>
  <si>
    <t>R32A</t>
  </si>
  <si>
    <t>R33B</t>
  </si>
  <si>
    <t>R34D</t>
  </si>
  <si>
    <t>R35D</t>
  </si>
  <si>
    <t>R36B</t>
  </si>
  <si>
    <t>R37C</t>
  </si>
  <si>
    <t>R38C</t>
  </si>
  <si>
    <t>R39B</t>
  </si>
  <si>
    <t>R40A</t>
  </si>
  <si>
    <t>R41B</t>
  </si>
  <si>
    <t>R42D</t>
  </si>
  <si>
    <t>R43B</t>
  </si>
  <si>
    <t>R44C</t>
  </si>
  <si>
    <t>R45A</t>
  </si>
  <si>
    <t>R46S</t>
  </si>
  <si>
    <t>R47C</t>
  </si>
  <si>
    <t>R48A</t>
  </si>
  <si>
    <t>R49B</t>
  </si>
  <si>
    <t>R50C</t>
  </si>
  <si>
    <t>R51C</t>
  </si>
  <si>
    <t>R52C</t>
  </si>
  <si>
    <t>R53B</t>
  </si>
  <si>
    <t>R54D</t>
  </si>
  <si>
    <t>R55S</t>
  </si>
  <si>
    <t>R56C</t>
  </si>
  <si>
    <t>R57A</t>
  </si>
  <si>
    <t>R58B</t>
  </si>
  <si>
    <t>R59D</t>
  </si>
  <si>
    <t>R60B</t>
  </si>
  <si>
    <t>R61C</t>
  </si>
  <si>
    <t>R62C</t>
  </si>
  <si>
    <t>R63C</t>
  </si>
  <si>
    <t>R64A</t>
  </si>
  <si>
    <t>R65S</t>
  </si>
  <si>
    <t>R66S</t>
  </si>
  <si>
    <t>R67A</t>
  </si>
  <si>
    <t>R68A</t>
  </si>
  <si>
    <t>R69D</t>
  </si>
  <si>
    <t>R70A</t>
  </si>
  <si>
    <t>R71SS</t>
  </si>
  <si>
    <t>R72A</t>
  </si>
  <si>
    <t>R73S</t>
  </si>
  <si>
    <t>R74S</t>
  </si>
  <si>
    <t>R75B</t>
  </si>
  <si>
    <t>R76C</t>
  </si>
  <si>
    <t>R77B</t>
  </si>
  <si>
    <t>R78B</t>
  </si>
  <si>
    <t>R79C</t>
  </si>
  <si>
    <t>R80C</t>
  </si>
  <si>
    <t>R81SS</t>
  </si>
  <si>
    <t>R82C</t>
  </si>
  <si>
    <t>R83D</t>
  </si>
  <si>
    <t>R84S</t>
  </si>
  <si>
    <t>R85C</t>
  </si>
  <si>
    <t>R86SS</t>
  </si>
  <si>
    <t>R87SS</t>
  </si>
  <si>
    <t>R88A</t>
  </si>
  <si>
    <t>R89D</t>
  </si>
  <si>
    <t>R90D</t>
  </si>
  <si>
    <t>R91D</t>
  </si>
  <si>
    <t>R92D</t>
  </si>
  <si>
    <t>R93S</t>
  </si>
  <si>
    <t>R94A</t>
  </si>
  <si>
    <t>R95S</t>
  </si>
  <si>
    <t>R96S</t>
  </si>
  <si>
    <t>R97SS</t>
  </si>
  <si>
    <t>R98D</t>
  </si>
  <si>
    <t>R99S</t>
  </si>
  <si>
    <t>R100S</t>
  </si>
  <si>
    <t>R101C</t>
  </si>
  <si>
    <t>R102B</t>
  </si>
  <si>
    <t>R103SS</t>
  </si>
  <si>
    <t>R104D</t>
  </si>
  <si>
    <t>R105S</t>
  </si>
  <si>
    <t>R106S</t>
  </si>
  <si>
    <t>R107SS</t>
  </si>
  <si>
    <t>R108A</t>
  </si>
  <si>
    <t>R109B</t>
  </si>
  <si>
    <t>R110S</t>
  </si>
  <si>
    <t>R111A</t>
  </si>
  <si>
    <t>R112A</t>
  </si>
  <si>
    <t>R113S</t>
  </si>
  <si>
    <t>R114C</t>
  </si>
  <si>
    <t>R115</t>
  </si>
  <si>
    <t>R116B</t>
  </si>
  <si>
    <t>R117D</t>
  </si>
  <si>
    <t>R118S</t>
  </si>
  <si>
    <t>R119A</t>
  </si>
  <si>
    <t>R120A</t>
  </si>
  <si>
    <t>R121A</t>
  </si>
  <si>
    <t>R122C</t>
  </si>
  <si>
    <t>R123</t>
  </si>
  <si>
    <t>R124A</t>
  </si>
  <si>
    <t>R125A</t>
  </si>
  <si>
    <t>R126B</t>
  </si>
  <si>
    <t>R127A</t>
  </si>
  <si>
    <t>R128S</t>
  </si>
  <si>
    <t>R129C</t>
  </si>
  <si>
    <t>R130A</t>
  </si>
  <si>
    <t>R131</t>
  </si>
  <si>
    <t>R132A</t>
  </si>
  <si>
    <t>R133S</t>
  </si>
  <si>
    <t>R134</t>
  </si>
  <si>
    <t>R135D</t>
  </si>
  <si>
    <t>R136D</t>
  </si>
  <si>
    <t>R137S</t>
  </si>
  <si>
    <t>R138C</t>
  </si>
  <si>
    <t>R139SS</t>
  </si>
  <si>
    <t>R140S</t>
  </si>
  <si>
    <t>R141A</t>
  </si>
  <si>
    <t>R142S</t>
  </si>
  <si>
    <t>R143B</t>
  </si>
  <si>
    <t>R144B</t>
  </si>
  <si>
    <t>R145S</t>
  </si>
  <si>
    <t>R146D</t>
  </si>
  <si>
    <t>R147A</t>
  </si>
  <si>
    <t>R148A</t>
  </si>
  <si>
    <t>R149C</t>
  </si>
  <si>
    <t>R150D</t>
  </si>
  <si>
    <t>https://vanzella.com/carbon-star-hunter-list/</t>
  </si>
  <si>
    <r>
      <t>Stellarium</t>
    </r>
    <r>
      <rPr>
        <sz val="10"/>
        <rFont val="宋体"/>
        <family val="3"/>
        <charset val="134"/>
      </rPr>
      <t>编号</t>
    </r>
    <phoneticPr fontId="4" type="noConversion"/>
  </si>
  <si>
    <t>ID1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</si>
</sst>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9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name val="Courier New"/>
      <family val="3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等线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1" applyFont="1" applyFill="1" applyAlignment="1">
      <alignment horizontal="center" vertical="top"/>
    </xf>
    <xf numFmtId="176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vertical="top"/>
    </xf>
    <xf numFmtId="176" fontId="2" fillId="0" borderId="0" xfId="1" applyNumberFormat="1" applyFont="1" applyFill="1" applyAlignment="1">
      <alignment horizontal="left" vertical="top"/>
    </xf>
    <xf numFmtId="2" fontId="2" fillId="0" borderId="0" xfId="1" applyNumberFormat="1" applyFont="1" applyFill="1" applyAlignment="1">
      <alignment horizontal="left" vertical="top"/>
    </xf>
    <xf numFmtId="0" fontId="2" fillId="0" borderId="0" xfId="1" applyFont="1" applyFill="1" applyAlignment="1">
      <alignment horizontal="right" vertical="top"/>
    </xf>
    <xf numFmtId="0" fontId="2" fillId="0" borderId="0" xfId="1" applyFont="1" applyFill="1" applyAlignment="1">
      <alignment vertical="top" wrapText="1"/>
    </xf>
    <xf numFmtId="0" fontId="2" fillId="0" borderId="0" xfId="1" applyFont="1" applyFill="1" applyAlignment="1">
      <alignment horizontal="left" vertical="top"/>
    </xf>
    <xf numFmtId="0" fontId="5" fillId="0" borderId="0" xfId="1" applyFont="1" applyFill="1"/>
    <xf numFmtId="0" fontId="6" fillId="0" borderId="0" xfId="1" applyFont="1" applyFill="1" applyAlignment="1">
      <alignment horizontal="center" vertical="top"/>
    </xf>
    <xf numFmtId="0" fontId="6" fillId="0" borderId="0" xfId="1" applyFont="1" applyFill="1" applyAlignment="1">
      <alignment horizontal="left" vertical="top"/>
    </xf>
    <xf numFmtId="176" fontId="6" fillId="0" borderId="0" xfId="1" applyNumberFormat="1" applyFont="1" applyFill="1" applyAlignment="1">
      <alignment horizontal="right" vertical="top"/>
    </xf>
    <xf numFmtId="49" fontId="6" fillId="0" borderId="0" xfId="1" applyNumberFormat="1" applyFont="1" applyFill="1" applyAlignment="1">
      <alignment vertical="top"/>
    </xf>
    <xf numFmtId="0" fontId="6" fillId="0" borderId="0" xfId="1" applyFont="1" applyFill="1" applyAlignment="1">
      <alignment vertical="top"/>
    </xf>
    <xf numFmtId="176" fontId="6" fillId="0" borderId="0" xfId="1" applyNumberFormat="1" applyFont="1" applyFill="1" applyAlignment="1">
      <alignment horizontal="left" vertical="top"/>
    </xf>
    <xf numFmtId="2" fontId="6" fillId="0" borderId="0" xfId="1" applyNumberFormat="1" applyFont="1" applyFill="1" applyAlignment="1">
      <alignment horizontal="left" vertical="top"/>
    </xf>
    <xf numFmtId="0" fontId="6" fillId="0" borderId="0" xfId="1" applyFont="1" applyFill="1" applyAlignment="1">
      <alignment horizontal="right" vertical="top"/>
    </xf>
    <xf numFmtId="0" fontId="6" fillId="0" borderId="0" xfId="1" applyFont="1" applyFill="1" applyAlignment="1">
      <alignment vertical="top" wrapText="1"/>
    </xf>
    <xf numFmtId="0" fontId="1" fillId="0" borderId="0" xfId="1" applyFill="1"/>
    <xf numFmtId="49" fontId="2" fillId="0" borderId="0" xfId="1" applyNumberFormat="1" applyFont="1" applyFill="1" applyAlignment="1">
      <alignment vertical="top"/>
    </xf>
    <xf numFmtId="49" fontId="6" fillId="2" borderId="0" xfId="1" applyNumberFormat="1" applyFont="1" applyFill="1" applyAlignment="1">
      <alignment vertical="top"/>
    </xf>
    <xf numFmtId="0" fontId="6" fillId="2" borderId="0" xfId="1" applyFont="1" applyFill="1" applyAlignment="1">
      <alignment horizontal="left" vertical="top"/>
    </xf>
    <xf numFmtId="0" fontId="6" fillId="2" borderId="0" xfId="1" applyFont="1" applyFill="1" applyAlignment="1">
      <alignment vertical="top"/>
    </xf>
    <xf numFmtId="0" fontId="1" fillId="0" borderId="0" xfId="1" applyFont="1" applyFill="1"/>
    <xf numFmtId="0" fontId="1" fillId="0" borderId="0" xfId="1"/>
    <xf numFmtId="0" fontId="7" fillId="0" borderId="0" xfId="2">
      <alignment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vanzella.com/carbon-star-hunter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topLeftCell="A8" workbookViewId="0">
      <selection activeCell="C85" sqref="C85"/>
    </sheetView>
  </sheetViews>
  <sheetFormatPr defaultRowHeight="13.5" x14ac:dyDescent="0.2"/>
  <cols>
    <col min="1" max="1" width="12.375" style="25" customWidth="1"/>
    <col min="2" max="2" width="13" style="14" customWidth="1"/>
    <col min="3" max="3" width="12.125" style="25" customWidth="1"/>
    <col min="4" max="4" width="15" style="14" customWidth="1"/>
    <col min="5" max="16384" width="9" style="25"/>
  </cols>
  <sheetData>
    <row r="1" spans="1:6" x14ac:dyDescent="0.2">
      <c r="A1" s="25" t="s">
        <v>882</v>
      </c>
      <c r="B1" s="25" t="s">
        <v>1037</v>
      </c>
      <c r="C1" s="25" t="s">
        <v>1038</v>
      </c>
      <c r="D1" s="14" t="s">
        <v>883</v>
      </c>
      <c r="E1" s="14" t="s">
        <v>884</v>
      </c>
      <c r="F1" s="25" t="s">
        <v>885</v>
      </c>
    </row>
    <row r="2" spans="1:6" x14ac:dyDescent="0.2">
      <c r="A2" s="13" t="s">
        <v>24</v>
      </c>
      <c r="B2" s="25" t="s">
        <v>886</v>
      </c>
      <c r="C2" s="13" t="s">
        <v>24</v>
      </c>
      <c r="D2" s="14">
        <f>(0+1/60+15/3600)/24*2*PI()</f>
        <v>5.4541539124822796E-3</v>
      </c>
      <c r="E2" s="14">
        <f>+(60+21/60+19/3600)/360*2*PI()</f>
        <v>1.0533983181779887</v>
      </c>
      <c r="F2" s="4">
        <v>6.9</v>
      </c>
    </row>
    <row r="3" spans="1:6" x14ac:dyDescent="0.2">
      <c r="A3" s="13" t="s">
        <v>34</v>
      </c>
      <c r="B3" s="25" t="s">
        <v>887</v>
      </c>
      <c r="C3" s="13" t="s">
        <v>34</v>
      </c>
      <c r="D3" s="14">
        <f>(0+4/60+36/3600)/24*2*PI()</f>
        <v>2.0071286397934786E-2</v>
      </c>
      <c r="E3" s="14">
        <f>+(43+33/60+4/3600)/360*2*PI()</f>
        <v>0.76011028179077478</v>
      </c>
      <c r="F3" s="4">
        <v>8</v>
      </c>
    </row>
    <row r="4" spans="1:6" x14ac:dyDescent="0.2">
      <c r="A4" s="13" t="s">
        <v>42</v>
      </c>
      <c r="B4" s="25" t="s">
        <v>888</v>
      </c>
      <c r="C4" s="13" t="s">
        <v>43</v>
      </c>
      <c r="D4" s="14">
        <f>(0+5/60+22/3600)/24*2*PI()</f>
        <v>2.3416500797590584E-2</v>
      </c>
      <c r="E4" s="14">
        <f>+(8+47/60+16/3600)/360*2*PI()</f>
        <v>0.15337565615581281</v>
      </c>
      <c r="F4" s="4">
        <v>8.1999999999999993</v>
      </c>
    </row>
    <row r="5" spans="1:6" x14ac:dyDescent="0.2">
      <c r="A5" s="14" t="s">
        <v>55</v>
      </c>
      <c r="B5" s="25" t="s">
        <v>889</v>
      </c>
      <c r="C5" s="14" t="s">
        <v>55</v>
      </c>
      <c r="D5" s="14">
        <f>(0+17/60+32/3600)/24*2*PI()</f>
        <v>7.6503598879084769E-2</v>
      </c>
      <c r="E5" s="14">
        <f>+(50+17/60+14/3600)/360*2*PI()</f>
        <v>0.87767759945983725</v>
      </c>
      <c r="F5" s="4">
        <v>7.5</v>
      </c>
    </row>
    <row r="6" spans="1:6" x14ac:dyDescent="0.2">
      <c r="A6" s="20" t="s">
        <v>62</v>
      </c>
      <c r="B6" s="25" t="s">
        <v>890</v>
      </c>
      <c r="C6" s="20" t="s">
        <v>62</v>
      </c>
      <c r="D6" s="14">
        <f>(0+19/60+54/3600)/24*2*PI()</f>
        <v>8.6830130286717891E-2</v>
      </c>
      <c r="E6" s="14">
        <f>+(44+42/60+33/3600)/360*2*PI()</f>
        <v>0.78032216415623146</v>
      </c>
      <c r="F6" s="4">
        <v>7.8</v>
      </c>
    </row>
    <row r="7" spans="1:6" x14ac:dyDescent="0.2">
      <c r="A7" s="14" t="s">
        <v>70</v>
      </c>
      <c r="B7" s="25" t="s">
        <v>891</v>
      </c>
      <c r="C7" s="14" t="s">
        <v>70</v>
      </c>
      <c r="D7" s="14">
        <f>(0+24/60+35/3600)/24*2*PI()</f>
        <v>0.10726502694548486</v>
      </c>
      <c r="E7" s="14">
        <f>+(54+17/60+38/3600)/360*2*PI()</f>
        <v>0.94760712482307674</v>
      </c>
      <c r="F7" s="4">
        <v>9.5</v>
      </c>
    </row>
    <row r="8" spans="1:6" x14ac:dyDescent="0.2">
      <c r="A8" s="20" t="s">
        <v>76</v>
      </c>
      <c r="B8" s="25" t="s">
        <v>892</v>
      </c>
      <c r="C8" s="20" t="s">
        <v>76</v>
      </c>
      <c r="D8" s="14">
        <f>(0+27/60+31/3600)/24*2*PI()</f>
        <v>0.12006410812677659</v>
      </c>
      <c r="E8" s="14">
        <f>+(35+35/60+14/3600)/360*2*PI()</f>
        <v>0.6211141994166709</v>
      </c>
      <c r="F8" s="4">
        <v>6.9</v>
      </c>
    </row>
    <row r="9" spans="1:6" x14ac:dyDescent="0.2">
      <c r="A9" s="13" t="s">
        <v>83</v>
      </c>
      <c r="B9" s="25" t="s">
        <v>893</v>
      </c>
      <c r="C9" s="13" t="s">
        <v>84</v>
      </c>
      <c r="D9" s="14">
        <f>(0+54/60+13/3600)/24*2*PI()</f>
        <v>0.23656483569739808</v>
      </c>
      <c r="E9" s="14">
        <f>+(24+4/60+1/3600)/360*2*PI()</f>
        <v>0.42004742145011303</v>
      </c>
      <c r="F9" s="4">
        <v>8.3000000000000007</v>
      </c>
    </row>
    <row r="10" spans="1:6" x14ac:dyDescent="0.2">
      <c r="A10" s="13" t="s">
        <v>91</v>
      </c>
      <c r="B10" s="25" t="s">
        <v>894</v>
      </c>
      <c r="C10" s="13" t="s">
        <v>91</v>
      </c>
      <c r="D10" s="14">
        <f>(0+54/60+53/3600)/24*2*PI()</f>
        <v>0.2394737177840553</v>
      </c>
      <c r="E10" s="14">
        <f>+(58+33/60+49/3600)/360*2*PI()</f>
        <v>1.0221278357464236</v>
      </c>
      <c r="F10" s="4">
        <v>7.8</v>
      </c>
    </row>
    <row r="11" spans="1:6" x14ac:dyDescent="0.2">
      <c r="A11" s="13" t="s">
        <v>97</v>
      </c>
      <c r="B11" s="25" t="s">
        <v>895</v>
      </c>
      <c r="C11" s="13" t="s">
        <v>97</v>
      </c>
      <c r="D11" s="14">
        <f>(1+16/60+5/3600)/24*2*PI()</f>
        <v>0.33197616813975472</v>
      </c>
      <c r="E11" s="14">
        <f>+(25+46/60+9/3600)/360*2*PI()</f>
        <v>0.44975680382850541</v>
      </c>
      <c r="F11" s="4">
        <v>6.5</v>
      </c>
    </row>
    <row r="12" spans="1:6" x14ac:dyDescent="0.2">
      <c r="A12" s="3" t="s">
        <v>103</v>
      </c>
      <c r="B12" s="25" t="s">
        <v>896</v>
      </c>
      <c r="C12" s="3" t="s">
        <v>103</v>
      </c>
      <c r="D12" s="14">
        <f>(1+26/60+58/3600)/24*2*PI()</f>
        <v>0.37946366820443383</v>
      </c>
      <c r="E12" s="14">
        <f>-(32+32/60+36/3600)/360*2*PI()</f>
        <v>-0.56798831624068791</v>
      </c>
      <c r="F12" s="4">
        <v>5.7</v>
      </c>
    </row>
    <row r="13" spans="1:6" x14ac:dyDescent="0.2">
      <c r="A13" s="14" t="s">
        <v>109</v>
      </c>
      <c r="B13" s="25" t="s">
        <v>897</v>
      </c>
      <c r="C13" s="14" t="s">
        <v>109</v>
      </c>
      <c r="D13" s="14">
        <f>(1+33/60+33/3600)/24*2*PI()</f>
        <v>0.40818887881017391</v>
      </c>
      <c r="E13" s="14">
        <f>+(57+45/60+5/3600)/360*2*PI()</f>
        <v>1.0079518837107808</v>
      </c>
      <c r="F13" s="4">
        <v>9.1</v>
      </c>
    </row>
    <row r="14" spans="1:6" x14ac:dyDescent="0.2">
      <c r="A14" s="13" t="s">
        <v>116</v>
      </c>
      <c r="B14" s="25" t="s">
        <v>898</v>
      </c>
      <c r="C14" s="13" t="s">
        <v>116</v>
      </c>
      <c r="D14" s="14">
        <f>(2+15/60+0/3600)/24*2*PI()</f>
        <v>0.58904862254808621</v>
      </c>
      <c r="E14" s="14">
        <f>+(12+14/60+23/3600)/360*2*PI()</f>
        <v>0.21362345230729482</v>
      </c>
      <c r="F14" s="4">
        <v>8.3000000000000007</v>
      </c>
    </row>
    <row r="15" spans="1:6" x14ac:dyDescent="0.2">
      <c r="A15" s="3" t="s">
        <v>122</v>
      </c>
      <c r="B15" s="25" t="s">
        <v>899</v>
      </c>
      <c r="C15" s="3" t="s">
        <v>122</v>
      </c>
      <c r="D15" s="14">
        <f>(2+29/60+15/3600)/24*2*PI()</f>
        <v>0.65122597715038422</v>
      </c>
      <c r="E15" s="14">
        <f>-(26+5/60+56/3600)/360*2*PI()</f>
        <v>-0.45551154222327556</v>
      </c>
      <c r="F15" s="4">
        <v>7.5</v>
      </c>
    </row>
    <row r="16" spans="1:6" x14ac:dyDescent="0.2">
      <c r="A16" s="13" t="s">
        <v>129</v>
      </c>
      <c r="B16" s="25" t="s">
        <v>900</v>
      </c>
      <c r="C16" s="13" t="s">
        <v>130</v>
      </c>
      <c r="D16" s="14">
        <f>(2+35/60+6/3600)/24*2*PI()</f>
        <v>0.67675141746080125</v>
      </c>
      <c r="E16" s="14">
        <f>-(9+26/60+34/3600)/360*2*PI()</f>
        <v>-0.16480756275637565</v>
      </c>
      <c r="F16" s="4">
        <v>8.1999999999999993</v>
      </c>
    </row>
    <row r="17" spans="1:6" x14ac:dyDescent="0.2">
      <c r="A17" s="14" t="s">
        <v>137</v>
      </c>
      <c r="B17" s="25" t="s">
        <v>901</v>
      </c>
      <c r="C17" s="14" t="s">
        <v>137</v>
      </c>
      <c r="D17" s="14">
        <f>(2+35/60+17/3600)/24*2*PI()</f>
        <v>0.67755136003463201</v>
      </c>
      <c r="E17" s="14">
        <f>+(56+8/60+45/3600)/360*2*PI()</f>
        <v>0.97992965294264966</v>
      </c>
      <c r="F17" s="4">
        <v>10.6</v>
      </c>
    </row>
    <row r="18" spans="1:6" x14ac:dyDescent="0.2">
      <c r="A18" s="13" t="s">
        <v>143</v>
      </c>
      <c r="B18" s="25" t="s">
        <v>902</v>
      </c>
      <c r="C18" s="13" t="s">
        <v>143</v>
      </c>
      <c r="D18" s="14">
        <f>(2+38/60+23/3600)/24*2*PI()</f>
        <v>0.69107766173758811</v>
      </c>
      <c r="E18" s="14">
        <f>+(39+10/60+9/3600)/360*2*PI()</f>
        <v>0.68363092359574551</v>
      </c>
      <c r="F18" s="4">
        <v>7.4</v>
      </c>
    </row>
    <row r="19" spans="1:6" x14ac:dyDescent="0.2">
      <c r="A19" s="13" t="s">
        <v>150</v>
      </c>
      <c r="B19" s="25" t="s">
        <v>903</v>
      </c>
      <c r="C19" s="13" t="s">
        <v>150</v>
      </c>
      <c r="D19" s="14">
        <f>(3+11/60+25/3600)/24*2*PI()</f>
        <v>0.83521276913145315</v>
      </c>
      <c r="E19" s="14">
        <f>+(57+54/60+11/3600)/360*2*PI()</f>
        <v>1.0105989664096389</v>
      </c>
      <c r="F19" s="4">
        <v>7.3</v>
      </c>
    </row>
    <row r="20" spans="1:6" x14ac:dyDescent="0.2">
      <c r="A20" s="13" t="s">
        <v>156</v>
      </c>
      <c r="B20" s="25" t="s">
        <v>904</v>
      </c>
      <c r="C20" s="13" t="s">
        <v>156</v>
      </c>
      <c r="D20" s="14">
        <f>(3+27/60+42/3600)/24*2*PI()</f>
        <v>0.90626221409805563</v>
      </c>
      <c r="E20" s="14">
        <f>+(44+10/60+36/3600)/360*2*PI()</f>
        <v>0.77102828588936156</v>
      </c>
      <c r="F20" s="4">
        <v>8.1</v>
      </c>
    </row>
    <row r="21" spans="1:6" x14ac:dyDescent="0.2">
      <c r="A21" s="20" t="s">
        <v>161</v>
      </c>
      <c r="B21" s="25" t="s">
        <v>905</v>
      </c>
      <c r="C21" s="20" t="s">
        <v>161</v>
      </c>
      <c r="D21" s="14">
        <f>(3+41/60+29/3600)/24*2*PI()</f>
        <v>0.96640335123969368</v>
      </c>
      <c r="E21" s="14">
        <f>+(51+30/60+11/3600)/360*2*PI()</f>
        <v>0.89889789428200173</v>
      </c>
      <c r="F21" s="4">
        <v>8.4</v>
      </c>
    </row>
    <row r="22" spans="1:6" x14ac:dyDescent="0.2">
      <c r="A22" s="20" t="s">
        <v>166</v>
      </c>
      <c r="B22" s="25" t="s">
        <v>906</v>
      </c>
      <c r="C22" s="20" t="s">
        <v>166</v>
      </c>
      <c r="D22" s="14">
        <f>(3+41/60+48/3600)/24*2*PI()</f>
        <v>0.9677850702308558</v>
      </c>
      <c r="E22" s="14">
        <f>+(62+38/60+54/3600)/360*2*PI()</f>
        <v>1.0934196875535809</v>
      </c>
      <c r="F22" s="4">
        <v>6.9</v>
      </c>
    </row>
    <row r="23" spans="1:6" x14ac:dyDescent="0.2">
      <c r="A23" s="14" t="s">
        <v>173</v>
      </c>
      <c r="B23" s="25" t="s">
        <v>907</v>
      </c>
      <c r="C23" s="14" t="s">
        <v>173</v>
      </c>
      <c r="D23" s="14">
        <f>(3+45/60+3/3600)/24*2*PI()</f>
        <v>0.98196587040330963</v>
      </c>
      <c r="E23" s="14">
        <f>+(44+46/60+52/3600)/360*2*PI()</f>
        <v>0.78157783159030514</v>
      </c>
      <c r="F23" s="4">
        <v>9.6999999999999993</v>
      </c>
    </row>
    <row r="24" spans="1:6" x14ac:dyDescent="0.2">
      <c r="A24" s="13" t="s">
        <v>178</v>
      </c>
      <c r="B24" s="25" t="s">
        <v>908</v>
      </c>
      <c r="C24" s="13" t="s">
        <v>178</v>
      </c>
      <c r="D24" s="14">
        <f>(4+5/60+53/3600)/24*2*PI()</f>
        <v>1.0728684356113474</v>
      </c>
      <c r="E24" s="14">
        <f>+(61+47/60+39/3600)/360*2*PI()</f>
        <v>1.0785116668594625</v>
      </c>
      <c r="F24" s="4">
        <v>7.5</v>
      </c>
    </row>
    <row r="25" spans="1:6" x14ac:dyDescent="0.2">
      <c r="A25" s="13" t="s">
        <v>184</v>
      </c>
      <c r="B25" s="25" t="s">
        <v>909</v>
      </c>
      <c r="C25" s="13" t="s">
        <v>184</v>
      </c>
      <c r="D25" s="14">
        <f>(4+8/60+38/3600)/24*2*PI()</f>
        <v>1.0848675742188088</v>
      </c>
      <c r="E25" s="14">
        <f>+(53+21/60+39/3600)/360*2*PI()</f>
        <v>0.9313222332746075</v>
      </c>
      <c r="F25" s="4">
        <v>7.1</v>
      </c>
    </row>
    <row r="26" spans="1:6" x14ac:dyDescent="0.2">
      <c r="A26" s="14" t="s">
        <v>192</v>
      </c>
      <c r="B26" s="25" t="s">
        <v>910</v>
      </c>
      <c r="C26" s="14" t="s">
        <v>192</v>
      </c>
      <c r="D26" s="14">
        <f>(4+47/60+19/3600)/24*2*PI()</f>
        <v>1.2536554572970935</v>
      </c>
      <c r="E26" s="14">
        <f>-(36+12/60+34/3600)/360*2*PI()</f>
        <v>-0.63197402587352458</v>
      </c>
      <c r="F26" s="4">
        <v>7.5</v>
      </c>
    </row>
    <row r="27" spans="1:6" x14ac:dyDescent="0.2">
      <c r="A27" s="13" t="s">
        <v>196</v>
      </c>
      <c r="B27" s="25" t="s">
        <v>911</v>
      </c>
      <c r="C27" s="13" t="s">
        <v>196</v>
      </c>
      <c r="D27" s="14">
        <f>(4+51/60+13/3600)/24*2*PI()</f>
        <v>1.270672417504038</v>
      </c>
      <c r="E27" s="14">
        <f>+(68+10/60+7/3600)/360*2*PI()</f>
        <v>1.189766710400479</v>
      </c>
      <c r="F27" s="4">
        <v>6.7</v>
      </c>
    </row>
    <row r="28" spans="1:6" x14ac:dyDescent="0.2">
      <c r="A28" s="13" t="s">
        <v>201</v>
      </c>
      <c r="B28" s="25" t="s">
        <v>912</v>
      </c>
      <c r="C28" s="13" t="s">
        <v>201</v>
      </c>
      <c r="D28" s="14">
        <f>(4+51/60+31/3600)/24*2*PI()</f>
        <v>1.2719814144430339</v>
      </c>
      <c r="E28" s="14">
        <f>+(28+31/60+36/3600)/360*2*PI()</f>
        <v>0.49788425795224905</v>
      </c>
      <c r="F28" s="4">
        <v>7.7</v>
      </c>
    </row>
    <row r="29" spans="1:6" x14ac:dyDescent="0.2">
      <c r="A29" s="14" t="s">
        <v>207</v>
      </c>
      <c r="B29" s="25" t="s">
        <v>913</v>
      </c>
      <c r="C29" s="14" t="s">
        <v>207</v>
      </c>
      <c r="D29" s="14">
        <f>(4+52/60+35/3600)/24*2*PI()</f>
        <v>1.2766356257816858</v>
      </c>
      <c r="E29" s="14">
        <f>+(38+30/60+20/3600)/360*2*PI()</f>
        <v>0.67204872475403876</v>
      </c>
      <c r="F29" s="4">
        <v>8.8000000000000007</v>
      </c>
    </row>
    <row r="30" spans="1:6" x14ac:dyDescent="0.2">
      <c r="A30" s="3" t="s">
        <v>212</v>
      </c>
      <c r="B30" s="25" t="s">
        <v>914</v>
      </c>
      <c r="C30" s="3" t="s">
        <v>212</v>
      </c>
      <c r="D30" s="14">
        <f>(4+59/60+36/3600)/24*2*PI()</f>
        <v>1.3072516097437528</v>
      </c>
      <c r="E30" s="14">
        <f>-(14+48/60+22/3600)/360*2*PI()</f>
        <v>-0.25841538830500488</v>
      </c>
      <c r="F30" s="4">
        <v>5.5</v>
      </c>
    </row>
    <row r="31" spans="1:6" x14ac:dyDescent="0.2">
      <c r="A31" s="13" t="s">
        <v>219</v>
      </c>
      <c r="B31" s="25" t="s">
        <v>915</v>
      </c>
      <c r="C31" s="13" t="s">
        <v>219</v>
      </c>
      <c r="D31" s="14">
        <f>(5+3/60+23/3600)/24*2*PI()</f>
        <v>1.3237595155855324</v>
      </c>
      <c r="E31" s="14">
        <f>+(50+37/60+58/3600)/360*2*PI()</f>
        <v>0.88370868165284</v>
      </c>
      <c r="F31" s="4">
        <v>8.5</v>
      </c>
    </row>
    <row r="32" spans="1:6" x14ac:dyDescent="0.2">
      <c r="A32" s="13" t="s">
        <v>224</v>
      </c>
      <c r="B32" s="25" t="s">
        <v>916</v>
      </c>
      <c r="C32" s="13" t="s">
        <v>224</v>
      </c>
      <c r="D32" s="14">
        <f>(5+5/60+23/3600)/24*2*PI()</f>
        <v>1.3324861618455042</v>
      </c>
      <c r="E32" s="14">
        <f>+(1+10/60+39/3600)/360*2*PI()</f>
        <v>2.0551251942233232E-2</v>
      </c>
      <c r="F32" s="4">
        <v>5.8</v>
      </c>
    </row>
    <row r="33" spans="1:6" x14ac:dyDescent="0.2">
      <c r="A33" s="13" t="s">
        <v>229</v>
      </c>
      <c r="B33" s="25" t="s">
        <v>917</v>
      </c>
      <c r="C33" s="13" t="s">
        <v>229</v>
      </c>
      <c r="D33" s="14">
        <f>(5+9/60+5/3600)/24*2*PI()</f>
        <v>1.3486304574264518</v>
      </c>
      <c r="E33" s="14">
        <f>+(39+0/60+8/3600)/360*2*PI()</f>
        <v>0.68071719337227732</v>
      </c>
      <c r="F33" s="4">
        <v>8.5</v>
      </c>
    </row>
    <row r="34" spans="1:6" x14ac:dyDescent="0.2">
      <c r="A34" s="13" t="s">
        <v>234</v>
      </c>
      <c r="B34" s="25" t="s">
        <v>918</v>
      </c>
      <c r="C34" s="13" t="s">
        <v>234</v>
      </c>
      <c r="D34" s="14">
        <f>(5+9/60+48/3600)/24*2*PI()</f>
        <v>1.3517575056696083</v>
      </c>
      <c r="E34" s="14">
        <f>-(5+30/60+55/3600)/360*2*PI()</f>
        <v>-9.6259756384298373E-2</v>
      </c>
      <c r="F34" s="4">
        <v>8.3000000000000007</v>
      </c>
    </row>
    <row r="35" spans="1:6" x14ac:dyDescent="0.2">
      <c r="A35" s="13" t="s">
        <v>239</v>
      </c>
      <c r="B35" s="25" t="s">
        <v>919</v>
      </c>
      <c r="C35" s="13" t="s">
        <v>239</v>
      </c>
      <c r="D35" s="14">
        <f>(5+21/60+48/3600)/24*2*PI()</f>
        <v>1.404117383229438</v>
      </c>
      <c r="E35" s="14">
        <f>+(32+30/60+43/3600)/360*2*PI()</f>
        <v>0.56744047678103426</v>
      </c>
      <c r="F35" s="4">
        <v>7.4</v>
      </c>
    </row>
    <row r="36" spans="1:6" x14ac:dyDescent="0.2">
      <c r="A36" s="13" t="s">
        <v>245</v>
      </c>
      <c r="B36" s="25" t="s">
        <v>920</v>
      </c>
      <c r="C36" s="13" t="s">
        <v>245</v>
      </c>
      <c r="D36" s="14">
        <f>(5+27/60+7/3600)/24*2*PI()</f>
        <v>1.4273157178705296</v>
      </c>
      <c r="E36" s="14">
        <f>+(34+8/60+59/3600)/360*2*PI()</f>
        <v>0.59602509141925242</v>
      </c>
      <c r="F36" s="4">
        <v>8.1999999999999993</v>
      </c>
    </row>
    <row r="37" spans="1:6" x14ac:dyDescent="0.2">
      <c r="A37" s="13" t="s">
        <v>251</v>
      </c>
      <c r="B37" s="25" t="s">
        <v>921</v>
      </c>
      <c r="C37" s="13" t="s">
        <v>251</v>
      </c>
      <c r="D37" s="14">
        <f>(5+33/60+13/3600)/24*2*PI()</f>
        <v>1.4539319889634428</v>
      </c>
      <c r="E37" s="14">
        <f>+(7+9/60+12/3600)/360*2*PI()</f>
        <v>0.12484921915932772</v>
      </c>
      <c r="F37" s="4">
        <v>8</v>
      </c>
    </row>
    <row r="38" spans="1:6" x14ac:dyDescent="0.2">
      <c r="A38" s="14" t="s">
        <v>256</v>
      </c>
      <c r="B38" s="25" t="s">
        <v>922</v>
      </c>
      <c r="C38" s="14" t="s">
        <v>256</v>
      </c>
      <c r="D38" s="14">
        <f>(5+35/60+48/3600)/24*2*PI()</f>
        <v>1.4652039070492398</v>
      </c>
      <c r="E38" s="14">
        <f>-(25+44/60+19/3600)/360*2*PI()</f>
        <v>-0.44922350877928491</v>
      </c>
      <c r="F38" s="4">
        <v>7.4</v>
      </c>
    </row>
    <row r="39" spans="1:6" x14ac:dyDescent="0.2">
      <c r="A39" s="13" t="s">
        <v>262</v>
      </c>
      <c r="B39" s="25" t="s">
        <v>923</v>
      </c>
      <c r="C39" s="13" t="s">
        <v>262</v>
      </c>
      <c r="D39" s="14">
        <f>(5+41/60+2/3600)/24*2*PI()</f>
        <v>1.4880386314294989</v>
      </c>
      <c r="E39" s="14">
        <f>+(68+47/60+55/3600)/360*2*PI()</f>
        <v>1.2007622846880432</v>
      </c>
      <c r="F39" s="4">
        <v>7.7</v>
      </c>
    </row>
    <row r="40" spans="1:6" x14ac:dyDescent="0.2">
      <c r="A40" s="13" t="s">
        <v>269</v>
      </c>
      <c r="B40" s="25" t="s">
        <v>924</v>
      </c>
      <c r="C40" s="13" t="s">
        <v>269</v>
      </c>
      <c r="D40" s="14">
        <f>(5+45/60+13/3600)/24*2*PI()</f>
        <v>1.5062918665232727</v>
      </c>
      <c r="E40" s="14">
        <f>+(24+25/60+12/3600)/360*2*PI()</f>
        <v>0.42620940333701535</v>
      </c>
      <c r="F40" s="4">
        <v>5.9</v>
      </c>
    </row>
    <row r="41" spans="1:6" x14ac:dyDescent="0.2">
      <c r="A41" s="13" t="s">
        <v>274</v>
      </c>
      <c r="B41" s="25" t="s">
        <v>925</v>
      </c>
      <c r="C41" s="13" t="s">
        <v>274</v>
      </c>
      <c r="D41" s="14">
        <f>(5+45/60+39/3600)/24*2*PI()</f>
        <v>1.5081826398795999</v>
      </c>
      <c r="E41" s="14">
        <f>+(20+41/60+42/3600)/360*2*PI()</f>
        <v>0.36119588870022651</v>
      </c>
      <c r="F41" s="4">
        <v>6.5</v>
      </c>
    </row>
    <row r="42" spans="1:6" x14ac:dyDescent="0.2">
      <c r="A42" s="13" t="s">
        <v>280</v>
      </c>
      <c r="B42" s="25" t="s">
        <v>926</v>
      </c>
      <c r="C42" s="13" t="s">
        <v>280</v>
      </c>
      <c r="D42" s="14">
        <f>(5+48/60+8/3600)/24*2*PI()</f>
        <v>1.5190182256523981</v>
      </c>
      <c r="E42" s="14">
        <f>+(30+37/60+51/3600)/360*2*PI()</f>
        <v>0.53460889429629643</v>
      </c>
      <c r="F42" s="4">
        <v>8.3000000000000007</v>
      </c>
    </row>
    <row r="43" spans="1:6" x14ac:dyDescent="0.2">
      <c r="A43" s="13" t="s">
        <v>286</v>
      </c>
      <c r="B43" s="25" t="s">
        <v>927</v>
      </c>
      <c r="C43" s="13" t="s">
        <v>286</v>
      </c>
      <c r="D43" s="14">
        <f>(5+49/60+0/3600)/24*2*PI()</f>
        <v>1.5227997723650526</v>
      </c>
      <c r="E43" s="14">
        <f>+(19+4/60+0/3600)/360*2*PI()</f>
        <v>0.33277611071358548</v>
      </c>
      <c r="F43" s="4">
        <v>9.1</v>
      </c>
    </row>
    <row r="44" spans="1:6" x14ac:dyDescent="0.2">
      <c r="A44" s="13" t="s">
        <v>291</v>
      </c>
      <c r="B44" s="25" t="s">
        <v>928</v>
      </c>
      <c r="C44" s="13" t="s">
        <v>291</v>
      </c>
      <c r="D44" s="14">
        <f>(6+10/60+53/3600)/24*2*PI()</f>
        <v>1.6182838268595756</v>
      </c>
      <c r="E44" s="14">
        <f>+(26+0/60+53/3600)/360*2*PI()</f>
        <v>0.45404255676951372</v>
      </c>
      <c r="F44" s="4">
        <v>7.4</v>
      </c>
    </row>
    <row r="45" spans="1:6" x14ac:dyDescent="0.2">
      <c r="A45" s="14" t="s">
        <v>296</v>
      </c>
      <c r="B45" s="25" t="s">
        <v>929</v>
      </c>
      <c r="C45" s="14" t="s">
        <v>296</v>
      </c>
      <c r="D45" s="14">
        <f>(6+17/60+42/3600)/24*2*PI()</f>
        <v>1.6480271461956455</v>
      </c>
      <c r="E45" s="14">
        <f>+(8+31/60+11/3600)/360*2*PI()</f>
        <v>0.14869720413310578</v>
      </c>
      <c r="F45" s="4">
        <v>9.5</v>
      </c>
    </row>
    <row r="46" spans="1:6" x14ac:dyDescent="0.2">
      <c r="A46" s="13" t="s">
        <v>300</v>
      </c>
      <c r="B46" s="25" t="s">
        <v>930</v>
      </c>
      <c r="C46" s="13" t="s">
        <v>300</v>
      </c>
      <c r="D46" s="14">
        <f>(6+22/60+23/3600)/24*2*PI()</f>
        <v>1.6684620428544124</v>
      </c>
      <c r="E46" s="14">
        <f>+(3+25/60+27/3600)/360*2*PI()</f>
        <v>5.9762982470372497E-2</v>
      </c>
      <c r="F46" s="4">
        <v>8.5</v>
      </c>
    </row>
    <row r="47" spans="1:6" x14ac:dyDescent="0.2">
      <c r="A47" s="13" t="s">
        <v>306</v>
      </c>
      <c r="B47" s="25" t="s">
        <v>931</v>
      </c>
      <c r="C47" s="13" t="s">
        <v>306</v>
      </c>
      <c r="D47" s="14">
        <f>(6+24/60+2/3600)/24*2*PI()</f>
        <v>1.6756615260188894</v>
      </c>
      <c r="E47" s="14">
        <f>+(47+42/60+23/3600)/360*2*PI()</f>
        <v>0.83263356034795044</v>
      </c>
      <c r="F47" s="4">
        <v>8.5</v>
      </c>
    </row>
    <row r="48" spans="1:6" x14ac:dyDescent="0.2">
      <c r="A48" s="13" t="s">
        <v>312</v>
      </c>
      <c r="B48" s="25" t="s">
        <v>932</v>
      </c>
      <c r="C48" s="13" t="s">
        <v>312</v>
      </c>
      <c r="D48" s="14">
        <f>(6+25/60+28/3600)/24*2*PI()</f>
        <v>1.6819156225052023</v>
      </c>
      <c r="E48" s="14">
        <f>+(14+43/60+19/3600)/360*2*PI()</f>
        <v>0.25694640285124298</v>
      </c>
      <c r="F48" s="4">
        <v>6</v>
      </c>
    </row>
    <row r="49" spans="1:6" x14ac:dyDescent="0.2">
      <c r="A49" s="14" t="s">
        <v>317</v>
      </c>
      <c r="B49" s="25" t="s">
        <v>933</v>
      </c>
      <c r="C49" s="14" t="s">
        <v>317</v>
      </c>
      <c r="D49" s="14">
        <f>(6+34/60+45/3600)/24*2*PI()</f>
        <v>1.7224218055619038</v>
      </c>
      <c r="E49" s="14">
        <f>+(42+30/60+13/3600)/360*2*PI()</f>
        <v>0.74182795787613431</v>
      </c>
      <c r="F49" s="4">
        <v>8.4</v>
      </c>
    </row>
    <row r="50" spans="1:6" x14ac:dyDescent="0.2">
      <c r="A50" s="13" t="s">
        <v>321</v>
      </c>
      <c r="B50" s="25" t="s">
        <v>934</v>
      </c>
      <c r="C50" s="13" t="s">
        <v>321</v>
      </c>
      <c r="D50" s="14">
        <f>(6+36/60+32/3600)/24*2*PI()</f>
        <v>1.7302030651437117</v>
      </c>
      <c r="E50" s="14">
        <f>+(38+26/60+43/3600)/360*2*PI()</f>
        <v>0.67099667906603111</v>
      </c>
      <c r="F50" s="4">
        <v>5.0999999999999996</v>
      </c>
    </row>
    <row r="51" spans="1:6" x14ac:dyDescent="0.2">
      <c r="A51" s="13" t="s">
        <v>326</v>
      </c>
      <c r="B51" s="25" t="s">
        <v>935</v>
      </c>
      <c r="C51" s="13" t="s">
        <v>326</v>
      </c>
      <c r="D51" s="14">
        <f>(6+42/60+8/3600)/24*2*PI()</f>
        <v>1.7546376746716326</v>
      </c>
      <c r="E51" s="14">
        <f>+(31+27/60+17/3600)/360*2*PI()</f>
        <v>0.54898846807800528</v>
      </c>
      <c r="F51" s="4">
        <v>8.1</v>
      </c>
    </row>
    <row r="52" spans="1:6" x14ac:dyDescent="0.2">
      <c r="A52" s="13" t="s">
        <v>331</v>
      </c>
      <c r="B52" s="25" t="s">
        <v>936</v>
      </c>
      <c r="C52" s="13" t="s">
        <v>331</v>
      </c>
      <c r="D52" s="14">
        <f>(6+53/60+11/3600)/24*2*PI()</f>
        <v>1.8028523952579758</v>
      </c>
      <c r="E52" s="14">
        <f>-(4+34/60+34/3600)/360*2*PI()</f>
        <v>-7.9868205825984945E-2</v>
      </c>
      <c r="F52" s="4">
        <v>8.1</v>
      </c>
    </row>
    <row r="53" spans="1:6" x14ac:dyDescent="0.2">
      <c r="A53" s="14" t="s">
        <v>336</v>
      </c>
      <c r="B53" s="25" t="s">
        <v>937</v>
      </c>
      <c r="C53" s="14" t="s">
        <v>336</v>
      </c>
      <c r="D53" s="14">
        <f>(6+54/60+27/3600)/24*2*PI()</f>
        <v>1.8083792712226248</v>
      </c>
      <c r="E53" s="14">
        <f>-(42+21/60+56/3600)/360*2*PI()</f>
        <v>-0.73941843388101991</v>
      </c>
      <c r="F53" s="4">
        <v>6.2</v>
      </c>
    </row>
    <row r="54" spans="1:6" x14ac:dyDescent="0.2">
      <c r="A54" s="13" t="s">
        <v>342</v>
      </c>
      <c r="B54" s="25" t="s">
        <v>938</v>
      </c>
      <c r="C54" s="13" t="s">
        <v>342</v>
      </c>
      <c r="D54" s="14">
        <f>(6+58/60+21/3600)/24*2*PI()</f>
        <v>1.8253962314295693</v>
      </c>
      <c r="E54" s="14">
        <f>+(6+10/60+1/3600)/360*2*PI()</f>
        <v>0.1076334853431281</v>
      </c>
      <c r="F54" s="4">
        <v>7</v>
      </c>
    </row>
    <row r="55" spans="1:6" x14ac:dyDescent="0.2">
      <c r="A55" s="13" t="s">
        <v>347</v>
      </c>
      <c r="B55" s="25" t="s">
        <v>939</v>
      </c>
      <c r="C55" s="13" t="s">
        <v>347</v>
      </c>
      <c r="D55" s="14">
        <f>(7+1/60+1/3600)/24*2*PI()</f>
        <v>1.837031759776198</v>
      </c>
      <c r="E55" s="14">
        <f>-(3+15/60+9/3600)/360*2*PI()</f>
        <v>-5.6766833921115561E-2</v>
      </c>
      <c r="F55" s="4">
        <v>7</v>
      </c>
    </row>
    <row r="56" spans="1:6" x14ac:dyDescent="0.2">
      <c r="A56" s="20" t="s">
        <v>352</v>
      </c>
      <c r="B56" s="25" t="s">
        <v>940</v>
      </c>
      <c r="C56" s="20" t="s">
        <v>352</v>
      </c>
      <c r="D56" s="14">
        <f>(7+6/60+56/3600)/24*2*PI()</f>
        <v>1.8628480882952809</v>
      </c>
      <c r="E56" s="14">
        <f>-(7+33/60+26/3600)/360*2*PI()</f>
        <v>-0.13189841008266034</v>
      </c>
      <c r="F56" s="4">
        <v>7.5</v>
      </c>
    </row>
    <row r="57" spans="1:6" x14ac:dyDescent="0.2">
      <c r="A57" s="13" t="s">
        <v>358</v>
      </c>
      <c r="B57" s="25" t="s">
        <v>941</v>
      </c>
      <c r="C57" s="13" t="s">
        <v>358</v>
      </c>
      <c r="D57" s="14">
        <f>(7+8/60+3/3600)/24*2*PI()</f>
        <v>1.8677204657904318</v>
      </c>
      <c r="E57" s="14">
        <f>-(11+55/60+23/3600)/360*2*PI()</f>
        <v>-0.20809657634264614</v>
      </c>
      <c r="F57" s="4">
        <v>6.4</v>
      </c>
    </row>
    <row r="58" spans="1:6" x14ac:dyDescent="0.2">
      <c r="A58" s="13" t="s">
        <v>363</v>
      </c>
      <c r="B58" s="25" t="s">
        <v>942</v>
      </c>
      <c r="C58" s="13" t="s">
        <v>363</v>
      </c>
      <c r="D58" s="14">
        <f>(7+8/60+42/3600)/24*2*PI()</f>
        <v>1.8705566258249229</v>
      </c>
      <c r="E58" s="14">
        <f>+(10+1/60+26/3600)/360*2*PI()</f>
        <v>0.17494986496518714</v>
      </c>
      <c r="F58" s="4">
        <v>7.3</v>
      </c>
    </row>
    <row r="59" spans="1:6" x14ac:dyDescent="0.2">
      <c r="A59" s="13" t="s">
        <v>370</v>
      </c>
      <c r="B59" s="25" t="s">
        <v>943</v>
      </c>
      <c r="C59" s="13" t="s">
        <v>370</v>
      </c>
      <c r="D59" s="14">
        <f>(7+20/60+59/3600)/24*2*PI()</f>
        <v>1.9241527782715819</v>
      </c>
      <c r="E59" s="14">
        <f>+(24+59/60+58/3600)/360*2*PI()</f>
        <v>0.43632261672496025</v>
      </c>
      <c r="F59" s="4">
        <v>8.3000000000000007</v>
      </c>
    </row>
    <row r="60" spans="1:6" x14ac:dyDescent="0.2">
      <c r="A60" s="13" t="s">
        <v>376</v>
      </c>
      <c r="B60" s="25" t="s">
        <v>944</v>
      </c>
      <c r="C60" s="13" t="s">
        <v>376</v>
      </c>
      <c r="D60" s="14">
        <f>(7+21/60+44/3600)/24*2*PI()</f>
        <v>1.9274252706190711</v>
      </c>
      <c r="E60" s="14">
        <f>+(69+40/60+14/3600)/360*2*PI()</f>
        <v>1.2159805861380717</v>
      </c>
      <c r="F60" s="4">
        <v>8.1</v>
      </c>
    </row>
    <row r="61" spans="1:6" x14ac:dyDescent="0.2">
      <c r="A61" s="14" t="s">
        <v>383</v>
      </c>
      <c r="B61" s="25" t="s">
        <v>945</v>
      </c>
      <c r="C61" s="14" t="s">
        <v>383</v>
      </c>
      <c r="D61" s="14">
        <f>(7+23/60+39/3600)/24*2*PI()</f>
        <v>1.9357883066182109</v>
      </c>
      <c r="E61" s="14">
        <f>-(22+58/60+11/3600)/360*2*PI()</f>
        <v>-0.40089728104628641</v>
      </c>
      <c r="F61" s="4">
        <v>7</v>
      </c>
    </row>
    <row r="62" spans="1:6" x14ac:dyDescent="0.2">
      <c r="A62" s="13" t="s">
        <v>388</v>
      </c>
      <c r="B62" s="25" t="s">
        <v>946</v>
      </c>
      <c r="C62" s="13" t="s">
        <v>388</v>
      </c>
      <c r="D62" s="14">
        <f>(7+31/60+54/3600)/24*2*PI()</f>
        <v>1.9717857224405937</v>
      </c>
      <c r="E62" s="14">
        <f>+(24+30/60+12/3600)/360*2*PI()</f>
        <v>0.42766384438034388</v>
      </c>
      <c r="F62" s="4">
        <v>7.4</v>
      </c>
    </row>
    <row r="63" spans="1:6" x14ac:dyDescent="0.2">
      <c r="A63" s="14" t="s">
        <v>394</v>
      </c>
      <c r="B63" s="25" t="s">
        <v>947</v>
      </c>
      <c r="C63" s="14" t="s">
        <v>394</v>
      </c>
      <c r="D63" s="14">
        <f>(7+48/60+46/3600)/24*2*PI()</f>
        <v>2.0453804392330213</v>
      </c>
      <c r="E63" s="14">
        <f>+(5+23/60+35/3600)/360*2*PI()</f>
        <v>9.4126576187416405E-2</v>
      </c>
      <c r="F63" s="4">
        <v>8.6999999999999993</v>
      </c>
    </row>
    <row r="64" spans="1:6" x14ac:dyDescent="0.2">
      <c r="A64" s="14" t="s">
        <v>399</v>
      </c>
      <c r="B64" s="25" t="s">
        <v>948</v>
      </c>
      <c r="C64" s="14" t="s">
        <v>399</v>
      </c>
      <c r="D64" s="14">
        <f>(8+5/60+20/3600)/24*2*PI()</f>
        <v>2.1176661590864536</v>
      </c>
      <c r="E64" s="14">
        <f>-(38+46/60+36/3600)/360*2*PI()</f>
        <v>-0.67678050628166775</v>
      </c>
      <c r="F64" s="4">
        <v>7</v>
      </c>
    </row>
    <row r="65" spans="1:6" x14ac:dyDescent="0.2">
      <c r="A65" s="13" t="s">
        <v>404</v>
      </c>
      <c r="B65" s="25" t="s">
        <v>949</v>
      </c>
      <c r="C65" s="13" t="s">
        <v>404</v>
      </c>
      <c r="D65" s="14">
        <f>(8+7/60+29/3600)/24*2*PI()</f>
        <v>2.1270473038159228</v>
      </c>
      <c r="E65" s="14">
        <f>-(22+54/60+45/3600)/360*2*PI()</f>
        <v>-0.39989856486320075</v>
      </c>
      <c r="F65" s="4">
        <v>8.1</v>
      </c>
    </row>
    <row r="66" spans="1:6" x14ac:dyDescent="0.2">
      <c r="A66" s="3" t="s">
        <v>410</v>
      </c>
      <c r="B66" s="25" t="s">
        <v>950</v>
      </c>
      <c r="C66" s="3" t="s">
        <v>410</v>
      </c>
      <c r="D66" s="14">
        <f>(8+11/60+41/3600)/24*2*PI()</f>
        <v>2.145373260961863</v>
      </c>
      <c r="E66" s="14">
        <f>-(21+12/60+37/3600)/360*2*PI()</f>
        <v>-0.37018918248480837</v>
      </c>
      <c r="F66" s="4">
        <v>8.1999999999999993</v>
      </c>
    </row>
    <row r="67" spans="1:6" x14ac:dyDescent="0.2">
      <c r="A67" s="3" t="s">
        <v>415</v>
      </c>
      <c r="B67" s="25" t="s">
        <v>951</v>
      </c>
      <c r="C67" s="3" t="s">
        <v>415</v>
      </c>
      <c r="D67" s="14">
        <f>(8+20/60+6/3600)/24*2*PI()</f>
        <v>2.1820978973059106</v>
      </c>
      <c r="E67" s="14">
        <f>+(2+45/60+56/3600)/360*2*PI()</f>
        <v>4.8268050091265405E-2</v>
      </c>
      <c r="F67" s="4">
        <v>8.3000000000000007</v>
      </c>
    </row>
    <row r="68" spans="1:6" x14ac:dyDescent="0.2">
      <c r="A68" s="14" t="s">
        <v>419</v>
      </c>
      <c r="B68" s="25" t="s">
        <v>952</v>
      </c>
      <c r="C68" s="14" t="s">
        <v>419</v>
      </c>
      <c r="D68" s="14">
        <f>(8+22/60+44/3600)/24*2*PI()</f>
        <v>2.1935879815482067</v>
      </c>
      <c r="E68" s="14">
        <f>-(15+54/60+59/3600)/360*2*PI()</f>
        <v>-0.27779339113895302</v>
      </c>
      <c r="F68" s="4">
        <v>8.9</v>
      </c>
    </row>
    <row r="69" spans="1:6" x14ac:dyDescent="0.2">
      <c r="A69" s="3" t="s">
        <v>425</v>
      </c>
      <c r="B69" s="25" t="s">
        <v>953</v>
      </c>
      <c r="C69" s="3" t="s">
        <v>425</v>
      </c>
      <c r="D69" s="14">
        <f>(8+28/60+14/3600)/24*2*PI()</f>
        <v>2.2175862587631285</v>
      </c>
      <c r="E69" s="14">
        <f>-(27+15/60+28/3600)/360*2*PI()</f>
        <v>-0.47573796899916543</v>
      </c>
      <c r="F69" s="4">
        <v>8.5</v>
      </c>
    </row>
    <row r="70" spans="1:6" x14ac:dyDescent="0.2">
      <c r="A70" s="14" t="s">
        <v>431</v>
      </c>
      <c r="B70" s="25" t="s">
        <v>954</v>
      </c>
      <c r="C70" s="14" t="s">
        <v>431</v>
      </c>
      <c r="D70" s="14">
        <f>(8+46/60+36/3600)/24*2*PI()</f>
        <v>2.2977259602505349</v>
      </c>
      <c r="E70" s="14">
        <f>-(29+43/60+41/3600)/360*2*PI()</f>
        <v>-0.51885244966023636</v>
      </c>
      <c r="F70" s="4">
        <v>7</v>
      </c>
    </row>
    <row r="71" spans="1:6" x14ac:dyDescent="0.2">
      <c r="A71" s="13" t="s">
        <v>436</v>
      </c>
      <c r="B71" s="25" t="s">
        <v>955</v>
      </c>
      <c r="C71" s="13" t="s">
        <v>436</v>
      </c>
      <c r="D71" s="14">
        <f>(8+55/60+22/3600)/24*2*PI()</f>
        <v>2.3359777596900768</v>
      </c>
      <c r="E71" s="14">
        <f>+(17+13/60+52/3600)/360*2*PI()</f>
        <v>0.30073962266586729</v>
      </c>
      <c r="F71" s="4">
        <v>5.6</v>
      </c>
    </row>
    <row r="72" spans="1:6" x14ac:dyDescent="0.2">
      <c r="A72" s="20" t="s">
        <v>442</v>
      </c>
      <c r="B72" s="25" t="s">
        <v>956</v>
      </c>
      <c r="C72" s="20" t="s">
        <v>442</v>
      </c>
      <c r="D72" s="14">
        <f>(8+56/60+40/3600)/24*2*PI()</f>
        <v>2.3416500797590585</v>
      </c>
      <c r="E72" s="14">
        <f>+(19+50/60+56/3600)/360*2*PI()</f>
        <v>0.34642846397362997</v>
      </c>
      <c r="F72" s="4">
        <v>7.6</v>
      </c>
    </row>
    <row r="73" spans="1:6" x14ac:dyDescent="0.2">
      <c r="A73" s="14" t="s">
        <v>448</v>
      </c>
      <c r="B73" s="25" t="s">
        <v>957</v>
      </c>
      <c r="C73" s="14" t="s">
        <v>448</v>
      </c>
      <c r="D73" s="14">
        <f>(9+18/60+24/3600)/24*2*PI()</f>
        <v>2.4364796357840839</v>
      </c>
      <c r="E73" s="14">
        <f>+(51+24/60+7/3600)/360*2*PI()</f>
        <v>0.89713317248276314</v>
      </c>
      <c r="F73" s="4">
        <v>8.6</v>
      </c>
    </row>
    <row r="74" spans="1:6" x14ac:dyDescent="0.2">
      <c r="A74" s="20" t="s">
        <v>452</v>
      </c>
      <c r="B74" s="25" t="s">
        <v>958</v>
      </c>
      <c r="C74" s="20" t="s">
        <v>452</v>
      </c>
      <c r="D74" s="14">
        <f>(9+51/60+3/3600)/24*2*PI()</f>
        <v>2.5789421359781208</v>
      </c>
      <c r="E74" s="14">
        <f>-(23+1/60+2/3600)/360*2*PI()</f>
        <v>-0.40172631244098361</v>
      </c>
      <c r="F74" s="4">
        <v>6.5</v>
      </c>
    </row>
    <row r="75" spans="1:6" x14ac:dyDescent="0.2">
      <c r="A75" s="3" t="s">
        <v>458</v>
      </c>
      <c r="B75" s="25" t="s">
        <v>959</v>
      </c>
      <c r="C75" s="3" t="s">
        <v>458</v>
      </c>
      <c r="D75" s="14">
        <f>(9+55/60+26/3600)/24*2*PI()</f>
        <v>2.5980680356978918</v>
      </c>
      <c r="E75" s="14">
        <f>-(41+35/60+13/3600)/360*2*PI()</f>
        <v>-0.72582910639951959</v>
      </c>
      <c r="F75" s="4">
        <v>6.5</v>
      </c>
    </row>
    <row r="76" spans="1:6" x14ac:dyDescent="0.2">
      <c r="A76" s="14" t="s">
        <v>463</v>
      </c>
      <c r="B76" s="25" t="s">
        <v>960</v>
      </c>
      <c r="C76" s="14" t="s">
        <v>463</v>
      </c>
      <c r="D76" s="14">
        <f>(9+59/60+52/3600)/24*2*PI()</f>
        <v>2.6174121015741627</v>
      </c>
      <c r="E76" s="14">
        <f>-(60+13/60+6/3600)/360*2*PI()</f>
        <v>-1.0510081867301186</v>
      </c>
      <c r="F76" s="4">
        <v>7.5</v>
      </c>
    </row>
    <row r="77" spans="1:6" x14ac:dyDescent="0.2">
      <c r="A77" s="14" t="s">
        <v>467</v>
      </c>
      <c r="B77" s="25" t="s">
        <v>961</v>
      </c>
      <c r="C77" s="14" t="s">
        <v>467</v>
      </c>
      <c r="D77" s="14">
        <f>(10+11/60+54/3600)/24*2*PI()</f>
        <v>2.6699174232383256</v>
      </c>
      <c r="E77" s="14">
        <f>-(35+19/60+29/3600)/360*2*PI()</f>
        <v>-0.61653271013018585</v>
      </c>
      <c r="F77" s="4">
        <v>6.8</v>
      </c>
    </row>
    <row r="78" spans="1:6" x14ac:dyDescent="0.2">
      <c r="A78" s="14" t="s">
        <v>472</v>
      </c>
      <c r="B78" s="25" t="s">
        <v>962</v>
      </c>
      <c r="C78" s="14" t="s">
        <v>472</v>
      </c>
      <c r="D78" s="14">
        <f>(10+35/60+13/3600)/24*2*PI()</f>
        <v>2.771655574219162</v>
      </c>
      <c r="E78" s="14">
        <f>-(39+33/60+45/3600)/360*2*PI()</f>
        <v>-0.69049588532025663</v>
      </c>
      <c r="F78" s="4">
        <v>6</v>
      </c>
    </row>
    <row r="79" spans="1:6" x14ac:dyDescent="0.2">
      <c r="A79" s="13" t="s">
        <v>478</v>
      </c>
      <c r="B79" s="25" t="s">
        <v>963</v>
      </c>
      <c r="C79" s="13" t="s">
        <v>478</v>
      </c>
      <c r="D79" s="14">
        <f>(10+37/60+33/3600)/24*2*PI()</f>
        <v>2.7818366615224623</v>
      </c>
      <c r="E79" s="14">
        <f>-(13+23/60+4/3600)/360*2*PI()</f>
        <v>-0.23360262410581881</v>
      </c>
      <c r="F79" s="4">
        <v>4.5</v>
      </c>
    </row>
    <row r="80" spans="1:6" x14ac:dyDescent="0.2">
      <c r="A80" s="13" t="s">
        <v>484</v>
      </c>
      <c r="B80" s="25" t="s">
        <v>964</v>
      </c>
      <c r="C80" s="13" t="s">
        <v>484</v>
      </c>
      <c r="D80" s="14">
        <f>(10+45/60+4/3600)/24*2*PI()</f>
        <v>2.8146343070495221</v>
      </c>
      <c r="E80" s="14">
        <f>+(67+24/60+40/3600)/360*2*PI()</f>
        <v>1.1765458413166219</v>
      </c>
      <c r="F80" s="4">
        <v>5.9</v>
      </c>
    </row>
    <row r="81" spans="1:6" x14ac:dyDescent="0.2">
      <c r="A81" s="14" t="s">
        <v>489</v>
      </c>
      <c r="B81" s="25" t="s">
        <v>965</v>
      </c>
      <c r="C81" s="14" t="s">
        <v>489</v>
      </c>
      <c r="D81" s="14">
        <f>(10+46/60+3/3600)/24*2*PI()</f>
        <v>2.8189249081273418</v>
      </c>
      <c r="E81" s="14">
        <f>-(65+36/60+53/3600)/360*2*PI()</f>
        <v>-1.145192940559268</v>
      </c>
      <c r="F81" s="4">
        <v>8</v>
      </c>
    </row>
    <row r="82" spans="1:6" x14ac:dyDescent="0.2">
      <c r="A82" s="3" t="s">
        <v>493</v>
      </c>
      <c r="B82" s="25" t="s">
        <v>966</v>
      </c>
      <c r="C82" s="3" t="s">
        <v>493</v>
      </c>
      <c r="D82" s="14">
        <f>(10+51/60+37/3600)/24*2*PI()</f>
        <v>2.8432140735509295</v>
      </c>
      <c r="E82" s="14">
        <f>-(21+15/60+0/3600)/360*2*PI()</f>
        <v>-0.37088246604879499</v>
      </c>
      <c r="F82" s="4">
        <v>6.5</v>
      </c>
    </row>
    <row r="83" spans="1:6" x14ac:dyDescent="0.2">
      <c r="A83" s="14" t="s">
        <v>499</v>
      </c>
      <c r="B83" s="25" t="s">
        <v>967</v>
      </c>
      <c r="C83" s="14" t="s">
        <v>499</v>
      </c>
      <c r="D83" s="14">
        <f>(11+15/60+39/3600)/24*2*PI()</f>
        <v>2.9480792727749221</v>
      </c>
      <c r="E83" s="14">
        <f>-(57+55/60+42/3600)/360*2*PI()</f>
        <v>-1.0110401468594483</v>
      </c>
      <c r="F83" s="4">
        <v>9.3000000000000007</v>
      </c>
    </row>
    <row r="84" spans="1:6" x14ac:dyDescent="0.2">
      <c r="A84" s="14" t="s">
        <v>503</v>
      </c>
      <c r="B84" s="25" t="s">
        <v>968</v>
      </c>
      <c r="C84" s="14" t="s">
        <v>503</v>
      </c>
      <c r="D84" s="14">
        <f>(12+24/60+34/3600)/24*2*PI()</f>
        <v>3.2487849584831112</v>
      </c>
      <c r="E84" s="14">
        <f>-(49+26/60+25/3600)/360*2*PI()</f>
        <v>-0.86289563032280747</v>
      </c>
      <c r="F84" s="4">
        <v>7</v>
      </c>
    </row>
    <row r="85" spans="1:6" x14ac:dyDescent="0.2">
      <c r="A85" s="20" t="s">
        <v>507</v>
      </c>
      <c r="B85" s="25" t="s">
        <v>969</v>
      </c>
      <c r="C85" s="20" t="s">
        <v>507</v>
      </c>
      <c r="D85" s="14">
        <f>(12+25/60+14/3600)/24*2*PI()</f>
        <v>3.2516938405697688</v>
      </c>
      <c r="E85" s="14">
        <f>+(0+46/60+10/3600)/360*2*PI()</f>
        <v>1.3429338966734147E-2</v>
      </c>
      <c r="F85" s="4">
        <v>6</v>
      </c>
    </row>
    <row r="86" spans="1:6" x14ac:dyDescent="0.2">
      <c r="A86" s="13" t="s">
        <v>512</v>
      </c>
      <c r="B86" s="25" t="s">
        <v>970</v>
      </c>
      <c r="C86" s="13" t="s">
        <v>512</v>
      </c>
      <c r="D86" s="14">
        <f>(12+45/60+7/3600)/24*2*PI()</f>
        <v>3.3384512488043199</v>
      </c>
      <c r="E86" s="14">
        <f>+(45+26/60+24/3600)/360*2*PI()</f>
        <v>0.79307761210622318</v>
      </c>
      <c r="F86" s="4">
        <v>4.8</v>
      </c>
    </row>
    <row r="87" spans="1:6" x14ac:dyDescent="0.2">
      <c r="A87" s="3" t="s">
        <v>518</v>
      </c>
      <c r="B87" s="25" t="s">
        <v>971</v>
      </c>
      <c r="C87" s="3" t="s">
        <v>518</v>
      </c>
      <c r="D87" s="14">
        <f>(12+47/60+18/3600)/24*2*PI()</f>
        <v>3.3479778376381226</v>
      </c>
      <c r="E87" s="14">
        <f>+(4+8/60+41/3600)/360*2*PI()</f>
        <v>7.2339049358353863E-2</v>
      </c>
      <c r="F87" s="4">
        <v>7.9</v>
      </c>
    </row>
    <row r="88" spans="1:6" x14ac:dyDescent="0.2">
      <c r="A88" s="3" t="s">
        <v>525</v>
      </c>
      <c r="B88" s="25" t="s">
        <v>972</v>
      </c>
      <c r="C88" s="3" t="s">
        <v>525</v>
      </c>
      <c r="D88" s="14">
        <f>(12+47/60+25/3600)/24*2*PI()</f>
        <v>3.3484868920032875</v>
      </c>
      <c r="E88" s="14">
        <f>-(59+41/60+41/3600)/360*2*PI()</f>
        <v>-1.0418694488412039</v>
      </c>
      <c r="F88" s="4">
        <v>8.4</v>
      </c>
    </row>
    <row r="89" spans="1:6" x14ac:dyDescent="0.2">
      <c r="A89" s="13" t="s">
        <v>531</v>
      </c>
      <c r="B89" s="25" t="s">
        <v>973</v>
      </c>
      <c r="C89" s="13" t="s">
        <v>531</v>
      </c>
      <c r="D89" s="14">
        <f>(12+56/60+25/3600)/24*2*PI()</f>
        <v>3.3877568001731597</v>
      </c>
      <c r="E89" s="14">
        <f>+(65+59/60+39/3600)/360*2*PI()</f>
        <v>1.1518154954432247</v>
      </c>
      <c r="F89" s="4">
        <v>6</v>
      </c>
    </row>
    <row r="90" spans="1:6" x14ac:dyDescent="0.2">
      <c r="A90" s="14" t="s">
        <v>537</v>
      </c>
      <c r="B90" s="25" t="s">
        <v>974</v>
      </c>
      <c r="C90" s="14" t="s">
        <v>537</v>
      </c>
      <c r="D90" s="14">
        <f>(12+59/60+23/3600)/24*2*PI()</f>
        <v>3.4007013254587841</v>
      </c>
      <c r="E90" s="14">
        <f>+(37+49/60+4/3600)/360*2*PI()</f>
        <v>0.66004473800976671</v>
      </c>
      <c r="F90" s="4">
        <v>9.1999999999999993</v>
      </c>
    </row>
    <row r="91" spans="1:6" x14ac:dyDescent="0.2">
      <c r="A91" s="13" t="s">
        <v>542</v>
      </c>
      <c r="B91" s="25" t="s">
        <v>975</v>
      </c>
      <c r="C91" s="13" t="s">
        <v>543</v>
      </c>
      <c r="D91" s="14">
        <f>(13+6/60+24/3600)/24*2*PI()</f>
        <v>3.4313173094208516</v>
      </c>
      <c r="E91" s="14">
        <f>-(20+3/60+31/3600)/360*2*PI()</f>
        <v>-0.35008880726600705</v>
      </c>
      <c r="F91" s="4">
        <v>8.5</v>
      </c>
    </row>
    <row r="92" spans="1:6" x14ac:dyDescent="0.2">
      <c r="A92" s="14" t="s">
        <v>550</v>
      </c>
      <c r="B92" s="25" t="s">
        <v>976</v>
      </c>
      <c r="C92" s="14" t="s">
        <v>550</v>
      </c>
      <c r="D92" s="14">
        <f>(15+27/60+48/3600)/24*2*PI()</f>
        <v>4.0482912000008477</v>
      </c>
      <c r="E92" s="14">
        <f>-(25+10/60+10/3600)/360*2*PI()</f>
        <v>-0.4392896764533506</v>
      </c>
      <c r="F92" s="4">
        <v>7.4</v>
      </c>
    </row>
    <row r="93" spans="1:6" x14ac:dyDescent="0.2">
      <c r="A93" s="14" t="s">
        <v>556</v>
      </c>
      <c r="B93" s="25" t="s">
        <v>977</v>
      </c>
      <c r="C93" s="14" t="s">
        <v>556</v>
      </c>
      <c r="D93" s="14">
        <f>(15+48/60+36/3600)/24*2*PI()</f>
        <v>4.1390483211045526</v>
      </c>
      <c r="E93" s="14">
        <f>+(28+9/60+0/3600)/360*2*PI()</f>
        <v>0.49131018443640373</v>
      </c>
      <c r="F93" s="4">
        <v>5.7</v>
      </c>
    </row>
    <row r="94" spans="1:6" x14ac:dyDescent="0.2">
      <c r="A94" s="20" t="s">
        <v>561</v>
      </c>
      <c r="B94" s="25" t="s">
        <v>978</v>
      </c>
      <c r="C94" s="20" t="s">
        <v>561</v>
      </c>
      <c r="D94" s="14">
        <f>(15+49/60+31/3600)/24*2*PI()</f>
        <v>4.1430480339737059</v>
      </c>
      <c r="E94" s="14">
        <f>+(39+34/60+17/3600)/360*2*PI()</f>
        <v>0.69065102569821168</v>
      </c>
      <c r="F94" s="4">
        <v>6.9</v>
      </c>
    </row>
    <row r="95" spans="1:6" x14ac:dyDescent="0.2">
      <c r="A95" s="13" t="s">
        <v>566</v>
      </c>
      <c r="B95" s="25" t="s">
        <v>979</v>
      </c>
      <c r="C95" s="13" t="s">
        <v>566</v>
      </c>
      <c r="D95" s="14">
        <f>(16+4/60+13/3600)/24*2*PI()</f>
        <v>4.2071888839844984</v>
      </c>
      <c r="E95" s="14">
        <f>+(50+29/60+56/3600)/360*2*PI()</f>
        <v>0.88137187970989206</v>
      </c>
      <c r="F95" s="4">
        <v>7.8</v>
      </c>
    </row>
    <row r="96" spans="1:6" x14ac:dyDescent="0.2">
      <c r="A96" s="20" t="s">
        <v>571</v>
      </c>
      <c r="B96" s="25" t="s">
        <v>980</v>
      </c>
      <c r="C96" s="20" t="s">
        <v>571</v>
      </c>
      <c r="D96" s="14">
        <f>(16+26/60+43/3600)/24*2*PI()</f>
        <v>4.3053636544091791</v>
      </c>
      <c r="E96" s="14">
        <f>-(12+25/60+35/3600)/360*2*PI()</f>
        <v>-0.21688140024435093</v>
      </c>
      <c r="F96" s="4">
        <v>7.3</v>
      </c>
    </row>
    <row r="97" spans="1:6" x14ac:dyDescent="0.2">
      <c r="A97" s="3" t="s">
        <v>577</v>
      </c>
      <c r="B97" s="25" t="s">
        <v>981</v>
      </c>
      <c r="C97" s="3" t="s">
        <v>577</v>
      </c>
      <c r="D97" s="14">
        <f>(16+40/60+39/3600)/24*2*PI()</f>
        <v>4.366159290020315</v>
      </c>
      <c r="E97" s="14">
        <f>-(32+22/60+48/3600)/360*2*PI()</f>
        <v>-0.56513761179576394</v>
      </c>
      <c r="F97" s="4">
        <v>7</v>
      </c>
    </row>
    <row r="98" spans="1:6" x14ac:dyDescent="0.2">
      <c r="A98" s="3" t="s">
        <v>581</v>
      </c>
      <c r="B98" s="25" t="s">
        <v>982</v>
      </c>
      <c r="C98" s="3" t="s">
        <v>581</v>
      </c>
      <c r="D98" s="14">
        <f>(17+2/60+46/3600)/24*2*PI()</f>
        <v>4.4626614532451683</v>
      </c>
      <c r="E98" s="14">
        <f>-(32+43/60+32/3600)/360*2*PI()</f>
        <v>-0.57116869398876657</v>
      </c>
      <c r="F98" s="4">
        <v>8</v>
      </c>
    </row>
    <row r="99" spans="1:6" x14ac:dyDescent="0.2">
      <c r="A99" s="13" t="s">
        <v>588</v>
      </c>
      <c r="B99" s="25" t="s">
        <v>983</v>
      </c>
      <c r="C99" s="13" t="s">
        <v>589</v>
      </c>
      <c r="D99" s="14">
        <f>(17+13/60+31/3600)/24*2*PI()</f>
        <v>4.5095671768925145</v>
      </c>
      <c r="E99" s="14">
        <f>+(42+6/60+22/3600)/360*2*PI()</f>
        <v>0.73489027409945684</v>
      </c>
      <c r="F99" s="4">
        <v>7.3</v>
      </c>
    </row>
    <row r="100" spans="1:6" x14ac:dyDescent="0.2">
      <c r="A100" s="20" t="s">
        <v>595</v>
      </c>
      <c r="B100" s="25" t="s">
        <v>984</v>
      </c>
      <c r="C100" s="20" t="s">
        <v>595</v>
      </c>
      <c r="D100" s="14">
        <f>(17+29/60+43/3600)/24*2*PI()</f>
        <v>4.5802530115982867</v>
      </c>
      <c r="E100" s="14">
        <f>-(19+28/60+22/3600)/360*2*PI()</f>
        <v>-0.33986408673140683</v>
      </c>
      <c r="F100" s="4">
        <v>7</v>
      </c>
    </row>
    <row r="101" spans="1:6" x14ac:dyDescent="0.2">
      <c r="A101" s="3" t="s">
        <v>600</v>
      </c>
      <c r="B101" s="25" t="s">
        <v>985</v>
      </c>
      <c r="C101" s="3" t="s">
        <v>600</v>
      </c>
      <c r="D101" s="14">
        <f>(17+43/60+19/3600)/24*2*PI()</f>
        <v>4.639594206166092</v>
      </c>
      <c r="E101" s="14">
        <f>-(57+43/60+26/3600)/360*2*PI()</f>
        <v>-1.0074719181664824</v>
      </c>
      <c r="F101" s="4">
        <v>7</v>
      </c>
    </row>
    <row r="102" spans="1:6" x14ac:dyDescent="0.2">
      <c r="A102" s="13" t="s">
        <v>605</v>
      </c>
      <c r="B102" s="25" t="s">
        <v>986</v>
      </c>
      <c r="C102" s="13" t="s">
        <v>605</v>
      </c>
      <c r="D102" s="14">
        <f>(17+44/60+56/3600)/24*2*PI()</f>
        <v>4.6466482452262365</v>
      </c>
      <c r="E102" s="14">
        <f>-(18+39/60+26/3600)/360*2*PI()</f>
        <v>-0.32562995705403092</v>
      </c>
      <c r="F102" s="4">
        <v>8.1999999999999993</v>
      </c>
    </row>
    <row r="103" spans="1:6" x14ac:dyDescent="0.2">
      <c r="A103" s="3" t="s">
        <v>611</v>
      </c>
      <c r="B103" s="25" t="s">
        <v>987</v>
      </c>
      <c r="C103" s="3" t="s">
        <v>611</v>
      </c>
      <c r="D103" s="14">
        <f>(17+47/60+28/3600)/24*2*PI()</f>
        <v>4.6577019971555353</v>
      </c>
      <c r="E103" s="14">
        <f>-(35+42/60+5/3600)/360*2*PI()</f>
        <v>-0.62310678364603123</v>
      </c>
      <c r="F103" s="4">
        <v>7</v>
      </c>
    </row>
    <row r="104" spans="1:6" x14ac:dyDescent="0.2">
      <c r="A104" s="3" t="s">
        <v>615</v>
      </c>
      <c r="B104" s="25" t="s">
        <v>988</v>
      </c>
      <c r="C104" s="3" t="s">
        <v>615</v>
      </c>
      <c r="D104" s="14">
        <f>(17+56/60+23/3600)/24*2*PI()</f>
        <v>4.696608295064574</v>
      </c>
      <c r="E104" s="14">
        <f>+(58+13/60+6/3600)/360*2*PI()</f>
        <v>1.0161016016902322</v>
      </c>
      <c r="F104" s="4">
        <v>7.2</v>
      </c>
    </row>
    <row r="105" spans="1:6" x14ac:dyDescent="0.2">
      <c r="A105" s="13" t="s">
        <v>622</v>
      </c>
      <c r="B105" s="25" t="s">
        <v>989</v>
      </c>
      <c r="C105" s="13" t="s">
        <v>622</v>
      </c>
      <c r="D105" s="14">
        <f>(18+19/60+21/3600)/24*2*PI()</f>
        <v>4.7968192829499143</v>
      </c>
      <c r="E105" s="14">
        <f>-(15+36/60+46/3600)/360*2*PI()</f>
        <v>-0.2724943776044258</v>
      </c>
      <c r="F105" s="4">
        <v>8.5</v>
      </c>
    </row>
    <row r="106" spans="1:6" x14ac:dyDescent="0.2">
      <c r="A106" s="20" t="s">
        <v>626</v>
      </c>
      <c r="B106" s="25" t="s">
        <v>990</v>
      </c>
      <c r="C106" s="20" t="s">
        <v>626</v>
      </c>
      <c r="D106" s="14">
        <f>(18+30/60+16/3600)/24*2*PI()</f>
        <v>4.8444522271189276</v>
      </c>
      <c r="E106" s="14">
        <f>+(21+52/60+0/3600)/360*2*PI()</f>
        <v>0.38164532976942672</v>
      </c>
      <c r="F106" s="4">
        <v>6.9</v>
      </c>
    </row>
    <row r="107" spans="1:6" x14ac:dyDescent="0.2">
      <c r="A107" s="14" t="s">
        <v>633</v>
      </c>
      <c r="B107" s="25" t="s">
        <v>991</v>
      </c>
      <c r="C107" s="14" t="s">
        <v>633</v>
      </c>
      <c r="D107" s="14">
        <f>(18+30/60+26/3600)/24*2*PI()</f>
        <v>4.8451794476405921</v>
      </c>
      <c r="E107" s="14">
        <f>-(16+53/60+49/3600)/360*2*PI()</f>
        <v>-0.29490731408211962</v>
      </c>
      <c r="F107" s="4">
        <v>9</v>
      </c>
    </row>
    <row r="108" spans="1:6" x14ac:dyDescent="0.2">
      <c r="A108" s="3" t="s">
        <v>638</v>
      </c>
      <c r="B108" s="25" t="s">
        <v>992</v>
      </c>
      <c r="C108" s="3" t="s">
        <v>638</v>
      </c>
      <c r="D108" s="14">
        <f>(18+32/60+20/3600)/24*2*PI()</f>
        <v>4.853469761587565</v>
      </c>
      <c r="E108" s="14">
        <f>+(36+59/60+55/3600)/360*2*PI()</f>
        <v>0.64574758255384646</v>
      </c>
      <c r="F108" s="4">
        <v>7.5</v>
      </c>
    </row>
    <row r="109" spans="1:6" x14ac:dyDescent="0.2">
      <c r="A109" s="13" t="s">
        <v>645</v>
      </c>
      <c r="B109" s="25" t="s">
        <v>993</v>
      </c>
      <c r="C109" s="13" t="s">
        <v>645</v>
      </c>
      <c r="D109" s="14">
        <f>(18+42/60+50/3600)/24*2*PI()</f>
        <v>4.8992846544524156</v>
      </c>
      <c r="E109" s="14">
        <f>+(36+57/60+30/3600)/360*2*PI()</f>
        <v>0.64504460271623765</v>
      </c>
      <c r="F109" s="4">
        <v>7.8</v>
      </c>
    </row>
    <row r="110" spans="1:6" x14ac:dyDescent="0.2">
      <c r="A110" s="14" t="s">
        <v>651</v>
      </c>
      <c r="B110" s="25" t="s">
        <v>994</v>
      </c>
      <c r="C110" s="14" t="s">
        <v>651</v>
      </c>
      <c r="D110" s="14">
        <f>(18+44/60+25/3600)/24*2*PI()</f>
        <v>4.9061932494082265</v>
      </c>
      <c r="E110" s="14">
        <f>-(13+12/60+48/3600)/360*2*PI()</f>
        <v>-0.23061617183018407</v>
      </c>
      <c r="F110" s="4">
        <v>8.6999999999999993</v>
      </c>
    </row>
    <row r="111" spans="1:6" x14ac:dyDescent="0.2">
      <c r="A111" s="3" t="s">
        <v>655</v>
      </c>
      <c r="B111" s="25" t="s">
        <v>995</v>
      </c>
      <c r="C111" s="3" t="s">
        <v>655</v>
      </c>
      <c r="D111" s="14">
        <f>(18+47/60+21/3600)/24*2*PI()</f>
        <v>4.9189923305895187</v>
      </c>
      <c r="E111" s="14">
        <f>+(5+27/60+19/3600)/360*2*PI()</f>
        <v>9.5212558833101771E-2</v>
      </c>
      <c r="F111" s="4">
        <v>9.5</v>
      </c>
    </row>
    <row r="112" spans="1:6" x14ac:dyDescent="0.2">
      <c r="A112" s="13" t="s">
        <v>661</v>
      </c>
      <c r="B112" s="25" t="s">
        <v>996</v>
      </c>
      <c r="C112" s="13" t="s">
        <v>661</v>
      </c>
      <c r="D112" s="14">
        <f>(18+50/60+20/3600)/24*2*PI()</f>
        <v>4.9320095779273094</v>
      </c>
      <c r="E112" s="14">
        <f>-(7+54/60+27/3600)/360*2*PI()</f>
        <v>-0.1380119106014516</v>
      </c>
      <c r="F112" s="4">
        <v>6.3</v>
      </c>
    </row>
    <row r="113" spans="1:6" x14ac:dyDescent="0.2">
      <c r="A113" s="20" t="s">
        <v>666</v>
      </c>
      <c r="B113" s="25" t="s">
        <v>997</v>
      </c>
      <c r="C113" s="20" t="s">
        <v>666</v>
      </c>
      <c r="D113" s="14">
        <f>(18+58/60+32/3600)/24*2*PI()</f>
        <v>4.9677888275931927</v>
      </c>
      <c r="E113" s="14">
        <f>+(14+21/60+49/3600)/360*2*PI()</f>
        <v>0.25069230636492995</v>
      </c>
      <c r="F113" s="4">
        <v>8</v>
      </c>
    </row>
    <row r="114" spans="1:6" x14ac:dyDescent="0.2">
      <c r="A114" s="20" t="s">
        <v>672</v>
      </c>
      <c r="B114" s="25" t="s">
        <v>998</v>
      </c>
      <c r="C114" s="20" t="s">
        <v>672</v>
      </c>
      <c r="D114" s="14">
        <f>(19+4/60+24/3600)/24*2*PI()</f>
        <v>4.993386989955777</v>
      </c>
      <c r="E114" s="14">
        <f>-(5+41/60+5/3600)/360*2*PI()</f>
        <v>-9.9217119839066545E-2</v>
      </c>
      <c r="F114" s="4">
        <v>6.6</v>
      </c>
    </row>
    <row r="115" spans="1:6" x14ac:dyDescent="0.2">
      <c r="A115" s="13" t="s">
        <v>677</v>
      </c>
      <c r="B115" s="25" t="s">
        <v>999</v>
      </c>
      <c r="C115" s="13" t="s">
        <v>677</v>
      </c>
      <c r="D115" s="14">
        <f>(19+19/60+9/3600)/24*2*PI()</f>
        <v>5.0577460061230681</v>
      </c>
      <c r="E115" s="14">
        <f>-(15+54/60+30/3600)/360*2*PI()</f>
        <v>-0.27765279517143127</v>
      </c>
      <c r="F115" s="4">
        <v>6.7</v>
      </c>
    </row>
    <row r="116" spans="1:6" x14ac:dyDescent="0.2">
      <c r="A116" s="13" t="s">
        <v>682</v>
      </c>
      <c r="B116" s="25" t="s">
        <v>1000</v>
      </c>
      <c r="C116" s="13" t="s">
        <v>682</v>
      </c>
      <c r="D116" s="14">
        <f>(19+20/60+9/3600)/24*2*PI()</f>
        <v>5.0621093292530537</v>
      </c>
      <c r="E116" s="14">
        <f>+(37+52/60+36/3600)/360*2*PI()</f>
        <v>0.66107254301371876</v>
      </c>
      <c r="F116" s="4">
        <v>8.3000000000000007</v>
      </c>
    </row>
    <row r="117" spans="1:6" x14ac:dyDescent="0.2">
      <c r="A117" s="13" t="s">
        <v>688</v>
      </c>
      <c r="B117" s="25" t="s">
        <v>1001</v>
      </c>
      <c r="C117" s="13" t="s">
        <v>688</v>
      </c>
      <c r="D117" s="14">
        <f>(19+21/60+35/3600)/24*2*PI()</f>
        <v>5.068363425739367</v>
      </c>
      <c r="E117" s="14">
        <f>+(76+33/60+34/3600)/360*2*PI()</f>
        <v>1.3362143790532364</v>
      </c>
      <c r="F117" s="4">
        <v>5.9</v>
      </c>
    </row>
    <row r="118" spans="1:6" x14ac:dyDescent="0.2">
      <c r="A118" s="13" t="s">
        <v>693</v>
      </c>
      <c r="B118" s="25" t="s">
        <v>1002</v>
      </c>
      <c r="C118" s="13" t="s">
        <v>694</v>
      </c>
      <c r="D118" s="14">
        <f>(19+23/60+10/3600)/24*2*PI()</f>
        <v>5.0752720206951762</v>
      </c>
      <c r="E118" s="14">
        <f>-(10+42/60+11/3600)/360*2*PI()</f>
        <v>-0.18680355946831528</v>
      </c>
      <c r="F118" s="4">
        <v>7</v>
      </c>
    </row>
    <row r="119" spans="1:6" x14ac:dyDescent="0.2">
      <c r="A119" s="20" t="s">
        <v>700</v>
      </c>
      <c r="B119" s="25" t="s">
        <v>1003</v>
      </c>
      <c r="C119" s="20" t="s">
        <v>700</v>
      </c>
      <c r="D119" s="14">
        <f>(19+28/60+47/3600)/24*2*PI()</f>
        <v>5.0997793522752648</v>
      </c>
      <c r="E119" s="14">
        <f>+(46+2/60+38/3600)/360*2*PI()</f>
        <v>0.80361746153354452</v>
      </c>
      <c r="F119" s="4">
        <v>7.1</v>
      </c>
    </row>
    <row r="120" spans="1:6" x14ac:dyDescent="0.2">
      <c r="A120" s="13" t="s">
        <v>706</v>
      </c>
      <c r="B120" s="25" t="s">
        <v>1004</v>
      </c>
      <c r="C120" s="13" t="s">
        <v>706</v>
      </c>
      <c r="D120" s="14">
        <f>(19+34/60+18/3600)/24*2*PI()</f>
        <v>5.1238503515423526</v>
      </c>
      <c r="E120" s="14">
        <f>-(16+22/60+27/3600)/360*2*PI()</f>
        <v>-0.2857831206036382</v>
      </c>
      <c r="F120" s="4">
        <v>6.6</v>
      </c>
    </row>
    <row r="121" spans="1:6" x14ac:dyDescent="0.2">
      <c r="A121" s="13" t="s">
        <v>711</v>
      </c>
      <c r="B121" s="25" t="s">
        <v>1005</v>
      </c>
      <c r="C121" s="13" t="s">
        <v>711</v>
      </c>
      <c r="D121" s="14">
        <f>(19+40/60+57/3600)/24*2*PI()</f>
        <v>5.1528664503567594</v>
      </c>
      <c r="E121" s="14">
        <f>+(32+37/60+5/3600)/360*2*PI()</f>
        <v>0.56929246504287268</v>
      </c>
      <c r="F121" s="4">
        <v>7</v>
      </c>
    </row>
    <row r="122" spans="1:6" x14ac:dyDescent="0.2">
      <c r="A122" s="20" t="s">
        <v>717</v>
      </c>
      <c r="B122" s="25" t="s">
        <v>1006</v>
      </c>
      <c r="C122" s="20" t="s">
        <v>717</v>
      </c>
      <c r="D122" s="14">
        <f>(19+57/60+12/3600)/24*2*PI()</f>
        <v>5.2237704512190275</v>
      </c>
      <c r="E122" s="14">
        <f>+(44+15/60+40/3600)/360*2*PI()</f>
        <v>0.77250211947993463</v>
      </c>
      <c r="F122" s="4">
        <v>7.9</v>
      </c>
    </row>
    <row r="123" spans="1:6" x14ac:dyDescent="0.2">
      <c r="A123" s="13" t="s">
        <v>723</v>
      </c>
      <c r="B123" s="25" t="s">
        <v>1007</v>
      </c>
      <c r="C123" s="13" t="s">
        <v>723</v>
      </c>
      <c r="D123" s="14">
        <f>(20+1/60+3/3600)/24*2*PI()</f>
        <v>5.240569245269473</v>
      </c>
      <c r="E123" s="14">
        <f>+(9+30/60+51/3600)/360*2*PI()</f>
        <v>0.16605353391682715</v>
      </c>
      <c r="F123" s="4">
        <v>8.4</v>
      </c>
    </row>
    <row r="124" spans="1:6" x14ac:dyDescent="0.2">
      <c r="A124" s="13" t="s">
        <v>728</v>
      </c>
      <c r="B124" s="25" t="s">
        <v>1008</v>
      </c>
      <c r="C124" s="13" t="s">
        <v>728</v>
      </c>
      <c r="D124" s="14">
        <f>(20+2/60+23/3600)/24*2*PI()</f>
        <v>5.2463870094427891</v>
      </c>
      <c r="E124" s="14">
        <f>+(21+5/60+24/3600)/360*2*PI()</f>
        <v>0.36808993924560413</v>
      </c>
      <c r="F124" s="4">
        <v>8.5</v>
      </c>
    </row>
    <row r="125" spans="1:6" x14ac:dyDescent="0.2">
      <c r="A125" s="13" t="s">
        <v>734</v>
      </c>
      <c r="B125" s="25" t="s">
        <v>1009</v>
      </c>
      <c r="C125" s="13" t="s">
        <v>734</v>
      </c>
      <c r="D125" s="14">
        <f>(20+5/60+5/3600)/24*2*PI()</f>
        <v>5.2581679818937497</v>
      </c>
      <c r="E125" s="14">
        <f>+(20+38/60+51/3600)/360*2*PI()</f>
        <v>0.3603668573055292</v>
      </c>
      <c r="F125" s="4">
        <v>7</v>
      </c>
    </row>
    <row r="126" spans="1:6" x14ac:dyDescent="0.2">
      <c r="A126" s="13" t="s">
        <v>740</v>
      </c>
      <c r="B126" s="25" t="s">
        <v>1010</v>
      </c>
      <c r="C126" s="13" t="s">
        <v>740</v>
      </c>
      <c r="D126" s="14">
        <f>(20+9/60+30/3600)/24*2*PI()</f>
        <v>5.2774393257178538</v>
      </c>
      <c r="E126" s="14">
        <f>+(47+52/60+17/3600)/360*2*PI()</f>
        <v>0.83551335361374091</v>
      </c>
      <c r="F126" s="4">
        <v>8.5</v>
      </c>
    </row>
    <row r="127" spans="1:6" x14ac:dyDescent="0.2">
      <c r="A127" s="13" t="s">
        <v>744</v>
      </c>
      <c r="B127" s="25" t="s">
        <v>1011</v>
      </c>
      <c r="C127" s="13" t="s">
        <v>744</v>
      </c>
      <c r="D127" s="14">
        <f>(20+10/60+23/3600)/24*2*PI()</f>
        <v>5.2812935944826753</v>
      </c>
      <c r="E127" s="14">
        <f>+(35+56/60+50/3600)/360*2*PI()</f>
        <v>0.62739738472385043</v>
      </c>
      <c r="F127" s="4">
        <v>8.5</v>
      </c>
    </row>
    <row r="128" spans="1:6" x14ac:dyDescent="0.2">
      <c r="A128" s="13" t="s">
        <v>749</v>
      </c>
      <c r="B128" s="25" t="s">
        <v>1012</v>
      </c>
      <c r="C128" s="13" t="s">
        <v>749</v>
      </c>
      <c r="D128" s="14">
        <f>(20+13/60+23/3600)/24*2*PI()</f>
        <v>5.294383563872632</v>
      </c>
      <c r="E128" s="14">
        <f>+(38+43/60+44/3600)/360*2*PI()</f>
        <v>0.67594662675015937</v>
      </c>
      <c r="F128" s="4">
        <v>6.5</v>
      </c>
    </row>
    <row r="129" spans="1:6" x14ac:dyDescent="0.2">
      <c r="A129" s="20" t="s">
        <v>755</v>
      </c>
      <c r="B129" s="25" t="s">
        <v>1013</v>
      </c>
      <c r="C129" s="20" t="s">
        <v>755</v>
      </c>
      <c r="D129" s="14">
        <f>(20+17/60+6/3600)/24*2*PI()</f>
        <v>5.3106005815057458</v>
      </c>
      <c r="E129" s="14">
        <f>-(21+19/60+4/3600)/360*2*PI()</f>
        <v>-0.37206541143070226</v>
      </c>
      <c r="F129" s="4">
        <v>7</v>
      </c>
    </row>
    <row r="130" spans="1:6" x14ac:dyDescent="0.2">
      <c r="A130" s="14" t="s">
        <v>760</v>
      </c>
      <c r="B130" s="25" t="s">
        <v>1014</v>
      </c>
      <c r="C130" s="14" t="s">
        <v>760</v>
      </c>
      <c r="D130" s="14">
        <f>(20+18/60+33/3600)/24*2*PI()</f>
        <v>5.316927400044225</v>
      </c>
      <c r="E130" s="14">
        <f>+(37+26/60+59/3600)/360*2*PI()</f>
        <v>0.65362095673506526</v>
      </c>
      <c r="F130" s="4">
        <v>8.8000000000000007</v>
      </c>
    </row>
    <row r="131" spans="1:6" x14ac:dyDescent="0.2">
      <c r="A131" s="13" t="s">
        <v>766</v>
      </c>
      <c r="B131" s="25" t="s">
        <v>1015</v>
      </c>
      <c r="C131" s="13" t="s">
        <v>766</v>
      </c>
      <c r="D131" s="14">
        <f>(20+19/60+36/3600)/24*2*PI()</f>
        <v>5.321508889330711</v>
      </c>
      <c r="E131" s="14">
        <f>+(47+53/60+39/3600)/360*2*PI()</f>
        <v>0.83591090083225073</v>
      </c>
      <c r="F131" s="4">
        <v>5.9</v>
      </c>
    </row>
    <row r="132" spans="1:6" x14ac:dyDescent="0.2">
      <c r="A132" s="14" t="s">
        <v>771</v>
      </c>
      <c r="B132" s="25" t="s">
        <v>1016</v>
      </c>
      <c r="C132" s="14" t="s">
        <v>771</v>
      </c>
      <c r="D132" s="14">
        <f>(20+36/60+7/3600)/24*2*PI()</f>
        <v>5.3935764430276434</v>
      </c>
      <c r="E132" s="14">
        <f>+(60+5/60+26/3600)/360*2*PI()</f>
        <v>1.0487780437970149</v>
      </c>
      <c r="F132" s="4">
        <v>11</v>
      </c>
    </row>
    <row r="133" spans="1:6" x14ac:dyDescent="0.2">
      <c r="A133" s="14" t="s">
        <v>775</v>
      </c>
      <c r="B133" s="25" t="s">
        <v>1017</v>
      </c>
      <c r="C133" s="14" t="s">
        <v>775</v>
      </c>
      <c r="D133" s="14">
        <f>(20+37/60+18/3600)/24*2*PI()</f>
        <v>5.3987397087314593</v>
      </c>
      <c r="E133" s="14">
        <f>+(26+39/60+13/3600)/360*2*PI()</f>
        <v>0.46519327143503303</v>
      </c>
      <c r="F133" s="4">
        <v>9.3000000000000007</v>
      </c>
    </row>
    <row r="134" spans="1:6" x14ac:dyDescent="0.2">
      <c r="A134" s="20" t="s">
        <v>779</v>
      </c>
      <c r="B134" s="25" t="s">
        <v>1018</v>
      </c>
      <c r="C134" s="20" t="s">
        <v>779</v>
      </c>
      <c r="D134" s="14">
        <f>(20+41/60+18/3600)/24*2*PI()</f>
        <v>5.4161930012514032</v>
      </c>
      <c r="E134" s="14">
        <f>+(48+8/60+28/3600)/360*2*PI()</f>
        <v>0.84022089445731452</v>
      </c>
      <c r="F134" s="4">
        <v>7.7</v>
      </c>
    </row>
    <row r="135" spans="1:6" x14ac:dyDescent="0.2">
      <c r="A135" s="13" t="s">
        <v>784</v>
      </c>
      <c r="B135" s="25" t="s">
        <v>1019</v>
      </c>
      <c r="C135" s="13" t="s">
        <v>784</v>
      </c>
      <c r="D135" s="14">
        <f>(20+46/60+50/3600)/24*2*PI()</f>
        <v>5.4403367225706578</v>
      </c>
      <c r="E135" s="14">
        <f>+(46+3/60+6/3600)/360*2*PI()</f>
        <v>0.80375320936425521</v>
      </c>
      <c r="F135" s="4">
        <v>7.9</v>
      </c>
    </row>
    <row r="136" spans="1:6" x14ac:dyDescent="0.2">
      <c r="A136" s="13" t="s">
        <v>790</v>
      </c>
      <c r="B136" s="25" t="s">
        <v>1020</v>
      </c>
      <c r="C136" s="13" t="s">
        <v>791</v>
      </c>
      <c r="D136" s="14">
        <f>(20+48/60+36/3600)/24*2*PI()</f>
        <v>5.4480452601003</v>
      </c>
      <c r="E136" s="14">
        <f>+(17+50/60+23/3600)/360*2*PI()</f>
        <v>0.31136189041897727</v>
      </c>
      <c r="F136" s="4">
        <v>7.9</v>
      </c>
    </row>
    <row r="137" spans="1:6" x14ac:dyDescent="0.2">
      <c r="A137" s="13" t="s">
        <v>798</v>
      </c>
      <c r="B137" s="25" t="s">
        <v>1021</v>
      </c>
      <c r="C137" s="13" t="s">
        <v>799</v>
      </c>
      <c r="D137" s="14">
        <f>(21+9/60+59/3600)/24*2*PI()</f>
        <v>5.5413476530298302</v>
      </c>
      <c r="E137" s="14">
        <f>+(26+36/60+54/3600)/360*2*PI()</f>
        <v>0.46451938041829077</v>
      </c>
      <c r="F137" s="4">
        <v>8.1</v>
      </c>
    </row>
    <row r="138" spans="1:6" x14ac:dyDescent="0.2">
      <c r="A138" s="20" t="s">
        <v>805</v>
      </c>
      <c r="B138" s="25" t="s">
        <v>1022</v>
      </c>
      <c r="C138" s="20" t="s">
        <v>805</v>
      </c>
      <c r="D138" s="14">
        <f>(21+35/60+12/3600)/24*2*PI()</f>
        <v>5.6513761179576383</v>
      </c>
      <c r="E138" s="14">
        <f>+(78+37/60+28/3600)/360*2*PI()</f>
        <v>1.3722554281069193</v>
      </c>
      <c r="F138" s="4">
        <v>7.4</v>
      </c>
    </row>
    <row r="139" spans="1:6" x14ac:dyDescent="0.2">
      <c r="A139" s="13" t="s">
        <v>811</v>
      </c>
      <c r="B139" s="25" t="s">
        <v>1023</v>
      </c>
      <c r="C139" s="13" t="s">
        <v>811</v>
      </c>
      <c r="D139" s="14">
        <f>(21+42/60+1/3600)/24*2*PI()</f>
        <v>5.6811194372937086</v>
      </c>
      <c r="E139" s="14">
        <f>+(35+30/60+36/3600)/360*2*PI()</f>
        <v>0.61976641738318639</v>
      </c>
      <c r="F139" s="4">
        <v>5.6</v>
      </c>
    </row>
    <row r="140" spans="1:6" x14ac:dyDescent="0.2">
      <c r="A140" s="20" t="s">
        <v>816</v>
      </c>
      <c r="B140" s="25" t="s">
        <v>1024</v>
      </c>
      <c r="C140" s="20" t="s">
        <v>816</v>
      </c>
      <c r="D140" s="14">
        <f>(21+43/60+16/3600)/24*2*PI()</f>
        <v>5.6865735912061917</v>
      </c>
      <c r="E140" s="14">
        <f>+(38+1/60+2/3600)/360*2*PI()</f>
        <v>0.66352570024013313</v>
      </c>
      <c r="F140" s="4">
        <v>7.1</v>
      </c>
    </row>
    <row r="141" spans="1:6" x14ac:dyDescent="0.2">
      <c r="A141" s="3" t="s">
        <v>821</v>
      </c>
      <c r="B141" s="25" t="s">
        <v>1025</v>
      </c>
      <c r="C141" s="3" t="s">
        <v>821</v>
      </c>
      <c r="D141" s="14">
        <f>(21+55/60+14/3600)/24*2*PI()</f>
        <v>5.7387880246616882</v>
      </c>
      <c r="E141" s="14">
        <f>+(50+29/60+50/3600)/360*2*PI()</f>
        <v>0.88134279088902545</v>
      </c>
      <c r="F141" s="4">
        <v>9.8000000000000007</v>
      </c>
    </row>
    <row r="142" spans="1:6" x14ac:dyDescent="0.2">
      <c r="A142" s="13" t="s">
        <v>826</v>
      </c>
      <c r="B142" s="25" t="s">
        <v>1026</v>
      </c>
      <c r="C142" s="13" t="s">
        <v>826</v>
      </c>
      <c r="D142" s="14">
        <f>(21+56/60+22/3600)/24*2*PI()</f>
        <v>5.7437331242090055</v>
      </c>
      <c r="E142" s="14">
        <f>+(22+51/60+39/3600)/360*2*PI()</f>
        <v>0.39899681141633703</v>
      </c>
      <c r="F142" s="4">
        <v>7.7</v>
      </c>
    </row>
    <row r="143" spans="1:6" x14ac:dyDescent="0.2">
      <c r="A143" s="13" t="s">
        <v>833</v>
      </c>
      <c r="B143" s="25" t="s">
        <v>1027</v>
      </c>
      <c r="C143" s="13" t="s">
        <v>833</v>
      </c>
      <c r="D143" s="14">
        <f>(22+5/60+52/3600)/24*2*PI()</f>
        <v>5.7851846939438705</v>
      </c>
      <c r="E143" s="14">
        <f>+(33+30/60+24/3600)/360*2*PI()</f>
        <v>0.58480165470156664</v>
      </c>
      <c r="F143" s="4">
        <v>7.6</v>
      </c>
    </row>
    <row r="144" spans="1:6" x14ac:dyDescent="0.2">
      <c r="A144" s="14" t="s">
        <v>839</v>
      </c>
      <c r="B144" s="25" t="s">
        <v>1028</v>
      </c>
      <c r="C144" s="14" t="s">
        <v>839</v>
      </c>
      <c r="D144" s="14">
        <f>(22+44/60+11/3600)/24*2*PI()</f>
        <v>5.9523726918744941</v>
      </c>
      <c r="E144" s="14">
        <f>+(61+43/60+43/3600)/360*2*PI()</f>
        <v>1.0773675065720441</v>
      </c>
      <c r="F144" s="4">
        <v>8.3000000000000007</v>
      </c>
    </row>
    <row r="145" spans="1:6" x14ac:dyDescent="0.2">
      <c r="A145" s="14" t="s">
        <v>843</v>
      </c>
      <c r="B145" s="25" t="s">
        <v>1029</v>
      </c>
      <c r="C145" s="14" t="s">
        <v>843</v>
      </c>
      <c r="D145" s="14">
        <f>(22+56/60+7/3600)/24*2*PI()</f>
        <v>6.0044416812256589</v>
      </c>
      <c r="E145" s="14">
        <f>+(54+13/60+46/3600)/360*2*PI()</f>
        <v>0.94648235708290274</v>
      </c>
      <c r="F145" s="4">
        <v>9.4</v>
      </c>
    </row>
    <row r="146" spans="1:6" x14ac:dyDescent="0.2">
      <c r="A146" s="3" t="s">
        <v>847</v>
      </c>
      <c r="B146" s="25" t="s">
        <v>1030</v>
      </c>
      <c r="C146" s="3" t="s">
        <v>847</v>
      </c>
      <c r="D146" s="14">
        <f>(23+1/60+49/3600)/24*2*PI()</f>
        <v>6.0293126230665779</v>
      </c>
      <c r="E146" s="14">
        <f>+(45+53/60+9/3600)/360*2*PI()</f>
        <v>0.80085887168803138</v>
      </c>
      <c r="F146" s="4">
        <v>9.6</v>
      </c>
    </row>
    <row r="147" spans="1:6" x14ac:dyDescent="0.2">
      <c r="A147" s="13" t="s">
        <v>852</v>
      </c>
      <c r="B147" s="25" t="s">
        <v>1031</v>
      </c>
      <c r="C147" s="13" t="s">
        <v>852</v>
      </c>
      <c r="D147" s="14">
        <f>(23+24/60+24/3600)/24*2*PI()</f>
        <v>6.1278510037520908</v>
      </c>
      <c r="E147" s="14">
        <f>-(17+19/60+8/3600)/360*2*PI()</f>
        <v>-0.30227163389817352</v>
      </c>
      <c r="F147" s="4">
        <v>8.5</v>
      </c>
    </row>
    <row r="148" spans="1:6" x14ac:dyDescent="0.2">
      <c r="A148" s="14" t="s">
        <v>859</v>
      </c>
      <c r="B148" s="25" t="s">
        <v>1032</v>
      </c>
      <c r="C148" s="14" t="s">
        <v>859</v>
      </c>
      <c r="D148" s="14">
        <f>(23+26/60+57/3600)/24*2*PI()</f>
        <v>6.1389774777335546</v>
      </c>
      <c r="E148" s="14">
        <f>+(49+30/60+59/3600)/360*2*PI()</f>
        <v>0.86422401980904773</v>
      </c>
      <c r="F148" s="4">
        <v>9</v>
      </c>
    </row>
    <row r="149" spans="1:6" x14ac:dyDescent="0.2">
      <c r="A149" s="13" t="s">
        <v>863</v>
      </c>
      <c r="B149" s="25" t="s">
        <v>1033</v>
      </c>
      <c r="C149" s="13" t="s">
        <v>863</v>
      </c>
      <c r="D149" s="14">
        <f>(23+38/60+45/3600)/24*2*PI()</f>
        <v>6.1904646906673868</v>
      </c>
      <c r="E149" s="14">
        <f>+(35+46/60+21/3600)/360*2*PI()</f>
        <v>0.62434790666967155</v>
      </c>
      <c r="F149" s="4">
        <v>7.7</v>
      </c>
    </row>
    <row r="150" spans="1:6" x14ac:dyDescent="0.2">
      <c r="A150" s="13" t="s">
        <v>869</v>
      </c>
      <c r="B150" s="25" t="s">
        <v>1034</v>
      </c>
      <c r="C150" s="13" t="s">
        <v>869</v>
      </c>
      <c r="D150" s="14">
        <f>(23+46/60+23/3600)/24*2*PI()</f>
        <v>6.2237713905596124</v>
      </c>
      <c r="E150" s="14">
        <f>+(3+29/60+12/3600)/360*2*PI()</f>
        <v>6.0853813252868955E-2</v>
      </c>
      <c r="F150" s="4">
        <v>4.8</v>
      </c>
    </row>
    <row r="151" spans="1:6" x14ac:dyDescent="0.2">
      <c r="A151" s="13" t="s">
        <v>875</v>
      </c>
      <c r="B151" s="25" t="s">
        <v>1035</v>
      </c>
      <c r="C151" s="13" t="s">
        <v>876</v>
      </c>
      <c r="D151" s="14">
        <f>(23+49/60+5/3600)/24*2*PI()</f>
        <v>6.2355523630105747</v>
      </c>
      <c r="E151" s="14">
        <f>+(6+22/60+56/3600)/360*2*PI()</f>
        <v>0.11139079137172699</v>
      </c>
      <c r="F151" s="4">
        <v>8.5</v>
      </c>
    </row>
    <row r="152" spans="1:6" x14ac:dyDescent="0.2">
      <c r="B152" s="3"/>
      <c r="D152" s="3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57"/>
  <sheetViews>
    <sheetView zoomScale="85" zoomScaleNormal="85" workbookViewId="0">
      <pane xSplit="9" ySplit="1" topLeftCell="J134" activePane="bottomRight" state="frozen"/>
      <selection pane="topRight" activeCell="J1" sqref="J1"/>
      <selection pane="bottomLeft" activeCell="A2" sqref="A2"/>
      <selection pane="bottomRight" activeCell="L148" sqref="L148"/>
    </sheetView>
  </sheetViews>
  <sheetFormatPr defaultColWidth="10.125" defaultRowHeight="13.5" x14ac:dyDescent="0.2"/>
  <cols>
    <col min="1" max="1" width="4.5" style="14" customWidth="1"/>
    <col min="2" max="2" width="5.375" style="14" customWidth="1"/>
    <col min="3" max="4" width="4.375" style="14" customWidth="1"/>
    <col min="5" max="5" width="11" style="10" customWidth="1"/>
    <col min="6" max="6" width="14.875" style="11" customWidth="1"/>
    <col min="7" max="7" width="7.125" style="12" customWidth="1"/>
    <col min="8" max="8" width="7.125" style="10" customWidth="1"/>
    <col min="9" max="10" width="17.5" style="13" customWidth="1"/>
    <col min="11" max="11" width="7.125" style="10" customWidth="1"/>
    <col min="12" max="13" width="10.25" style="14" customWidth="1"/>
    <col min="14" max="14" width="15.625" style="15" customWidth="1"/>
    <col min="15" max="15" width="9.375" style="16" customWidth="1"/>
    <col min="16" max="16" width="7.375" style="15" customWidth="1"/>
    <col min="17" max="17" width="20.25" style="15" customWidth="1"/>
    <col min="18" max="18" width="15.25" style="14" customWidth="1"/>
    <col min="19" max="19" width="5.125" style="14" customWidth="1"/>
    <col min="20" max="20" width="8.375" style="17" customWidth="1"/>
    <col min="21" max="21" width="19.25" style="14" customWidth="1"/>
    <col min="22" max="22" width="12.25" style="14" customWidth="1"/>
    <col min="23" max="23" width="39.75" style="18" customWidth="1"/>
    <col min="24" max="24" width="60.25" style="18" customWidth="1"/>
    <col min="25" max="25" width="23.25" style="11" customWidth="1"/>
    <col min="26" max="16384" width="10.125" style="19"/>
  </cols>
  <sheetData>
    <row r="1" spans="1:25" s="9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1"/>
      <c r="L1" s="3" t="s">
        <v>10</v>
      </c>
      <c r="M1" s="3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3" t="s">
        <v>16</v>
      </c>
      <c r="S1" s="6" t="s">
        <v>17</v>
      </c>
      <c r="T1" s="6" t="s">
        <v>18</v>
      </c>
      <c r="U1" s="3" t="s">
        <v>19</v>
      </c>
      <c r="V1" s="3" t="s">
        <v>20</v>
      </c>
      <c r="W1" s="7" t="s">
        <v>21</v>
      </c>
      <c r="X1" s="7" t="s">
        <v>22</v>
      </c>
      <c r="Y1" s="8" t="s">
        <v>23</v>
      </c>
    </row>
    <row r="2" spans="1:25" ht="15" customHeight="1" x14ac:dyDescent="0.2">
      <c r="A2" s="10">
        <v>1</v>
      </c>
      <c r="B2" s="10">
        <v>1</v>
      </c>
      <c r="C2" s="10">
        <v>1</v>
      </c>
      <c r="D2" s="10"/>
      <c r="H2" s="10">
        <v>3</v>
      </c>
      <c r="I2" s="13" t="s">
        <v>24</v>
      </c>
      <c r="J2" s="13" t="s">
        <v>24</v>
      </c>
      <c r="K2" s="10">
        <v>1</v>
      </c>
      <c r="L2" s="14" t="s">
        <v>25</v>
      </c>
      <c r="M2" s="14" t="s">
        <v>26</v>
      </c>
      <c r="N2" s="15" t="s">
        <v>27</v>
      </c>
      <c r="O2" s="16">
        <v>3.12</v>
      </c>
      <c r="P2" s="15">
        <v>2.8</v>
      </c>
      <c r="Q2" s="15" t="s">
        <v>28</v>
      </c>
      <c r="R2" s="14" t="s">
        <v>29</v>
      </c>
      <c r="S2" s="17">
        <v>186</v>
      </c>
      <c r="T2" s="17">
        <v>99</v>
      </c>
      <c r="U2" s="14" t="s">
        <v>30</v>
      </c>
      <c r="V2" s="14" t="s">
        <v>31</v>
      </c>
      <c r="W2" s="18" t="s">
        <v>32</v>
      </c>
      <c r="Y2" s="11" t="s">
        <v>33</v>
      </c>
    </row>
    <row r="3" spans="1:25" ht="13.35" customHeight="1" x14ac:dyDescent="0.2">
      <c r="A3" s="10"/>
      <c r="B3" s="10">
        <v>1</v>
      </c>
      <c r="C3" s="10">
        <v>1</v>
      </c>
      <c r="D3" s="10"/>
      <c r="H3" s="10">
        <v>3</v>
      </c>
      <c r="I3" s="13" t="s">
        <v>34</v>
      </c>
      <c r="J3" s="13" t="s">
        <v>34</v>
      </c>
      <c r="K3" s="10">
        <v>2</v>
      </c>
      <c r="L3" s="14" t="s">
        <v>35</v>
      </c>
      <c r="M3" s="14" t="s">
        <v>36</v>
      </c>
      <c r="N3" s="15" t="s">
        <v>37</v>
      </c>
      <c r="O3" s="16">
        <v>2.81</v>
      </c>
      <c r="P3" s="15">
        <v>2.5</v>
      </c>
      <c r="Q3" s="15" t="s">
        <v>28</v>
      </c>
      <c r="R3" s="14" t="s">
        <v>38</v>
      </c>
      <c r="S3" s="17" t="s">
        <v>39</v>
      </c>
      <c r="T3" s="17">
        <v>363</v>
      </c>
      <c r="U3" s="14" t="s">
        <v>40</v>
      </c>
      <c r="V3" s="14" t="s">
        <v>41</v>
      </c>
    </row>
    <row r="4" spans="1:25" x14ac:dyDescent="0.2">
      <c r="A4" s="10"/>
      <c r="B4" s="10"/>
      <c r="C4" s="10">
        <v>1</v>
      </c>
      <c r="D4" s="10"/>
      <c r="H4" s="10">
        <v>5</v>
      </c>
      <c r="I4" s="13" t="s">
        <v>42</v>
      </c>
      <c r="J4" s="13" t="s">
        <v>43</v>
      </c>
      <c r="K4" s="10">
        <v>3</v>
      </c>
      <c r="L4" s="14" t="s">
        <v>44</v>
      </c>
      <c r="M4" s="14" t="s">
        <v>45</v>
      </c>
      <c r="N4" s="15" t="s">
        <v>46</v>
      </c>
      <c r="O4" s="16" t="s">
        <v>47</v>
      </c>
      <c r="P4" s="15">
        <v>1.1000000000000001</v>
      </c>
      <c r="Q4" s="15" t="s">
        <v>48</v>
      </c>
      <c r="R4" s="14" t="s">
        <v>49</v>
      </c>
      <c r="S4" s="17" t="s">
        <v>50</v>
      </c>
      <c r="T4" s="17">
        <v>447</v>
      </c>
      <c r="U4" s="14" t="s">
        <v>51</v>
      </c>
      <c r="V4" s="14" t="s">
        <v>52</v>
      </c>
      <c r="W4" s="18" t="s">
        <v>53</v>
      </c>
      <c r="X4" s="18" t="s">
        <v>54</v>
      </c>
    </row>
    <row r="5" spans="1:25" x14ac:dyDescent="0.2">
      <c r="A5" s="10">
        <v>1</v>
      </c>
      <c r="B5" s="10">
        <v>1</v>
      </c>
      <c r="C5" s="10"/>
      <c r="D5" s="10"/>
      <c r="H5" s="10">
        <v>3</v>
      </c>
      <c r="I5" s="14" t="s">
        <v>55</v>
      </c>
      <c r="J5" s="14" t="s">
        <v>55</v>
      </c>
      <c r="K5" s="10">
        <v>4</v>
      </c>
      <c r="L5" s="14" t="s">
        <v>56</v>
      </c>
      <c r="M5" s="14" t="s">
        <v>57</v>
      </c>
      <c r="N5" s="15">
        <v>7.5</v>
      </c>
      <c r="O5" s="16">
        <v>2.48</v>
      </c>
      <c r="P5" s="15" t="s">
        <v>47</v>
      </c>
      <c r="R5" s="14" t="s">
        <v>58</v>
      </c>
      <c r="S5" s="17" t="s">
        <v>59</v>
      </c>
      <c r="T5" s="17">
        <v>1401</v>
      </c>
      <c r="U5" s="14" t="s">
        <v>60</v>
      </c>
      <c r="V5" s="14" t="s">
        <v>31</v>
      </c>
      <c r="X5" s="18" t="s">
        <v>61</v>
      </c>
      <c r="Y5" s="11" t="s">
        <v>33</v>
      </c>
    </row>
    <row r="6" spans="1:25" x14ac:dyDescent="0.2">
      <c r="A6" s="10"/>
      <c r="B6" s="10">
        <v>1</v>
      </c>
      <c r="C6" s="10">
        <v>1</v>
      </c>
      <c r="D6" s="10"/>
      <c r="H6" s="10">
        <v>3</v>
      </c>
      <c r="I6" s="20" t="s">
        <v>62</v>
      </c>
      <c r="J6" s="20" t="s">
        <v>62</v>
      </c>
      <c r="K6" s="10">
        <v>5</v>
      </c>
      <c r="L6" s="14" t="s">
        <v>63</v>
      </c>
      <c r="M6" s="14" t="s">
        <v>64</v>
      </c>
      <c r="N6" s="15" t="s">
        <v>65</v>
      </c>
      <c r="O6" s="5">
        <v>5.59</v>
      </c>
      <c r="P6" s="4">
        <v>4.4000000000000004</v>
      </c>
      <c r="Q6" s="18" t="s">
        <v>66</v>
      </c>
      <c r="R6" s="14" t="s">
        <v>67</v>
      </c>
      <c r="S6" s="17">
        <v>369</v>
      </c>
      <c r="T6" s="17">
        <v>1593</v>
      </c>
      <c r="U6" s="14" t="s">
        <v>68</v>
      </c>
      <c r="V6" s="14" t="s">
        <v>69</v>
      </c>
      <c r="X6" s="19"/>
    </row>
    <row r="7" spans="1:25" x14ac:dyDescent="0.2">
      <c r="A7" s="10"/>
      <c r="B7" s="10">
        <v>1</v>
      </c>
      <c r="C7" s="10"/>
      <c r="D7" s="10"/>
      <c r="H7" s="10">
        <v>3</v>
      </c>
      <c r="I7" s="14" t="s">
        <v>70</v>
      </c>
      <c r="J7" s="14" t="s">
        <v>70</v>
      </c>
      <c r="K7" s="10">
        <v>6</v>
      </c>
      <c r="L7" s="14" t="s">
        <v>71</v>
      </c>
      <c r="M7" s="14" t="s">
        <v>72</v>
      </c>
      <c r="N7" s="15">
        <v>9.5</v>
      </c>
      <c r="O7" s="16">
        <v>1.83</v>
      </c>
      <c r="P7" s="15">
        <v>1.8</v>
      </c>
      <c r="Q7" s="15" t="s">
        <v>28</v>
      </c>
      <c r="R7" s="14" t="s">
        <v>73</v>
      </c>
      <c r="S7" s="17" t="s">
        <v>59</v>
      </c>
      <c r="T7" s="17">
        <v>1945</v>
      </c>
      <c r="U7" s="14" t="s">
        <v>68</v>
      </c>
      <c r="V7" s="14" t="s">
        <v>74</v>
      </c>
      <c r="X7" s="18" t="s">
        <v>75</v>
      </c>
    </row>
    <row r="8" spans="1:25" x14ac:dyDescent="0.2">
      <c r="A8" s="10"/>
      <c r="B8" s="10">
        <v>1</v>
      </c>
      <c r="C8" s="10">
        <v>1</v>
      </c>
      <c r="D8" s="10"/>
      <c r="H8" s="10">
        <v>3</v>
      </c>
      <c r="I8" s="20" t="s">
        <v>76</v>
      </c>
      <c r="J8" s="20" t="s">
        <v>76</v>
      </c>
      <c r="K8" s="10">
        <v>7</v>
      </c>
      <c r="L8" s="14" t="s">
        <v>77</v>
      </c>
      <c r="M8" s="14" t="s">
        <v>78</v>
      </c>
      <c r="N8" s="15" t="s">
        <v>79</v>
      </c>
      <c r="O8" s="16">
        <v>3.65</v>
      </c>
      <c r="P8" s="4">
        <v>3.8</v>
      </c>
      <c r="Q8" s="15" t="s">
        <v>80</v>
      </c>
      <c r="R8" s="14" t="s">
        <v>81</v>
      </c>
      <c r="S8" s="17">
        <v>346</v>
      </c>
      <c r="T8" s="17">
        <v>2180</v>
      </c>
      <c r="U8" s="14" t="s">
        <v>82</v>
      </c>
      <c r="V8" s="14" t="s">
        <v>31</v>
      </c>
    </row>
    <row r="9" spans="1:25" x14ac:dyDescent="0.2">
      <c r="A9" s="10"/>
      <c r="B9" s="10"/>
      <c r="C9" s="10">
        <v>1</v>
      </c>
      <c r="D9" s="10"/>
      <c r="H9" s="10">
        <v>5</v>
      </c>
      <c r="I9" s="13" t="s">
        <v>83</v>
      </c>
      <c r="J9" s="13" t="s">
        <v>84</v>
      </c>
      <c r="K9" s="10">
        <v>8</v>
      </c>
      <c r="L9" s="14" t="s">
        <v>85</v>
      </c>
      <c r="M9" s="14" t="s">
        <v>86</v>
      </c>
      <c r="N9" s="15" t="s">
        <v>87</v>
      </c>
      <c r="O9" s="16" t="s">
        <v>47</v>
      </c>
      <c r="P9" s="15">
        <v>1.4</v>
      </c>
      <c r="Q9" s="15" t="s">
        <v>88</v>
      </c>
      <c r="R9" s="14" t="s">
        <v>84</v>
      </c>
      <c r="S9" s="17">
        <v>755</v>
      </c>
      <c r="T9" s="17">
        <v>4252</v>
      </c>
      <c r="U9" s="14" t="s">
        <v>89</v>
      </c>
      <c r="V9" s="14" t="s">
        <v>90</v>
      </c>
    </row>
    <row r="10" spans="1:25" x14ac:dyDescent="0.2">
      <c r="A10" s="10"/>
      <c r="B10" s="10">
        <v>1</v>
      </c>
      <c r="C10" s="10">
        <v>1</v>
      </c>
      <c r="D10" s="10"/>
      <c r="H10" s="10">
        <v>3</v>
      </c>
      <c r="I10" s="13" t="s">
        <v>91</v>
      </c>
      <c r="J10" s="13" t="s">
        <v>91</v>
      </c>
      <c r="K10" s="10">
        <v>9</v>
      </c>
      <c r="L10" s="14" t="s">
        <v>92</v>
      </c>
      <c r="M10" s="14" t="s">
        <v>93</v>
      </c>
      <c r="N10" s="15" t="s">
        <v>94</v>
      </c>
      <c r="O10" s="16">
        <v>2.1</v>
      </c>
      <c r="P10" s="15" t="s">
        <v>47</v>
      </c>
      <c r="R10" s="14" t="s">
        <v>95</v>
      </c>
      <c r="S10" s="17">
        <v>406</v>
      </c>
      <c r="T10" s="17">
        <v>4284</v>
      </c>
      <c r="U10" s="14" t="s">
        <v>96</v>
      </c>
      <c r="V10" s="14" t="s">
        <v>69</v>
      </c>
    </row>
    <row r="11" spans="1:25" x14ac:dyDescent="0.2">
      <c r="A11" s="10">
        <v>1</v>
      </c>
      <c r="B11" s="10">
        <v>1</v>
      </c>
      <c r="C11" s="10">
        <v>1</v>
      </c>
      <c r="D11" s="10"/>
      <c r="H11" s="10">
        <v>5</v>
      </c>
      <c r="I11" s="13" t="s">
        <v>97</v>
      </c>
      <c r="J11" s="13" t="s">
        <v>97</v>
      </c>
      <c r="K11" s="10">
        <v>10</v>
      </c>
      <c r="L11" s="14" t="s">
        <v>98</v>
      </c>
      <c r="M11" s="14" t="s">
        <v>99</v>
      </c>
      <c r="N11" s="15" t="s">
        <v>100</v>
      </c>
      <c r="O11" s="16">
        <v>3.6</v>
      </c>
      <c r="P11" s="15">
        <v>2.6</v>
      </c>
      <c r="Q11" s="15" t="s">
        <v>28</v>
      </c>
      <c r="R11" s="14" t="s">
        <v>101</v>
      </c>
      <c r="S11" s="17">
        <v>144</v>
      </c>
      <c r="T11" s="17">
        <v>5914</v>
      </c>
      <c r="U11" s="14" t="s">
        <v>102</v>
      </c>
      <c r="V11" s="14" t="s">
        <v>31</v>
      </c>
      <c r="Y11" s="11" t="s">
        <v>33</v>
      </c>
    </row>
    <row r="12" spans="1:25" x14ac:dyDescent="0.2">
      <c r="A12" s="10">
        <v>1</v>
      </c>
      <c r="B12" s="10">
        <v>1</v>
      </c>
      <c r="C12" s="10"/>
      <c r="D12" s="10"/>
      <c r="H12" s="10">
        <v>7</v>
      </c>
      <c r="I12" s="3" t="s">
        <v>103</v>
      </c>
      <c r="J12" s="3" t="s">
        <v>103</v>
      </c>
      <c r="K12" s="10">
        <v>11</v>
      </c>
      <c r="L12" s="14" t="s">
        <v>104</v>
      </c>
      <c r="M12" s="14" t="s">
        <v>105</v>
      </c>
      <c r="N12" s="15" t="s">
        <v>106</v>
      </c>
      <c r="O12" s="5">
        <v>4.4000000000000004</v>
      </c>
      <c r="P12" s="4">
        <v>4</v>
      </c>
      <c r="Q12" s="18" t="s">
        <v>66</v>
      </c>
      <c r="R12" s="14" t="s">
        <v>107</v>
      </c>
      <c r="S12" s="17">
        <v>370</v>
      </c>
      <c r="T12" s="17">
        <v>6759</v>
      </c>
      <c r="U12" s="14" t="s">
        <v>108</v>
      </c>
      <c r="V12" s="14" t="s">
        <v>69</v>
      </c>
    </row>
    <row r="13" spans="1:25" x14ac:dyDescent="0.2">
      <c r="A13" s="10"/>
      <c r="B13" s="10">
        <v>1</v>
      </c>
      <c r="C13" s="10"/>
      <c r="D13" s="10"/>
      <c r="H13" s="10">
        <v>1</v>
      </c>
      <c r="I13" s="14" t="s">
        <v>109</v>
      </c>
      <c r="J13" s="14" t="s">
        <v>109</v>
      </c>
      <c r="K13" s="10">
        <v>12</v>
      </c>
      <c r="L13" s="14" t="s">
        <v>110</v>
      </c>
      <c r="M13" s="14" t="s">
        <v>111</v>
      </c>
      <c r="N13" s="15" t="s">
        <v>112</v>
      </c>
      <c r="O13" s="16">
        <v>2.1</v>
      </c>
      <c r="P13" s="15" t="s">
        <v>47</v>
      </c>
      <c r="S13" s="17" t="s">
        <v>59</v>
      </c>
      <c r="T13" s="17" t="s">
        <v>113</v>
      </c>
      <c r="U13" s="14" t="s">
        <v>114</v>
      </c>
      <c r="V13" s="14" t="s">
        <v>74</v>
      </c>
      <c r="W13" s="18" t="s">
        <v>115</v>
      </c>
    </row>
    <row r="14" spans="1:25" x14ac:dyDescent="0.2">
      <c r="A14" s="10"/>
      <c r="B14" s="10">
        <v>1</v>
      </c>
      <c r="C14" s="10">
        <v>1</v>
      </c>
      <c r="D14" s="10"/>
      <c r="H14" s="10">
        <v>4</v>
      </c>
      <c r="I14" s="13" t="s">
        <v>116</v>
      </c>
      <c r="J14" s="13" t="s">
        <v>116</v>
      </c>
      <c r="K14" s="10">
        <v>13</v>
      </c>
      <c r="L14" s="14" t="s">
        <v>117</v>
      </c>
      <c r="M14" s="14" t="s">
        <v>118</v>
      </c>
      <c r="N14" s="15" t="s">
        <v>119</v>
      </c>
      <c r="O14" s="16">
        <v>2.15</v>
      </c>
      <c r="P14" s="15">
        <v>2.1</v>
      </c>
      <c r="Q14" s="15" t="s">
        <v>28</v>
      </c>
      <c r="R14" s="14" t="s">
        <v>120</v>
      </c>
      <c r="S14" s="17">
        <v>77</v>
      </c>
      <c r="T14" s="17">
        <v>10472</v>
      </c>
      <c r="U14" s="14" t="s">
        <v>121</v>
      </c>
      <c r="V14" s="14" t="s">
        <v>31</v>
      </c>
    </row>
    <row r="15" spans="1:25" x14ac:dyDescent="0.2">
      <c r="A15" s="10">
        <v>1</v>
      </c>
      <c r="B15" s="10">
        <v>1</v>
      </c>
      <c r="C15" s="10"/>
      <c r="D15" s="10"/>
      <c r="H15" s="10">
        <v>6</v>
      </c>
      <c r="I15" s="3" t="s">
        <v>122</v>
      </c>
      <c r="J15" s="3" t="s">
        <v>122</v>
      </c>
      <c r="K15" s="10">
        <v>14</v>
      </c>
      <c r="L15" s="14" t="s">
        <v>123</v>
      </c>
      <c r="M15" s="14" t="s">
        <v>124</v>
      </c>
      <c r="N15" s="15" t="s">
        <v>125</v>
      </c>
      <c r="O15" s="16">
        <v>2.21</v>
      </c>
      <c r="P15" s="8">
        <v>5.4</v>
      </c>
      <c r="Q15" s="15" t="s">
        <v>126</v>
      </c>
      <c r="R15" s="14" t="s">
        <v>127</v>
      </c>
      <c r="S15" s="17">
        <v>389</v>
      </c>
      <c r="T15" s="17">
        <v>11582</v>
      </c>
      <c r="U15" s="14" t="s">
        <v>128</v>
      </c>
      <c r="V15" s="14" t="s">
        <v>69</v>
      </c>
    </row>
    <row r="16" spans="1:25" x14ac:dyDescent="0.2">
      <c r="A16" s="10"/>
      <c r="B16" s="10">
        <v>1</v>
      </c>
      <c r="C16" s="10">
        <v>1</v>
      </c>
      <c r="D16" s="10"/>
      <c r="H16" s="10">
        <v>6</v>
      </c>
      <c r="I16" s="13" t="s">
        <v>129</v>
      </c>
      <c r="J16" s="13" t="s">
        <v>130</v>
      </c>
      <c r="K16" s="10">
        <v>15</v>
      </c>
      <c r="L16" s="14" t="s">
        <v>131</v>
      </c>
      <c r="M16" s="14" t="s">
        <v>132</v>
      </c>
      <c r="N16" s="15" t="s">
        <v>133</v>
      </c>
      <c r="O16" s="16">
        <v>1.23</v>
      </c>
      <c r="P16" s="15">
        <v>1.2</v>
      </c>
      <c r="Q16" s="15" t="s">
        <v>126</v>
      </c>
      <c r="R16" s="14" t="s">
        <v>134</v>
      </c>
      <c r="S16" s="17" t="s">
        <v>50</v>
      </c>
      <c r="T16" s="17">
        <v>12028</v>
      </c>
      <c r="U16" s="14" t="s">
        <v>135</v>
      </c>
      <c r="V16" s="14" t="s">
        <v>52</v>
      </c>
      <c r="W16" s="18" t="s">
        <v>136</v>
      </c>
      <c r="Y16" s="21" t="s">
        <v>129</v>
      </c>
    </row>
    <row r="17" spans="1:25" x14ac:dyDescent="0.2">
      <c r="A17" s="10"/>
      <c r="B17" s="10">
        <v>1</v>
      </c>
      <c r="C17" s="10"/>
      <c r="D17" s="10"/>
      <c r="H17" s="10">
        <v>2</v>
      </c>
      <c r="I17" s="14" t="s">
        <v>137</v>
      </c>
      <c r="J17" s="14" t="s">
        <v>137</v>
      </c>
      <c r="K17" s="10">
        <v>16</v>
      </c>
      <c r="L17" s="14" t="s">
        <v>138</v>
      </c>
      <c r="M17" s="14" t="s">
        <v>139</v>
      </c>
      <c r="N17" s="15" t="s">
        <v>140</v>
      </c>
      <c r="O17" s="16" t="s">
        <v>47</v>
      </c>
      <c r="P17" s="15" t="s">
        <v>47</v>
      </c>
      <c r="R17" s="14" t="s">
        <v>141</v>
      </c>
      <c r="S17" s="17" t="s">
        <v>50</v>
      </c>
      <c r="T17" s="17" t="s">
        <v>47</v>
      </c>
      <c r="U17" s="14" t="s">
        <v>142</v>
      </c>
      <c r="V17" s="14" t="s">
        <v>31</v>
      </c>
    </row>
    <row r="18" spans="1:25" x14ac:dyDescent="0.2">
      <c r="A18" s="10"/>
      <c r="B18" s="10"/>
      <c r="C18" s="10">
        <v>1</v>
      </c>
      <c r="D18" s="10"/>
      <c r="H18" s="10">
        <v>2</v>
      </c>
      <c r="I18" s="13" t="s">
        <v>143</v>
      </c>
      <c r="J18" s="13" t="s">
        <v>143</v>
      </c>
      <c r="K18" s="10">
        <v>17</v>
      </c>
      <c r="L18" s="14" t="s">
        <v>144</v>
      </c>
      <c r="M18" s="14" t="s">
        <v>145</v>
      </c>
      <c r="N18" s="15" t="s">
        <v>146</v>
      </c>
      <c r="O18" s="16" t="s">
        <v>47</v>
      </c>
      <c r="P18" s="15" t="s">
        <v>47</v>
      </c>
      <c r="R18" s="14" t="s">
        <v>147</v>
      </c>
      <c r="S18" s="17" t="s">
        <v>50</v>
      </c>
      <c r="T18" s="17">
        <v>12298</v>
      </c>
      <c r="U18" s="14" t="s">
        <v>148</v>
      </c>
      <c r="V18" s="14" t="s">
        <v>74</v>
      </c>
      <c r="Y18" s="11" t="s">
        <v>149</v>
      </c>
    </row>
    <row r="19" spans="1:25" x14ac:dyDescent="0.2">
      <c r="A19" s="10"/>
      <c r="B19" s="10">
        <v>1</v>
      </c>
      <c r="C19" s="10">
        <v>1</v>
      </c>
      <c r="D19" s="10"/>
      <c r="H19" s="10">
        <v>2</v>
      </c>
      <c r="I19" s="13" t="s">
        <v>150</v>
      </c>
      <c r="J19" s="13" t="s">
        <v>150</v>
      </c>
      <c r="K19" s="10">
        <v>18</v>
      </c>
      <c r="L19" s="14" t="s">
        <v>151</v>
      </c>
      <c r="M19" s="14" t="s">
        <v>152</v>
      </c>
      <c r="N19" s="15" t="s">
        <v>153</v>
      </c>
      <c r="O19" s="16">
        <v>2.2999999999999998</v>
      </c>
      <c r="P19" s="15">
        <v>2.1</v>
      </c>
      <c r="Q19" s="15" t="s">
        <v>28</v>
      </c>
      <c r="R19" s="14" t="s">
        <v>154</v>
      </c>
      <c r="S19" s="17" t="s">
        <v>50</v>
      </c>
      <c r="T19" s="17">
        <v>14827</v>
      </c>
      <c r="U19" s="14" t="s">
        <v>68</v>
      </c>
      <c r="V19" s="14" t="s">
        <v>74</v>
      </c>
      <c r="Y19" s="11" t="s">
        <v>155</v>
      </c>
    </row>
    <row r="20" spans="1:25" x14ac:dyDescent="0.2">
      <c r="A20" s="10"/>
      <c r="B20" s="10">
        <v>1</v>
      </c>
      <c r="C20" s="10">
        <v>1</v>
      </c>
      <c r="D20" s="10"/>
      <c r="H20" s="10">
        <v>13</v>
      </c>
      <c r="I20" s="13" t="s">
        <v>156</v>
      </c>
      <c r="J20" s="13" t="s">
        <v>156</v>
      </c>
      <c r="K20" s="10">
        <v>19</v>
      </c>
      <c r="L20" s="14" t="s">
        <v>157</v>
      </c>
      <c r="M20" s="14" t="s">
        <v>158</v>
      </c>
      <c r="N20" s="15" t="s">
        <v>159</v>
      </c>
      <c r="O20" s="16">
        <v>2.52</v>
      </c>
      <c r="P20" s="15">
        <v>2.9</v>
      </c>
      <c r="Q20" s="15" t="s">
        <v>28</v>
      </c>
      <c r="R20" s="14" t="s">
        <v>160</v>
      </c>
      <c r="S20" s="17">
        <v>249</v>
      </c>
      <c r="T20" s="17">
        <v>16126</v>
      </c>
      <c r="U20" s="14" t="s">
        <v>128</v>
      </c>
      <c r="V20" s="14" t="s">
        <v>69</v>
      </c>
    </row>
    <row r="21" spans="1:25" x14ac:dyDescent="0.2">
      <c r="A21" s="10"/>
      <c r="B21" s="10">
        <v>1</v>
      </c>
      <c r="C21" s="10">
        <v>1</v>
      </c>
      <c r="D21" s="10"/>
      <c r="H21" s="10">
        <v>13</v>
      </c>
      <c r="I21" s="20" t="s">
        <v>161</v>
      </c>
      <c r="J21" s="20" t="s">
        <v>161</v>
      </c>
      <c r="K21" s="10">
        <v>20</v>
      </c>
      <c r="L21" s="14" t="s">
        <v>162</v>
      </c>
      <c r="M21" s="14" t="s">
        <v>163</v>
      </c>
      <c r="N21" s="15" t="s">
        <v>164</v>
      </c>
      <c r="O21" s="5">
        <v>4.25</v>
      </c>
      <c r="P21" s="15" t="s">
        <v>47</v>
      </c>
      <c r="R21" s="14" t="s">
        <v>165</v>
      </c>
      <c r="S21" s="17" t="s">
        <v>50</v>
      </c>
      <c r="T21" s="17" t="s">
        <v>47</v>
      </c>
      <c r="U21" s="14" t="s">
        <v>114</v>
      </c>
      <c r="V21" s="14" t="s">
        <v>31</v>
      </c>
    </row>
    <row r="22" spans="1:25" x14ac:dyDescent="0.2">
      <c r="A22" s="10">
        <v>1</v>
      </c>
      <c r="B22" s="10">
        <v>1</v>
      </c>
      <c r="C22" s="10">
        <v>1</v>
      </c>
      <c r="D22" s="10"/>
      <c r="H22" s="10">
        <v>11</v>
      </c>
      <c r="I22" s="20" t="s">
        <v>166</v>
      </c>
      <c r="J22" s="20" t="s">
        <v>166</v>
      </c>
      <c r="K22" s="10">
        <v>21</v>
      </c>
      <c r="L22" s="14" t="s">
        <v>167</v>
      </c>
      <c r="M22" s="14" t="s">
        <v>168</v>
      </c>
      <c r="N22" s="15" t="s">
        <v>169</v>
      </c>
      <c r="O22" s="5">
        <v>3.95</v>
      </c>
      <c r="P22" s="4">
        <v>4.3</v>
      </c>
      <c r="Q22" s="15" t="s">
        <v>28</v>
      </c>
      <c r="R22" s="14" t="s">
        <v>170</v>
      </c>
      <c r="S22" s="17" t="s">
        <v>50</v>
      </c>
      <c r="T22" s="17" t="s">
        <v>171</v>
      </c>
      <c r="U22" s="14" t="s">
        <v>172</v>
      </c>
      <c r="V22" s="14" t="s">
        <v>31</v>
      </c>
      <c r="W22" s="18" t="s">
        <v>115</v>
      </c>
    </row>
    <row r="23" spans="1:25" x14ac:dyDescent="0.2">
      <c r="A23" s="10"/>
      <c r="B23" s="10">
        <v>1</v>
      </c>
      <c r="C23" s="10"/>
      <c r="D23" s="10"/>
      <c r="H23" s="10">
        <v>13</v>
      </c>
      <c r="I23" s="14" t="s">
        <v>173</v>
      </c>
      <c r="J23" s="14" t="s">
        <v>173</v>
      </c>
      <c r="K23" s="10">
        <v>22</v>
      </c>
      <c r="L23" s="14" t="s">
        <v>174</v>
      </c>
      <c r="M23" s="14" t="s">
        <v>175</v>
      </c>
      <c r="N23" s="15">
        <v>9.6999999999999993</v>
      </c>
      <c r="O23" s="16">
        <v>3.09</v>
      </c>
      <c r="P23" s="15" t="s">
        <v>47</v>
      </c>
      <c r="R23" s="14" t="s">
        <v>176</v>
      </c>
      <c r="S23" s="17" t="s">
        <v>59</v>
      </c>
      <c r="T23" s="17" t="s">
        <v>47</v>
      </c>
      <c r="U23" s="14" t="s">
        <v>177</v>
      </c>
      <c r="V23" s="14" t="s">
        <v>74</v>
      </c>
      <c r="X23" s="18" t="s">
        <v>61</v>
      </c>
    </row>
    <row r="24" spans="1:25" x14ac:dyDescent="0.2">
      <c r="A24" s="10">
        <v>1</v>
      </c>
      <c r="B24" s="10">
        <v>1</v>
      </c>
      <c r="C24" s="10">
        <v>1</v>
      </c>
      <c r="D24" s="10"/>
      <c r="H24" s="10">
        <v>11</v>
      </c>
      <c r="I24" s="13" t="s">
        <v>178</v>
      </c>
      <c r="J24" s="13" t="s">
        <v>178</v>
      </c>
      <c r="K24" s="10">
        <v>23</v>
      </c>
      <c r="L24" s="14" t="s">
        <v>179</v>
      </c>
      <c r="M24" s="14" t="s">
        <v>180</v>
      </c>
      <c r="N24" s="15" t="s">
        <v>181</v>
      </c>
      <c r="O24" s="16">
        <v>2.2599999999999998</v>
      </c>
      <c r="P24" s="15">
        <v>2.2999999999999998</v>
      </c>
      <c r="Q24" s="15" t="s">
        <v>28</v>
      </c>
      <c r="R24" s="14" t="s">
        <v>182</v>
      </c>
      <c r="S24" s="17">
        <v>294</v>
      </c>
      <c r="T24" s="17">
        <v>19115</v>
      </c>
      <c r="U24" s="14" t="s">
        <v>183</v>
      </c>
      <c r="V24" s="14" t="s">
        <v>31</v>
      </c>
    </row>
    <row r="25" spans="1:25" x14ac:dyDescent="0.2">
      <c r="A25" s="10"/>
      <c r="B25" s="10"/>
      <c r="C25" s="10">
        <v>1</v>
      </c>
      <c r="D25" s="10"/>
      <c r="H25" s="10">
        <v>13</v>
      </c>
      <c r="I25" s="13" t="s">
        <v>184</v>
      </c>
      <c r="J25" s="13" t="s">
        <v>184</v>
      </c>
      <c r="K25" s="10">
        <v>24</v>
      </c>
      <c r="L25" s="14" t="s">
        <v>185</v>
      </c>
      <c r="M25" s="14" t="s">
        <v>186</v>
      </c>
      <c r="N25" s="15" t="s">
        <v>187</v>
      </c>
      <c r="O25" s="16" t="s">
        <v>47</v>
      </c>
      <c r="P25" s="15">
        <v>0.8</v>
      </c>
      <c r="Q25" s="15" t="s">
        <v>188</v>
      </c>
      <c r="R25" s="14" t="s">
        <v>189</v>
      </c>
      <c r="S25" s="17" t="s">
        <v>50</v>
      </c>
      <c r="T25" s="17">
        <v>19340</v>
      </c>
      <c r="U25" s="14" t="s">
        <v>190</v>
      </c>
      <c r="V25" s="14" t="s">
        <v>191</v>
      </c>
      <c r="Y25" s="11" t="s">
        <v>149</v>
      </c>
    </row>
    <row r="26" spans="1:25" x14ac:dyDescent="0.2">
      <c r="A26" s="10">
        <v>1</v>
      </c>
      <c r="B26" s="10">
        <v>1</v>
      </c>
      <c r="C26" s="10"/>
      <c r="D26" s="10"/>
      <c r="H26" s="10">
        <v>18</v>
      </c>
      <c r="I26" s="14" t="s">
        <v>192</v>
      </c>
      <c r="J26" s="14" t="s">
        <v>192</v>
      </c>
      <c r="K26" s="10">
        <v>25</v>
      </c>
      <c r="L26" s="14" t="s">
        <v>193</v>
      </c>
      <c r="M26" s="14" t="s">
        <v>194</v>
      </c>
      <c r="N26" s="15">
        <v>7.5</v>
      </c>
      <c r="O26" s="16">
        <v>2.59</v>
      </c>
      <c r="P26" s="15">
        <v>2.2999999999999998</v>
      </c>
      <c r="Q26" s="15" t="s">
        <v>28</v>
      </c>
      <c r="R26" s="14" t="s">
        <v>195</v>
      </c>
      <c r="S26" s="17">
        <v>156</v>
      </c>
      <c r="T26" s="17">
        <v>22247</v>
      </c>
      <c r="U26" s="14" t="s">
        <v>40</v>
      </c>
      <c r="V26" s="14" t="s">
        <v>31</v>
      </c>
      <c r="X26" s="18" t="s">
        <v>61</v>
      </c>
      <c r="Y26" s="11" t="s">
        <v>33</v>
      </c>
    </row>
    <row r="27" spans="1:25" x14ac:dyDescent="0.2">
      <c r="A27" s="10">
        <v>1</v>
      </c>
      <c r="B27" s="10">
        <v>1</v>
      </c>
      <c r="C27" s="10">
        <v>1</v>
      </c>
      <c r="D27" s="10"/>
      <c r="H27" s="10">
        <v>11</v>
      </c>
      <c r="I27" s="13" t="s">
        <v>196</v>
      </c>
      <c r="J27" s="13" t="s">
        <v>196</v>
      </c>
      <c r="K27" s="10">
        <v>26</v>
      </c>
      <c r="L27" s="14" t="s">
        <v>197</v>
      </c>
      <c r="M27" s="14" t="s">
        <v>198</v>
      </c>
      <c r="N27" s="15" t="s">
        <v>199</v>
      </c>
      <c r="O27" s="16">
        <v>3.38</v>
      </c>
      <c r="P27" s="15" t="s">
        <v>47</v>
      </c>
      <c r="R27" s="14" t="s">
        <v>200</v>
      </c>
      <c r="S27" s="17">
        <v>300</v>
      </c>
      <c r="T27" s="17">
        <v>22552</v>
      </c>
      <c r="U27" s="14" t="s">
        <v>82</v>
      </c>
      <c r="V27" s="14" t="s">
        <v>31</v>
      </c>
      <c r="Y27" s="11" t="s">
        <v>33</v>
      </c>
    </row>
    <row r="28" spans="1:25" x14ac:dyDescent="0.2">
      <c r="A28" s="10"/>
      <c r="B28" s="10">
        <v>1</v>
      </c>
      <c r="C28" s="10">
        <v>1</v>
      </c>
      <c r="D28" s="10"/>
      <c r="H28" s="10">
        <v>14</v>
      </c>
      <c r="I28" s="13" t="s">
        <v>201</v>
      </c>
      <c r="J28" s="13" t="s">
        <v>201</v>
      </c>
      <c r="K28" s="10">
        <v>27</v>
      </c>
      <c r="L28" s="14" t="s">
        <v>202</v>
      </c>
      <c r="M28" s="14" t="s">
        <v>203</v>
      </c>
      <c r="N28" s="15" t="s">
        <v>204</v>
      </c>
      <c r="O28" s="16">
        <v>3.22</v>
      </c>
      <c r="P28" s="15">
        <v>2.9</v>
      </c>
      <c r="Q28" s="15" t="s">
        <v>28</v>
      </c>
      <c r="R28" s="14" t="s">
        <v>205</v>
      </c>
      <c r="S28" s="17">
        <v>167</v>
      </c>
      <c r="T28" s="17">
        <v>22578</v>
      </c>
      <c r="U28" s="14" t="s">
        <v>206</v>
      </c>
      <c r="V28" s="14" t="s">
        <v>31</v>
      </c>
    </row>
    <row r="29" spans="1:25" x14ac:dyDescent="0.2">
      <c r="A29" s="10"/>
      <c r="B29" s="10">
        <v>1</v>
      </c>
      <c r="C29" s="10"/>
      <c r="D29" s="10"/>
      <c r="H29" s="10">
        <v>12</v>
      </c>
      <c r="I29" s="14" t="s">
        <v>207</v>
      </c>
      <c r="J29" s="14" t="s">
        <v>207</v>
      </c>
      <c r="K29" s="10">
        <v>28</v>
      </c>
      <c r="L29" s="14" t="s">
        <v>208</v>
      </c>
      <c r="M29" s="14" t="s">
        <v>209</v>
      </c>
      <c r="N29" s="15">
        <v>8.8000000000000007</v>
      </c>
      <c r="O29" s="16">
        <v>3.56</v>
      </c>
      <c r="P29" s="15">
        <v>2.9</v>
      </c>
      <c r="Q29" s="15" t="s">
        <v>80</v>
      </c>
      <c r="R29" s="14" t="s">
        <v>210</v>
      </c>
      <c r="S29" s="17">
        <v>365</v>
      </c>
      <c r="T29" s="17">
        <v>22670</v>
      </c>
      <c r="U29" s="14" t="s">
        <v>211</v>
      </c>
      <c r="V29" s="14" t="s">
        <v>31</v>
      </c>
      <c r="X29" s="18" t="s">
        <v>75</v>
      </c>
    </row>
    <row r="30" spans="1:25" x14ac:dyDescent="0.2">
      <c r="A30" s="10">
        <v>1</v>
      </c>
      <c r="B30" s="10">
        <v>1</v>
      </c>
      <c r="C30" s="10">
        <v>1</v>
      </c>
      <c r="D30" s="10"/>
      <c r="H30" s="10">
        <v>16</v>
      </c>
      <c r="I30" s="3" t="s">
        <v>212</v>
      </c>
      <c r="J30" s="3" t="s">
        <v>212</v>
      </c>
      <c r="K30" s="10">
        <v>29</v>
      </c>
      <c r="L30" s="14" t="s">
        <v>213</v>
      </c>
      <c r="M30" s="14" t="s">
        <v>214</v>
      </c>
      <c r="N30" s="15" t="s">
        <v>215</v>
      </c>
      <c r="O30" s="5">
        <v>4.93</v>
      </c>
      <c r="P30" s="8">
        <v>5.5</v>
      </c>
      <c r="Q30" s="18" t="s">
        <v>66</v>
      </c>
      <c r="R30" s="14" t="s">
        <v>216</v>
      </c>
      <c r="S30" s="17">
        <v>427</v>
      </c>
      <c r="T30" s="17">
        <v>23203</v>
      </c>
      <c r="U30" s="14" t="s">
        <v>217</v>
      </c>
      <c r="V30" s="14" t="s">
        <v>69</v>
      </c>
      <c r="W30" s="18" t="s">
        <v>218</v>
      </c>
    </row>
    <row r="31" spans="1:25" x14ac:dyDescent="0.2">
      <c r="A31" s="10"/>
      <c r="B31" s="10">
        <v>1</v>
      </c>
      <c r="C31" s="10">
        <v>1</v>
      </c>
      <c r="D31" s="10"/>
      <c r="H31" s="10">
        <v>12</v>
      </c>
      <c r="I31" s="13" t="s">
        <v>219</v>
      </c>
      <c r="J31" s="13" t="s">
        <v>219</v>
      </c>
      <c r="K31" s="10">
        <v>30</v>
      </c>
      <c r="L31" s="14" t="s">
        <v>220</v>
      </c>
      <c r="M31" s="14" t="s">
        <v>221</v>
      </c>
      <c r="N31" s="15" t="s">
        <v>222</v>
      </c>
      <c r="O31" s="16">
        <v>3.77</v>
      </c>
      <c r="P31" s="15" t="s">
        <v>47</v>
      </c>
      <c r="R31" s="14" t="s">
        <v>223</v>
      </c>
      <c r="S31" s="17" t="s">
        <v>39</v>
      </c>
      <c r="T31" s="17">
        <v>23520</v>
      </c>
      <c r="U31" s="14" t="s">
        <v>82</v>
      </c>
      <c r="V31" s="14" t="s">
        <v>74</v>
      </c>
    </row>
    <row r="32" spans="1:25" x14ac:dyDescent="0.2">
      <c r="A32" s="10">
        <v>1</v>
      </c>
      <c r="B32" s="10">
        <v>1</v>
      </c>
      <c r="C32" s="10">
        <v>1</v>
      </c>
      <c r="D32" s="10"/>
      <c r="H32" s="10">
        <v>14</v>
      </c>
      <c r="I32" s="13" t="s">
        <v>224</v>
      </c>
      <c r="J32" s="13" t="s">
        <v>224</v>
      </c>
      <c r="K32" s="10">
        <v>31</v>
      </c>
      <c r="L32" s="14" t="s">
        <v>225</v>
      </c>
      <c r="M32" s="14" t="s">
        <v>226</v>
      </c>
      <c r="N32" s="15" t="s">
        <v>227</v>
      </c>
      <c r="O32" s="5">
        <v>3.81</v>
      </c>
      <c r="P32" s="15">
        <v>3.5</v>
      </c>
      <c r="Q32" s="15" t="s">
        <v>28</v>
      </c>
      <c r="R32" s="14" t="s">
        <v>228</v>
      </c>
      <c r="S32" s="17">
        <v>212</v>
      </c>
      <c r="T32" s="17">
        <v>23680</v>
      </c>
      <c r="U32" s="14" t="s">
        <v>82</v>
      </c>
      <c r="V32" s="14" t="s">
        <v>31</v>
      </c>
    </row>
    <row r="33" spans="1:25" x14ac:dyDescent="0.2">
      <c r="A33" s="10"/>
      <c r="B33" s="10">
        <v>1</v>
      </c>
      <c r="C33" s="10">
        <v>1</v>
      </c>
      <c r="D33" s="10"/>
      <c r="H33" s="10">
        <v>12</v>
      </c>
      <c r="I33" s="13" t="s">
        <v>229</v>
      </c>
      <c r="J33" s="13" t="s">
        <v>229</v>
      </c>
      <c r="K33" s="10">
        <v>32</v>
      </c>
      <c r="L33" s="14" t="s">
        <v>230</v>
      </c>
      <c r="M33" s="14" t="s">
        <v>231</v>
      </c>
      <c r="N33" s="15" t="s">
        <v>232</v>
      </c>
      <c r="O33" s="16">
        <v>3.71</v>
      </c>
      <c r="P33" s="15">
        <v>3.2</v>
      </c>
      <c r="Q33" s="15" t="s">
        <v>28</v>
      </c>
      <c r="R33" s="14" t="s">
        <v>233</v>
      </c>
      <c r="S33" s="17" t="s">
        <v>39</v>
      </c>
      <c r="T33" s="17">
        <v>23965</v>
      </c>
      <c r="U33" s="14" t="s">
        <v>82</v>
      </c>
      <c r="V33" s="14" t="s">
        <v>74</v>
      </c>
    </row>
    <row r="34" spans="1:25" x14ac:dyDescent="0.2">
      <c r="A34" s="10"/>
      <c r="B34" s="10">
        <v>1</v>
      </c>
      <c r="C34" s="10">
        <v>1</v>
      </c>
      <c r="D34" s="10"/>
      <c r="H34" s="10">
        <v>16</v>
      </c>
      <c r="I34" s="13" t="s">
        <v>234</v>
      </c>
      <c r="J34" s="13" t="s">
        <v>234</v>
      </c>
      <c r="K34" s="10">
        <v>33</v>
      </c>
      <c r="L34" s="14" t="s">
        <v>235</v>
      </c>
      <c r="M34" s="14" t="s">
        <v>236</v>
      </c>
      <c r="N34" s="15" t="s">
        <v>237</v>
      </c>
      <c r="O34" s="16">
        <v>2.62</v>
      </c>
      <c r="P34" s="15">
        <v>2.6</v>
      </c>
      <c r="Q34" s="15" t="s">
        <v>28</v>
      </c>
      <c r="R34" s="14" t="s">
        <v>238</v>
      </c>
      <c r="S34" s="17">
        <v>96</v>
      </c>
      <c r="T34" s="17">
        <v>24025</v>
      </c>
      <c r="U34" s="14" t="s">
        <v>177</v>
      </c>
      <c r="V34" s="14" t="s">
        <v>31</v>
      </c>
    </row>
    <row r="35" spans="1:25" x14ac:dyDescent="0.2">
      <c r="A35" s="10"/>
      <c r="B35" s="10">
        <v>1</v>
      </c>
      <c r="C35" s="10">
        <v>1</v>
      </c>
      <c r="D35" s="10"/>
      <c r="H35" s="10">
        <v>12</v>
      </c>
      <c r="I35" s="13" t="s">
        <v>239</v>
      </c>
      <c r="J35" s="13" t="s">
        <v>239</v>
      </c>
      <c r="K35" s="10">
        <v>34</v>
      </c>
      <c r="L35" s="14" t="s">
        <v>240</v>
      </c>
      <c r="M35" s="14" t="s">
        <v>241</v>
      </c>
      <c r="N35" s="15" t="s">
        <v>242</v>
      </c>
      <c r="O35" s="16">
        <v>2.1</v>
      </c>
      <c r="P35" s="15">
        <v>1.4</v>
      </c>
      <c r="Q35" s="15" t="s">
        <v>28</v>
      </c>
      <c r="R35" s="14" t="s">
        <v>243</v>
      </c>
      <c r="S35" s="17">
        <v>394</v>
      </c>
      <c r="T35" s="17">
        <v>25050</v>
      </c>
      <c r="U35" s="14" t="s">
        <v>244</v>
      </c>
      <c r="V35" s="14" t="s">
        <v>69</v>
      </c>
      <c r="W35" s="18" t="s">
        <v>115</v>
      </c>
      <c r="Y35" s="11" t="s">
        <v>149</v>
      </c>
    </row>
    <row r="36" spans="1:25" x14ac:dyDescent="0.2">
      <c r="A36" s="10"/>
      <c r="B36" s="10">
        <v>1</v>
      </c>
      <c r="C36" s="10">
        <v>1</v>
      </c>
      <c r="D36" s="10"/>
      <c r="H36" s="10">
        <v>12</v>
      </c>
      <c r="I36" s="13" t="s">
        <v>245</v>
      </c>
      <c r="J36" s="13" t="s">
        <v>245</v>
      </c>
      <c r="K36" s="10">
        <v>35</v>
      </c>
      <c r="L36" s="14" t="s">
        <v>246</v>
      </c>
      <c r="M36" s="14" t="s">
        <v>247</v>
      </c>
      <c r="N36" s="15" t="s">
        <v>248</v>
      </c>
      <c r="O36" s="16">
        <v>1.81</v>
      </c>
      <c r="P36" s="15" t="s">
        <v>47</v>
      </c>
      <c r="R36" s="14" t="s">
        <v>249</v>
      </c>
      <c r="S36" s="17">
        <v>590</v>
      </c>
      <c r="T36" s="17" t="s">
        <v>47</v>
      </c>
      <c r="U36" s="14" t="s">
        <v>250</v>
      </c>
      <c r="V36" s="14" t="s">
        <v>31</v>
      </c>
    </row>
    <row r="37" spans="1:25" x14ac:dyDescent="0.2">
      <c r="A37" s="10"/>
      <c r="B37" s="10">
        <v>1</v>
      </c>
      <c r="C37" s="10">
        <v>1</v>
      </c>
      <c r="D37" s="10"/>
      <c r="H37" s="10">
        <v>14</v>
      </c>
      <c r="I37" s="13" t="s">
        <v>251</v>
      </c>
      <c r="J37" s="13" t="s">
        <v>251</v>
      </c>
      <c r="K37" s="10">
        <v>36</v>
      </c>
      <c r="L37" s="14" t="s">
        <v>252</v>
      </c>
      <c r="M37" s="14" t="s">
        <v>253</v>
      </c>
      <c r="N37" s="15" t="s">
        <v>254</v>
      </c>
      <c r="O37" s="16">
        <v>2.97</v>
      </c>
      <c r="P37" s="15">
        <v>2.9</v>
      </c>
      <c r="Q37" s="15" t="s">
        <v>28</v>
      </c>
      <c r="R37" s="14" t="s">
        <v>255</v>
      </c>
      <c r="S37" s="17">
        <v>321</v>
      </c>
      <c r="T37" s="17">
        <v>26032</v>
      </c>
      <c r="U37" s="14" t="s">
        <v>40</v>
      </c>
      <c r="V37" s="14" t="s">
        <v>31</v>
      </c>
    </row>
    <row r="38" spans="1:25" x14ac:dyDescent="0.2">
      <c r="A38" s="10">
        <v>1</v>
      </c>
      <c r="B38" s="10">
        <v>1</v>
      </c>
      <c r="C38" s="10"/>
      <c r="D38" s="10"/>
      <c r="H38" s="10">
        <v>16</v>
      </c>
      <c r="I38" s="14" t="s">
        <v>256</v>
      </c>
      <c r="J38" s="14" t="s">
        <v>256</v>
      </c>
      <c r="K38" s="10">
        <v>37</v>
      </c>
      <c r="L38" s="14" t="s">
        <v>257</v>
      </c>
      <c r="M38" s="14" t="s">
        <v>258</v>
      </c>
      <c r="N38" s="15" t="s">
        <v>259</v>
      </c>
      <c r="O38" s="16">
        <v>2.4</v>
      </c>
      <c r="P38" s="15">
        <v>2.1</v>
      </c>
      <c r="Q38" s="15" t="s">
        <v>28</v>
      </c>
      <c r="R38" s="14" t="s">
        <v>260</v>
      </c>
      <c r="S38" s="17" t="s">
        <v>59</v>
      </c>
      <c r="T38" s="17">
        <v>26824</v>
      </c>
      <c r="U38" s="14" t="s">
        <v>261</v>
      </c>
      <c r="V38" s="14" t="s">
        <v>74</v>
      </c>
      <c r="Y38" s="11" t="s">
        <v>33</v>
      </c>
    </row>
    <row r="39" spans="1:25" x14ac:dyDescent="0.2">
      <c r="A39" s="10"/>
      <c r="B39" s="10">
        <v>1</v>
      </c>
      <c r="C39" s="10">
        <v>1</v>
      </c>
      <c r="D39" s="10"/>
      <c r="H39" s="10">
        <v>11</v>
      </c>
      <c r="I39" s="13" t="s">
        <v>262</v>
      </c>
      <c r="J39" s="13" t="s">
        <v>262</v>
      </c>
      <c r="K39" s="10">
        <v>38</v>
      </c>
      <c r="L39" s="14" t="s">
        <v>263</v>
      </c>
      <c r="M39" s="14" t="s">
        <v>264</v>
      </c>
      <c r="N39" s="15" t="s">
        <v>265</v>
      </c>
      <c r="O39" s="16">
        <v>2.95</v>
      </c>
      <c r="P39" s="15">
        <v>2.5</v>
      </c>
      <c r="Q39" s="15" t="s">
        <v>266</v>
      </c>
      <c r="R39" s="14" t="s">
        <v>267</v>
      </c>
      <c r="S39" s="17">
        <v>327</v>
      </c>
      <c r="T39" s="17">
        <v>26753</v>
      </c>
      <c r="U39" s="14" t="s">
        <v>268</v>
      </c>
      <c r="V39" s="14" t="s">
        <v>31</v>
      </c>
    </row>
    <row r="40" spans="1:25" x14ac:dyDescent="0.2">
      <c r="A40" s="10"/>
      <c r="B40" s="10">
        <v>1</v>
      </c>
      <c r="C40" s="10">
        <v>1</v>
      </c>
      <c r="D40" s="10"/>
      <c r="H40" s="10">
        <v>14</v>
      </c>
      <c r="I40" s="13" t="s">
        <v>269</v>
      </c>
      <c r="J40" s="13" t="s">
        <v>269</v>
      </c>
      <c r="K40" s="10">
        <v>39</v>
      </c>
      <c r="L40" s="14" t="s">
        <v>270</v>
      </c>
      <c r="M40" s="14" t="s">
        <v>271</v>
      </c>
      <c r="N40" s="15" t="s">
        <v>272</v>
      </c>
      <c r="O40" s="16">
        <v>2.75</v>
      </c>
      <c r="P40" s="15">
        <v>2.9</v>
      </c>
      <c r="Q40" s="15" t="s">
        <v>28</v>
      </c>
      <c r="R40" s="14" t="s">
        <v>273</v>
      </c>
      <c r="S40" s="17">
        <v>190</v>
      </c>
      <c r="T40" s="17">
        <v>27135</v>
      </c>
      <c r="U40" s="14" t="s">
        <v>82</v>
      </c>
      <c r="V40" s="14" t="s">
        <v>31</v>
      </c>
      <c r="Y40" s="11" t="s">
        <v>149</v>
      </c>
    </row>
    <row r="41" spans="1:25" x14ac:dyDescent="0.2">
      <c r="A41" s="10">
        <v>1</v>
      </c>
      <c r="B41" s="10">
        <v>1</v>
      </c>
      <c r="C41" s="10">
        <v>1</v>
      </c>
      <c r="D41" s="10"/>
      <c r="H41" s="10">
        <v>14</v>
      </c>
      <c r="I41" s="13" t="s">
        <v>274</v>
      </c>
      <c r="J41" s="13" t="s">
        <v>274</v>
      </c>
      <c r="K41" s="10">
        <v>40</v>
      </c>
      <c r="L41" s="14" t="s">
        <v>275</v>
      </c>
      <c r="M41" s="14" t="s">
        <v>276</v>
      </c>
      <c r="N41" s="15" t="s">
        <v>277</v>
      </c>
      <c r="O41" s="16">
        <v>3.44</v>
      </c>
      <c r="P41" s="15">
        <v>3</v>
      </c>
      <c r="Q41" s="15" t="s">
        <v>28</v>
      </c>
      <c r="R41" s="14" t="s">
        <v>278</v>
      </c>
      <c r="S41" s="17">
        <v>242</v>
      </c>
      <c r="T41" s="17">
        <v>27181</v>
      </c>
      <c r="U41" s="14" t="s">
        <v>279</v>
      </c>
      <c r="V41" s="14" t="s">
        <v>31</v>
      </c>
    </row>
    <row r="42" spans="1:25" x14ac:dyDescent="0.2">
      <c r="A42" s="10"/>
      <c r="B42" s="10">
        <v>1</v>
      </c>
      <c r="C42" s="10">
        <v>1</v>
      </c>
      <c r="D42" s="10"/>
      <c r="H42" s="10">
        <v>12</v>
      </c>
      <c r="I42" s="13" t="s">
        <v>280</v>
      </c>
      <c r="J42" s="13" t="s">
        <v>280</v>
      </c>
      <c r="K42" s="10">
        <v>41</v>
      </c>
      <c r="L42" s="14" t="s">
        <v>281</v>
      </c>
      <c r="M42" s="14" t="s">
        <v>282</v>
      </c>
      <c r="N42" s="15" t="s">
        <v>283</v>
      </c>
      <c r="O42" s="16">
        <v>2.77</v>
      </c>
      <c r="P42" s="15">
        <v>2.7</v>
      </c>
      <c r="Q42" s="15" t="s">
        <v>28</v>
      </c>
      <c r="R42" s="14" t="s">
        <v>284</v>
      </c>
      <c r="S42" s="17" t="s">
        <v>50</v>
      </c>
      <c r="T42" s="17">
        <v>27398</v>
      </c>
      <c r="U42" s="14" t="s">
        <v>102</v>
      </c>
      <c r="V42" s="14" t="s">
        <v>74</v>
      </c>
    </row>
    <row r="43" spans="1:25" x14ac:dyDescent="0.2">
      <c r="A43" s="10"/>
      <c r="B43" s="10">
        <v>1</v>
      </c>
      <c r="C43" s="10"/>
      <c r="D43" s="10"/>
      <c r="F43" s="22" t="s">
        <v>285</v>
      </c>
      <c r="I43" s="13" t="s">
        <v>286</v>
      </c>
      <c r="J43" s="13" t="s">
        <v>286</v>
      </c>
      <c r="K43" s="10">
        <v>42</v>
      </c>
      <c r="L43" s="14" t="s">
        <v>287</v>
      </c>
      <c r="M43" s="14" t="s">
        <v>288</v>
      </c>
      <c r="N43" s="15" t="s">
        <v>289</v>
      </c>
      <c r="O43" s="16">
        <v>1.1000000000000001</v>
      </c>
      <c r="S43" s="17"/>
      <c r="U43" s="14" t="s">
        <v>290</v>
      </c>
    </row>
    <row r="44" spans="1:25" x14ac:dyDescent="0.2">
      <c r="A44" s="10">
        <v>1</v>
      </c>
      <c r="B44" s="10">
        <v>1</v>
      </c>
      <c r="C44" s="10">
        <v>1</v>
      </c>
      <c r="D44" s="10"/>
      <c r="H44" s="10">
        <v>25</v>
      </c>
      <c r="I44" s="13" t="s">
        <v>291</v>
      </c>
      <c r="J44" s="13" t="s">
        <v>291</v>
      </c>
      <c r="K44" s="10">
        <v>43</v>
      </c>
      <c r="L44" s="14" t="s">
        <v>292</v>
      </c>
      <c r="M44" s="14" t="s">
        <v>293</v>
      </c>
      <c r="N44" s="15" t="s">
        <v>294</v>
      </c>
      <c r="O44" s="16">
        <v>3.36</v>
      </c>
      <c r="P44" s="15">
        <v>2.8</v>
      </c>
      <c r="Q44" s="15" t="s">
        <v>28</v>
      </c>
      <c r="R44" s="14" t="s">
        <v>295</v>
      </c>
      <c r="S44" s="17">
        <v>230</v>
      </c>
      <c r="T44" s="17" t="s">
        <v>47</v>
      </c>
      <c r="U44" s="14" t="s">
        <v>40</v>
      </c>
      <c r="V44" s="14" t="s">
        <v>31</v>
      </c>
      <c r="Y44" s="11" t="s">
        <v>33</v>
      </c>
    </row>
    <row r="45" spans="1:25" x14ac:dyDescent="0.2">
      <c r="A45" s="10"/>
      <c r="B45" s="10">
        <v>1</v>
      </c>
      <c r="C45" s="10"/>
      <c r="D45" s="10"/>
      <c r="H45" s="10">
        <v>14</v>
      </c>
      <c r="I45" s="14" t="s">
        <v>296</v>
      </c>
      <c r="J45" s="14" t="s">
        <v>296</v>
      </c>
      <c r="K45" s="10">
        <v>44</v>
      </c>
      <c r="L45" s="14" t="s">
        <v>297</v>
      </c>
      <c r="M45" s="14" t="s">
        <v>298</v>
      </c>
      <c r="N45" s="15" t="s">
        <v>299</v>
      </c>
      <c r="O45" s="16">
        <v>2</v>
      </c>
      <c r="P45" s="15" t="s">
        <v>47</v>
      </c>
      <c r="S45" s="17">
        <v>236</v>
      </c>
      <c r="T45" s="17">
        <v>29896</v>
      </c>
      <c r="U45" s="14" t="s">
        <v>250</v>
      </c>
      <c r="V45" s="14" t="s">
        <v>31</v>
      </c>
      <c r="W45" s="18" t="s">
        <v>115</v>
      </c>
    </row>
    <row r="46" spans="1:25" x14ac:dyDescent="0.2">
      <c r="A46" s="10"/>
      <c r="B46" s="10"/>
      <c r="C46" s="10">
        <v>1</v>
      </c>
      <c r="D46" s="10"/>
      <c r="H46" s="10">
        <v>25</v>
      </c>
      <c r="I46" s="13" t="s">
        <v>300</v>
      </c>
      <c r="J46" s="13" t="s">
        <v>300</v>
      </c>
      <c r="K46" s="10">
        <v>45</v>
      </c>
      <c r="L46" s="14" t="s">
        <v>301</v>
      </c>
      <c r="M46" s="14" t="s">
        <v>302</v>
      </c>
      <c r="N46" s="15" t="s">
        <v>303</v>
      </c>
      <c r="O46" s="16" t="s">
        <v>47</v>
      </c>
      <c r="P46" s="15">
        <v>3.3</v>
      </c>
      <c r="Q46" s="15" t="s">
        <v>126</v>
      </c>
      <c r="R46" s="14" t="s">
        <v>304</v>
      </c>
      <c r="S46" s="17">
        <v>310</v>
      </c>
      <c r="T46" s="17">
        <v>30301</v>
      </c>
      <c r="U46" s="14" t="s">
        <v>305</v>
      </c>
      <c r="V46" s="14" t="s">
        <v>31</v>
      </c>
    </row>
    <row r="47" spans="1:25" x14ac:dyDescent="0.2">
      <c r="A47" s="10"/>
      <c r="B47" s="10">
        <v>1</v>
      </c>
      <c r="C47" s="10">
        <v>1</v>
      </c>
      <c r="D47" s="10"/>
      <c r="H47" s="10">
        <v>12</v>
      </c>
      <c r="I47" s="13" t="s">
        <v>306</v>
      </c>
      <c r="J47" s="13" t="s">
        <v>306</v>
      </c>
      <c r="K47" s="10">
        <v>46</v>
      </c>
      <c r="L47" s="14" t="s">
        <v>307</v>
      </c>
      <c r="M47" s="14" t="s">
        <v>308</v>
      </c>
      <c r="N47" s="15" t="s">
        <v>309</v>
      </c>
      <c r="O47" s="5">
        <v>3.87</v>
      </c>
      <c r="P47" s="15" t="s">
        <v>47</v>
      </c>
      <c r="R47" s="14" t="s">
        <v>310</v>
      </c>
      <c r="S47" s="17">
        <v>353</v>
      </c>
      <c r="T47" s="17">
        <v>30449</v>
      </c>
      <c r="U47" s="14" t="s">
        <v>311</v>
      </c>
      <c r="V47" s="14" t="s">
        <v>69</v>
      </c>
    </row>
    <row r="48" spans="1:25" x14ac:dyDescent="0.2">
      <c r="A48" s="10">
        <v>1</v>
      </c>
      <c r="B48" s="10">
        <v>1</v>
      </c>
      <c r="C48" s="10">
        <v>1</v>
      </c>
      <c r="D48" s="10"/>
      <c r="H48" s="10">
        <v>14</v>
      </c>
      <c r="I48" s="13" t="s">
        <v>312</v>
      </c>
      <c r="J48" s="13" t="s">
        <v>312</v>
      </c>
      <c r="K48" s="10">
        <v>47</v>
      </c>
      <c r="L48" s="14" t="s">
        <v>313</v>
      </c>
      <c r="M48" s="14" t="s">
        <v>314</v>
      </c>
      <c r="N48" s="15" t="s">
        <v>315</v>
      </c>
      <c r="O48" s="16">
        <v>2.5499999999999998</v>
      </c>
      <c r="P48" s="15">
        <v>2.2999999999999998</v>
      </c>
      <c r="Q48" s="15" t="s">
        <v>28</v>
      </c>
      <c r="R48" s="14" t="s">
        <v>316</v>
      </c>
      <c r="S48" s="17">
        <v>154</v>
      </c>
      <c r="T48" s="17">
        <v>30564</v>
      </c>
      <c r="U48" s="14" t="s">
        <v>177</v>
      </c>
      <c r="V48" s="14" t="s">
        <v>74</v>
      </c>
    </row>
    <row r="49" spans="1:25" x14ac:dyDescent="0.2">
      <c r="A49" s="10"/>
      <c r="B49" s="10">
        <v>1</v>
      </c>
      <c r="C49" s="10"/>
      <c r="D49" s="10"/>
      <c r="H49" s="10">
        <v>12</v>
      </c>
      <c r="I49" s="14" t="s">
        <v>317</v>
      </c>
      <c r="J49" s="14" t="s">
        <v>317</v>
      </c>
      <c r="K49" s="10">
        <v>48</v>
      </c>
      <c r="L49" s="14" t="s">
        <v>318</v>
      </c>
      <c r="M49" s="14" t="s">
        <v>319</v>
      </c>
      <c r="N49" s="15">
        <v>8.4</v>
      </c>
      <c r="O49" s="16">
        <v>3.47</v>
      </c>
      <c r="P49" s="15" t="s">
        <v>47</v>
      </c>
      <c r="R49" s="14" t="s">
        <v>320</v>
      </c>
      <c r="S49" s="17">
        <v>229</v>
      </c>
      <c r="T49" s="17">
        <v>31379</v>
      </c>
      <c r="U49" s="14" t="s">
        <v>142</v>
      </c>
      <c r="V49" s="14" t="s">
        <v>31</v>
      </c>
      <c r="X49" s="18" t="s">
        <v>61</v>
      </c>
    </row>
    <row r="50" spans="1:25" x14ac:dyDescent="0.2">
      <c r="A50" s="10">
        <v>1</v>
      </c>
      <c r="B50" s="10">
        <v>1</v>
      </c>
      <c r="C50" s="10">
        <v>1</v>
      </c>
      <c r="D50" s="10"/>
      <c r="H50" s="10">
        <v>12</v>
      </c>
      <c r="I50" s="13" t="s">
        <v>321</v>
      </c>
      <c r="J50" s="13" t="s">
        <v>321</v>
      </c>
      <c r="K50" s="10">
        <v>49</v>
      </c>
      <c r="L50" s="14" t="s">
        <v>322</v>
      </c>
      <c r="M50" s="14" t="s">
        <v>323</v>
      </c>
      <c r="N50" s="15" t="s">
        <v>324</v>
      </c>
      <c r="O50" s="16">
        <v>3.1</v>
      </c>
      <c r="P50" s="15">
        <v>2.6</v>
      </c>
      <c r="Q50" s="18" t="s">
        <v>66</v>
      </c>
      <c r="R50" s="14" t="s">
        <v>325</v>
      </c>
      <c r="S50" s="17">
        <v>234</v>
      </c>
      <c r="T50" s="17">
        <v>31579</v>
      </c>
      <c r="U50" s="14" t="s">
        <v>177</v>
      </c>
      <c r="V50" s="14" t="s">
        <v>31</v>
      </c>
      <c r="W50" s="18" t="s">
        <v>115</v>
      </c>
    </row>
    <row r="51" spans="1:25" x14ac:dyDescent="0.2">
      <c r="A51" s="10"/>
      <c r="B51" s="10">
        <v>1</v>
      </c>
      <c r="C51" s="10">
        <v>1</v>
      </c>
      <c r="D51" s="10"/>
      <c r="H51" s="10">
        <v>25</v>
      </c>
      <c r="I51" s="13" t="s">
        <v>326</v>
      </c>
      <c r="J51" s="13" t="s">
        <v>326</v>
      </c>
      <c r="K51" s="10">
        <v>50</v>
      </c>
      <c r="L51" s="14" t="s">
        <v>327</v>
      </c>
      <c r="M51" s="14" t="s">
        <v>328</v>
      </c>
      <c r="N51" s="15" t="s">
        <v>329</v>
      </c>
      <c r="O51" s="16">
        <v>2.68</v>
      </c>
      <c r="P51" s="15">
        <v>2.4</v>
      </c>
      <c r="Q51" s="15" t="s">
        <v>266</v>
      </c>
      <c r="R51" s="14" t="s">
        <v>330</v>
      </c>
      <c r="S51" s="17" t="s">
        <v>39</v>
      </c>
      <c r="T51" s="17">
        <v>32083</v>
      </c>
      <c r="U51" s="14" t="s">
        <v>82</v>
      </c>
      <c r="V51" s="14" t="s">
        <v>74</v>
      </c>
    </row>
    <row r="52" spans="1:25" x14ac:dyDescent="0.2">
      <c r="A52" s="10"/>
      <c r="B52" s="10">
        <v>1</v>
      </c>
      <c r="C52" s="10">
        <v>1</v>
      </c>
      <c r="D52" s="10"/>
      <c r="H52" s="10">
        <v>27</v>
      </c>
      <c r="I52" s="13" t="s">
        <v>331</v>
      </c>
      <c r="J52" s="13" t="s">
        <v>331</v>
      </c>
      <c r="K52" s="10">
        <v>51</v>
      </c>
      <c r="L52" s="14" t="s">
        <v>332</v>
      </c>
      <c r="M52" s="14" t="s">
        <v>333</v>
      </c>
      <c r="N52" s="15" t="s">
        <v>334</v>
      </c>
      <c r="O52" s="16">
        <v>2.64</v>
      </c>
      <c r="P52" s="15">
        <v>2.4</v>
      </c>
      <c r="Q52" s="15" t="s">
        <v>28</v>
      </c>
      <c r="R52" s="14" t="s">
        <v>335</v>
      </c>
      <c r="S52" s="17" t="s">
        <v>39</v>
      </c>
      <c r="T52" s="17">
        <v>33059</v>
      </c>
      <c r="U52" s="14" t="s">
        <v>177</v>
      </c>
      <c r="V52" s="14" t="s">
        <v>74</v>
      </c>
    </row>
    <row r="53" spans="1:25" x14ac:dyDescent="0.2">
      <c r="A53" s="10"/>
      <c r="B53" s="10">
        <v>1</v>
      </c>
      <c r="C53" s="10"/>
      <c r="D53" s="10"/>
      <c r="H53" s="10">
        <v>29</v>
      </c>
      <c r="I53" s="14" t="s">
        <v>336</v>
      </c>
      <c r="J53" s="14" t="s">
        <v>336</v>
      </c>
      <c r="K53" s="10">
        <v>52</v>
      </c>
      <c r="L53" s="14" t="s">
        <v>337</v>
      </c>
      <c r="M53" s="14" t="s">
        <v>338</v>
      </c>
      <c r="N53" s="15" t="s">
        <v>339</v>
      </c>
      <c r="O53" s="16">
        <v>2.5</v>
      </c>
      <c r="P53" s="15">
        <v>2.2000000000000002</v>
      </c>
      <c r="Q53" s="15" t="s">
        <v>28</v>
      </c>
      <c r="R53" s="14" t="s">
        <v>340</v>
      </c>
      <c r="S53" s="17" t="s">
        <v>59</v>
      </c>
      <c r="T53" s="17">
        <v>33189</v>
      </c>
      <c r="U53" s="14" t="s">
        <v>341</v>
      </c>
      <c r="V53" s="14" t="s">
        <v>74</v>
      </c>
      <c r="Y53" s="11" t="s">
        <v>155</v>
      </c>
    </row>
    <row r="54" spans="1:25" x14ac:dyDescent="0.2">
      <c r="A54" s="10"/>
      <c r="B54" s="10">
        <v>1</v>
      </c>
      <c r="C54" s="10">
        <v>1</v>
      </c>
      <c r="D54" s="10"/>
      <c r="H54" s="10">
        <v>25</v>
      </c>
      <c r="I54" s="13" t="s">
        <v>342</v>
      </c>
      <c r="J54" s="13" t="s">
        <v>342</v>
      </c>
      <c r="K54" s="10">
        <v>53</v>
      </c>
      <c r="L54" s="14" t="s">
        <v>343</v>
      </c>
      <c r="M54" s="14" t="s">
        <v>344</v>
      </c>
      <c r="N54" s="15" t="s">
        <v>345</v>
      </c>
      <c r="O54" s="16">
        <v>3.2</v>
      </c>
      <c r="P54" s="15">
        <v>2.7</v>
      </c>
      <c r="Q54" s="15" t="s">
        <v>28</v>
      </c>
      <c r="R54" s="14" t="s">
        <v>346</v>
      </c>
      <c r="S54" s="17">
        <v>132</v>
      </c>
      <c r="T54" s="17">
        <v>33550</v>
      </c>
      <c r="U54" s="14" t="s">
        <v>183</v>
      </c>
      <c r="V54" s="14" t="s">
        <v>31</v>
      </c>
      <c r="Y54" s="11" t="s">
        <v>149</v>
      </c>
    </row>
    <row r="55" spans="1:25" x14ac:dyDescent="0.2">
      <c r="A55" s="10">
        <v>1</v>
      </c>
      <c r="B55" s="10">
        <v>1</v>
      </c>
      <c r="C55" s="10">
        <v>1</v>
      </c>
      <c r="D55" s="10"/>
      <c r="H55" s="10">
        <v>25</v>
      </c>
      <c r="I55" s="13" t="s">
        <v>347</v>
      </c>
      <c r="J55" s="13" t="s">
        <v>347</v>
      </c>
      <c r="K55" s="10">
        <v>54</v>
      </c>
      <c r="L55" s="14" t="s">
        <v>348</v>
      </c>
      <c r="M55" s="14" t="s">
        <v>349</v>
      </c>
      <c r="N55" s="15" t="s">
        <v>350</v>
      </c>
      <c r="O55" s="16">
        <v>1.96</v>
      </c>
      <c r="P55" s="15">
        <v>1.7000000000000002</v>
      </c>
      <c r="Q55" s="15" t="s">
        <v>28</v>
      </c>
      <c r="R55" s="14" t="s">
        <v>351</v>
      </c>
      <c r="S55" s="17">
        <v>60</v>
      </c>
      <c r="T55" s="17">
        <v>33794</v>
      </c>
      <c r="U55" s="14" t="s">
        <v>68</v>
      </c>
      <c r="V55" s="14" t="s">
        <v>31</v>
      </c>
      <c r="Y55" s="11" t="s">
        <v>33</v>
      </c>
    </row>
    <row r="56" spans="1:25" x14ac:dyDescent="0.2">
      <c r="A56" s="10"/>
      <c r="B56" s="10">
        <v>1</v>
      </c>
      <c r="C56" s="10">
        <v>1</v>
      </c>
      <c r="D56" s="10"/>
      <c r="H56" s="10">
        <v>27</v>
      </c>
      <c r="I56" s="20" t="s">
        <v>352</v>
      </c>
      <c r="J56" s="20" t="s">
        <v>352</v>
      </c>
      <c r="K56" s="10">
        <v>55</v>
      </c>
      <c r="L56" s="14" t="s">
        <v>353</v>
      </c>
      <c r="M56" s="14" t="s">
        <v>354</v>
      </c>
      <c r="N56" s="15" t="s">
        <v>355</v>
      </c>
      <c r="O56" s="5">
        <v>4.38</v>
      </c>
      <c r="P56" s="4">
        <v>4</v>
      </c>
      <c r="Q56" s="15" t="s">
        <v>28</v>
      </c>
      <c r="R56" s="14" t="s">
        <v>356</v>
      </c>
      <c r="S56" s="17">
        <v>456</v>
      </c>
      <c r="T56" s="17">
        <v>34326</v>
      </c>
      <c r="U56" s="23" t="s">
        <v>357</v>
      </c>
      <c r="V56" s="14" t="s">
        <v>31</v>
      </c>
      <c r="W56" s="18" t="s">
        <v>115</v>
      </c>
    </row>
    <row r="57" spans="1:25" x14ac:dyDescent="0.2">
      <c r="A57" s="10">
        <v>1</v>
      </c>
      <c r="B57" s="10">
        <v>1</v>
      </c>
      <c r="C57" s="10">
        <v>1</v>
      </c>
      <c r="D57" s="10"/>
      <c r="H57" s="10">
        <v>27</v>
      </c>
      <c r="I57" s="13" t="s">
        <v>358</v>
      </c>
      <c r="J57" s="13" t="s">
        <v>358</v>
      </c>
      <c r="K57" s="10">
        <v>56</v>
      </c>
      <c r="L57" s="14" t="s">
        <v>359</v>
      </c>
      <c r="M57" s="14" t="s">
        <v>360</v>
      </c>
      <c r="N57" s="15" t="s">
        <v>361</v>
      </c>
      <c r="O57" s="16">
        <v>2.66</v>
      </c>
      <c r="P57" s="15">
        <v>2.4</v>
      </c>
      <c r="Q57" s="15" t="s">
        <v>28</v>
      </c>
      <c r="R57" s="14" t="s">
        <v>362</v>
      </c>
      <c r="S57" s="17" t="s">
        <v>39</v>
      </c>
      <c r="T57" s="17">
        <v>34413</v>
      </c>
      <c r="U57" s="14" t="s">
        <v>177</v>
      </c>
      <c r="V57" s="14" t="s">
        <v>74</v>
      </c>
    </row>
    <row r="58" spans="1:25" x14ac:dyDescent="0.2">
      <c r="A58" s="10">
        <v>1</v>
      </c>
      <c r="B58" s="10">
        <v>1</v>
      </c>
      <c r="C58" s="10">
        <v>1</v>
      </c>
      <c r="D58" s="10"/>
      <c r="H58" s="10">
        <v>25</v>
      </c>
      <c r="I58" s="13" t="s">
        <v>363</v>
      </c>
      <c r="J58" s="13" t="s">
        <v>363</v>
      </c>
      <c r="K58" s="10">
        <v>57</v>
      </c>
      <c r="L58" s="14" t="s">
        <v>364</v>
      </c>
      <c r="M58" s="14" t="s">
        <v>365</v>
      </c>
      <c r="N58" s="15" t="s">
        <v>366</v>
      </c>
      <c r="O58" s="16">
        <v>2.5499999999999998</v>
      </c>
      <c r="P58" s="15">
        <v>3.2</v>
      </c>
      <c r="Q58" s="15" t="s">
        <v>367</v>
      </c>
      <c r="R58" s="14" t="s">
        <v>368</v>
      </c>
      <c r="S58" s="17">
        <v>338</v>
      </c>
      <c r="T58" s="17">
        <v>34474</v>
      </c>
      <c r="U58" s="14" t="s">
        <v>369</v>
      </c>
      <c r="V58" s="14" t="s">
        <v>69</v>
      </c>
    </row>
    <row r="59" spans="1:25" x14ac:dyDescent="0.2">
      <c r="A59" s="10"/>
      <c r="B59" s="10">
        <v>1</v>
      </c>
      <c r="C59" s="10">
        <v>1</v>
      </c>
      <c r="D59" s="10"/>
      <c r="H59" s="10">
        <v>25</v>
      </c>
      <c r="I59" s="13" t="s">
        <v>370</v>
      </c>
      <c r="J59" s="13" t="s">
        <v>370</v>
      </c>
      <c r="K59" s="10">
        <v>58</v>
      </c>
      <c r="L59" s="14" t="s">
        <v>371</v>
      </c>
      <c r="M59" s="14" t="s">
        <v>372</v>
      </c>
      <c r="N59" s="15" t="s">
        <v>373</v>
      </c>
      <c r="O59" s="16">
        <v>2.8</v>
      </c>
      <c r="P59" s="15" t="s">
        <v>47</v>
      </c>
      <c r="R59" s="14" t="s">
        <v>374</v>
      </c>
      <c r="S59" s="17">
        <v>286</v>
      </c>
      <c r="T59" s="17">
        <v>35617</v>
      </c>
      <c r="U59" s="14" t="s">
        <v>375</v>
      </c>
      <c r="V59" s="14" t="s">
        <v>31</v>
      </c>
    </row>
    <row r="60" spans="1:25" x14ac:dyDescent="0.2">
      <c r="A60" s="10"/>
      <c r="B60" s="10">
        <v>1</v>
      </c>
      <c r="C60" s="10">
        <v>1</v>
      </c>
      <c r="D60" s="10"/>
      <c r="H60" s="10">
        <v>21</v>
      </c>
      <c r="I60" s="13" t="s">
        <v>376</v>
      </c>
      <c r="J60" s="13" t="s">
        <v>376</v>
      </c>
      <c r="K60" s="10">
        <v>59</v>
      </c>
      <c r="L60" s="14" t="s">
        <v>377</v>
      </c>
      <c r="M60" s="14" t="s">
        <v>378</v>
      </c>
      <c r="N60" s="15" t="s">
        <v>379</v>
      </c>
      <c r="O60" s="16">
        <v>1.1599999999999999</v>
      </c>
      <c r="P60" s="15">
        <v>1.5</v>
      </c>
      <c r="Q60" s="15" t="s">
        <v>28</v>
      </c>
      <c r="R60" s="14" t="s">
        <v>380</v>
      </c>
      <c r="S60" s="17">
        <v>22</v>
      </c>
      <c r="T60" s="17">
        <v>35681</v>
      </c>
      <c r="U60" s="14" t="s">
        <v>381</v>
      </c>
      <c r="V60" s="14" t="s">
        <v>382</v>
      </c>
    </row>
    <row r="61" spans="1:25" x14ac:dyDescent="0.2">
      <c r="A61" s="10"/>
      <c r="B61" s="10">
        <v>1</v>
      </c>
      <c r="C61" s="10"/>
      <c r="D61" s="10"/>
      <c r="H61" s="10">
        <v>27</v>
      </c>
      <c r="I61" s="14" t="s">
        <v>383</v>
      </c>
      <c r="J61" s="14" t="s">
        <v>383</v>
      </c>
      <c r="K61" s="10">
        <v>60</v>
      </c>
      <c r="L61" s="14" t="s">
        <v>384</v>
      </c>
      <c r="M61" s="14" t="s">
        <v>385</v>
      </c>
      <c r="N61" s="15">
        <v>7</v>
      </c>
      <c r="O61" s="16">
        <v>2.46</v>
      </c>
      <c r="P61" s="15">
        <v>2.9</v>
      </c>
      <c r="Q61" s="15" t="s">
        <v>126</v>
      </c>
      <c r="R61" s="14" t="s">
        <v>386</v>
      </c>
      <c r="S61" s="17" t="s">
        <v>59</v>
      </c>
      <c r="T61" s="17">
        <v>35865</v>
      </c>
      <c r="U61" s="14" t="s">
        <v>387</v>
      </c>
      <c r="V61" s="14" t="s">
        <v>74</v>
      </c>
      <c r="X61" s="18" t="s">
        <v>61</v>
      </c>
    </row>
    <row r="62" spans="1:25" x14ac:dyDescent="0.2">
      <c r="A62" s="10">
        <v>1</v>
      </c>
      <c r="B62" s="10">
        <v>1</v>
      </c>
      <c r="C62" s="10">
        <v>1</v>
      </c>
      <c r="D62" s="10"/>
      <c r="H62" s="10">
        <v>25</v>
      </c>
      <c r="I62" s="13" t="s">
        <v>388</v>
      </c>
      <c r="J62" s="13" t="s">
        <v>388</v>
      </c>
      <c r="K62" s="10">
        <v>61</v>
      </c>
      <c r="L62" s="14" t="s">
        <v>389</v>
      </c>
      <c r="M62" s="14" t="s">
        <v>390</v>
      </c>
      <c r="N62" s="15" t="s">
        <v>391</v>
      </c>
      <c r="O62" s="16">
        <v>2.27</v>
      </c>
      <c r="P62" s="15">
        <v>2.2000000000000002</v>
      </c>
      <c r="Q62" s="15" t="s">
        <v>266</v>
      </c>
      <c r="R62" s="14" t="s">
        <v>392</v>
      </c>
      <c r="S62" s="17">
        <v>70</v>
      </c>
      <c r="T62" s="17">
        <v>36623</v>
      </c>
      <c r="U62" s="14" t="s">
        <v>311</v>
      </c>
      <c r="V62" s="14" t="s">
        <v>393</v>
      </c>
      <c r="Y62" s="11" t="s">
        <v>33</v>
      </c>
    </row>
    <row r="63" spans="1:25" x14ac:dyDescent="0.2">
      <c r="A63" s="10"/>
      <c r="B63" s="10">
        <v>1</v>
      </c>
      <c r="C63" s="10"/>
      <c r="D63" s="10"/>
      <c r="H63" s="10">
        <v>24</v>
      </c>
      <c r="I63" s="14" t="s">
        <v>394</v>
      </c>
      <c r="J63" s="14" t="s">
        <v>394</v>
      </c>
      <c r="K63" s="10">
        <v>62</v>
      </c>
      <c r="L63" s="14" t="s">
        <v>395</v>
      </c>
      <c r="M63" s="14" t="s">
        <v>396</v>
      </c>
      <c r="N63" s="15" t="s">
        <v>397</v>
      </c>
      <c r="O63" s="16">
        <v>3.23</v>
      </c>
      <c r="P63" s="15">
        <v>2.5</v>
      </c>
      <c r="Q63" s="15" t="s">
        <v>28</v>
      </c>
      <c r="R63" s="14" t="s">
        <v>398</v>
      </c>
      <c r="S63" s="17">
        <v>95</v>
      </c>
      <c r="T63" s="17">
        <v>38124</v>
      </c>
      <c r="U63" s="14" t="s">
        <v>102</v>
      </c>
      <c r="V63" s="14" t="s">
        <v>31</v>
      </c>
    </row>
    <row r="64" spans="1:25" x14ac:dyDescent="0.2">
      <c r="A64" s="10"/>
      <c r="B64" s="10">
        <v>1</v>
      </c>
      <c r="C64" s="10"/>
      <c r="D64" s="10"/>
      <c r="H64" s="10">
        <v>28</v>
      </c>
      <c r="I64" s="14" t="s">
        <v>399</v>
      </c>
      <c r="J64" s="14" t="s">
        <v>399</v>
      </c>
      <c r="K64" s="10">
        <v>63</v>
      </c>
      <c r="L64" s="14" t="s">
        <v>400</v>
      </c>
      <c r="M64" s="14" t="s">
        <v>401</v>
      </c>
      <c r="N64" s="15">
        <v>7</v>
      </c>
      <c r="O64" s="16">
        <v>2.4300000000000002</v>
      </c>
      <c r="P64" s="15">
        <v>2.4</v>
      </c>
      <c r="Q64" s="15" t="s">
        <v>126</v>
      </c>
      <c r="R64" s="14" t="s">
        <v>402</v>
      </c>
      <c r="S64" s="17">
        <v>100</v>
      </c>
      <c r="T64" s="17">
        <v>39583</v>
      </c>
      <c r="U64" s="14" t="s">
        <v>403</v>
      </c>
      <c r="V64" s="14" t="s">
        <v>31</v>
      </c>
      <c r="X64" s="18" t="s">
        <v>75</v>
      </c>
    </row>
    <row r="65" spans="1:25" x14ac:dyDescent="0.2">
      <c r="A65" s="10"/>
      <c r="B65" s="10">
        <v>1</v>
      </c>
      <c r="C65" s="10">
        <v>1</v>
      </c>
      <c r="D65" s="10"/>
      <c r="H65" s="10">
        <v>26</v>
      </c>
      <c r="I65" s="13" t="s">
        <v>404</v>
      </c>
      <c r="J65" s="13" t="s">
        <v>404</v>
      </c>
      <c r="K65" s="10">
        <v>64</v>
      </c>
      <c r="L65" s="14" t="s">
        <v>405</v>
      </c>
      <c r="M65" s="14" t="s">
        <v>406</v>
      </c>
      <c r="N65" s="15" t="s">
        <v>407</v>
      </c>
      <c r="O65" s="16">
        <v>3.61</v>
      </c>
      <c r="P65" s="15">
        <v>3.6</v>
      </c>
      <c r="Q65" s="15" t="s">
        <v>126</v>
      </c>
      <c r="R65" s="14" t="s">
        <v>408</v>
      </c>
      <c r="S65" s="17">
        <v>425</v>
      </c>
      <c r="T65" s="17">
        <v>39751</v>
      </c>
      <c r="U65" s="14" t="s">
        <v>82</v>
      </c>
      <c r="V65" s="14" t="s">
        <v>31</v>
      </c>
    </row>
    <row r="66" spans="1:25" x14ac:dyDescent="0.2">
      <c r="A66" s="10"/>
      <c r="B66" s="10"/>
      <c r="C66" s="10"/>
      <c r="D66" s="10" t="s">
        <v>409</v>
      </c>
      <c r="H66" s="10">
        <v>26</v>
      </c>
      <c r="I66" s="3" t="s">
        <v>410</v>
      </c>
      <c r="J66" s="3" t="s">
        <v>410</v>
      </c>
      <c r="K66" s="10">
        <v>65</v>
      </c>
      <c r="L66" s="14" t="s">
        <v>411</v>
      </c>
      <c r="M66" s="14" t="s">
        <v>412</v>
      </c>
      <c r="N66" s="15">
        <v>8.1999999999999993</v>
      </c>
      <c r="O66" s="16" t="s">
        <v>47</v>
      </c>
      <c r="P66" s="4">
        <v>3.8</v>
      </c>
      <c r="Q66" s="15" t="s">
        <v>126</v>
      </c>
      <c r="R66" s="14" t="s">
        <v>413</v>
      </c>
      <c r="S66" s="17">
        <v>70</v>
      </c>
      <c r="T66" s="17" t="s">
        <v>47</v>
      </c>
      <c r="U66" s="14" t="s">
        <v>414</v>
      </c>
      <c r="V66" s="14" t="s">
        <v>31</v>
      </c>
      <c r="X66" s="18" t="s">
        <v>61</v>
      </c>
    </row>
    <row r="67" spans="1:25" x14ac:dyDescent="0.2">
      <c r="A67" s="10"/>
      <c r="B67" s="10">
        <v>1</v>
      </c>
      <c r="C67" s="10"/>
      <c r="D67" s="10"/>
      <c r="H67" s="10">
        <v>24</v>
      </c>
      <c r="I67" s="3" t="s">
        <v>415</v>
      </c>
      <c r="J67" s="3" t="s">
        <v>415</v>
      </c>
      <c r="K67" s="10">
        <v>66</v>
      </c>
      <c r="L67" s="14" t="s">
        <v>416</v>
      </c>
      <c r="M67" s="14" t="s">
        <v>417</v>
      </c>
      <c r="N67" s="15">
        <v>8.3000000000000007</v>
      </c>
      <c r="O67" s="5">
        <v>3.77</v>
      </c>
      <c r="P67" s="4">
        <v>4.0999999999999996</v>
      </c>
      <c r="Q67" s="15" t="s">
        <v>126</v>
      </c>
      <c r="S67" s="17">
        <v>529</v>
      </c>
      <c r="T67" s="17" t="s">
        <v>47</v>
      </c>
      <c r="U67" s="14" t="s">
        <v>418</v>
      </c>
      <c r="V67" s="14" t="s">
        <v>31</v>
      </c>
      <c r="X67" s="18" t="s">
        <v>61</v>
      </c>
    </row>
    <row r="68" spans="1:25" x14ac:dyDescent="0.2">
      <c r="A68" s="10"/>
      <c r="B68" s="10">
        <v>1</v>
      </c>
      <c r="C68" s="10"/>
      <c r="D68" s="10"/>
      <c r="H68" s="10">
        <v>26</v>
      </c>
      <c r="I68" s="14" t="s">
        <v>419</v>
      </c>
      <c r="J68" s="14" t="s">
        <v>419</v>
      </c>
      <c r="K68" s="10">
        <v>67</v>
      </c>
      <c r="L68" s="14" t="s">
        <v>420</v>
      </c>
      <c r="M68" s="14" t="s">
        <v>421</v>
      </c>
      <c r="N68" s="15" t="s">
        <v>422</v>
      </c>
      <c r="O68" s="16">
        <v>3.04</v>
      </c>
      <c r="P68" s="15">
        <v>3.5</v>
      </c>
      <c r="Q68" s="15" t="s">
        <v>126</v>
      </c>
      <c r="R68" s="14" t="s">
        <v>423</v>
      </c>
      <c r="S68" s="17" t="s">
        <v>59</v>
      </c>
      <c r="T68" s="17" t="s">
        <v>424</v>
      </c>
      <c r="U68" s="14" t="s">
        <v>82</v>
      </c>
      <c r="V68" s="14" t="s">
        <v>74</v>
      </c>
      <c r="W68" s="18" t="s">
        <v>115</v>
      </c>
    </row>
    <row r="69" spans="1:25" x14ac:dyDescent="0.2">
      <c r="A69" s="10"/>
      <c r="B69" s="10">
        <v>1</v>
      </c>
      <c r="C69" s="10"/>
      <c r="D69" s="10"/>
      <c r="H69" s="10">
        <v>26</v>
      </c>
      <c r="I69" s="3" t="s">
        <v>425</v>
      </c>
      <c r="J69" s="3" t="s">
        <v>425</v>
      </c>
      <c r="K69" s="10">
        <v>68</v>
      </c>
      <c r="L69" s="14" t="s">
        <v>426</v>
      </c>
      <c r="M69" s="14" t="s">
        <v>427</v>
      </c>
      <c r="N69" s="15">
        <v>8.5</v>
      </c>
      <c r="O69" s="5">
        <v>4.5199999999999996</v>
      </c>
      <c r="P69" s="15">
        <v>3</v>
      </c>
      <c r="Q69" s="15" t="s">
        <v>126</v>
      </c>
      <c r="R69" s="14" t="s">
        <v>428</v>
      </c>
      <c r="S69" s="17">
        <v>192</v>
      </c>
      <c r="T69" s="17">
        <v>41535</v>
      </c>
      <c r="U69" s="14" t="s">
        <v>429</v>
      </c>
      <c r="V69" s="14" t="s">
        <v>31</v>
      </c>
      <c r="X69" s="18" t="s">
        <v>430</v>
      </c>
    </row>
    <row r="70" spans="1:25" x14ac:dyDescent="0.2">
      <c r="A70" s="10">
        <v>1</v>
      </c>
      <c r="B70" s="10">
        <v>1</v>
      </c>
      <c r="C70" s="10"/>
      <c r="D70" s="10"/>
      <c r="H70" s="10">
        <v>26</v>
      </c>
      <c r="I70" s="14" t="s">
        <v>431</v>
      </c>
      <c r="J70" s="14" t="s">
        <v>431</v>
      </c>
      <c r="K70" s="10">
        <v>69</v>
      </c>
      <c r="L70" s="14" t="s">
        <v>432</v>
      </c>
      <c r="M70" s="14" t="s">
        <v>433</v>
      </c>
      <c r="N70" s="15" t="s">
        <v>434</v>
      </c>
      <c r="O70" s="16">
        <v>2.39</v>
      </c>
      <c r="P70" s="15">
        <v>1.9</v>
      </c>
      <c r="Q70" s="15" t="s">
        <v>126</v>
      </c>
      <c r="R70" s="14" t="s">
        <v>435</v>
      </c>
      <c r="S70" s="17">
        <v>100</v>
      </c>
      <c r="T70" s="17">
        <v>43093</v>
      </c>
      <c r="U70" s="14" t="s">
        <v>387</v>
      </c>
      <c r="V70" s="14" t="s">
        <v>31</v>
      </c>
      <c r="Y70" s="11" t="s">
        <v>33</v>
      </c>
    </row>
    <row r="71" spans="1:25" x14ac:dyDescent="0.2">
      <c r="A71" s="10">
        <v>1</v>
      </c>
      <c r="B71" s="10">
        <v>1</v>
      </c>
      <c r="C71" s="10">
        <v>1</v>
      </c>
      <c r="D71" s="10"/>
      <c r="H71" s="10">
        <v>24</v>
      </c>
      <c r="I71" s="13" t="s">
        <v>436</v>
      </c>
      <c r="J71" s="13" t="s">
        <v>436</v>
      </c>
      <c r="K71" s="10">
        <v>70</v>
      </c>
      <c r="L71" s="14" t="s">
        <v>437</v>
      </c>
      <c r="M71" s="14" t="s">
        <v>438</v>
      </c>
      <c r="N71" s="15" t="s">
        <v>439</v>
      </c>
      <c r="O71" s="16">
        <v>3.37</v>
      </c>
      <c r="P71" s="15">
        <v>3.4</v>
      </c>
      <c r="Q71" s="15" t="s">
        <v>440</v>
      </c>
      <c r="R71" s="14" t="s">
        <v>441</v>
      </c>
      <c r="S71" s="17">
        <v>195</v>
      </c>
      <c r="T71" s="17">
        <v>43811</v>
      </c>
      <c r="U71" s="14" t="s">
        <v>82</v>
      </c>
      <c r="V71" s="14" t="s">
        <v>31</v>
      </c>
    </row>
    <row r="72" spans="1:25" x14ac:dyDescent="0.2">
      <c r="A72" s="10">
        <v>1</v>
      </c>
      <c r="B72" s="10">
        <v>1</v>
      </c>
      <c r="C72" s="10">
        <v>1</v>
      </c>
      <c r="D72" s="10"/>
      <c r="H72" s="10">
        <v>24</v>
      </c>
      <c r="I72" s="20" t="s">
        <v>442</v>
      </c>
      <c r="J72" s="20" t="s">
        <v>442</v>
      </c>
      <c r="K72" s="10">
        <v>71</v>
      </c>
      <c r="L72" s="14" t="s">
        <v>443</v>
      </c>
      <c r="M72" s="14" t="s">
        <v>444</v>
      </c>
      <c r="N72" s="15" t="s">
        <v>445</v>
      </c>
      <c r="O72" s="5">
        <v>4.32</v>
      </c>
      <c r="P72" s="4">
        <v>4.8</v>
      </c>
      <c r="Q72" s="15" t="s">
        <v>126</v>
      </c>
      <c r="R72" s="14" t="s">
        <v>446</v>
      </c>
      <c r="S72" s="17">
        <v>482</v>
      </c>
      <c r="T72" s="17">
        <v>43905</v>
      </c>
      <c r="U72" s="14" t="s">
        <v>447</v>
      </c>
      <c r="V72" s="14" t="s">
        <v>31</v>
      </c>
    </row>
    <row r="73" spans="1:25" x14ac:dyDescent="0.2">
      <c r="A73" s="10"/>
      <c r="B73" s="10">
        <v>1</v>
      </c>
      <c r="C73" s="10"/>
      <c r="D73" s="10"/>
      <c r="H73" s="10">
        <v>22</v>
      </c>
      <c r="I73" s="14" t="s">
        <v>448</v>
      </c>
      <c r="J73" s="14" t="s">
        <v>448</v>
      </c>
      <c r="K73" s="10">
        <v>72</v>
      </c>
      <c r="L73" s="14" t="s">
        <v>449</v>
      </c>
      <c r="M73" s="14" t="s">
        <v>450</v>
      </c>
      <c r="N73" s="15" t="s">
        <v>451</v>
      </c>
      <c r="O73" s="16">
        <v>3.69</v>
      </c>
      <c r="P73" s="15" t="s">
        <v>47</v>
      </c>
      <c r="S73" s="17" t="s">
        <v>59</v>
      </c>
      <c r="T73" s="17" t="s">
        <v>47</v>
      </c>
      <c r="U73" s="14" t="s">
        <v>60</v>
      </c>
      <c r="V73" s="14" t="s">
        <v>74</v>
      </c>
    </row>
    <row r="74" spans="1:25" x14ac:dyDescent="0.2">
      <c r="A74" s="10">
        <v>1</v>
      </c>
      <c r="B74" s="10">
        <v>1</v>
      </c>
      <c r="C74" s="10">
        <v>1</v>
      </c>
      <c r="D74" s="10"/>
      <c r="H74" s="10">
        <v>37</v>
      </c>
      <c r="I74" s="20" t="s">
        <v>452</v>
      </c>
      <c r="J74" s="20" t="s">
        <v>452</v>
      </c>
      <c r="K74" s="10">
        <v>73</v>
      </c>
      <c r="L74" s="14" t="s">
        <v>453</v>
      </c>
      <c r="M74" s="14" t="s">
        <v>454</v>
      </c>
      <c r="N74" s="15" t="s">
        <v>455</v>
      </c>
      <c r="O74" s="5">
        <v>4.17</v>
      </c>
      <c r="P74" s="4">
        <v>3.8</v>
      </c>
      <c r="Q74" s="15" t="s">
        <v>126</v>
      </c>
      <c r="R74" s="14" t="s">
        <v>456</v>
      </c>
      <c r="S74" s="17">
        <v>303</v>
      </c>
      <c r="T74" s="17">
        <v>48327</v>
      </c>
      <c r="U74" s="14" t="s">
        <v>82</v>
      </c>
      <c r="V74" s="14" t="s">
        <v>31</v>
      </c>
    </row>
    <row r="75" spans="1:25" x14ac:dyDescent="0.2">
      <c r="A75" s="10"/>
      <c r="B75" s="10"/>
      <c r="C75" s="10"/>
      <c r="D75" s="10" t="s">
        <v>457</v>
      </c>
      <c r="H75" s="10">
        <v>39</v>
      </c>
      <c r="I75" s="3" t="s">
        <v>458</v>
      </c>
      <c r="J75" s="3" t="s">
        <v>458</v>
      </c>
      <c r="K75" s="10">
        <v>74</v>
      </c>
      <c r="L75" s="14" t="s">
        <v>459</v>
      </c>
      <c r="M75" s="14" t="s">
        <v>460</v>
      </c>
      <c r="N75" s="15">
        <v>6.5</v>
      </c>
      <c r="O75" s="16" t="s">
        <v>47</v>
      </c>
      <c r="P75" s="4">
        <v>4.3</v>
      </c>
      <c r="Q75" s="15" t="s">
        <v>126</v>
      </c>
      <c r="R75" s="14" t="s">
        <v>461</v>
      </c>
      <c r="S75" s="17">
        <v>140</v>
      </c>
      <c r="T75" s="17">
        <v>48662</v>
      </c>
      <c r="U75" s="14" t="s">
        <v>462</v>
      </c>
      <c r="V75" s="14" t="s">
        <v>31</v>
      </c>
      <c r="X75" s="18" t="s">
        <v>75</v>
      </c>
      <c r="Y75" s="11" t="s">
        <v>149</v>
      </c>
    </row>
    <row r="76" spans="1:25" x14ac:dyDescent="0.2">
      <c r="A76" s="10"/>
      <c r="B76" s="10">
        <v>1</v>
      </c>
      <c r="C76" s="10"/>
      <c r="D76" s="10"/>
      <c r="H76" s="10">
        <v>39</v>
      </c>
      <c r="I76" s="14" t="s">
        <v>463</v>
      </c>
      <c r="J76" s="14" t="s">
        <v>463</v>
      </c>
      <c r="K76" s="10">
        <v>75</v>
      </c>
      <c r="L76" s="14" t="s">
        <v>464</v>
      </c>
      <c r="M76" s="14" t="s">
        <v>465</v>
      </c>
      <c r="N76" s="15">
        <v>7.5</v>
      </c>
      <c r="O76" s="16">
        <v>2.81</v>
      </c>
      <c r="P76" s="15">
        <v>2.9</v>
      </c>
      <c r="Q76" s="15" t="s">
        <v>126</v>
      </c>
      <c r="R76" s="14" t="s">
        <v>466</v>
      </c>
      <c r="S76" s="17">
        <v>126</v>
      </c>
      <c r="T76" s="17" t="s">
        <v>47</v>
      </c>
      <c r="U76" s="14" t="s">
        <v>429</v>
      </c>
      <c r="V76" s="14" t="s">
        <v>31</v>
      </c>
      <c r="X76" s="18" t="s">
        <v>61</v>
      </c>
    </row>
    <row r="77" spans="1:25" x14ac:dyDescent="0.2">
      <c r="A77" s="10">
        <v>1</v>
      </c>
      <c r="B77" s="10">
        <v>1</v>
      </c>
      <c r="C77" s="10"/>
      <c r="D77" s="10"/>
      <c r="H77" s="10">
        <v>39</v>
      </c>
      <c r="I77" s="14" t="s">
        <v>467</v>
      </c>
      <c r="J77" s="14" t="s">
        <v>467</v>
      </c>
      <c r="K77" s="10">
        <v>76</v>
      </c>
      <c r="L77" s="14" t="s">
        <v>468</v>
      </c>
      <c r="M77" s="14" t="s">
        <v>469</v>
      </c>
      <c r="N77" s="15" t="s">
        <v>470</v>
      </c>
      <c r="O77" s="16">
        <v>2.4700000000000002</v>
      </c>
      <c r="P77" s="15">
        <v>2.2999999999999998</v>
      </c>
      <c r="Q77" s="15" t="s">
        <v>28</v>
      </c>
      <c r="R77" s="14" t="s">
        <v>471</v>
      </c>
      <c r="S77" s="17" t="s">
        <v>59</v>
      </c>
      <c r="T77" s="17">
        <v>49950</v>
      </c>
      <c r="U77" s="14" t="s">
        <v>177</v>
      </c>
      <c r="V77" s="14" t="s">
        <v>74</v>
      </c>
      <c r="Y77" s="11" t="s">
        <v>33</v>
      </c>
    </row>
    <row r="78" spans="1:25" x14ac:dyDescent="0.2">
      <c r="A78" s="10">
        <v>1</v>
      </c>
      <c r="B78" s="10"/>
      <c r="C78" s="10"/>
      <c r="D78" s="10"/>
      <c r="H78" s="10">
        <v>38</v>
      </c>
      <c r="I78" s="14" t="s">
        <v>472</v>
      </c>
      <c r="J78" s="14" t="s">
        <v>472</v>
      </c>
      <c r="K78" s="10">
        <v>77</v>
      </c>
      <c r="L78" s="14" t="s">
        <v>473</v>
      </c>
      <c r="M78" s="14" t="s">
        <v>474</v>
      </c>
      <c r="N78" s="15">
        <v>6</v>
      </c>
      <c r="O78" s="16" t="s">
        <v>47</v>
      </c>
      <c r="P78" s="15">
        <v>2.9</v>
      </c>
      <c r="Q78" s="15" t="s">
        <v>126</v>
      </c>
      <c r="R78" s="14" t="s">
        <v>475</v>
      </c>
      <c r="S78" s="17" t="s">
        <v>59</v>
      </c>
      <c r="T78" s="17">
        <v>51821</v>
      </c>
      <c r="U78" s="14" t="s">
        <v>476</v>
      </c>
      <c r="V78" s="14" t="s">
        <v>477</v>
      </c>
      <c r="X78" s="18" t="s">
        <v>61</v>
      </c>
    </row>
    <row r="79" spans="1:25" x14ac:dyDescent="0.2">
      <c r="A79" s="10">
        <v>1</v>
      </c>
      <c r="B79" s="10">
        <v>1</v>
      </c>
      <c r="C79" s="10">
        <v>1</v>
      </c>
      <c r="D79" s="10"/>
      <c r="H79" s="10">
        <v>36</v>
      </c>
      <c r="I79" s="13" t="s">
        <v>478</v>
      </c>
      <c r="J79" s="13" t="s">
        <v>478</v>
      </c>
      <c r="K79" s="10">
        <v>78</v>
      </c>
      <c r="L79" s="14" t="s">
        <v>479</v>
      </c>
      <c r="M79" s="14" t="s">
        <v>480</v>
      </c>
      <c r="N79" s="15" t="s">
        <v>481</v>
      </c>
      <c r="O79" s="16">
        <v>2.8</v>
      </c>
      <c r="P79" s="15">
        <v>2.6</v>
      </c>
      <c r="Q79" s="18" t="s">
        <v>66</v>
      </c>
      <c r="R79" s="14" t="s">
        <v>482</v>
      </c>
      <c r="S79" s="17">
        <v>450</v>
      </c>
      <c r="T79" s="17">
        <v>52009</v>
      </c>
      <c r="U79" s="14" t="s">
        <v>483</v>
      </c>
      <c r="V79" s="14" t="s">
        <v>31</v>
      </c>
    </row>
    <row r="80" spans="1:25" x14ac:dyDescent="0.2">
      <c r="A80" s="10">
        <v>1</v>
      </c>
      <c r="B80" s="10">
        <v>1</v>
      </c>
      <c r="C80" s="10">
        <v>1</v>
      </c>
      <c r="D80" s="10"/>
      <c r="H80" s="10">
        <v>31</v>
      </c>
      <c r="I80" s="13" t="s">
        <v>484</v>
      </c>
      <c r="J80" s="13" t="s">
        <v>484</v>
      </c>
      <c r="K80" s="10">
        <v>79</v>
      </c>
      <c r="L80" s="14" t="s">
        <v>485</v>
      </c>
      <c r="M80" s="14" t="s">
        <v>486</v>
      </c>
      <c r="N80" s="15" t="s">
        <v>487</v>
      </c>
      <c r="O80" s="16">
        <v>2.59</v>
      </c>
      <c r="P80" s="15">
        <v>2.4</v>
      </c>
      <c r="Q80" s="15" t="s">
        <v>28</v>
      </c>
      <c r="R80" s="14" t="s">
        <v>488</v>
      </c>
      <c r="S80" s="17" t="s">
        <v>39</v>
      </c>
      <c r="T80" s="17">
        <v>52577</v>
      </c>
      <c r="U80" s="14" t="s">
        <v>177</v>
      </c>
      <c r="V80" s="14" t="s">
        <v>74</v>
      </c>
    </row>
    <row r="81" spans="1:25" x14ac:dyDescent="0.2">
      <c r="A81" s="10"/>
      <c r="B81" s="10">
        <v>1</v>
      </c>
      <c r="C81" s="10"/>
      <c r="D81" s="10"/>
      <c r="H81" s="10">
        <v>40</v>
      </c>
      <c r="I81" s="14" t="s">
        <v>489</v>
      </c>
      <c r="J81" s="14" t="s">
        <v>489</v>
      </c>
      <c r="K81" s="10">
        <v>80</v>
      </c>
      <c r="L81" s="14" t="s">
        <v>490</v>
      </c>
      <c r="M81" s="14" t="s">
        <v>491</v>
      </c>
      <c r="N81" s="15">
        <v>8</v>
      </c>
      <c r="O81" s="16">
        <v>2.4300000000000002</v>
      </c>
      <c r="P81" s="15">
        <v>2.2000000000000002</v>
      </c>
      <c r="Q81" s="15" t="s">
        <v>126</v>
      </c>
      <c r="R81" s="14" t="s">
        <v>492</v>
      </c>
      <c r="S81" s="17">
        <v>69</v>
      </c>
      <c r="T81" s="17">
        <v>52656</v>
      </c>
      <c r="U81" s="14" t="s">
        <v>429</v>
      </c>
      <c r="V81" s="14" t="s">
        <v>31</v>
      </c>
      <c r="X81" s="18" t="s">
        <v>61</v>
      </c>
    </row>
    <row r="82" spans="1:25" x14ac:dyDescent="0.2">
      <c r="A82" s="10"/>
      <c r="B82" s="10">
        <v>1</v>
      </c>
      <c r="C82" s="10">
        <v>1</v>
      </c>
      <c r="D82" s="10"/>
      <c r="H82" s="10">
        <v>36</v>
      </c>
      <c r="I82" s="3" t="s">
        <v>493</v>
      </c>
      <c r="J82" s="3" t="s">
        <v>493</v>
      </c>
      <c r="K82" s="10">
        <v>81</v>
      </c>
      <c r="L82" s="14" t="s">
        <v>494</v>
      </c>
      <c r="M82" s="14" t="s">
        <v>495</v>
      </c>
      <c r="N82" s="15" t="s">
        <v>496</v>
      </c>
      <c r="O82" s="5">
        <v>5.55</v>
      </c>
      <c r="P82" s="8">
        <v>5.5</v>
      </c>
      <c r="Q82" s="18" t="s">
        <v>66</v>
      </c>
      <c r="R82" s="14" t="s">
        <v>497</v>
      </c>
      <c r="S82" s="17">
        <v>531</v>
      </c>
      <c r="T82" s="17">
        <v>53085</v>
      </c>
      <c r="U82" s="14" t="s">
        <v>498</v>
      </c>
      <c r="V82" s="14" t="s">
        <v>31</v>
      </c>
      <c r="Y82" s="11" t="s">
        <v>149</v>
      </c>
    </row>
    <row r="83" spans="1:25" x14ac:dyDescent="0.2">
      <c r="A83" s="10"/>
      <c r="B83" s="10">
        <v>1</v>
      </c>
      <c r="C83" s="10"/>
      <c r="D83" s="10"/>
      <c r="H83" s="10">
        <v>38</v>
      </c>
      <c r="I83" s="14" t="s">
        <v>499</v>
      </c>
      <c r="J83" s="14" t="s">
        <v>499</v>
      </c>
      <c r="K83" s="10">
        <v>82</v>
      </c>
      <c r="L83" s="14" t="s">
        <v>500</v>
      </c>
      <c r="M83" s="14" t="s">
        <v>501</v>
      </c>
      <c r="N83" s="15">
        <v>9.3000000000000007</v>
      </c>
      <c r="O83" s="16">
        <v>2.48</v>
      </c>
      <c r="P83" s="15">
        <v>2.2999999999999998</v>
      </c>
      <c r="Q83" s="15" t="s">
        <v>126</v>
      </c>
      <c r="R83" s="14" t="s">
        <v>502</v>
      </c>
      <c r="S83" s="17" t="s">
        <v>59</v>
      </c>
      <c r="T83" s="17" t="s">
        <v>47</v>
      </c>
      <c r="U83" s="14" t="s">
        <v>429</v>
      </c>
      <c r="V83" s="14" t="s">
        <v>74</v>
      </c>
      <c r="X83" s="18" t="s">
        <v>61</v>
      </c>
    </row>
    <row r="84" spans="1:25" x14ac:dyDescent="0.2">
      <c r="A84" s="10"/>
      <c r="B84" s="10">
        <v>1</v>
      </c>
      <c r="C84" s="10"/>
      <c r="D84" s="10"/>
      <c r="H84" s="10">
        <v>49</v>
      </c>
      <c r="I84" s="14" t="s">
        <v>503</v>
      </c>
      <c r="J84" s="14" t="s">
        <v>503</v>
      </c>
      <c r="K84" s="10">
        <v>83</v>
      </c>
      <c r="L84" s="14" t="s">
        <v>504</v>
      </c>
      <c r="M84" s="14" t="s">
        <v>505</v>
      </c>
      <c r="N84" s="15">
        <v>7</v>
      </c>
      <c r="O84" s="16">
        <v>2.04</v>
      </c>
      <c r="P84" s="15">
        <v>1.8</v>
      </c>
      <c r="Q84" s="15" t="s">
        <v>88</v>
      </c>
      <c r="R84" s="14" t="s">
        <v>506</v>
      </c>
      <c r="S84" s="17">
        <v>65</v>
      </c>
      <c r="T84" s="17">
        <v>60534</v>
      </c>
      <c r="U84" s="14" t="s">
        <v>142</v>
      </c>
      <c r="V84" s="14" t="s">
        <v>31</v>
      </c>
      <c r="X84" s="18" t="s">
        <v>61</v>
      </c>
    </row>
    <row r="85" spans="1:25" x14ac:dyDescent="0.2">
      <c r="A85" s="10">
        <v>1</v>
      </c>
      <c r="B85" s="10">
        <v>1</v>
      </c>
      <c r="C85" s="10">
        <v>1</v>
      </c>
      <c r="D85" s="10"/>
      <c r="H85" s="10">
        <v>45</v>
      </c>
      <c r="I85" s="20" t="s">
        <v>507</v>
      </c>
      <c r="J85" s="20" t="s">
        <v>507</v>
      </c>
      <c r="K85" s="10">
        <v>84</v>
      </c>
      <c r="L85" s="14" t="s">
        <v>508</v>
      </c>
      <c r="M85" s="14" t="s">
        <v>509</v>
      </c>
      <c r="N85" s="15" t="s">
        <v>510</v>
      </c>
      <c r="O85" s="5">
        <v>4.2</v>
      </c>
      <c r="P85" s="4">
        <v>4.2</v>
      </c>
      <c r="Q85" s="18" t="s">
        <v>66</v>
      </c>
      <c r="R85" s="14" t="s">
        <v>511</v>
      </c>
      <c r="S85" s="17">
        <v>364</v>
      </c>
      <c r="T85" s="17">
        <v>120212</v>
      </c>
      <c r="U85" s="14" t="s">
        <v>498</v>
      </c>
      <c r="V85" s="14" t="s">
        <v>69</v>
      </c>
    </row>
    <row r="86" spans="1:25" x14ac:dyDescent="0.2">
      <c r="A86" s="10">
        <v>1</v>
      </c>
      <c r="B86" s="10">
        <v>1</v>
      </c>
      <c r="C86" s="10">
        <v>1</v>
      </c>
      <c r="D86" s="10"/>
      <c r="H86" s="10">
        <v>43</v>
      </c>
      <c r="I86" s="13" t="s">
        <v>512</v>
      </c>
      <c r="J86" s="13" t="s">
        <v>512</v>
      </c>
      <c r="K86" s="10">
        <v>85</v>
      </c>
      <c r="L86" s="14" t="s">
        <v>513</v>
      </c>
      <c r="M86" s="14" t="s">
        <v>514</v>
      </c>
      <c r="N86" s="15" t="s">
        <v>515</v>
      </c>
      <c r="O86" s="16">
        <v>3.4</v>
      </c>
      <c r="P86" s="15">
        <v>2.5</v>
      </c>
      <c r="Q86" s="15" t="s">
        <v>28</v>
      </c>
      <c r="R86" s="14" t="s">
        <v>516</v>
      </c>
      <c r="S86" s="17">
        <v>157</v>
      </c>
      <c r="T86" s="17">
        <v>62223</v>
      </c>
      <c r="U86" s="14" t="s">
        <v>375</v>
      </c>
      <c r="V86" s="14" t="s">
        <v>31</v>
      </c>
      <c r="W86" s="18" t="s">
        <v>517</v>
      </c>
    </row>
    <row r="87" spans="1:25" x14ac:dyDescent="0.2">
      <c r="A87" s="10"/>
      <c r="B87" s="10">
        <v>1</v>
      </c>
      <c r="C87" s="10"/>
      <c r="D87" s="10"/>
      <c r="H87" s="10">
        <v>45</v>
      </c>
      <c r="I87" s="3" t="s">
        <v>518</v>
      </c>
      <c r="J87" s="3" t="s">
        <v>518</v>
      </c>
      <c r="K87" s="10">
        <v>86</v>
      </c>
      <c r="L87" s="14" t="s">
        <v>519</v>
      </c>
      <c r="M87" s="14" t="s">
        <v>520</v>
      </c>
      <c r="N87" s="15" t="s">
        <v>521</v>
      </c>
      <c r="O87" s="5">
        <v>4.5</v>
      </c>
      <c r="P87" s="15" t="s">
        <v>47</v>
      </c>
      <c r="R87" s="14" t="s">
        <v>522</v>
      </c>
      <c r="S87" s="17">
        <v>433</v>
      </c>
      <c r="T87" s="17">
        <v>62401</v>
      </c>
      <c r="U87" s="14" t="s">
        <v>523</v>
      </c>
      <c r="V87" s="14" t="s">
        <v>69</v>
      </c>
    </row>
    <row r="88" spans="1:25" x14ac:dyDescent="0.2">
      <c r="A88" s="10"/>
      <c r="B88" s="10"/>
      <c r="C88" s="10"/>
      <c r="D88" s="10" t="s">
        <v>524</v>
      </c>
      <c r="H88" s="10">
        <v>49</v>
      </c>
      <c r="I88" s="3" t="s">
        <v>525</v>
      </c>
      <c r="J88" s="3" t="s">
        <v>525</v>
      </c>
      <c r="K88" s="10">
        <v>87</v>
      </c>
      <c r="L88" s="14" t="s">
        <v>526</v>
      </c>
      <c r="M88" s="14" t="s">
        <v>527</v>
      </c>
      <c r="N88" s="15" t="s">
        <v>528</v>
      </c>
      <c r="O88" s="16" t="s">
        <v>47</v>
      </c>
      <c r="P88" s="8">
        <v>5.8</v>
      </c>
      <c r="Q88" s="18" t="s">
        <v>66</v>
      </c>
      <c r="R88" s="14" t="s">
        <v>529</v>
      </c>
      <c r="S88" s="17" t="s">
        <v>59</v>
      </c>
      <c r="T88" s="17" t="s">
        <v>47</v>
      </c>
      <c r="U88" s="14" t="s">
        <v>429</v>
      </c>
      <c r="V88" s="14" t="s">
        <v>31</v>
      </c>
      <c r="W88" s="18" t="s">
        <v>530</v>
      </c>
    </row>
    <row r="89" spans="1:25" x14ac:dyDescent="0.2">
      <c r="A89" s="10">
        <v>1</v>
      </c>
      <c r="B89" s="10">
        <v>1</v>
      </c>
      <c r="C89" s="10">
        <v>1</v>
      </c>
      <c r="D89" s="10"/>
      <c r="H89" s="10">
        <v>41</v>
      </c>
      <c r="I89" s="13" t="s">
        <v>531</v>
      </c>
      <c r="J89" s="13" t="s">
        <v>531</v>
      </c>
      <c r="K89" s="10">
        <v>88</v>
      </c>
      <c r="L89" s="14" t="s">
        <v>532</v>
      </c>
      <c r="M89" s="14" t="s">
        <v>533</v>
      </c>
      <c r="N89" s="15" t="s">
        <v>534</v>
      </c>
      <c r="O89" s="16">
        <v>3.7</v>
      </c>
      <c r="P89" s="15">
        <v>3.3</v>
      </c>
      <c r="Q89" s="15" t="s">
        <v>535</v>
      </c>
      <c r="R89" s="14" t="s">
        <v>536</v>
      </c>
      <c r="S89" s="17">
        <v>200</v>
      </c>
      <c r="T89" s="17">
        <v>63152</v>
      </c>
      <c r="U89" s="14" t="s">
        <v>68</v>
      </c>
      <c r="V89" s="14" t="s">
        <v>31</v>
      </c>
    </row>
    <row r="90" spans="1:25" x14ac:dyDescent="0.2">
      <c r="A90" s="10"/>
      <c r="B90" s="10">
        <v>1</v>
      </c>
      <c r="C90" s="10"/>
      <c r="D90" s="10"/>
      <c r="H90" s="10">
        <v>43</v>
      </c>
      <c r="I90" s="14" t="s">
        <v>537</v>
      </c>
      <c r="J90" s="14" t="s">
        <v>537</v>
      </c>
      <c r="K90" s="10">
        <v>89</v>
      </c>
      <c r="L90" s="14" t="s">
        <v>538</v>
      </c>
      <c r="M90" s="14" t="s">
        <v>539</v>
      </c>
      <c r="N90" s="15">
        <v>9.1999999999999993</v>
      </c>
      <c r="O90" s="16">
        <v>1.99</v>
      </c>
      <c r="P90" s="15">
        <v>1.9</v>
      </c>
      <c r="Q90" s="15" t="s">
        <v>28</v>
      </c>
      <c r="R90" s="14" t="s">
        <v>540</v>
      </c>
      <c r="S90" s="17">
        <v>105</v>
      </c>
      <c r="T90" s="17">
        <v>63389</v>
      </c>
      <c r="U90" s="14" t="s">
        <v>541</v>
      </c>
      <c r="V90" s="14" t="s">
        <v>31</v>
      </c>
      <c r="X90" s="18" t="s">
        <v>75</v>
      </c>
    </row>
    <row r="91" spans="1:25" x14ac:dyDescent="0.2">
      <c r="A91" s="10"/>
      <c r="B91" s="10"/>
      <c r="C91" s="10">
        <v>1</v>
      </c>
      <c r="D91" s="10"/>
      <c r="H91" s="10">
        <v>47</v>
      </c>
      <c r="I91" s="13" t="s">
        <v>542</v>
      </c>
      <c r="J91" s="13" t="s">
        <v>543</v>
      </c>
      <c r="K91" s="10">
        <v>90</v>
      </c>
      <c r="L91" s="14" t="s">
        <v>544</v>
      </c>
      <c r="M91" s="14" t="s">
        <v>545</v>
      </c>
      <c r="N91" s="15" t="s">
        <v>546</v>
      </c>
      <c r="O91" s="16" t="s">
        <v>47</v>
      </c>
      <c r="P91" s="15">
        <v>1.2</v>
      </c>
      <c r="Q91" s="15" t="s">
        <v>535</v>
      </c>
      <c r="R91" s="14" t="s">
        <v>547</v>
      </c>
      <c r="S91" s="17" t="s">
        <v>50</v>
      </c>
      <c r="T91" s="17">
        <v>63955</v>
      </c>
      <c r="U91" s="14" t="s">
        <v>548</v>
      </c>
      <c r="W91" s="18" t="s">
        <v>549</v>
      </c>
    </row>
    <row r="92" spans="1:25" x14ac:dyDescent="0.2">
      <c r="A92" s="10">
        <v>1</v>
      </c>
      <c r="B92" s="10"/>
      <c r="C92" s="10"/>
      <c r="D92" s="10"/>
      <c r="H92" s="10">
        <v>57</v>
      </c>
      <c r="I92" s="14" t="s">
        <v>550</v>
      </c>
      <c r="J92" s="14" t="s">
        <v>550</v>
      </c>
      <c r="K92" s="10">
        <v>91</v>
      </c>
      <c r="L92" s="14" t="s">
        <v>551</v>
      </c>
      <c r="M92" s="14" t="s">
        <v>552</v>
      </c>
      <c r="N92" s="15" t="s">
        <v>553</v>
      </c>
      <c r="O92" s="16" t="s">
        <v>47</v>
      </c>
      <c r="P92" s="15">
        <v>1.2</v>
      </c>
      <c r="Q92" s="15" t="s">
        <v>126</v>
      </c>
      <c r="R92" s="14" t="s">
        <v>554</v>
      </c>
      <c r="S92" s="17" t="s">
        <v>59</v>
      </c>
      <c r="T92" s="17">
        <v>75694</v>
      </c>
      <c r="U92" s="14" t="s">
        <v>555</v>
      </c>
      <c r="V92" s="14" t="s">
        <v>31</v>
      </c>
      <c r="Y92" s="11" t="s">
        <v>33</v>
      </c>
    </row>
    <row r="93" spans="1:25" x14ac:dyDescent="0.2">
      <c r="A93" s="10"/>
      <c r="B93" s="10">
        <v>1</v>
      </c>
      <c r="C93" s="10"/>
      <c r="D93" s="10"/>
      <c r="F93" s="22" t="s">
        <v>285</v>
      </c>
      <c r="I93" s="14" t="s">
        <v>556</v>
      </c>
      <c r="J93" s="14" t="s">
        <v>556</v>
      </c>
      <c r="K93" s="10">
        <v>92</v>
      </c>
      <c r="L93" s="14" t="s">
        <v>557</v>
      </c>
      <c r="M93" s="14" t="s">
        <v>558</v>
      </c>
      <c r="N93" s="15" t="s">
        <v>559</v>
      </c>
      <c r="O93" s="16">
        <v>1.9</v>
      </c>
      <c r="S93" s="17"/>
      <c r="U93" s="14" t="s">
        <v>560</v>
      </c>
    </row>
    <row r="94" spans="1:25" x14ac:dyDescent="0.2">
      <c r="A94" s="10">
        <v>1</v>
      </c>
      <c r="B94" s="10">
        <v>1</v>
      </c>
      <c r="C94" s="10">
        <v>1</v>
      </c>
      <c r="D94" s="10"/>
      <c r="H94" s="10">
        <v>53</v>
      </c>
      <c r="I94" s="20" t="s">
        <v>561</v>
      </c>
      <c r="J94" s="20" t="s">
        <v>561</v>
      </c>
      <c r="K94" s="10">
        <v>93</v>
      </c>
      <c r="L94" s="14" t="s">
        <v>562</v>
      </c>
      <c r="M94" s="14" t="s">
        <v>563</v>
      </c>
      <c r="N94" s="15" t="s">
        <v>564</v>
      </c>
      <c r="O94" s="16">
        <v>3.12</v>
      </c>
      <c r="P94" s="4">
        <v>4.4000000000000004</v>
      </c>
      <c r="Q94" s="18" t="s">
        <v>66</v>
      </c>
      <c r="R94" s="14" t="s">
        <v>565</v>
      </c>
      <c r="S94" s="17">
        <v>358</v>
      </c>
      <c r="T94" s="17">
        <v>77501</v>
      </c>
      <c r="U94" s="14" t="s">
        <v>311</v>
      </c>
      <c r="V94" s="14" t="s">
        <v>69</v>
      </c>
    </row>
    <row r="95" spans="1:25" x14ac:dyDescent="0.2">
      <c r="A95" s="10"/>
      <c r="B95" s="10">
        <v>1</v>
      </c>
      <c r="C95" s="10">
        <v>1</v>
      </c>
      <c r="D95" s="10"/>
      <c r="H95" s="10">
        <v>53</v>
      </c>
      <c r="I95" s="13" t="s">
        <v>566</v>
      </c>
      <c r="J95" s="13" t="s">
        <v>566</v>
      </c>
      <c r="K95" s="10">
        <v>94</v>
      </c>
      <c r="L95" s="14" t="s">
        <v>567</v>
      </c>
      <c r="M95" s="14" t="s">
        <v>568</v>
      </c>
      <c r="N95" s="15" t="s">
        <v>94</v>
      </c>
      <c r="O95" s="16">
        <v>3</v>
      </c>
      <c r="P95" s="15" t="s">
        <v>47</v>
      </c>
      <c r="R95" s="14" t="s">
        <v>569</v>
      </c>
      <c r="S95" s="17">
        <v>240</v>
      </c>
      <c r="T95" s="17">
        <v>78721</v>
      </c>
      <c r="U95" s="14" t="s">
        <v>570</v>
      </c>
      <c r="V95" s="14" t="s">
        <v>31</v>
      </c>
    </row>
    <row r="96" spans="1:25" x14ac:dyDescent="0.2">
      <c r="A96" s="10">
        <v>1</v>
      </c>
      <c r="B96" s="10">
        <v>1</v>
      </c>
      <c r="C96" s="10">
        <v>1</v>
      </c>
      <c r="D96" s="10"/>
      <c r="H96" s="10">
        <v>56</v>
      </c>
      <c r="I96" s="20" t="s">
        <v>571</v>
      </c>
      <c r="J96" s="20" t="s">
        <v>571</v>
      </c>
      <c r="K96" s="10">
        <v>95</v>
      </c>
      <c r="L96" s="14" t="s">
        <v>572</v>
      </c>
      <c r="M96" s="14" t="s">
        <v>573</v>
      </c>
      <c r="N96" s="15" t="s">
        <v>366</v>
      </c>
      <c r="O96" s="5">
        <v>4.38</v>
      </c>
      <c r="P96" s="4">
        <v>4</v>
      </c>
      <c r="Q96" s="15" t="s">
        <v>574</v>
      </c>
      <c r="R96" s="14" t="s">
        <v>575</v>
      </c>
      <c r="S96" s="17">
        <v>297</v>
      </c>
      <c r="T96" s="17" t="s">
        <v>576</v>
      </c>
      <c r="U96" s="14" t="s">
        <v>498</v>
      </c>
      <c r="V96" s="14" t="s">
        <v>69</v>
      </c>
      <c r="W96" s="18" t="s">
        <v>115</v>
      </c>
    </row>
    <row r="97" spans="1:25" x14ac:dyDescent="0.2">
      <c r="A97" s="10">
        <v>1</v>
      </c>
      <c r="B97" s="10">
        <v>1</v>
      </c>
      <c r="C97" s="10"/>
      <c r="D97" s="10"/>
      <c r="H97" s="10">
        <v>58</v>
      </c>
      <c r="I97" s="3" t="s">
        <v>577</v>
      </c>
      <c r="J97" s="3" t="s">
        <v>577</v>
      </c>
      <c r="K97" s="10">
        <v>96</v>
      </c>
      <c r="L97" s="14" t="s">
        <v>578</v>
      </c>
      <c r="M97" s="14" t="s">
        <v>579</v>
      </c>
      <c r="N97" s="15">
        <v>7</v>
      </c>
      <c r="O97" s="16">
        <v>3.36</v>
      </c>
      <c r="P97" s="4">
        <v>4.4000000000000004</v>
      </c>
      <c r="Q97" s="15" t="s">
        <v>126</v>
      </c>
      <c r="R97" s="14" t="s">
        <v>580</v>
      </c>
      <c r="S97" s="17">
        <v>414</v>
      </c>
      <c r="T97" s="17" t="s">
        <v>47</v>
      </c>
      <c r="U97" s="14" t="s">
        <v>114</v>
      </c>
      <c r="V97" s="14" t="s">
        <v>31</v>
      </c>
      <c r="X97" s="18" t="s">
        <v>61</v>
      </c>
      <c r="Y97" s="11" t="s">
        <v>33</v>
      </c>
    </row>
    <row r="98" spans="1:25" x14ac:dyDescent="0.2">
      <c r="A98" s="10"/>
      <c r="B98" s="10"/>
      <c r="C98" s="10"/>
      <c r="D98" s="10" t="s">
        <v>409</v>
      </c>
      <c r="H98" s="10">
        <v>58</v>
      </c>
      <c r="I98" s="3" t="s">
        <v>581</v>
      </c>
      <c r="J98" s="3" t="s">
        <v>581</v>
      </c>
      <c r="K98" s="10">
        <v>97</v>
      </c>
      <c r="L98" s="14" t="s">
        <v>582</v>
      </c>
      <c r="M98" s="14" t="s">
        <v>583</v>
      </c>
      <c r="N98" s="15">
        <v>8</v>
      </c>
      <c r="O98" s="16" t="s">
        <v>47</v>
      </c>
      <c r="P98" s="4">
        <v>4.5</v>
      </c>
      <c r="Q98" s="15" t="s">
        <v>126</v>
      </c>
      <c r="R98" s="14" t="s">
        <v>584</v>
      </c>
      <c r="S98" s="17" t="s">
        <v>59</v>
      </c>
      <c r="T98" s="17" t="s">
        <v>47</v>
      </c>
      <c r="U98" s="14" t="s">
        <v>585</v>
      </c>
      <c r="V98" s="14" t="s">
        <v>31</v>
      </c>
      <c r="W98" s="18" t="s">
        <v>586</v>
      </c>
      <c r="X98" s="18" t="s">
        <v>587</v>
      </c>
    </row>
    <row r="99" spans="1:25" x14ac:dyDescent="0.2">
      <c r="A99" s="10"/>
      <c r="B99" s="10"/>
      <c r="C99" s="10">
        <v>1</v>
      </c>
      <c r="D99" s="10"/>
      <c r="H99" s="10">
        <v>52</v>
      </c>
      <c r="I99" s="13" t="s">
        <v>588</v>
      </c>
      <c r="J99" s="13" t="s">
        <v>589</v>
      </c>
      <c r="K99" s="10">
        <v>98</v>
      </c>
      <c r="L99" s="14" t="s">
        <v>590</v>
      </c>
      <c r="M99" s="14" t="s">
        <v>591</v>
      </c>
      <c r="N99" s="15" t="s">
        <v>592</v>
      </c>
      <c r="O99" s="16" t="s">
        <v>47</v>
      </c>
      <c r="P99" s="15">
        <v>1.2</v>
      </c>
      <c r="Q99" s="15" t="s">
        <v>88</v>
      </c>
      <c r="R99" s="14" t="s">
        <v>593</v>
      </c>
      <c r="S99" s="17" t="s">
        <v>50</v>
      </c>
      <c r="T99" s="17">
        <v>84266</v>
      </c>
      <c r="U99" s="14" t="s">
        <v>594</v>
      </c>
    </row>
    <row r="100" spans="1:25" x14ac:dyDescent="0.2">
      <c r="A100" s="10">
        <v>1</v>
      </c>
      <c r="B100" s="10">
        <v>1</v>
      </c>
      <c r="C100" s="10">
        <v>1</v>
      </c>
      <c r="D100" s="10"/>
      <c r="H100" s="10">
        <v>56</v>
      </c>
      <c r="I100" s="20" t="s">
        <v>595</v>
      </c>
      <c r="J100" s="20" t="s">
        <v>595</v>
      </c>
      <c r="K100" s="10">
        <v>99</v>
      </c>
      <c r="L100" s="14" t="s">
        <v>596</v>
      </c>
      <c r="M100" s="14" t="s">
        <v>597</v>
      </c>
      <c r="N100" s="15" t="s">
        <v>598</v>
      </c>
      <c r="O100" s="5">
        <v>4.34</v>
      </c>
      <c r="P100" s="4">
        <v>4.3</v>
      </c>
      <c r="Q100" s="15" t="s">
        <v>28</v>
      </c>
      <c r="R100" s="14" t="s">
        <v>599</v>
      </c>
      <c r="S100" s="17">
        <v>185</v>
      </c>
      <c r="T100" s="17">
        <v>85617</v>
      </c>
      <c r="U100" s="14" t="s">
        <v>114</v>
      </c>
      <c r="V100" s="14" t="s">
        <v>31</v>
      </c>
      <c r="Y100" s="11" t="s">
        <v>33</v>
      </c>
    </row>
    <row r="101" spans="1:25" x14ac:dyDescent="0.2">
      <c r="A101" s="10"/>
      <c r="B101" s="10"/>
      <c r="C101" s="10"/>
      <c r="D101" s="10" t="s">
        <v>524</v>
      </c>
      <c r="H101" s="10">
        <v>58</v>
      </c>
      <c r="I101" s="3" t="s">
        <v>600</v>
      </c>
      <c r="J101" s="3" t="s">
        <v>600</v>
      </c>
      <c r="K101" s="10">
        <v>100</v>
      </c>
      <c r="L101" s="14" t="s">
        <v>601</v>
      </c>
      <c r="M101" s="14" t="s">
        <v>602</v>
      </c>
      <c r="N101" s="15">
        <v>7</v>
      </c>
      <c r="O101" s="16" t="s">
        <v>47</v>
      </c>
      <c r="P101" s="4">
        <v>4</v>
      </c>
      <c r="Q101" s="18" t="s">
        <v>66</v>
      </c>
      <c r="R101" s="14" t="s">
        <v>603</v>
      </c>
      <c r="S101" s="17">
        <v>225</v>
      </c>
      <c r="T101" s="17">
        <v>86728</v>
      </c>
      <c r="U101" s="14" t="s">
        <v>604</v>
      </c>
      <c r="V101" s="14" t="s">
        <v>31</v>
      </c>
      <c r="W101" s="19"/>
      <c r="Y101" s="11" t="s">
        <v>155</v>
      </c>
    </row>
    <row r="102" spans="1:25" x14ac:dyDescent="0.2">
      <c r="A102" s="10"/>
      <c r="B102" s="10">
        <v>1</v>
      </c>
      <c r="C102" s="10">
        <v>1</v>
      </c>
      <c r="D102" s="10"/>
      <c r="H102" s="10">
        <v>67</v>
      </c>
      <c r="I102" s="13" t="s">
        <v>605</v>
      </c>
      <c r="J102" s="13" t="s">
        <v>605</v>
      </c>
      <c r="K102" s="10">
        <v>101</v>
      </c>
      <c r="L102" s="14" t="s">
        <v>606</v>
      </c>
      <c r="M102" s="14" t="s">
        <v>607</v>
      </c>
      <c r="N102" s="15" t="s">
        <v>608</v>
      </c>
      <c r="O102" s="16">
        <v>2.89</v>
      </c>
      <c r="P102" s="15">
        <v>2.2999999999999998</v>
      </c>
      <c r="Q102" s="15" t="s">
        <v>126</v>
      </c>
      <c r="R102" s="14" t="s">
        <v>609</v>
      </c>
      <c r="S102" s="17">
        <v>73</v>
      </c>
      <c r="T102" s="17" t="s">
        <v>610</v>
      </c>
      <c r="U102" s="14" t="s">
        <v>261</v>
      </c>
      <c r="V102" s="14" t="s">
        <v>31</v>
      </c>
      <c r="W102" s="18" t="s">
        <v>115</v>
      </c>
    </row>
    <row r="103" spans="1:25" x14ac:dyDescent="0.2">
      <c r="A103" s="10"/>
      <c r="B103" s="10">
        <v>1</v>
      </c>
      <c r="C103" s="10"/>
      <c r="D103" s="10"/>
      <c r="H103" s="10">
        <v>58</v>
      </c>
      <c r="I103" s="3" t="s">
        <v>611</v>
      </c>
      <c r="J103" s="3" t="s">
        <v>611</v>
      </c>
      <c r="K103" s="10">
        <v>102</v>
      </c>
      <c r="L103" s="14" t="s">
        <v>612</v>
      </c>
      <c r="M103" s="14" t="s">
        <v>613</v>
      </c>
      <c r="N103" s="15">
        <v>7</v>
      </c>
      <c r="O103" s="5">
        <v>3.82</v>
      </c>
      <c r="P103" s="15">
        <v>2.8</v>
      </c>
      <c r="Q103" s="15" t="s">
        <v>126</v>
      </c>
      <c r="R103" s="14" t="s">
        <v>614</v>
      </c>
      <c r="S103" s="17" t="s">
        <v>59</v>
      </c>
      <c r="T103" s="17">
        <v>87063</v>
      </c>
      <c r="U103" s="14" t="s">
        <v>82</v>
      </c>
      <c r="V103" s="14" t="s">
        <v>31</v>
      </c>
      <c r="X103" s="18" t="s">
        <v>61</v>
      </c>
    </row>
    <row r="104" spans="1:25" x14ac:dyDescent="0.2">
      <c r="A104" s="10">
        <v>1</v>
      </c>
      <c r="B104" s="10">
        <v>1</v>
      </c>
      <c r="C104" s="10">
        <v>1</v>
      </c>
      <c r="D104" s="10"/>
      <c r="H104" s="10">
        <v>52</v>
      </c>
      <c r="I104" s="3" t="s">
        <v>615</v>
      </c>
      <c r="J104" s="3" t="s">
        <v>615</v>
      </c>
      <c r="K104" s="10">
        <v>103</v>
      </c>
      <c r="L104" s="14" t="s">
        <v>616</v>
      </c>
      <c r="M104" s="14" t="s">
        <v>617</v>
      </c>
      <c r="N104" s="15" t="s">
        <v>618</v>
      </c>
      <c r="O104" s="16">
        <v>2.7</v>
      </c>
      <c r="P104" s="8">
        <v>5.6</v>
      </c>
      <c r="Q104" s="15" t="s">
        <v>28</v>
      </c>
      <c r="R104" s="14" t="s">
        <v>619</v>
      </c>
      <c r="S104" s="17">
        <v>422</v>
      </c>
      <c r="T104" s="17">
        <v>87820</v>
      </c>
      <c r="U104" s="14" t="s">
        <v>620</v>
      </c>
      <c r="V104" s="14" t="s">
        <v>69</v>
      </c>
      <c r="W104" s="18" t="s">
        <v>621</v>
      </c>
    </row>
    <row r="105" spans="1:25" x14ac:dyDescent="0.2">
      <c r="A105" s="10"/>
      <c r="B105" s="10">
        <v>1</v>
      </c>
      <c r="C105" s="10">
        <v>1</v>
      </c>
      <c r="D105" s="10"/>
      <c r="H105" s="10">
        <v>67</v>
      </c>
      <c r="I105" s="13" t="s">
        <v>622</v>
      </c>
      <c r="J105" s="13" t="s">
        <v>622</v>
      </c>
      <c r="K105" s="10">
        <v>104</v>
      </c>
      <c r="L105" s="14" t="s">
        <v>623</v>
      </c>
      <c r="M105" s="14" t="s">
        <v>624</v>
      </c>
      <c r="N105" s="15" t="s">
        <v>222</v>
      </c>
      <c r="O105" s="16">
        <v>2.0299999999999998</v>
      </c>
      <c r="P105" s="15">
        <v>1.8</v>
      </c>
      <c r="Q105" s="15" t="s">
        <v>28</v>
      </c>
      <c r="R105" s="14" t="s">
        <v>625</v>
      </c>
      <c r="S105" s="17" t="s">
        <v>39</v>
      </c>
      <c r="T105" s="17">
        <v>89783</v>
      </c>
      <c r="U105" s="14" t="s">
        <v>142</v>
      </c>
      <c r="V105" s="14" t="s">
        <v>74</v>
      </c>
    </row>
    <row r="106" spans="1:25" x14ac:dyDescent="0.2">
      <c r="A106" s="10"/>
      <c r="B106" s="10"/>
      <c r="C106" s="10">
        <v>1</v>
      </c>
      <c r="D106" s="10"/>
      <c r="H106" s="10">
        <v>65</v>
      </c>
      <c r="I106" s="20" t="s">
        <v>626</v>
      </c>
      <c r="J106" s="20" t="s">
        <v>626</v>
      </c>
      <c r="K106" s="10">
        <v>105</v>
      </c>
      <c r="L106" s="14" t="s">
        <v>627</v>
      </c>
      <c r="M106" s="14" t="s">
        <v>628</v>
      </c>
      <c r="N106" s="15" t="s">
        <v>629</v>
      </c>
      <c r="O106" s="16" t="s">
        <v>47</v>
      </c>
      <c r="P106" s="4">
        <v>3.8</v>
      </c>
      <c r="Q106" s="15" t="s">
        <v>88</v>
      </c>
      <c r="R106" s="14" t="s">
        <v>630</v>
      </c>
      <c r="S106" s="17">
        <v>75</v>
      </c>
      <c r="T106" s="17">
        <v>90697</v>
      </c>
      <c r="U106" s="14" t="s">
        <v>631</v>
      </c>
      <c r="V106" s="14" t="s">
        <v>632</v>
      </c>
      <c r="Y106" s="11" t="s">
        <v>149</v>
      </c>
    </row>
    <row r="107" spans="1:25" x14ac:dyDescent="0.2">
      <c r="A107" s="10"/>
      <c r="B107" s="10">
        <v>1</v>
      </c>
      <c r="C107" s="10"/>
      <c r="D107" s="10"/>
      <c r="H107" s="10">
        <v>67</v>
      </c>
      <c r="I107" s="14" t="s">
        <v>633</v>
      </c>
      <c r="J107" s="14" t="s">
        <v>633</v>
      </c>
      <c r="K107" s="10">
        <v>106</v>
      </c>
      <c r="L107" s="14" t="s">
        <v>634</v>
      </c>
      <c r="M107" s="14" t="s">
        <v>635</v>
      </c>
      <c r="N107" s="15">
        <v>9</v>
      </c>
      <c r="O107" s="5">
        <v>3.82</v>
      </c>
      <c r="P107" s="15" t="s">
        <v>47</v>
      </c>
      <c r="R107" s="14" t="s">
        <v>636</v>
      </c>
      <c r="S107" s="17" t="s">
        <v>59</v>
      </c>
      <c r="T107" s="17">
        <v>90709</v>
      </c>
      <c r="U107" s="14" t="s">
        <v>637</v>
      </c>
      <c r="V107" s="14" t="s">
        <v>31</v>
      </c>
      <c r="X107" s="18" t="s">
        <v>61</v>
      </c>
    </row>
    <row r="108" spans="1:25" x14ac:dyDescent="0.2">
      <c r="A108" s="10">
        <v>1</v>
      </c>
      <c r="B108" s="10">
        <v>1</v>
      </c>
      <c r="C108" s="10">
        <v>1</v>
      </c>
      <c r="D108" s="10"/>
      <c r="H108" s="10">
        <v>63</v>
      </c>
      <c r="I108" s="3" t="s">
        <v>638</v>
      </c>
      <c r="J108" s="3" t="s">
        <v>638</v>
      </c>
      <c r="K108" s="10">
        <v>107</v>
      </c>
      <c r="L108" s="14" t="s">
        <v>639</v>
      </c>
      <c r="M108" s="14" t="s">
        <v>640</v>
      </c>
      <c r="N108" s="15" t="s">
        <v>641</v>
      </c>
      <c r="O108" s="5">
        <v>5.46</v>
      </c>
      <c r="P108" s="8">
        <v>5.5</v>
      </c>
      <c r="Q108" s="18" t="s">
        <v>66</v>
      </c>
      <c r="R108" s="14" t="s">
        <v>642</v>
      </c>
      <c r="S108" s="17" t="s">
        <v>39</v>
      </c>
      <c r="T108" s="17">
        <v>90883</v>
      </c>
      <c r="U108" s="14" t="s">
        <v>643</v>
      </c>
      <c r="V108" s="14" t="s">
        <v>644</v>
      </c>
      <c r="Y108" s="11" t="s">
        <v>33</v>
      </c>
    </row>
    <row r="109" spans="1:25" x14ac:dyDescent="0.2">
      <c r="A109" s="10"/>
      <c r="B109" s="10">
        <v>1</v>
      </c>
      <c r="C109" s="10">
        <v>1</v>
      </c>
      <c r="D109" s="10"/>
      <c r="H109" s="10">
        <v>63</v>
      </c>
      <c r="I109" s="13" t="s">
        <v>645</v>
      </c>
      <c r="J109" s="13" t="s">
        <v>645</v>
      </c>
      <c r="K109" s="10">
        <v>108</v>
      </c>
      <c r="L109" s="14" t="s">
        <v>646</v>
      </c>
      <c r="M109" s="14" t="s">
        <v>647</v>
      </c>
      <c r="N109" s="15" t="s">
        <v>648</v>
      </c>
      <c r="O109" s="16">
        <v>3.5</v>
      </c>
      <c r="P109" s="15">
        <v>3.1</v>
      </c>
      <c r="Q109" s="15" t="s">
        <v>649</v>
      </c>
      <c r="R109" s="14" t="s">
        <v>650</v>
      </c>
      <c r="S109" s="17" t="s">
        <v>39</v>
      </c>
      <c r="T109" s="17">
        <v>91774</v>
      </c>
      <c r="U109" s="14" t="s">
        <v>206</v>
      </c>
      <c r="V109" s="14" t="s">
        <v>74</v>
      </c>
    </row>
    <row r="110" spans="1:25" x14ac:dyDescent="0.2">
      <c r="A110" s="10"/>
      <c r="B110" s="10">
        <v>1</v>
      </c>
      <c r="C110" s="10"/>
      <c r="D110" s="10"/>
      <c r="H110" s="10">
        <v>67</v>
      </c>
      <c r="I110" s="14" t="s">
        <v>651</v>
      </c>
      <c r="J110" s="14" t="s">
        <v>651</v>
      </c>
      <c r="K110" s="10">
        <v>109</v>
      </c>
      <c r="L110" s="14" t="s">
        <v>652</v>
      </c>
      <c r="M110" s="14" t="s">
        <v>653</v>
      </c>
      <c r="N110" s="15" t="s">
        <v>397</v>
      </c>
      <c r="O110" s="16">
        <v>2.63</v>
      </c>
      <c r="P110" s="15" t="s">
        <v>47</v>
      </c>
      <c r="R110" s="14" t="s">
        <v>654</v>
      </c>
      <c r="S110" s="17" t="s">
        <v>59</v>
      </c>
      <c r="T110" s="17">
        <v>91929</v>
      </c>
      <c r="U110" s="14" t="s">
        <v>60</v>
      </c>
      <c r="V110" s="14" t="s">
        <v>74</v>
      </c>
    </row>
    <row r="111" spans="1:25" x14ac:dyDescent="0.2">
      <c r="A111" s="10"/>
      <c r="B111" s="10"/>
      <c r="C111" s="10"/>
      <c r="D111" s="10" t="s">
        <v>457</v>
      </c>
      <c r="H111" s="10">
        <v>65</v>
      </c>
      <c r="I111" s="3" t="s">
        <v>655</v>
      </c>
      <c r="J111" s="3" t="s">
        <v>655</v>
      </c>
      <c r="K111" s="10">
        <v>110</v>
      </c>
      <c r="L111" s="14" t="s">
        <v>656</v>
      </c>
      <c r="M111" s="14" t="s">
        <v>657</v>
      </c>
      <c r="N111" s="15">
        <v>9.5</v>
      </c>
      <c r="O111" s="16" t="s">
        <v>47</v>
      </c>
      <c r="P111" s="4">
        <v>3.8</v>
      </c>
      <c r="Q111" s="15" t="s">
        <v>658</v>
      </c>
      <c r="R111" s="14" t="s">
        <v>659</v>
      </c>
      <c r="S111" s="17" t="s">
        <v>59</v>
      </c>
      <c r="T111" s="17">
        <v>92194</v>
      </c>
      <c r="U111" s="14" t="s">
        <v>660</v>
      </c>
      <c r="V111" s="14" t="s">
        <v>74</v>
      </c>
      <c r="X111" s="18" t="s">
        <v>75</v>
      </c>
    </row>
    <row r="112" spans="1:25" x14ac:dyDescent="0.2">
      <c r="A112" s="10">
        <v>1</v>
      </c>
      <c r="B112" s="10">
        <v>1</v>
      </c>
      <c r="C112" s="10">
        <v>1</v>
      </c>
      <c r="D112" s="10"/>
      <c r="H112" s="10">
        <v>67</v>
      </c>
      <c r="I112" s="13" t="s">
        <v>661</v>
      </c>
      <c r="J112" s="13" t="s">
        <v>661</v>
      </c>
      <c r="K112" s="10">
        <v>111</v>
      </c>
      <c r="L112" s="14" t="s">
        <v>662</v>
      </c>
      <c r="M112" s="14" t="s">
        <v>663</v>
      </c>
      <c r="N112" s="15" t="s">
        <v>664</v>
      </c>
      <c r="O112" s="16">
        <v>3.32</v>
      </c>
      <c r="P112" s="15">
        <v>3.1</v>
      </c>
      <c r="Q112" s="15" t="s">
        <v>28</v>
      </c>
      <c r="R112" s="14" t="s">
        <v>665</v>
      </c>
      <c r="S112" s="17">
        <v>148</v>
      </c>
      <c r="T112" s="17">
        <v>92442</v>
      </c>
      <c r="U112" s="14" t="s">
        <v>40</v>
      </c>
      <c r="V112" s="14" t="s">
        <v>31</v>
      </c>
      <c r="Y112" s="11" t="s">
        <v>33</v>
      </c>
    </row>
    <row r="113" spans="1:25" x14ac:dyDescent="0.2">
      <c r="A113" s="10"/>
      <c r="B113" s="10">
        <v>1</v>
      </c>
      <c r="C113" s="10">
        <v>1</v>
      </c>
      <c r="D113" s="10"/>
      <c r="H113" s="10">
        <v>65</v>
      </c>
      <c r="I113" s="20" t="s">
        <v>666</v>
      </c>
      <c r="J113" s="20" t="s">
        <v>666</v>
      </c>
      <c r="K113" s="10">
        <v>112</v>
      </c>
      <c r="L113" s="14" t="s">
        <v>667</v>
      </c>
      <c r="M113" s="14" t="s">
        <v>668</v>
      </c>
      <c r="N113" s="15" t="s">
        <v>669</v>
      </c>
      <c r="O113" s="5">
        <v>4.3899999999999997</v>
      </c>
      <c r="P113" s="15">
        <v>3.6</v>
      </c>
      <c r="Q113" s="15" t="s">
        <v>28</v>
      </c>
      <c r="R113" s="14" t="s">
        <v>670</v>
      </c>
      <c r="S113" s="17">
        <v>386</v>
      </c>
      <c r="T113" s="17">
        <v>93158</v>
      </c>
      <c r="U113" s="14" t="s">
        <v>671</v>
      </c>
      <c r="V113" s="14" t="s">
        <v>31</v>
      </c>
    </row>
    <row r="114" spans="1:25" x14ac:dyDescent="0.2">
      <c r="A114" s="10">
        <v>1</v>
      </c>
      <c r="B114" s="10">
        <v>1</v>
      </c>
      <c r="C114" s="10">
        <v>1</v>
      </c>
      <c r="D114" s="10"/>
      <c r="H114" s="10">
        <v>67</v>
      </c>
      <c r="I114" s="20" t="s">
        <v>672</v>
      </c>
      <c r="J114" s="20" t="s">
        <v>672</v>
      </c>
      <c r="K114" s="10">
        <v>113</v>
      </c>
      <c r="L114" s="14" t="s">
        <v>673</v>
      </c>
      <c r="M114" s="14" t="s">
        <v>674</v>
      </c>
      <c r="N114" s="15" t="s">
        <v>675</v>
      </c>
      <c r="O114" s="5">
        <v>4</v>
      </c>
      <c r="P114" s="4">
        <v>4.2</v>
      </c>
      <c r="Q114" s="18" t="s">
        <v>66</v>
      </c>
      <c r="R114" s="14" t="s">
        <v>676</v>
      </c>
      <c r="S114" s="17">
        <v>353</v>
      </c>
      <c r="T114" s="17">
        <v>93666</v>
      </c>
      <c r="U114" s="14" t="s">
        <v>82</v>
      </c>
      <c r="V114" s="14" t="s">
        <v>31</v>
      </c>
    </row>
    <row r="115" spans="1:25" x14ac:dyDescent="0.2">
      <c r="A115" s="10">
        <v>1</v>
      </c>
      <c r="B115" s="10">
        <v>1</v>
      </c>
      <c r="C115" s="10">
        <v>1</v>
      </c>
      <c r="D115" s="10"/>
      <c r="H115" s="10">
        <v>66</v>
      </c>
      <c r="I115" s="13" t="s">
        <v>677</v>
      </c>
      <c r="J115" s="13" t="s">
        <v>677</v>
      </c>
      <c r="K115" s="10">
        <v>114</v>
      </c>
      <c r="L115" s="14" t="s">
        <v>678</v>
      </c>
      <c r="M115" s="14" t="s">
        <v>679</v>
      </c>
      <c r="N115" s="15" t="s">
        <v>680</v>
      </c>
      <c r="O115" s="16">
        <v>2.73</v>
      </c>
      <c r="P115" s="15">
        <v>2.5</v>
      </c>
      <c r="Q115" s="15" t="s">
        <v>126</v>
      </c>
      <c r="R115" s="14" t="s">
        <v>681</v>
      </c>
      <c r="S115" s="17" t="s">
        <v>39</v>
      </c>
      <c r="T115" s="17">
        <v>94940</v>
      </c>
      <c r="U115" s="14" t="s">
        <v>40</v>
      </c>
      <c r="V115" s="14" t="s">
        <v>74</v>
      </c>
      <c r="Y115" s="11" t="s">
        <v>33</v>
      </c>
    </row>
    <row r="116" spans="1:25" x14ac:dyDescent="0.2">
      <c r="A116" s="10"/>
      <c r="B116" s="10"/>
      <c r="C116" s="10">
        <v>1</v>
      </c>
      <c r="D116" s="10"/>
      <c r="H116" s="10">
        <v>63</v>
      </c>
      <c r="I116" s="13" t="s">
        <v>682</v>
      </c>
      <c r="J116" s="13" t="s">
        <v>682</v>
      </c>
      <c r="K116" s="10">
        <v>115</v>
      </c>
      <c r="L116" s="14" t="s">
        <v>683</v>
      </c>
      <c r="M116" s="14" t="s">
        <v>684</v>
      </c>
      <c r="N116" s="15" t="s">
        <v>685</v>
      </c>
      <c r="O116" s="16" t="s">
        <v>47</v>
      </c>
      <c r="P116" s="15" t="s">
        <v>47</v>
      </c>
      <c r="R116" s="14" t="s">
        <v>686</v>
      </c>
      <c r="S116" s="17">
        <v>452</v>
      </c>
      <c r="T116" s="17">
        <v>95024</v>
      </c>
      <c r="U116" s="14" t="s">
        <v>687</v>
      </c>
      <c r="V116" s="14" t="s">
        <v>69</v>
      </c>
    </row>
    <row r="117" spans="1:25" x14ac:dyDescent="0.2">
      <c r="A117" s="10">
        <v>1</v>
      </c>
      <c r="B117" s="10">
        <v>1</v>
      </c>
      <c r="C117" s="10">
        <v>1</v>
      </c>
      <c r="D117" s="10"/>
      <c r="H117" s="10">
        <v>61</v>
      </c>
      <c r="I117" s="13" t="s">
        <v>688</v>
      </c>
      <c r="J117" s="13" t="s">
        <v>688</v>
      </c>
      <c r="K117" s="10">
        <v>116</v>
      </c>
      <c r="L117" s="14" t="s">
        <v>689</v>
      </c>
      <c r="M117" s="14" t="s">
        <v>690</v>
      </c>
      <c r="N117" s="15" t="s">
        <v>691</v>
      </c>
      <c r="O117" s="16">
        <v>2.91</v>
      </c>
      <c r="P117" s="15">
        <v>2.9</v>
      </c>
      <c r="Q117" s="18" t="s">
        <v>66</v>
      </c>
      <c r="R117" s="14" t="s">
        <v>692</v>
      </c>
      <c r="S117" s="17">
        <v>168</v>
      </c>
      <c r="T117" s="17">
        <v>95154</v>
      </c>
      <c r="U117" s="14" t="s">
        <v>261</v>
      </c>
      <c r="V117" s="14" t="s">
        <v>31</v>
      </c>
    </row>
    <row r="118" spans="1:25" x14ac:dyDescent="0.2">
      <c r="A118" s="10">
        <v>1</v>
      </c>
      <c r="B118" s="10"/>
      <c r="C118" s="10">
        <v>1</v>
      </c>
      <c r="D118" s="10"/>
      <c r="H118" s="10">
        <v>66</v>
      </c>
      <c r="I118" s="13" t="s">
        <v>693</v>
      </c>
      <c r="J118" s="13" t="s">
        <v>694</v>
      </c>
      <c r="K118" s="10">
        <v>117</v>
      </c>
      <c r="L118" s="14" t="s">
        <v>695</v>
      </c>
      <c r="M118" s="14" t="s">
        <v>696</v>
      </c>
      <c r="N118" s="15" t="s">
        <v>697</v>
      </c>
      <c r="O118" s="16" t="s">
        <v>47</v>
      </c>
      <c r="P118" s="15">
        <v>1.1000000000000001</v>
      </c>
      <c r="Q118" s="15" t="s">
        <v>126</v>
      </c>
      <c r="R118" s="14" t="s">
        <v>698</v>
      </c>
      <c r="S118" s="17" t="s">
        <v>50</v>
      </c>
      <c r="T118" s="17">
        <v>95289</v>
      </c>
      <c r="U118" s="14" t="s">
        <v>699</v>
      </c>
      <c r="V118" s="14" t="s">
        <v>90</v>
      </c>
      <c r="Y118" s="11" t="s">
        <v>33</v>
      </c>
    </row>
    <row r="119" spans="1:25" x14ac:dyDescent="0.2">
      <c r="A119" s="10"/>
      <c r="B119" s="10">
        <v>1</v>
      </c>
      <c r="C119" s="10">
        <v>1</v>
      </c>
      <c r="D119" s="10"/>
      <c r="H119" s="10">
        <v>63</v>
      </c>
      <c r="I119" s="20" t="s">
        <v>700</v>
      </c>
      <c r="J119" s="20" t="s">
        <v>700</v>
      </c>
      <c r="K119" s="10">
        <v>118</v>
      </c>
      <c r="L119" s="14" t="s">
        <v>701</v>
      </c>
      <c r="M119" s="14" t="s">
        <v>702</v>
      </c>
      <c r="N119" s="15" t="s">
        <v>703</v>
      </c>
      <c r="O119" s="5">
        <v>3.87</v>
      </c>
      <c r="P119" s="15" t="s">
        <v>47</v>
      </c>
      <c r="R119" s="14" t="s">
        <v>704</v>
      </c>
      <c r="S119" s="17">
        <v>340</v>
      </c>
      <c r="T119" s="17" t="s">
        <v>705</v>
      </c>
      <c r="U119" s="14" t="s">
        <v>142</v>
      </c>
      <c r="V119" s="14" t="s">
        <v>31</v>
      </c>
      <c r="W119" s="18" t="s">
        <v>115</v>
      </c>
    </row>
    <row r="120" spans="1:25" x14ac:dyDescent="0.2">
      <c r="A120" s="10">
        <v>1</v>
      </c>
      <c r="B120" s="10">
        <v>1</v>
      </c>
      <c r="C120" s="10">
        <v>1</v>
      </c>
      <c r="D120" s="10"/>
      <c r="H120" s="10">
        <v>66</v>
      </c>
      <c r="I120" s="13" t="s">
        <v>706</v>
      </c>
      <c r="J120" s="13" t="s">
        <v>706</v>
      </c>
      <c r="K120" s="10">
        <v>119</v>
      </c>
      <c r="L120" s="14" t="s">
        <v>707</v>
      </c>
      <c r="M120" s="14" t="s">
        <v>708</v>
      </c>
      <c r="N120" s="15" t="s">
        <v>709</v>
      </c>
      <c r="O120" s="16">
        <v>3.26</v>
      </c>
      <c r="P120" s="15">
        <v>3.4</v>
      </c>
      <c r="Q120" s="15" t="s">
        <v>28</v>
      </c>
      <c r="R120" s="14" t="s">
        <v>710</v>
      </c>
      <c r="S120" s="17">
        <v>200</v>
      </c>
      <c r="T120" s="17">
        <v>96255</v>
      </c>
      <c r="U120" s="14" t="s">
        <v>206</v>
      </c>
      <c r="V120" s="14" t="s">
        <v>31</v>
      </c>
      <c r="Y120" s="11" t="s">
        <v>33</v>
      </c>
    </row>
    <row r="121" spans="1:25" x14ac:dyDescent="0.2">
      <c r="A121" s="10">
        <v>1</v>
      </c>
      <c r="B121" s="10">
        <v>1</v>
      </c>
      <c r="C121" s="10">
        <v>1</v>
      </c>
      <c r="D121" s="10"/>
      <c r="H121" s="10">
        <v>62</v>
      </c>
      <c r="I121" s="13" t="s">
        <v>711</v>
      </c>
      <c r="J121" s="13" t="s">
        <v>711</v>
      </c>
      <c r="K121" s="10">
        <v>120</v>
      </c>
      <c r="L121" s="14" t="s">
        <v>712</v>
      </c>
      <c r="M121" s="14" t="s">
        <v>713</v>
      </c>
      <c r="N121" s="15" t="s">
        <v>714</v>
      </c>
      <c r="O121" s="16">
        <v>3.15</v>
      </c>
      <c r="P121" s="15" t="s">
        <v>47</v>
      </c>
      <c r="R121" s="14" t="s">
        <v>715</v>
      </c>
      <c r="S121" s="17">
        <v>118</v>
      </c>
      <c r="T121" s="17">
        <v>96836</v>
      </c>
      <c r="U121" s="14" t="s">
        <v>716</v>
      </c>
      <c r="V121" s="14" t="s">
        <v>31</v>
      </c>
      <c r="Y121" s="11" t="s">
        <v>33</v>
      </c>
    </row>
    <row r="122" spans="1:25" x14ac:dyDescent="0.2">
      <c r="A122" s="10">
        <v>1</v>
      </c>
      <c r="B122" s="10">
        <v>1</v>
      </c>
      <c r="C122" s="10">
        <v>1</v>
      </c>
      <c r="D122" s="10"/>
      <c r="H122" s="10">
        <v>62</v>
      </c>
      <c r="I122" s="20" t="s">
        <v>717</v>
      </c>
      <c r="J122" s="20" t="s">
        <v>717</v>
      </c>
      <c r="K122" s="10">
        <v>121</v>
      </c>
      <c r="L122" s="14" t="s">
        <v>718</v>
      </c>
      <c r="M122" s="14" t="s">
        <v>719</v>
      </c>
      <c r="N122" s="15" t="s">
        <v>720</v>
      </c>
      <c r="O122" s="5">
        <v>4.4000000000000004</v>
      </c>
      <c r="P122" s="15">
        <v>3.4</v>
      </c>
      <c r="Q122" s="15" t="s">
        <v>721</v>
      </c>
      <c r="R122" s="14" t="s">
        <v>722</v>
      </c>
      <c r="S122" s="17" t="s">
        <v>39</v>
      </c>
      <c r="T122" s="17">
        <v>98190</v>
      </c>
      <c r="U122" s="14" t="s">
        <v>142</v>
      </c>
      <c r="V122" s="14" t="s">
        <v>74</v>
      </c>
    </row>
    <row r="123" spans="1:25" x14ac:dyDescent="0.2">
      <c r="A123" s="10"/>
      <c r="B123" s="10">
        <v>1</v>
      </c>
      <c r="C123" s="10">
        <v>1</v>
      </c>
      <c r="D123" s="10"/>
      <c r="H123" s="10">
        <v>64</v>
      </c>
      <c r="I123" s="13" t="s">
        <v>723</v>
      </c>
      <c r="J123" s="13" t="s">
        <v>723</v>
      </c>
      <c r="K123" s="10">
        <v>122</v>
      </c>
      <c r="L123" s="14" t="s">
        <v>724</v>
      </c>
      <c r="M123" s="14" t="s">
        <v>725</v>
      </c>
      <c r="N123" s="15" t="s">
        <v>726</v>
      </c>
      <c r="O123" s="16">
        <v>2.04</v>
      </c>
      <c r="P123" s="15">
        <v>2.1</v>
      </c>
      <c r="Q123" s="15" t="s">
        <v>535</v>
      </c>
      <c r="R123" s="14" t="s">
        <v>727</v>
      </c>
      <c r="S123" s="17">
        <v>98</v>
      </c>
      <c r="T123" s="17">
        <v>98538</v>
      </c>
      <c r="U123" s="14" t="s">
        <v>429</v>
      </c>
      <c r="V123" s="14" t="s">
        <v>74</v>
      </c>
    </row>
    <row r="124" spans="1:25" x14ac:dyDescent="0.2">
      <c r="A124" s="10"/>
      <c r="B124" s="10"/>
      <c r="C124" s="10">
        <v>1</v>
      </c>
      <c r="D124" s="10"/>
      <c r="H124" s="10">
        <v>64</v>
      </c>
      <c r="I124" s="13" t="s">
        <v>728</v>
      </c>
      <c r="J124" s="13" t="s">
        <v>728</v>
      </c>
      <c r="K124" s="10">
        <v>123</v>
      </c>
      <c r="L124" s="14" t="s">
        <v>729</v>
      </c>
      <c r="M124" s="14" t="s">
        <v>730</v>
      </c>
      <c r="N124" s="15" t="s">
        <v>731</v>
      </c>
      <c r="O124" s="16" t="s">
        <v>47</v>
      </c>
      <c r="P124" s="15" t="s">
        <v>47</v>
      </c>
      <c r="R124" s="14" t="s">
        <v>732</v>
      </c>
      <c r="S124" s="17">
        <v>177</v>
      </c>
      <c r="T124" s="17">
        <v>98662</v>
      </c>
      <c r="U124" s="14" t="s">
        <v>733</v>
      </c>
      <c r="V124" s="14" t="s">
        <v>74</v>
      </c>
    </row>
    <row r="125" spans="1:25" x14ac:dyDescent="0.2">
      <c r="A125" s="10"/>
      <c r="B125" s="10"/>
      <c r="C125" s="10">
        <v>1</v>
      </c>
      <c r="D125" s="10"/>
      <c r="H125" s="10">
        <v>64</v>
      </c>
      <c r="I125" s="13" t="s">
        <v>734</v>
      </c>
      <c r="J125" s="13" t="s">
        <v>734</v>
      </c>
      <c r="K125" s="10">
        <v>124</v>
      </c>
      <c r="L125" s="14" t="s">
        <v>735</v>
      </c>
      <c r="M125" s="14" t="s">
        <v>736</v>
      </c>
      <c r="N125" s="15" t="s">
        <v>737</v>
      </c>
      <c r="O125" s="16" t="s">
        <v>47</v>
      </c>
      <c r="P125" s="15">
        <v>3.3</v>
      </c>
      <c r="Q125" s="15" t="s">
        <v>28</v>
      </c>
      <c r="R125" s="14" t="s">
        <v>738</v>
      </c>
      <c r="S125" s="17">
        <v>196</v>
      </c>
      <c r="T125" s="17">
        <v>98909</v>
      </c>
      <c r="U125" s="14" t="s">
        <v>739</v>
      </c>
      <c r="V125" s="14" t="s">
        <v>31</v>
      </c>
      <c r="W125" s="18" t="s">
        <v>621</v>
      </c>
      <c r="Y125" s="11" t="s">
        <v>149</v>
      </c>
    </row>
    <row r="126" spans="1:25" x14ac:dyDescent="0.2">
      <c r="A126" s="10"/>
      <c r="B126" s="10">
        <v>1</v>
      </c>
      <c r="C126" s="10">
        <v>1</v>
      </c>
      <c r="D126" s="10"/>
      <c r="H126" s="10">
        <v>62</v>
      </c>
      <c r="I126" s="13" t="s">
        <v>740</v>
      </c>
      <c r="J126" s="13" t="s">
        <v>740</v>
      </c>
      <c r="K126" s="10">
        <v>125</v>
      </c>
      <c r="L126" s="14" t="s">
        <v>741</v>
      </c>
      <c r="M126" s="14" t="s">
        <v>742</v>
      </c>
      <c r="N126" s="15" t="s">
        <v>222</v>
      </c>
      <c r="O126" s="16">
        <v>3.15</v>
      </c>
      <c r="P126" s="15">
        <v>3.3</v>
      </c>
      <c r="Q126" s="15" t="s">
        <v>535</v>
      </c>
      <c r="R126" s="14" t="s">
        <v>743</v>
      </c>
      <c r="S126" s="17" t="s">
        <v>50</v>
      </c>
      <c r="T126" s="17">
        <v>99310</v>
      </c>
      <c r="U126" s="14" t="s">
        <v>206</v>
      </c>
      <c r="V126" s="14" t="s">
        <v>74</v>
      </c>
    </row>
    <row r="127" spans="1:25" x14ac:dyDescent="0.2">
      <c r="A127" s="10"/>
      <c r="B127" s="10">
        <v>1</v>
      </c>
      <c r="C127" s="10">
        <v>1</v>
      </c>
      <c r="D127" s="10"/>
      <c r="H127" s="10">
        <v>62</v>
      </c>
      <c r="I127" s="13" t="s">
        <v>744</v>
      </c>
      <c r="J127" s="13" t="s">
        <v>744</v>
      </c>
      <c r="K127" s="10">
        <v>126</v>
      </c>
      <c r="L127" s="14" t="s">
        <v>745</v>
      </c>
      <c r="M127" s="14" t="s">
        <v>746</v>
      </c>
      <c r="N127" s="15" t="s">
        <v>747</v>
      </c>
      <c r="O127" s="16">
        <v>2.82</v>
      </c>
      <c r="P127" s="15" t="s">
        <v>47</v>
      </c>
      <c r="R127" s="14" t="s">
        <v>748</v>
      </c>
      <c r="S127" s="17" t="s">
        <v>39</v>
      </c>
      <c r="T127" s="17" t="s">
        <v>47</v>
      </c>
      <c r="U127" s="14" t="s">
        <v>114</v>
      </c>
      <c r="V127" s="14" t="s">
        <v>74</v>
      </c>
    </row>
    <row r="128" spans="1:25" x14ac:dyDescent="0.2">
      <c r="A128" s="10">
        <v>1</v>
      </c>
      <c r="B128" s="10">
        <v>1</v>
      </c>
      <c r="C128" s="10">
        <v>1</v>
      </c>
      <c r="D128" s="10"/>
      <c r="H128" s="10">
        <v>62</v>
      </c>
      <c r="I128" s="13" t="s">
        <v>749</v>
      </c>
      <c r="J128" s="13" t="s">
        <v>749</v>
      </c>
      <c r="K128" s="10">
        <v>127</v>
      </c>
      <c r="L128" s="14" t="s">
        <v>750</v>
      </c>
      <c r="M128" s="14" t="s">
        <v>751</v>
      </c>
      <c r="N128" s="15" t="s">
        <v>752</v>
      </c>
      <c r="O128" s="16">
        <v>2.8</v>
      </c>
      <c r="P128" s="15">
        <v>3</v>
      </c>
      <c r="Q128" s="18" t="s">
        <v>66</v>
      </c>
      <c r="R128" s="14" t="s">
        <v>753</v>
      </c>
      <c r="S128" s="17">
        <v>417</v>
      </c>
      <c r="T128" s="17">
        <v>99653</v>
      </c>
      <c r="U128" s="14" t="s">
        <v>754</v>
      </c>
      <c r="V128" s="14" t="s">
        <v>69</v>
      </c>
    </row>
    <row r="129" spans="1:25" x14ac:dyDescent="0.2">
      <c r="A129" s="10">
        <v>1</v>
      </c>
      <c r="B129" s="10">
        <v>1</v>
      </c>
      <c r="C129" s="10">
        <v>1</v>
      </c>
      <c r="D129" s="10"/>
      <c r="H129" s="10">
        <v>66</v>
      </c>
      <c r="I129" s="20" t="s">
        <v>755</v>
      </c>
      <c r="J129" s="20" t="s">
        <v>755</v>
      </c>
      <c r="K129" s="10">
        <v>128</v>
      </c>
      <c r="L129" s="14" t="s">
        <v>756</v>
      </c>
      <c r="M129" s="14" t="s">
        <v>757</v>
      </c>
      <c r="N129" s="15" t="s">
        <v>758</v>
      </c>
      <c r="O129" s="5">
        <v>4.42</v>
      </c>
      <c r="P129" s="4">
        <v>4</v>
      </c>
      <c r="Q129" s="15" t="s">
        <v>28</v>
      </c>
      <c r="R129" s="14" t="s">
        <v>759</v>
      </c>
      <c r="S129" s="17">
        <v>393</v>
      </c>
      <c r="T129" s="17">
        <v>99990</v>
      </c>
      <c r="U129" s="14" t="s">
        <v>40</v>
      </c>
      <c r="V129" s="14" t="s">
        <v>31</v>
      </c>
    </row>
    <row r="130" spans="1:25" x14ac:dyDescent="0.2">
      <c r="A130" s="10"/>
      <c r="B130" s="10">
        <v>1</v>
      </c>
      <c r="C130" s="10"/>
      <c r="D130" s="10"/>
      <c r="H130" s="10">
        <v>62</v>
      </c>
      <c r="I130" s="14" t="s">
        <v>760</v>
      </c>
      <c r="J130" s="14" t="s">
        <v>760</v>
      </c>
      <c r="K130" s="10">
        <v>129</v>
      </c>
      <c r="L130" s="14" t="s">
        <v>761</v>
      </c>
      <c r="M130" s="14" t="s">
        <v>762</v>
      </c>
      <c r="N130" s="15" t="s">
        <v>763</v>
      </c>
      <c r="O130" s="16">
        <v>2.59</v>
      </c>
      <c r="P130" s="15" t="s">
        <v>47</v>
      </c>
      <c r="R130" s="14" t="s">
        <v>764</v>
      </c>
      <c r="S130" s="17">
        <v>410</v>
      </c>
      <c r="T130" s="17">
        <v>100113</v>
      </c>
      <c r="U130" s="14" t="s">
        <v>765</v>
      </c>
      <c r="V130" s="14" t="s">
        <v>69</v>
      </c>
    </row>
    <row r="131" spans="1:25" x14ac:dyDescent="0.2">
      <c r="A131" s="10">
        <v>1</v>
      </c>
      <c r="B131" s="10">
        <v>1</v>
      </c>
      <c r="C131" s="10">
        <v>1</v>
      </c>
      <c r="D131" s="10"/>
      <c r="H131" s="10">
        <v>62</v>
      </c>
      <c r="I131" s="13" t="s">
        <v>766</v>
      </c>
      <c r="J131" s="13" t="s">
        <v>766</v>
      </c>
      <c r="K131" s="10">
        <v>130</v>
      </c>
      <c r="L131" s="14" t="s">
        <v>767</v>
      </c>
      <c r="M131" s="14" t="s">
        <v>768</v>
      </c>
      <c r="N131" s="15" t="s">
        <v>769</v>
      </c>
      <c r="O131" s="16">
        <v>2.81</v>
      </c>
      <c r="P131" s="15">
        <v>3.3</v>
      </c>
      <c r="Q131" s="15" t="s">
        <v>535</v>
      </c>
      <c r="R131" s="14" t="s">
        <v>770</v>
      </c>
      <c r="S131" s="17">
        <v>463</v>
      </c>
      <c r="T131" s="17">
        <v>100219</v>
      </c>
      <c r="U131" s="14" t="s">
        <v>754</v>
      </c>
      <c r="V131" s="14" t="s">
        <v>69</v>
      </c>
    </row>
    <row r="132" spans="1:25" x14ac:dyDescent="0.2">
      <c r="A132" s="10"/>
      <c r="B132" s="10">
        <v>1</v>
      </c>
      <c r="C132" s="10"/>
      <c r="D132" s="10"/>
      <c r="H132" s="10">
        <v>61</v>
      </c>
      <c r="I132" s="14" t="s">
        <v>771</v>
      </c>
      <c r="J132" s="14" t="s">
        <v>771</v>
      </c>
      <c r="K132" s="10">
        <v>131</v>
      </c>
      <c r="L132" s="14" t="s">
        <v>772</v>
      </c>
      <c r="M132" s="14" t="s">
        <v>773</v>
      </c>
      <c r="N132" s="15">
        <v>11</v>
      </c>
      <c r="O132" s="16" t="s">
        <v>47</v>
      </c>
      <c r="P132" s="15" t="s">
        <v>47</v>
      </c>
      <c r="R132" s="14" t="s">
        <v>774</v>
      </c>
      <c r="S132" s="17" t="s">
        <v>59</v>
      </c>
      <c r="T132" s="17" t="s">
        <v>47</v>
      </c>
      <c r="U132" s="14" t="s">
        <v>68</v>
      </c>
      <c r="V132" s="14" t="s">
        <v>74</v>
      </c>
      <c r="X132" s="18" t="s">
        <v>61</v>
      </c>
    </row>
    <row r="133" spans="1:25" x14ac:dyDescent="0.2">
      <c r="A133" s="10"/>
      <c r="B133" s="10">
        <v>1</v>
      </c>
      <c r="C133" s="10"/>
      <c r="D133" s="10"/>
      <c r="H133" s="10">
        <v>62</v>
      </c>
      <c r="I133" s="14" t="s">
        <v>775</v>
      </c>
      <c r="J133" s="14" t="s">
        <v>775</v>
      </c>
      <c r="K133" s="10">
        <v>132</v>
      </c>
      <c r="L133" s="14" t="s">
        <v>776</v>
      </c>
      <c r="M133" s="14" t="s">
        <v>777</v>
      </c>
      <c r="N133" s="15" t="s">
        <v>778</v>
      </c>
      <c r="O133" s="16">
        <v>3.74</v>
      </c>
      <c r="P133" s="15" t="s">
        <v>47</v>
      </c>
      <c r="S133" s="17">
        <v>430</v>
      </c>
      <c r="T133" s="17" t="s">
        <v>47</v>
      </c>
      <c r="U133" s="14" t="s">
        <v>268</v>
      </c>
      <c r="V133" s="14" t="s">
        <v>69</v>
      </c>
    </row>
    <row r="134" spans="1:25" x14ac:dyDescent="0.2">
      <c r="A134" s="10">
        <v>1</v>
      </c>
      <c r="B134" s="10">
        <v>1</v>
      </c>
      <c r="C134" s="10">
        <v>1</v>
      </c>
      <c r="D134" s="10"/>
      <c r="H134" s="10">
        <v>62</v>
      </c>
      <c r="I134" s="20" t="s">
        <v>779</v>
      </c>
      <c r="J134" s="20" t="s">
        <v>779</v>
      </c>
      <c r="K134" s="10">
        <v>133</v>
      </c>
      <c r="L134" s="14" t="s">
        <v>780</v>
      </c>
      <c r="M134" s="14" t="s">
        <v>781</v>
      </c>
      <c r="N134" s="15" t="s">
        <v>782</v>
      </c>
      <c r="O134" s="5">
        <v>4.04</v>
      </c>
      <c r="P134" s="15" t="s">
        <v>47</v>
      </c>
      <c r="R134" s="14" t="s">
        <v>783</v>
      </c>
      <c r="S134" s="17">
        <v>421</v>
      </c>
      <c r="T134" s="17">
        <v>102082</v>
      </c>
      <c r="U134" s="14" t="s">
        <v>498</v>
      </c>
      <c r="V134" s="14" t="s">
        <v>69</v>
      </c>
      <c r="Y134" s="11" t="s">
        <v>33</v>
      </c>
    </row>
    <row r="135" spans="1:25" x14ac:dyDescent="0.2">
      <c r="A135" s="10"/>
      <c r="B135" s="10"/>
      <c r="C135" s="10">
        <v>1</v>
      </c>
      <c r="D135" s="10"/>
      <c r="H135" s="10">
        <v>62</v>
      </c>
      <c r="I135" s="13" t="s">
        <v>784</v>
      </c>
      <c r="J135" s="13" t="s">
        <v>784</v>
      </c>
      <c r="K135" s="10">
        <v>134</v>
      </c>
      <c r="L135" s="14" t="s">
        <v>785</v>
      </c>
      <c r="M135" s="14" t="s">
        <v>786</v>
      </c>
      <c r="N135" s="15" t="s">
        <v>787</v>
      </c>
      <c r="O135" s="16" t="s">
        <v>47</v>
      </c>
      <c r="P135" s="15" t="s">
        <v>47</v>
      </c>
      <c r="R135" s="14" t="s">
        <v>788</v>
      </c>
      <c r="S135" s="17" t="s">
        <v>50</v>
      </c>
      <c r="T135" s="17" t="s">
        <v>47</v>
      </c>
      <c r="U135" s="14" t="s">
        <v>789</v>
      </c>
      <c r="V135" s="14" t="s">
        <v>74</v>
      </c>
    </row>
    <row r="136" spans="1:25" x14ac:dyDescent="0.2">
      <c r="A136" s="10"/>
      <c r="B136" s="10"/>
      <c r="C136" s="10">
        <v>1</v>
      </c>
      <c r="D136" s="10"/>
      <c r="H136" s="10">
        <v>64</v>
      </c>
      <c r="I136" s="13" t="s">
        <v>790</v>
      </c>
      <c r="J136" s="13" t="s">
        <v>791</v>
      </c>
      <c r="K136" s="10">
        <v>135</v>
      </c>
      <c r="L136" s="14" t="s">
        <v>792</v>
      </c>
      <c r="M136" s="14" t="s">
        <v>793</v>
      </c>
      <c r="N136" s="15" t="s">
        <v>794</v>
      </c>
      <c r="O136" s="16" t="s">
        <v>47</v>
      </c>
      <c r="P136" s="15">
        <v>1.3</v>
      </c>
      <c r="Q136" s="15" t="s">
        <v>266</v>
      </c>
      <c r="R136" s="14" t="s">
        <v>795</v>
      </c>
      <c r="S136" s="17" t="s">
        <v>50</v>
      </c>
      <c r="T136" s="17">
        <v>102706</v>
      </c>
      <c r="U136" s="14" t="s">
        <v>796</v>
      </c>
      <c r="X136" s="18" t="s">
        <v>797</v>
      </c>
      <c r="Y136" s="11" t="s">
        <v>155</v>
      </c>
    </row>
    <row r="137" spans="1:25" x14ac:dyDescent="0.2">
      <c r="A137" s="10"/>
      <c r="B137" s="10"/>
      <c r="C137" s="10">
        <v>1</v>
      </c>
      <c r="D137" s="10"/>
      <c r="H137" s="10">
        <v>75</v>
      </c>
      <c r="I137" s="13" t="s">
        <v>798</v>
      </c>
      <c r="J137" s="13" t="s">
        <v>799</v>
      </c>
      <c r="K137" s="10">
        <v>136</v>
      </c>
      <c r="L137" s="14" t="s">
        <v>800</v>
      </c>
      <c r="M137" s="14" t="s">
        <v>801</v>
      </c>
      <c r="N137" s="15" t="s">
        <v>802</v>
      </c>
      <c r="O137" s="16" t="s">
        <v>47</v>
      </c>
      <c r="P137" s="15">
        <v>1.1000000000000001</v>
      </c>
      <c r="Q137" s="15" t="s">
        <v>535</v>
      </c>
      <c r="R137" s="14" t="s">
        <v>803</v>
      </c>
      <c r="S137" s="17" t="s">
        <v>50</v>
      </c>
      <c r="T137" s="17">
        <v>104486</v>
      </c>
      <c r="U137" s="14" t="s">
        <v>804</v>
      </c>
      <c r="X137" s="18" t="s">
        <v>797</v>
      </c>
    </row>
    <row r="138" spans="1:25" x14ac:dyDescent="0.2">
      <c r="A138" s="10">
        <v>1</v>
      </c>
      <c r="B138" s="10">
        <v>1</v>
      </c>
      <c r="C138" s="10">
        <v>1</v>
      </c>
      <c r="D138" s="10"/>
      <c r="H138" s="10">
        <v>71</v>
      </c>
      <c r="I138" s="20" t="s">
        <v>805</v>
      </c>
      <c r="J138" s="20" t="s">
        <v>805</v>
      </c>
      <c r="K138" s="10">
        <v>137</v>
      </c>
      <c r="L138" s="14" t="s">
        <v>806</v>
      </c>
      <c r="M138" s="14" t="s">
        <v>807</v>
      </c>
      <c r="N138" s="15" t="s">
        <v>808</v>
      </c>
      <c r="O138" s="5">
        <v>4.45</v>
      </c>
      <c r="P138" s="15" t="s">
        <v>47</v>
      </c>
      <c r="R138" s="14" t="s">
        <v>809</v>
      </c>
      <c r="S138" s="17">
        <v>487</v>
      </c>
      <c r="T138" s="17">
        <v>106583</v>
      </c>
      <c r="U138" s="14" t="s">
        <v>810</v>
      </c>
      <c r="V138" s="14" t="s">
        <v>69</v>
      </c>
    </row>
    <row r="139" spans="1:25" x14ac:dyDescent="0.2">
      <c r="A139" s="10">
        <v>1</v>
      </c>
      <c r="B139" s="10">
        <v>1</v>
      </c>
      <c r="C139" s="10">
        <v>1</v>
      </c>
      <c r="D139" s="10"/>
      <c r="H139" s="10">
        <v>73</v>
      </c>
      <c r="I139" s="13" t="s">
        <v>811</v>
      </c>
      <c r="J139" s="13" t="s">
        <v>811</v>
      </c>
      <c r="K139" s="10">
        <v>138</v>
      </c>
      <c r="L139" s="14" t="s">
        <v>812</v>
      </c>
      <c r="M139" s="14" t="s">
        <v>813</v>
      </c>
      <c r="N139" s="15" t="s">
        <v>814</v>
      </c>
      <c r="O139" s="16">
        <v>2.75</v>
      </c>
      <c r="P139" s="15">
        <v>2.5</v>
      </c>
      <c r="Q139" s="15" t="s">
        <v>535</v>
      </c>
      <c r="R139" s="14" t="s">
        <v>815</v>
      </c>
      <c r="S139" s="17">
        <v>180</v>
      </c>
      <c r="T139" s="17">
        <v>107129</v>
      </c>
      <c r="U139" s="14" t="s">
        <v>40</v>
      </c>
      <c r="V139" s="14" t="s">
        <v>31</v>
      </c>
    </row>
    <row r="140" spans="1:25" x14ac:dyDescent="0.2">
      <c r="A140" s="10">
        <v>1</v>
      </c>
      <c r="B140" s="10">
        <v>1</v>
      </c>
      <c r="C140" s="10">
        <v>1</v>
      </c>
      <c r="D140" s="10"/>
      <c r="H140" s="10">
        <v>73</v>
      </c>
      <c r="I140" s="20" t="s">
        <v>816</v>
      </c>
      <c r="J140" s="20" t="s">
        <v>816</v>
      </c>
      <c r="K140" s="10">
        <v>139</v>
      </c>
      <c r="L140" s="14" t="s">
        <v>817</v>
      </c>
      <c r="M140" s="14" t="s">
        <v>818</v>
      </c>
      <c r="N140" s="15" t="s">
        <v>819</v>
      </c>
      <c r="O140" s="5">
        <v>4.5199999999999996</v>
      </c>
      <c r="P140" s="15" t="s">
        <v>47</v>
      </c>
      <c r="R140" s="14" t="s">
        <v>820</v>
      </c>
      <c r="S140" s="17">
        <v>263</v>
      </c>
      <c r="T140" s="17">
        <v>107242</v>
      </c>
      <c r="U140" s="14" t="s">
        <v>418</v>
      </c>
      <c r="V140" s="14" t="s">
        <v>31</v>
      </c>
      <c r="Y140" s="11" t="s">
        <v>33</v>
      </c>
    </row>
    <row r="141" spans="1:25" x14ac:dyDescent="0.2">
      <c r="A141" s="10"/>
      <c r="B141" s="10"/>
      <c r="C141" s="10"/>
      <c r="D141" s="10" t="s">
        <v>524</v>
      </c>
      <c r="H141" s="10">
        <v>73</v>
      </c>
      <c r="I141" s="3" t="s">
        <v>821</v>
      </c>
      <c r="J141" s="3" t="s">
        <v>821</v>
      </c>
      <c r="K141" s="10">
        <v>140</v>
      </c>
      <c r="L141" s="14" t="s">
        <v>822</v>
      </c>
      <c r="M141" s="14" t="s">
        <v>823</v>
      </c>
      <c r="N141" s="15">
        <v>9.8000000000000007</v>
      </c>
      <c r="O141" s="16" t="s">
        <v>47</v>
      </c>
      <c r="P141" s="4">
        <v>4.2</v>
      </c>
      <c r="Q141" s="18" t="s">
        <v>66</v>
      </c>
      <c r="R141" s="14" t="s">
        <v>824</v>
      </c>
      <c r="S141" s="17" t="s">
        <v>59</v>
      </c>
      <c r="T141" s="17">
        <v>108205</v>
      </c>
      <c r="U141" s="14" t="s">
        <v>825</v>
      </c>
      <c r="V141" s="14" t="s">
        <v>31</v>
      </c>
      <c r="W141" s="19"/>
    </row>
    <row r="142" spans="1:25" x14ac:dyDescent="0.2">
      <c r="A142" s="10"/>
      <c r="B142" s="10">
        <v>1</v>
      </c>
      <c r="C142" s="10">
        <v>1</v>
      </c>
      <c r="D142" s="10"/>
      <c r="H142" s="10">
        <v>75</v>
      </c>
      <c r="I142" s="13" t="s">
        <v>826</v>
      </c>
      <c r="J142" s="13" t="s">
        <v>826</v>
      </c>
      <c r="K142" s="10">
        <v>141</v>
      </c>
      <c r="L142" s="14" t="s">
        <v>827</v>
      </c>
      <c r="M142" s="14" t="s">
        <v>828</v>
      </c>
      <c r="N142" s="15" t="s">
        <v>829</v>
      </c>
      <c r="O142" s="16">
        <v>3.18</v>
      </c>
      <c r="P142" s="15" t="s">
        <v>47</v>
      </c>
      <c r="R142" s="14" t="s">
        <v>830</v>
      </c>
      <c r="S142" s="17">
        <v>629</v>
      </c>
      <c r="T142" s="17" t="s">
        <v>47</v>
      </c>
      <c r="U142" s="14" t="s">
        <v>831</v>
      </c>
      <c r="V142" s="14" t="s">
        <v>31</v>
      </c>
      <c r="W142" s="18" t="s">
        <v>832</v>
      </c>
    </row>
    <row r="143" spans="1:25" x14ac:dyDescent="0.2">
      <c r="A143" s="10">
        <v>1</v>
      </c>
      <c r="B143" s="10">
        <v>1</v>
      </c>
      <c r="C143" s="10">
        <v>1</v>
      </c>
      <c r="D143" s="10"/>
      <c r="H143" s="10">
        <v>75</v>
      </c>
      <c r="I143" s="13" t="s">
        <v>833</v>
      </c>
      <c r="J143" s="13" t="s">
        <v>833</v>
      </c>
      <c r="K143" s="10">
        <v>142</v>
      </c>
      <c r="L143" s="14" t="s">
        <v>834</v>
      </c>
      <c r="M143" s="14" t="s">
        <v>835</v>
      </c>
      <c r="N143" s="15" t="s">
        <v>836</v>
      </c>
      <c r="O143" s="16">
        <v>2.65</v>
      </c>
      <c r="P143" s="4">
        <v>3.9</v>
      </c>
      <c r="Q143" s="15" t="s">
        <v>658</v>
      </c>
      <c r="R143" s="14" t="s">
        <v>837</v>
      </c>
      <c r="S143" s="17">
        <v>439</v>
      </c>
      <c r="T143" s="17">
        <v>109089</v>
      </c>
      <c r="U143" s="14" t="s">
        <v>838</v>
      </c>
      <c r="V143" s="14" t="s">
        <v>69</v>
      </c>
    </row>
    <row r="144" spans="1:25" x14ac:dyDescent="0.2">
      <c r="A144" s="10"/>
      <c r="B144" s="10">
        <v>1</v>
      </c>
      <c r="C144" s="10"/>
      <c r="D144" s="10"/>
      <c r="H144" s="10">
        <v>71</v>
      </c>
      <c r="I144" s="14" t="s">
        <v>839</v>
      </c>
      <c r="J144" s="14" t="s">
        <v>839</v>
      </c>
      <c r="K144" s="10">
        <v>143</v>
      </c>
      <c r="L144" s="14" t="s">
        <v>840</v>
      </c>
      <c r="M144" s="14" t="s">
        <v>841</v>
      </c>
      <c r="N144" s="15">
        <v>8.3000000000000007</v>
      </c>
      <c r="O144" s="16">
        <v>3.17</v>
      </c>
      <c r="P144" s="15">
        <v>2.7</v>
      </c>
      <c r="Q144" s="15" t="s">
        <v>266</v>
      </c>
      <c r="R144" s="14" t="s">
        <v>842</v>
      </c>
      <c r="S144" s="17" t="s">
        <v>59</v>
      </c>
      <c r="T144" s="17">
        <v>112254</v>
      </c>
      <c r="U144" s="14" t="s">
        <v>40</v>
      </c>
      <c r="V144" s="14" t="s">
        <v>74</v>
      </c>
      <c r="X144" s="18" t="s">
        <v>75</v>
      </c>
    </row>
    <row r="145" spans="1:24" x14ac:dyDescent="0.2">
      <c r="A145" s="10"/>
      <c r="B145" s="10">
        <v>1</v>
      </c>
      <c r="C145" s="10"/>
      <c r="D145" s="10"/>
      <c r="H145" s="10">
        <v>72</v>
      </c>
      <c r="I145" s="14" t="s">
        <v>843</v>
      </c>
      <c r="J145" s="14" t="s">
        <v>843</v>
      </c>
      <c r="K145" s="10">
        <v>144</v>
      </c>
      <c r="L145" s="14" t="s">
        <v>844</v>
      </c>
      <c r="M145" s="14" t="s">
        <v>845</v>
      </c>
      <c r="N145" s="15">
        <v>9.4</v>
      </c>
      <c r="O145" s="16">
        <v>2.94</v>
      </c>
      <c r="P145" s="15" t="s">
        <v>47</v>
      </c>
      <c r="R145" s="14" t="s">
        <v>846</v>
      </c>
      <c r="S145" s="17" t="s">
        <v>59</v>
      </c>
      <c r="T145" s="17">
        <v>113260</v>
      </c>
      <c r="U145" s="14" t="s">
        <v>142</v>
      </c>
      <c r="V145" s="14" t="s">
        <v>74</v>
      </c>
      <c r="X145" s="18" t="s">
        <v>61</v>
      </c>
    </row>
    <row r="146" spans="1:24" x14ac:dyDescent="0.2">
      <c r="A146" s="10"/>
      <c r="B146" s="10">
        <v>1</v>
      </c>
      <c r="C146" s="10"/>
      <c r="D146" s="10"/>
      <c r="H146" s="10">
        <v>72</v>
      </c>
      <c r="I146" s="3" t="s">
        <v>847</v>
      </c>
      <c r="J146" s="3" t="s">
        <v>847</v>
      </c>
      <c r="K146" s="10">
        <v>145</v>
      </c>
      <c r="L146" s="14" t="s">
        <v>848</v>
      </c>
      <c r="M146" s="14" t="s">
        <v>849</v>
      </c>
      <c r="N146" s="15" t="s">
        <v>850</v>
      </c>
      <c r="O146" s="5">
        <v>3.81</v>
      </c>
      <c r="P146" s="15" t="s">
        <v>47</v>
      </c>
      <c r="S146" s="17">
        <v>149</v>
      </c>
      <c r="T146" s="17" t="s">
        <v>851</v>
      </c>
      <c r="U146" s="14" t="s">
        <v>831</v>
      </c>
      <c r="V146" s="14" t="s">
        <v>31</v>
      </c>
      <c r="W146" s="18" t="s">
        <v>115</v>
      </c>
    </row>
    <row r="147" spans="1:24" x14ac:dyDescent="0.2">
      <c r="A147" s="10"/>
      <c r="B147" s="10"/>
      <c r="C147" s="10">
        <v>1</v>
      </c>
      <c r="D147" s="10"/>
      <c r="H147" s="10">
        <v>76</v>
      </c>
      <c r="I147" s="13" t="s">
        <v>852</v>
      </c>
      <c r="J147" s="13" t="s">
        <v>852</v>
      </c>
      <c r="K147" s="10">
        <v>146</v>
      </c>
      <c r="L147" s="14" t="s">
        <v>853</v>
      </c>
      <c r="M147" s="14" t="s">
        <v>854</v>
      </c>
      <c r="N147" s="15" t="s">
        <v>855</v>
      </c>
      <c r="O147" s="16" t="s">
        <v>47</v>
      </c>
      <c r="P147" s="15">
        <v>1.6</v>
      </c>
      <c r="Q147" s="15" t="s">
        <v>88</v>
      </c>
      <c r="R147" s="14" t="s">
        <v>856</v>
      </c>
      <c r="S147" s="17">
        <v>69</v>
      </c>
      <c r="T147" s="17">
        <v>115553</v>
      </c>
      <c r="U147" s="14" t="s">
        <v>857</v>
      </c>
      <c r="V147" s="14" t="s">
        <v>31</v>
      </c>
      <c r="X147" s="18" t="s">
        <v>858</v>
      </c>
    </row>
    <row r="148" spans="1:24" x14ac:dyDescent="0.2">
      <c r="A148" s="10"/>
      <c r="B148" s="10">
        <v>1</v>
      </c>
      <c r="C148" s="10"/>
      <c r="D148" s="10"/>
      <c r="H148" s="10">
        <v>72</v>
      </c>
      <c r="I148" s="14" t="s">
        <v>859</v>
      </c>
      <c r="J148" s="14" t="s">
        <v>859</v>
      </c>
      <c r="K148" s="10">
        <v>147</v>
      </c>
      <c r="L148" s="14" t="s">
        <v>860</v>
      </c>
      <c r="M148" s="14" t="s">
        <v>861</v>
      </c>
      <c r="N148" s="15">
        <v>9</v>
      </c>
      <c r="O148" s="16">
        <v>3.33</v>
      </c>
      <c r="P148" s="15" t="s">
        <v>47</v>
      </c>
      <c r="R148" s="14" t="s">
        <v>862</v>
      </c>
      <c r="S148" s="17" t="s">
        <v>59</v>
      </c>
      <c r="T148" s="17">
        <v>115743</v>
      </c>
      <c r="U148" s="14" t="s">
        <v>261</v>
      </c>
      <c r="V148" s="14" t="s">
        <v>74</v>
      </c>
      <c r="X148" s="18" t="s">
        <v>61</v>
      </c>
    </row>
    <row r="149" spans="1:24" x14ac:dyDescent="0.2">
      <c r="A149" s="10"/>
      <c r="B149" s="10">
        <v>1</v>
      </c>
      <c r="C149" s="10">
        <v>1</v>
      </c>
      <c r="D149" s="10"/>
      <c r="H149" s="10">
        <v>72</v>
      </c>
      <c r="I149" s="13" t="s">
        <v>863</v>
      </c>
      <c r="J149" s="13" t="s">
        <v>863</v>
      </c>
      <c r="K149" s="10">
        <v>148</v>
      </c>
      <c r="L149" s="14" t="s">
        <v>864</v>
      </c>
      <c r="M149" s="14" t="s">
        <v>865</v>
      </c>
      <c r="N149" s="15" t="s">
        <v>866</v>
      </c>
      <c r="O149" s="16">
        <v>3.53</v>
      </c>
      <c r="P149" s="15" t="s">
        <v>47</v>
      </c>
      <c r="R149" s="14" t="s">
        <v>867</v>
      </c>
      <c r="S149" s="17">
        <v>328</v>
      </c>
      <c r="T149" s="17">
        <v>116681</v>
      </c>
      <c r="U149" s="14" t="s">
        <v>868</v>
      </c>
      <c r="V149" s="14" t="s">
        <v>31</v>
      </c>
    </row>
    <row r="150" spans="1:24" x14ac:dyDescent="0.2">
      <c r="A150" s="10">
        <v>1</v>
      </c>
      <c r="B150" s="10">
        <v>1</v>
      </c>
      <c r="C150" s="10">
        <v>1</v>
      </c>
      <c r="D150" s="10"/>
      <c r="H150" s="10">
        <v>74</v>
      </c>
      <c r="I150" s="13" t="s">
        <v>869</v>
      </c>
      <c r="J150" s="13" t="s">
        <v>869</v>
      </c>
      <c r="K150" s="10">
        <v>149</v>
      </c>
      <c r="L150" s="14" t="s">
        <v>870</v>
      </c>
      <c r="M150" s="14" t="s">
        <v>871</v>
      </c>
      <c r="N150" s="15" t="s">
        <v>872</v>
      </c>
      <c r="O150" s="16">
        <v>2.78</v>
      </c>
      <c r="P150" s="15">
        <v>2.5</v>
      </c>
      <c r="Q150" s="18" t="s">
        <v>66</v>
      </c>
      <c r="R150" s="14" t="s">
        <v>873</v>
      </c>
      <c r="S150" s="17" t="s">
        <v>39</v>
      </c>
      <c r="T150" s="17">
        <v>117245</v>
      </c>
      <c r="U150" s="14" t="s">
        <v>102</v>
      </c>
      <c r="V150" s="14" t="s">
        <v>644</v>
      </c>
      <c r="W150" s="18" t="s">
        <v>874</v>
      </c>
    </row>
    <row r="151" spans="1:24" x14ac:dyDescent="0.2">
      <c r="A151" s="10"/>
      <c r="B151" s="10"/>
      <c r="C151" s="10">
        <v>1</v>
      </c>
      <c r="D151" s="10"/>
      <c r="H151" s="10">
        <v>74</v>
      </c>
      <c r="I151" s="13" t="s">
        <v>875</v>
      </c>
      <c r="J151" s="13" t="s">
        <v>876</v>
      </c>
      <c r="K151" s="10">
        <v>150</v>
      </c>
      <c r="L151" s="14" t="s">
        <v>877</v>
      </c>
      <c r="M151" s="14" t="s">
        <v>878</v>
      </c>
      <c r="N151" s="15" t="s">
        <v>879</v>
      </c>
      <c r="O151" s="16" t="s">
        <v>47</v>
      </c>
      <c r="P151" s="15">
        <v>1.4</v>
      </c>
      <c r="Q151" s="15" t="s">
        <v>266</v>
      </c>
      <c r="R151" s="14" t="s">
        <v>880</v>
      </c>
      <c r="S151" s="17" t="s">
        <v>50</v>
      </c>
      <c r="T151" s="17">
        <v>117467</v>
      </c>
      <c r="U151" s="14" t="s">
        <v>881</v>
      </c>
    </row>
    <row r="155" spans="1:24" x14ac:dyDescent="0.2">
      <c r="D155" s="24"/>
    </row>
    <row r="156" spans="1:24" x14ac:dyDescent="0.2">
      <c r="D156" s="24"/>
    </row>
    <row r="157" spans="1:24" x14ac:dyDescent="0.2">
      <c r="D157" s="24"/>
    </row>
  </sheetData>
  <sheetProtection selectLockedCells="1" selectUnlockedCells="1"/>
  <autoFilter ref="T1:T157"/>
  <phoneticPr fontId="3" type="noConversion"/>
  <printOptions gridLines="1"/>
  <pageMargins left="0.19652777777777777" right="0.19652777777777777" top="0.46180555555555558" bottom="0.43402777777777779" header="0.19652777777777777" footer="0.19652777777777777"/>
  <pageSetup fitToHeight="5" orientation="portrait" useFirstPageNumber="1" horizontalDpi="300" verticalDpi="300" r:id="rId1"/>
  <headerFooter alignWithMargins="0">
    <oddHeader>&amp;C&amp;"Arial,Bold"&amp;12Carbon Star Hunter List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s="26" t="s">
        <v>1036</v>
      </c>
    </row>
  </sheetData>
  <phoneticPr fontId="3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映射表</vt:lpstr>
      <vt:lpstr>原表</vt:lpstr>
      <vt:lpstr>参考</vt:lpstr>
      <vt:lpstr>__Anonymous_Sheet_DB__1</vt:lpstr>
      <vt:lpstr>原表!Print_Area</vt:lpstr>
      <vt:lpstr>原表!Print_Titles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喻园</dc:creator>
  <cp:lastModifiedBy>喻园</cp:lastModifiedBy>
  <dcterms:created xsi:type="dcterms:W3CDTF">2020-05-08T10:06:49Z</dcterms:created>
  <dcterms:modified xsi:type="dcterms:W3CDTF">2020-05-08T13:57:34Z</dcterms:modified>
</cp:coreProperties>
</file>