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tro\data\DeepSkyCatalogs\Format\Classific\Red Star and Carbon Star\"/>
    </mc:Choice>
  </mc:AlternateContent>
  <bookViews>
    <workbookView xWindow="0" yWindow="0" windowWidth="16815" windowHeight="7560" tabRatio="395" activeTab="4"/>
  </bookViews>
  <sheets>
    <sheet name="Sheet1" sheetId="1" r:id="rId1"/>
    <sheet name="Sheet2" sheetId="2" r:id="rId2"/>
    <sheet name="SIMBAD" sheetId="3" r:id="rId3"/>
    <sheet name="WORK" sheetId="4" r:id="rId4"/>
    <sheet name="Format" sheetId="5" r:id="rId5"/>
  </sheets>
  <definedNames>
    <definedName name="__Anonymous_Sheet_DB__1" localSheetId="3">WORK!$B$1:$V$151</definedName>
    <definedName name="__Anonymous_Sheet_DB__1">Sheet1!$A$1:$Y$151</definedName>
    <definedName name="_xlnm._FilterDatabase" localSheetId="0" hidden="1">Sheet1!$T$1:$T$157</definedName>
    <definedName name="_xlnm._FilterDatabase" localSheetId="3" hidden="1">WORK!$F$1:$F$151</definedName>
    <definedName name="_xlnm.Print_Area" localSheetId="0">Sheet1!$E:$R</definedName>
    <definedName name="_xlnm.Print_Area" localSheetId="3">WORK!$B:$S</definedName>
    <definedName name="_xlnm.Print_Titles" localSheetId="0">Sheet1!$1:$1</definedName>
    <definedName name="_xlnm.Print_Titles" localSheetId="3">WORK!$1:$1</definedName>
  </definedNames>
  <calcPr calcId="162913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D85" i="4" l="1"/>
  <c r="D149" i="4"/>
  <c r="D49" i="4"/>
  <c r="D29" i="4"/>
  <c r="D70" i="4"/>
  <c r="D138" i="4"/>
  <c r="D11" i="4"/>
  <c r="D92" i="4"/>
  <c r="D31" i="4"/>
  <c r="D130" i="4"/>
  <c r="D39" i="4"/>
  <c r="D116" i="4"/>
  <c r="D79" i="4"/>
  <c r="D84" i="4"/>
  <c r="D88" i="4"/>
  <c r="D77" i="4"/>
  <c r="D47" i="4"/>
  <c r="D52" i="4"/>
  <c r="D111" i="4"/>
  <c r="D56" i="4"/>
  <c r="D81" i="4"/>
  <c r="D74" i="4"/>
  <c r="D73" i="4"/>
  <c r="D40" i="4"/>
  <c r="D127" i="4"/>
  <c r="D10" i="4"/>
  <c r="D113" i="4"/>
  <c r="D119" i="4"/>
  <c r="D26" i="4"/>
  <c r="D114" i="4"/>
  <c r="D76" i="4"/>
  <c r="D93" i="4"/>
  <c r="D21" i="4"/>
  <c r="D7" i="4"/>
  <c r="D105" i="4"/>
  <c r="D1" i="4"/>
  <c r="D96" i="4"/>
  <c r="D99" i="4"/>
  <c r="D100" i="4"/>
  <c r="D128" i="4"/>
  <c r="D124" i="4"/>
  <c r="D120" i="4"/>
  <c r="D60" i="4"/>
  <c r="D102" i="4"/>
  <c r="D53" i="4"/>
  <c r="D63" i="4"/>
  <c r="D69" i="4"/>
  <c r="D83" i="4"/>
  <c r="D54" i="4"/>
  <c r="D117" i="4"/>
  <c r="D139" i="4"/>
  <c r="D118" i="4"/>
  <c r="D24" i="4"/>
  <c r="D103" i="4"/>
  <c r="D95" i="4"/>
  <c r="D57" i="4"/>
  <c r="D18" i="4"/>
  <c r="D98" i="4"/>
  <c r="D17" i="4"/>
  <c r="D137" i="4"/>
  <c r="D43" i="4"/>
  <c r="D61" i="4"/>
  <c r="D37" i="4"/>
  <c r="D34" i="4"/>
  <c r="D91" i="4"/>
  <c r="D107" i="4"/>
  <c r="D14" i="4"/>
  <c r="D55" i="4"/>
  <c r="D75" i="4"/>
  <c r="D4" i="4"/>
  <c r="D23" i="4"/>
  <c r="D25" i="4"/>
  <c r="D71" i="4"/>
  <c r="D142" i="4"/>
  <c r="D133" i="4"/>
  <c r="D148" i="4"/>
  <c r="D141" i="4"/>
  <c r="D27" i="4"/>
  <c r="D38" i="4"/>
  <c r="D5" i="4"/>
  <c r="D108" i="4"/>
  <c r="D94" i="4"/>
  <c r="D9" i="4"/>
  <c r="D134" i="4"/>
  <c r="D86" i="4"/>
  <c r="D121" i="4"/>
  <c r="D135" i="4"/>
  <c r="D97" i="4"/>
  <c r="D112" i="4"/>
  <c r="D36" i="4"/>
  <c r="D2" i="4"/>
  <c r="D80" i="4"/>
  <c r="D64" i="4"/>
  <c r="D19" i="4"/>
  <c r="D50" i="4"/>
  <c r="D51" i="4"/>
  <c r="D59" i="4"/>
  <c r="D136" i="4"/>
  <c r="D65" i="4"/>
  <c r="D101" i="4"/>
  <c r="D35" i="4"/>
  <c r="D15" i="4"/>
  <c r="D3" i="4"/>
  <c r="D115" i="4"/>
  <c r="D66" i="4"/>
  <c r="D58" i="4"/>
  <c r="D41" i="4"/>
  <c r="D143" i="4"/>
  <c r="D33" i="4"/>
  <c r="D13" i="4"/>
  <c r="D8" i="4"/>
  <c r="D87" i="4"/>
  <c r="D20" i="4"/>
  <c r="D48" i="4"/>
  <c r="D122" i="4"/>
  <c r="D123" i="4"/>
  <c r="D46" i="4"/>
  <c r="D30" i="4"/>
  <c r="D45" i="4"/>
  <c r="D125" i="4"/>
  <c r="D32" i="4"/>
  <c r="D68" i="4"/>
  <c r="D126" i="4"/>
  <c r="D104" i="4"/>
  <c r="D146" i="4"/>
  <c r="D150" i="4"/>
  <c r="D90" i="4"/>
  <c r="D72" i="4"/>
  <c r="D109" i="4"/>
  <c r="D62" i="4"/>
  <c r="D28" i="4"/>
  <c r="D129" i="4"/>
  <c r="D67" i="4"/>
  <c r="D106" i="4"/>
  <c r="D147" i="4"/>
  <c r="D12" i="4"/>
  <c r="D42" i="4"/>
  <c r="D89" i="4"/>
  <c r="D132" i="4"/>
  <c r="D82" i="4"/>
  <c r="D144" i="4"/>
  <c r="D110" i="4"/>
  <c r="D44" i="4"/>
  <c r="D6" i="4"/>
  <c r="D145" i="4"/>
  <c r="D22" i="4"/>
  <c r="D140" i="4"/>
  <c r="D16" i="4"/>
  <c r="D131" i="4"/>
  <c r="D78" i="4"/>
  <c r="E78" i="4"/>
  <c r="E85" i="4"/>
  <c r="E149" i="4"/>
  <c r="E49" i="4"/>
  <c r="E29" i="4"/>
  <c r="E70" i="4"/>
  <c r="E138" i="4"/>
  <c r="E11" i="4"/>
  <c r="E92" i="4"/>
  <c r="E31" i="4"/>
  <c r="E130" i="4"/>
  <c r="E39" i="4"/>
  <c r="E116" i="4"/>
  <c r="E79" i="4"/>
  <c r="E84" i="4"/>
  <c r="E88" i="4"/>
  <c r="E77" i="4"/>
  <c r="E47" i="4"/>
  <c r="E52" i="4"/>
  <c r="E111" i="4"/>
  <c r="E56" i="4"/>
  <c r="E81" i="4"/>
  <c r="E74" i="4"/>
  <c r="E73" i="4"/>
  <c r="E40" i="4"/>
  <c r="E127" i="4"/>
  <c r="E10" i="4"/>
  <c r="E113" i="4"/>
  <c r="E119" i="4"/>
  <c r="E26" i="4"/>
  <c r="E114" i="4"/>
  <c r="E76" i="4"/>
  <c r="E93" i="4"/>
  <c r="E21" i="4"/>
  <c r="E7" i="4"/>
  <c r="E105" i="4"/>
  <c r="E1" i="4"/>
  <c r="E96" i="4"/>
  <c r="E99" i="4"/>
  <c r="E100" i="4"/>
  <c r="E128" i="4"/>
  <c r="E124" i="4"/>
  <c r="E120" i="4"/>
  <c r="E60" i="4"/>
  <c r="E102" i="4"/>
  <c r="E53" i="4"/>
  <c r="E63" i="4"/>
  <c r="E69" i="4"/>
  <c r="E83" i="4"/>
  <c r="E54" i="4"/>
  <c r="E117" i="4"/>
  <c r="E139" i="4"/>
  <c r="E118" i="4"/>
  <c r="F118" i="4" s="1"/>
  <c r="E24" i="4"/>
  <c r="E103" i="4"/>
  <c r="E95" i="4"/>
  <c r="E57" i="4"/>
  <c r="E18" i="4"/>
  <c r="E98" i="4"/>
  <c r="E17" i="4"/>
  <c r="E137" i="4"/>
  <c r="F137" i="4" s="1"/>
  <c r="E43" i="4"/>
  <c r="E61" i="4"/>
  <c r="E37" i="4"/>
  <c r="E34" i="4"/>
  <c r="E91" i="4"/>
  <c r="E107" i="4"/>
  <c r="E14" i="4"/>
  <c r="E55" i="4"/>
  <c r="E75" i="4"/>
  <c r="E4" i="4"/>
  <c r="E23" i="4"/>
  <c r="E25" i="4"/>
  <c r="E71" i="4"/>
  <c r="E142" i="4"/>
  <c r="E133" i="4"/>
  <c r="E148" i="4"/>
  <c r="F148" i="4" s="1"/>
  <c r="E141" i="4"/>
  <c r="E27" i="4"/>
  <c r="E38" i="4"/>
  <c r="E5" i="4"/>
  <c r="E108" i="4"/>
  <c r="E94" i="4"/>
  <c r="E9" i="4"/>
  <c r="E134" i="4"/>
  <c r="F134" i="4" s="1"/>
  <c r="E86" i="4"/>
  <c r="E121" i="4"/>
  <c r="E135" i="4"/>
  <c r="E97" i="4"/>
  <c r="E112" i="4"/>
  <c r="E36" i="4"/>
  <c r="E2" i="4"/>
  <c r="E80" i="4"/>
  <c r="E64" i="4"/>
  <c r="E19" i="4"/>
  <c r="E50" i="4"/>
  <c r="E51" i="4"/>
  <c r="F51" i="4" s="1"/>
  <c r="E59" i="4"/>
  <c r="E136" i="4"/>
  <c r="E65" i="4"/>
  <c r="E101" i="4"/>
  <c r="F101" i="4" s="1"/>
  <c r="E35" i="4"/>
  <c r="E15" i="4"/>
  <c r="E3" i="4"/>
  <c r="E115" i="4"/>
  <c r="F115" i="4" s="1"/>
  <c r="E66" i="4"/>
  <c r="E58" i="4"/>
  <c r="E41" i="4"/>
  <c r="E143" i="4"/>
  <c r="E33" i="4"/>
  <c r="E13" i="4"/>
  <c r="E8" i="4"/>
  <c r="E87" i="4"/>
  <c r="E20" i="4"/>
  <c r="E48" i="4"/>
  <c r="E122" i="4"/>
  <c r="E123" i="4"/>
  <c r="E46" i="4"/>
  <c r="E30" i="4"/>
  <c r="E45" i="4"/>
  <c r="E125" i="4"/>
  <c r="E32" i="4"/>
  <c r="E68" i="4"/>
  <c r="E126" i="4"/>
  <c r="E104" i="4"/>
  <c r="F104" i="4" s="1"/>
  <c r="E146" i="4"/>
  <c r="E150" i="4"/>
  <c r="E90" i="4"/>
  <c r="E72" i="4"/>
  <c r="E109" i="4"/>
  <c r="E62" i="4"/>
  <c r="E28" i="4"/>
  <c r="E129" i="4"/>
  <c r="F129" i="4" s="1"/>
  <c r="E67" i="4"/>
  <c r="E106" i="4"/>
  <c r="E147" i="4"/>
  <c r="E12" i="4"/>
  <c r="F12" i="4" s="1"/>
  <c r="E42" i="4"/>
  <c r="E89" i="4"/>
  <c r="E132" i="4"/>
  <c r="E82" i="4"/>
  <c r="E144" i="4"/>
  <c r="E110" i="4"/>
  <c r="E44" i="4"/>
  <c r="E6" i="4"/>
  <c r="F6" i="4" s="1"/>
  <c r="E145" i="4"/>
  <c r="E22" i="4"/>
  <c r="E140" i="4"/>
  <c r="E16" i="4"/>
  <c r="F16" i="4" s="1"/>
  <c r="E131" i="4"/>
  <c r="G17" i="4"/>
  <c r="J17" i="4" s="1"/>
  <c r="G115" i="4"/>
  <c r="J115" i="4" s="1"/>
  <c r="G123" i="4"/>
  <c r="J123" i="4" s="1"/>
  <c r="G131" i="4"/>
  <c r="J131" i="4" s="1"/>
  <c r="G134" i="4"/>
  <c r="J134" i="4" s="1"/>
  <c r="G87" i="4"/>
  <c r="J87" i="4" s="1"/>
  <c r="G103" i="4"/>
  <c r="J103" i="4" s="1"/>
  <c r="G29" i="4"/>
  <c r="J29" i="4" s="1"/>
  <c r="G81" i="4"/>
  <c r="J81" i="4" s="1"/>
  <c r="G107" i="4"/>
  <c r="J107" i="4" s="1"/>
  <c r="G14" i="4"/>
  <c r="J14" i="4" s="1"/>
  <c r="G71" i="4"/>
  <c r="J71" i="4" s="1"/>
  <c r="G139" i="4"/>
  <c r="J139" i="4" s="1"/>
  <c r="G86" i="4"/>
  <c r="J86" i="4" s="1"/>
  <c r="G97" i="4"/>
  <c r="J97" i="4" s="1"/>
  <c r="G137" i="4"/>
  <c r="J137" i="4" s="1"/>
  <c r="G5" i="4"/>
  <c r="J5" i="4" s="1"/>
  <c r="G93" i="4"/>
  <c r="J93" i="4" s="1"/>
  <c r="G96" i="4"/>
  <c r="J96" i="4" s="1"/>
  <c r="G21" i="4"/>
  <c r="J21" i="4" s="1"/>
  <c r="G74" i="4"/>
  <c r="J74" i="4" s="1"/>
  <c r="G99" i="4"/>
  <c r="J99" i="4" s="1"/>
  <c r="G20" i="4"/>
  <c r="J20" i="4" s="1"/>
  <c r="G84" i="4"/>
  <c r="J84" i="4" s="1"/>
  <c r="G113" i="4"/>
  <c r="J113" i="4" s="1"/>
  <c r="G140" i="4"/>
  <c r="J140" i="4" s="1"/>
  <c r="G66" i="4"/>
  <c r="J66" i="4" s="1"/>
  <c r="G133" i="4"/>
  <c r="J133" i="4" s="1"/>
  <c r="G11" i="4"/>
  <c r="J11" i="4" s="1"/>
  <c r="G55" i="4"/>
  <c r="J55" i="4" s="1"/>
  <c r="G95" i="4"/>
  <c r="J95" i="4" s="1"/>
  <c r="G100" i="4"/>
  <c r="J100" i="4" s="1"/>
  <c r="G128" i="4"/>
  <c r="J128" i="4" s="1"/>
  <c r="G142" i="4"/>
  <c r="J142" i="4" s="1"/>
  <c r="G46" i="4"/>
  <c r="J46" i="4" s="1"/>
  <c r="G118" i="4"/>
  <c r="J118" i="4" s="1"/>
  <c r="G106" i="4"/>
  <c r="J106" i="4" s="1"/>
  <c r="G145" i="4"/>
  <c r="J145" i="4" s="1"/>
  <c r="G7" i="4"/>
  <c r="J7" i="4" s="1"/>
  <c r="G65" i="4"/>
  <c r="J65" i="4" s="1"/>
  <c r="G73" i="4"/>
  <c r="J73" i="4" s="1"/>
  <c r="G105" i="4"/>
  <c r="J105" i="4" s="1"/>
  <c r="G110" i="4"/>
  <c r="J110" i="4" s="1"/>
  <c r="G30" i="4"/>
  <c r="J30" i="4" s="1"/>
  <c r="G132" i="4"/>
  <c r="J132" i="4" s="1"/>
  <c r="G72" i="4"/>
  <c r="J72" i="4" s="1"/>
  <c r="G64" i="4"/>
  <c r="J64" i="4" s="1"/>
  <c r="G112" i="4"/>
  <c r="J112" i="4" s="1"/>
  <c r="G148" i="4"/>
  <c r="J148" i="4" s="1"/>
  <c r="G31" i="4"/>
  <c r="J31" i="4" s="1"/>
  <c r="G67" i="4"/>
  <c r="J67" i="4" s="1"/>
  <c r="G48" i="4"/>
  <c r="J48" i="4" s="1"/>
  <c r="G70" i="4"/>
  <c r="J70" i="4" s="1"/>
  <c r="G119" i="4"/>
  <c r="J119" i="4" s="1"/>
  <c r="G121" i="4"/>
  <c r="J121" i="4" s="1"/>
  <c r="G26" i="4"/>
  <c r="J26" i="4" s="1"/>
  <c r="G147" i="4"/>
  <c r="J147" i="4" s="1"/>
  <c r="G45" i="4"/>
  <c r="J45" i="4" s="1"/>
  <c r="G88" i="4"/>
  <c r="J88" i="4" s="1"/>
  <c r="G124" i="4"/>
  <c r="J124" i="4" s="1"/>
  <c r="G125" i="4"/>
  <c r="J125" i="4" s="1"/>
  <c r="G130" i="4"/>
  <c r="J130" i="4" s="1"/>
  <c r="G32" i="4"/>
  <c r="J32" i="4" s="1"/>
  <c r="G57" i="4"/>
  <c r="J57" i="4" s="1"/>
  <c r="G141" i="4"/>
  <c r="J141" i="4" s="1"/>
  <c r="G120" i="4"/>
  <c r="J120" i="4" s="1"/>
  <c r="G108" i="4"/>
  <c r="J108" i="4" s="1"/>
  <c r="G111" i="4"/>
  <c r="J111" i="4" s="1"/>
  <c r="G22" i="4"/>
  <c r="J22" i="4" s="1"/>
  <c r="G94" i="4"/>
  <c r="J94" i="4" s="1"/>
  <c r="G40" i="4"/>
  <c r="J40" i="4" s="1"/>
  <c r="G68" i="4"/>
  <c r="J68" i="4" s="1"/>
  <c r="G127" i="4"/>
  <c r="J127" i="4" s="1"/>
  <c r="G144" i="4"/>
  <c r="J144" i="4" s="1"/>
  <c r="G19" i="4"/>
  <c r="J19" i="4" s="1"/>
  <c r="G27" i="4"/>
  <c r="J27" i="4" s="1"/>
  <c r="G28" i="4"/>
  <c r="J28" i="4" s="1"/>
  <c r="G36" i="4"/>
  <c r="J36" i="4" s="1"/>
  <c r="G39" i="4"/>
  <c r="J39" i="4" s="1"/>
  <c r="G60" i="4"/>
  <c r="J60" i="4" s="1"/>
  <c r="G75" i="4"/>
  <c r="J75" i="4" s="1"/>
  <c r="G77" i="4"/>
  <c r="J77" i="4" s="1"/>
  <c r="G116" i="4"/>
  <c r="J116" i="4" s="1"/>
  <c r="G126" i="4"/>
  <c r="J126" i="4" s="1"/>
  <c r="G58" i="4"/>
  <c r="J58" i="4" s="1"/>
  <c r="G1" i="4"/>
  <c r="J1" i="4" s="1"/>
  <c r="G43" i="4"/>
  <c r="J43" i="4" s="1"/>
  <c r="G102" i="4"/>
  <c r="J102" i="4" s="1"/>
  <c r="G41" i="4"/>
  <c r="J41" i="4" s="1"/>
  <c r="G53" i="4"/>
  <c r="J53" i="4" s="1"/>
  <c r="G143" i="4"/>
  <c r="J143" i="4" s="1"/>
  <c r="G109" i="4"/>
  <c r="J109" i="4" s="1"/>
  <c r="G10" i="4"/>
  <c r="J10" i="4" s="1"/>
  <c r="G33" i="4"/>
  <c r="J33" i="4" s="1"/>
  <c r="G49" i="4"/>
  <c r="J49" i="4" s="1"/>
  <c r="G78" i="4"/>
  <c r="J78" i="4" s="1"/>
  <c r="G129" i="4"/>
  <c r="J129" i="4" s="1"/>
  <c r="G2" i="4"/>
  <c r="J2" i="4" s="1"/>
  <c r="G38" i="4"/>
  <c r="J38" i="4" s="1"/>
  <c r="G62" i="4"/>
  <c r="J62" i="4" s="1"/>
  <c r="G85" i="4"/>
  <c r="J85" i="4" s="1"/>
  <c r="G114" i="4"/>
  <c r="J114" i="4" s="1"/>
  <c r="G138" i="4"/>
  <c r="J138" i="4" s="1"/>
  <c r="G149" i="4"/>
  <c r="J149" i="4" s="1"/>
  <c r="G4" i="4"/>
  <c r="J4" i="4" s="1"/>
  <c r="G50" i="4"/>
  <c r="J50" i="4" s="1"/>
  <c r="G51" i="4"/>
  <c r="J51" i="4" s="1"/>
  <c r="G56" i="4"/>
  <c r="J56" i="4" s="1"/>
  <c r="G63" i="4"/>
  <c r="J63" i="4" s="1"/>
  <c r="G79" i="4"/>
  <c r="J79" i="4" s="1"/>
  <c r="G23" i="4"/>
  <c r="J23" i="4" s="1"/>
  <c r="G25" i="4"/>
  <c r="J25" i="4" s="1"/>
  <c r="G47" i="4"/>
  <c r="J47" i="4" s="1"/>
  <c r="G76" i="4"/>
  <c r="J76" i="4" s="1"/>
  <c r="G82" i="4"/>
  <c r="J82" i="4" s="1"/>
  <c r="G101" i="4"/>
  <c r="J101" i="4" s="1"/>
  <c r="G52" i="4"/>
  <c r="J52" i="4" s="1"/>
  <c r="G61" i="4"/>
  <c r="J61" i="4" s="1"/>
  <c r="G80" i="4"/>
  <c r="J80" i="4" s="1"/>
  <c r="G9" i="4"/>
  <c r="J9" i="4" s="1"/>
  <c r="G12" i="4"/>
  <c r="J12" i="4" s="1"/>
  <c r="G13" i="4"/>
  <c r="J13" i="4" s="1"/>
  <c r="G18" i="4"/>
  <c r="J18" i="4" s="1"/>
  <c r="G37" i="4"/>
  <c r="J37" i="4" s="1"/>
  <c r="G122" i="4"/>
  <c r="J122" i="4" s="1"/>
  <c r="G44" i="4"/>
  <c r="J44" i="4" s="1"/>
  <c r="G69" i="4"/>
  <c r="J69" i="4" s="1"/>
  <c r="G89" i="4"/>
  <c r="J89" i="4" s="1"/>
  <c r="G92" i="4"/>
  <c r="J92" i="4" s="1"/>
  <c r="G35" i="4"/>
  <c r="J35" i="4" s="1"/>
  <c r="G6" i="4"/>
  <c r="J6" i="4" s="1"/>
  <c r="G83" i="4"/>
  <c r="J83" i="4" s="1"/>
  <c r="G104" i="4"/>
  <c r="J104" i="4" s="1"/>
  <c r="G54" i="4"/>
  <c r="J54" i="4" s="1"/>
  <c r="G146" i="4"/>
  <c r="J146" i="4" s="1"/>
  <c r="G59" i="4"/>
  <c r="J59" i="4" s="1"/>
  <c r="G8" i="4"/>
  <c r="J8" i="4" s="1"/>
  <c r="G34" i="4"/>
  <c r="J34" i="4" s="1"/>
  <c r="G150" i="4"/>
  <c r="J150" i="4" s="1"/>
  <c r="G135" i="4"/>
  <c r="J135" i="4" s="1"/>
  <c r="G15" i="4"/>
  <c r="J15" i="4" s="1"/>
  <c r="G90" i="4"/>
  <c r="J90" i="4" s="1"/>
  <c r="G91" i="4"/>
  <c r="J91" i="4" s="1"/>
  <c r="G98" i="4"/>
  <c r="J98" i="4" s="1"/>
  <c r="G3" i="4"/>
  <c r="J3" i="4" s="1"/>
  <c r="G117" i="4"/>
  <c r="J117" i="4" s="1"/>
  <c r="G136" i="4"/>
  <c r="J136" i="4" s="1"/>
  <c r="G42" i="4"/>
  <c r="J42" i="4" s="1"/>
  <c r="G24" i="4"/>
  <c r="J24" i="4" s="1"/>
  <c r="G16" i="4"/>
  <c r="J16" i="4" s="1"/>
  <c r="F82" i="4" l="1"/>
  <c r="F72" i="4"/>
  <c r="F125" i="4"/>
  <c r="F123" i="4"/>
  <c r="F87" i="4"/>
  <c r="F143" i="4"/>
  <c r="F80" i="4"/>
  <c r="F97" i="4"/>
  <c r="F5" i="4"/>
  <c r="F25" i="4"/>
  <c r="F55" i="4"/>
  <c r="F34" i="4"/>
  <c r="F57" i="4"/>
  <c r="F83" i="4"/>
  <c r="F102" i="4"/>
  <c r="F128" i="4"/>
  <c r="F1" i="4"/>
  <c r="F93" i="4"/>
  <c r="F119" i="4"/>
  <c r="F40" i="4"/>
  <c r="F56" i="4"/>
  <c r="F77" i="4"/>
  <c r="F116" i="4"/>
  <c r="F22" i="4"/>
  <c r="F110" i="4"/>
  <c r="F89" i="4"/>
  <c r="F106" i="4"/>
  <c r="F62" i="4"/>
  <c r="F150" i="4"/>
  <c r="F68" i="4"/>
  <c r="F30" i="4"/>
  <c r="F48" i="4"/>
  <c r="F13" i="4"/>
  <c r="F58" i="4"/>
  <c r="F15" i="4"/>
  <c r="F136" i="4"/>
  <c r="F19" i="4"/>
  <c r="F36" i="4"/>
  <c r="F121" i="4"/>
  <c r="F94" i="4"/>
  <c r="F27" i="4"/>
  <c r="F142" i="4"/>
  <c r="F4" i="4"/>
  <c r="F107" i="4"/>
  <c r="F61" i="4"/>
  <c r="F98" i="4"/>
  <c r="F103" i="4"/>
  <c r="F117" i="4"/>
  <c r="F63" i="4"/>
  <c r="F120" i="4"/>
  <c r="F99" i="4"/>
  <c r="F7" i="4"/>
  <c r="F114" i="4"/>
  <c r="F10" i="4"/>
  <c r="F74" i="4"/>
  <c r="F52" i="4"/>
  <c r="F84" i="4"/>
  <c r="F130" i="4"/>
  <c r="F138" i="4"/>
  <c r="F149" i="4"/>
  <c r="F92" i="4"/>
  <c r="F29" i="4"/>
  <c r="F78" i="4"/>
  <c r="F49" i="4"/>
  <c r="F131" i="4"/>
  <c r="F145" i="4"/>
  <c r="F144" i="4"/>
  <c r="F42" i="4"/>
  <c r="F67" i="4"/>
  <c r="F109" i="4"/>
  <c r="F146" i="4"/>
  <c r="F32" i="4"/>
  <c r="F46" i="4"/>
  <c r="F20" i="4"/>
  <c r="F33" i="4"/>
  <c r="F66" i="4"/>
  <c r="F35" i="4"/>
  <c r="F59" i="4"/>
  <c r="F64" i="4"/>
  <c r="F112" i="4"/>
  <c r="F86" i="4"/>
  <c r="F108" i="4"/>
  <c r="F141" i="4"/>
  <c r="F71" i="4"/>
  <c r="F75" i="4"/>
  <c r="F91" i="4"/>
  <c r="F43" i="4"/>
  <c r="F18" i="4"/>
  <c r="F24" i="4"/>
  <c r="F54" i="4"/>
  <c r="F53" i="4"/>
  <c r="F124" i="4"/>
  <c r="F96" i="4"/>
  <c r="F21" i="4"/>
  <c r="F26" i="4"/>
  <c r="F127" i="4"/>
  <c r="F81" i="4"/>
  <c r="F47" i="4"/>
  <c r="F79" i="4"/>
  <c r="F31" i="4"/>
  <c r="F70" i="4"/>
  <c r="F140" i="4"/>
  <c r="F44" i="4"/>
  <c r="F132" i="4"/>
  <c r="F147" i="4"/>
  <c r="F28" i="4"/>
  <c r="F90" i="4"/>
  <c r="F126" i="4"/>
  <c r="F45" i="4"/>
  <c r="F122" i="4"/>
  <c r="F8" i="4"/>
  <c r="F41" i="4"/>
  <c r="F3" i="4"/>
  <c r="F65" i="4"/>
  <c r="F50" i="4"/>
  <c r="F2" i="4"/>
  <c r="F135" i="4"/>
  <c r="F9" i="4"/>
  <c r="F38" i="4"/>
  <c r="F133" i="4"/>
  <c r="F23" i="4"/>
  <c r="F14" i="4"/>
  <c r="F37" i="4"/>
  <c r="F17" i="4"/>
  <c r="F95" i="4"/>
  <c r="F139" i="4"/>
  <c r="F69" i="4"/>
  <c r="F60" i="4"/>
  <c r="F100" i="4"/>
  <c r="F105" i="4"/>
  <c r="F76" i="4"/>
  <c r="F113" i="4"/>
  <c r="F73" i="4"/>
  <c r="F111" i="4"/>
  <c r="F88" i="4"/>
  <c r="F39" i="4"/>
  <c r="F11" i="4"/>
  <c r="F85" i="4"/>
  <c r="H120" i="4"/>
  <c r="H14" i="4"/>
  <c r="H73" i="4"/>
  <c r="H94" i="4"/>
  <c r="H105" i="4"/>
  <c r="H33" i="4"/>
  <c r="H54" i="4"/>
  <c r="H15" i="4"/>
  <c r="H68" i="4"/>
  <c r="H127" i="4"/>
  <c r="H99" i="4"/>
  <c r="H102" i="4"/>
  <c r="H117" i="4"/>
  <c r="H23" i="4"/>
  <c r="H80" i="4"/>
  <c r="H3" i="4"/>
  <c r="H45" i="4"/>
  <c r="H146" i="4"/>
  <c r="H149" i="4"/>
  <c r="H21" i="4"/>
  <c r="H100" i="4"/>
  <c r="H53" i="4"/>
  <c r="H37" i="4"/>
  <c r="H25" i="4"/>
  <c r="H51" i="4"/>
  <c r="H41" i="4"/>
  <c r="H125" i="4"/>
  <c r="H150" i="4"/>
  <c r="H116" i="4"/>
  <c r="H7" i="4"/>
  <c r="H128" i="4"/>
  <c r="H83" i="4"/>
  <c r="H91" i="4"/>
  <c r="H141" i="4"/>
  <c r="H136" i="4"/>
  <c r="H143" i="4"/>
  <c r="H32" i="4"/>
  <c r="H90" i="4"/>
</calcChain>
</file>

<file path=xl/sharedStrings.xml><?xml version="1.0" encoding="utf-8"?>
<sst xmlns="http://schemas.openxmlformats.org/spreadsheetml/2006/main" count="4511" uniqueCount="1910">
  <si>
    <t>PSA</t>
  </si>
  <si>
    <t>RASC</t>
  </si>
  <si>
    <t>CSC</t>
  </si>
  <si>
    <t>OTH</t>
  </si>
  <si>
    <t>Date</t>
  </si>
  <si>
    <t>Comments</t>
  </si>
  <si>
    <t>vMag</t>
  </si>
  <si>
    <t>PSA Ch</t>
  </si>
  <si>
    <t>Name</t>
  </si>
  <si>
    <t>R.A.</t>
  </si>
  <si>
    <t>Dec.</t>
  </si>
  <si>
    <t>vMag Range</t>
  </si>
  <si>
    <t>RASC B-V</t>
  </si>
  <si>
    <t>My B-V</t>
  </si>
  <si>
    <t>B-V Source</t>
  </si>
  <si>
    <t>Cat. #</t>
  </si>
  <si>
    <t>Per</t>
  </si>
  <si>
    <t>HIP</t>
  </si>
  <si>
    <t>Spec Type</t>
  </si>
  <si>
    <t>Var Type</t>
  </si>
  <si>
    <t>CSH Comments</t>
  </si>
  <si>
    <t>Etc</t>
  </si>
  <si>
    <t>PSA Notes</t>
  </si>
  <si>
    <t>WZ Cas</t>
  </si>
  <si>
    <t>00 01 15</t>
  </si>
  <si>
    <t>+60 21 19</t>
  </si>
  <si>
    <t>6.9 - 11.0</t>
  </si>
  <si>
    <t>1978A&amp;AS...34....1N</t>
  </si>
  <si>
    <t>SAO 21002</t>
  </si>
  <si>
    <t>C9,2JLi</t>
  </si>
  <si>
    <t>Semiregular</t>
  </si>
  <si>
    <t>Great colour contrast with nearby star.</t>
  </si>
  <si>
    <t>Not named</t>
  </si>
  <si>
    <t>SU And</t>
  </si>
  <si>
    <t>00 04 36</t>
  </si>
  <si>
    <t>+43 33 04</t>
  </si>
  <si>
    <t xml:space="preserve">8.0 - 8.5 </t>
  </si>
  <si>
    <t>GSC 2793: 243</t>
  </si>
  <si>
    <t>Irr</t>
  </si>
  <si>
    <t>C6,4</t>
  </si>
  <si>
    <t>LC</t>
  </si>
  <si>
    <t>SAO 109003 (Psc)</t>
  </si>
  <si>
    <t>00 05 22</t>
  </si>
  <si>
    <t>+08 47 16</t>
  </si>
  <si>
    <t xml:space="preserve">8.2 - 8.3 </t>
  </si>
  <si>
    <t>--</t>
  </si>
  <si>
    <t>1964ApJ...139.1163W</t>
  </si>
  <si>
    <t>GSC 594: 778</t>
  </si>
  <si>
    <t xml:space="preserve">  ?</t>
  </si>
  <si>
    <t>G4V:p</t>
  </si>
  <si>
    <t>???</t>
  </si>
  <si>
    <t>Guide says no variability detected</t>
  </si>
  <si>
    <t>Star with envelope of CH type. May not be C* or V*.</t>
  </si>
  <si>
    <t>ST Cas</t>
  </si>
  <si>
    <t>00 17 32</t>
  </si>
  <si>
    <t>+50 17 14</t>
  </si>
  <si>
    <t>GSC 3255: 823</t>
  </si>
  <si>
    <t>?</t>
  </si>
  <si>
    <t>C4,4</t>
  </si>
  <si>
    <t>vsx mag p, used guide 8</t>
  </si>
  <si>
    <t>VX And</t>
  </si>
  <si>
    <t>00 19 54</t>
  </si>
  <si>
    <t>+44 42 33</t>
  </si>
  <si>
    <t xml:space="preserve">7.8 - 9.3 </t>
  </si>
  <si>
    <t>Skiff B-V</t>
  </si>
  <si>
    <t>GSC 2794: 14</t>
  </si>
  <si>
    <t>C4,5J</t>
  </si>
  <si>
    <t>Carbon Mira</t>
  </si>
  <si>
    <t>NQ Cas</t>
  </si>
  <si>
    <t>00 24 35</t>
  </si>
  <si>
    <t>+54 17 38</t>
  </si>
  <si>
    <t>GSC 3653: 1117</t>
  </si>
  <si>
    <t>LB</t>
  </si>
  <si>
    <t>vsx mag b, used guide 8</t>
  </si>
  <si>
    <t>AQ And</t>
  </si>
  <si>
    <t>00 27 31</t>
  </si>
  <si>
    <t>+35 35 14</t>
  </si>
  <si>
    <t xml:space="preserve">6.9 - 8.6 </t>
  </si>
  <si>
    <t>1971ApJ...167..521R</t>
  </si>
  <si>
    <t>GSC 2270: 318</t>
  </si>
  <si>
    <t>C5,4</t>
  </si>
  <si>
    <t>NSV 15196 (And)</t>
  </si>
  <si>
    <t>00 54 13</t>
  </si>
  <si>
    <t>+24 04 01</t>
  </si>
  <si>
    <t xml:space="preserve">8.3 - 8.7 </t>
  </si>
  <si>
    <t>1986EgUBV........0M</t>
  </si>
  <si>
    <t>SAO 74353</t>
  </si>
  <si>
    <t>C1,2CH</t>
  </si>
  <si>
    <t>Suspected</t>
  </si>
  <si>
    <t>W Cas</t>
  </si>
  <si>
    <t>00 54 53</t>
  </si>
  <si>
    <t>+58 33 49</t>
  </si>
  <si>
    <t>7.8 - 12.5</t>
  </si>
  <si>
    <t>GSC 368: 1824</t>
  </si>
  <si>
    <t>C7,1e</t>
  </si>
  <si>
    <t>Z Psc</t>
  </si>
  <si>
    <t>01 16 05</t>
  </si>
  <si>
    <t>+25 46 09</t>
  </si>
  <si>
    <t xml:space="preserve">6.5 - 7.9 </t>
  </si>
  <si>
    <t>SAO 74593</t>
  </si>
  <si>
    <t>C7,2</t>
  </si>
  <si>
    <t>R Scl</t>
  </si>
  <si>
    <t>01 26 58</t>
  </si>
  <si>
    <t>-32 32 36</t>
  </si>
  <si>
    <t>5.7 – 8.1</t>
  </si>
  <si>
    <t>SAO 193122</t>
  </si>
  <si>
    <t>C6,5ea</t>
  </si>
  <si>
    <t>WW Cas</t>
  </si>
  <si>
    <t>01 33 33</t>
  </si>
  <si>
    <t>+57 45 05</t>
  </si>
  <si>
    <t>9.1 – 11.7</t>
  </si>
  <si>
    <t>7260 A</t>
  </si>
  <si>
    <t>C5,5</t>
  </si>
  <si>
    <t>double star</t>
  </si>
  <si>
    <t>V Ari</t>
  </si>
  <si>
    <t>02 15 00</t>
  </si>
  <si>
    <t>+12 14 23</t>
  </si>
  <si>
    <t>8.3 - 10.8</t>
  </si>
  <si>
    <t>SAO 92853</t>
  </si>
  <si>
    <t>C5p,5</t>
  </si>
  <si>
    <t>R For</t>
  </si>
  <si>
    <t>02 29 15</t>
  </si>
  <si>
    <t>-26 05 56</t>
  </si>
  <si>
    <t>7.5 – 13.0</t>
  </si>
  <si>
    <t>1980SAAOC...1..112W</t>
  </si>
  <si>
    <t>GSC 6433: 295</t>
  </si>
  <si>
    <t>C4,3e</t>
  </si>
  <si>
    <t>SAO 129989 (Cet)</t>
  </si>
  <si>
    <t>02 35 06</t>
  </si>
  <si>
    <t>-09 26 34</t>
  </si>
  <si>
    <t xml:space="preserve">8.2 - 8.5 </t>
  </si>
  <si>
    <t>GSC 5285:3</t>
  </si>
  <si>
    <t>C2,3</t>
  </si>
  <si>
    <t>aka HD 16115 in RASC</t>
  </si>
  <si>
    <t>DY Per</t>
  </si>
  <si>
    <t>02 35 17</t>
  </si>
  <si>
    <t>+56 08 45</t>
  </si>
  <si>
    <t>10.6 – 13.2</t>
  </si>
  <si>
    <t>GSC 03691-01782</t>
  </si>
  <si>
    <t>C4,5</t>
  </si>
  <si>
    <t>UY And</t>
  </si>
  <si>
    <t>02 38 23</t>
  </si>
  <si>
    <t>+39 10 09</t>
  </si>
  <si>
    <t>7.4 - 12.3</t>
  </si>
  <si>
    <t>GSC 2832:2</t>
  </si>
  <si>
    <t>C5,4(N3)</t>
  </si>
  <si>
    <t>Plotted, named, no (c)</t>
  </si>
  <si>
    <t>V623 Cas</t>
  </si>
  <si>
    <t>03 11 25</t>
  </si>
  <si>
    <t>+57 54 11</t>
  </si>
  <si>
    <t xml:space="preserve">7.3 - 8.1 </t>
  </si>
  <si>
    <t>SAO 23858</t>
  </si>
  <si>
    <t>Plotted, not named</t>
  </si>
  <si>
    <t>Y Per</t>
  </si>
  <si>
    <t>03 27 42</t>
  </si>
  <si>
    <t>+44 10 36</t>
  </si>
  <si>
    <t>8.1 - 11.3</t>
  </si>
  <si>
    <t>GSC 2873: 1287</t>
  </si>
  <si>
    <t>V466 Per</t>
  </si>
  <si>
    <t>03 41 29</t>
  </si>
  <si>
    <t>+51 30 11</t>
  </si>
  <si>
    <t xml:space="preserve">8.4 - 8.9 </t>
  </si>
  <si>
    <t>NSV 1223</t>
  </si>
  <si>
    <t>U Cam</t>
  </si>
  <si>
    <t>03 41 48</t>
  </si>
  <si>
    <t>+62 38 54</t>
  </si>
  <si>
    <t xml:space="preserve">6.9 - 7.6 </t>
  </si>
  <si>
    <t>SAO 12870</t>
  </si>
  <si>
    <t>17257 A</t>
  </si>
  <si>
    <t>C5,5e</t>
  </si>
  <si>
    <t>AC Per</t>
  </si>
  <si>
    <t>03 45 03</t>
  </si>
  <si>
    <t>+44 46 52</t>
  </si>
  <si>
    <t>TYC 2875-2430-1</t>
  </si>
  <si>
    <t>C6,3</t>
  </si>
  <si>
    <t>UV Cam</t>
  </si>
  <si>
    <t>04 05 53</t>
  </si>
  <si>
    <t>+61 47 39</t>
  </si>
  <si>
    <t xml:space="preserve">7.5 - 8.1 </t>
  </si>
  <si>
    <t>SAO 13009</t>
  </si>
  <si>
    <t>C5,3</t>
  </si>
  <si>
    <t>XX Cam</t>
  </si>
  <si>
    <t>04 08 38</t>
  </si>
  <si>
    <t>+53 21 39</t>
  </si>
  <si>
    <t>7.1 - 10.0</t>
  </si>
  <si>
    <t>1973PASP...85..606L</t>
  </si>
  <si>
    <t>SAO 24431</t>
  </si>
  <si>
    <t>G1I(C0-2,0)</t>
  </si>
  <si>
    <t>R Crb ???</t>
  </si>
  <si>
    <t>T Cae</t>
  </si>
  <si>
    <t xml:space="preserve">04 47 19 </t>
  </si>
  <si>
    <t>-36 12 34</t>
  </si>
  <si>
    <t>SAO 19529</t>
  </si>
  <si>
    <t>ST Cam</t>
  </si>
  <si>
    <t>04 51 13</t>
  </si>
  <si>
    <t>+68 10 07</t>
  </si>
  <si>
    <t xml:space="preserve">6.7 - 8.4 </t>
  </si>
  <si>
    <t>SAO 13285</t>
  </si>
  <si>
    <t>TT Tau</t>
  </si>
  <si>
    <t>04 51 31</t>
  </si>
  <si>
    <t>+28 31 36</t>
  </si>
  <si>
    <t>7.7 - 10.0</t>
  </si>
  <si>
    <t>SAO 76788</t>
  </si>
  <si>
    <t>C7,4</t>
  </si>
  <si>
    <t>V346 Aur</t>
  </si>
  <si>
    <t>04 52 35</t>
  </si>
  <si>
    <t>+38 30 20</t>
  </si>
  <si>
    <t>SAO 57472</t>
  </si>
  <si>
    <t>C8,1J</t>
  </si>
  <si>
    <t>R Lep</t>
  </si>
  <si>
    <t>04 59 36</t>
  </si>
  <si>
    <t>-14 48 22</t>
  </si>
  <si>
    <t>5.5 - 11.7</t>
  </si>
  <si>
    <t>SAO 150058</t>
  </si>
  <si>
    <t>C7,6e</t>
  </si>
  <si>
    <t>Hind's Crimson Star</t>
  </si>
  <si>
    <t>EL Aur</t>
  </si>
  <si>
    <t>05 03 23</t>
  </si>
  <si>
    <t>+50 37 58</t>
  </si>
  <si>
    <t xml:space="preserve">8.5 - 8.7 </t>
  </si>
  <si>
    <t>SAO 24981</t>
  </si>
  <si>
    <t>W Ori</t>
  </si>
  <si>
    <t>05 05 23</t>
  </si>
  <si>
    <t>+01 10 39</t>
  </si>
  <si>
    <t>5.8 - 10.0</t>
  </si>
  <si>
    <t>SAO 112406</t>
  </si>
  <si>
    <t>TX Aur</t>
  </si>
  <si>
    <t>05 09 05</t>
  </si>
  <si>
    <t>+39 00 08</t>
  </si>
  <si>
    <t xml:space="preserve">8.5 - 9.2 </t>
  </si>
  <si>
    <t>GSC 2895: 203</t>
  </si>
  <si>
    <t>SY Eri</t>
  </si>
  <si>
    <t>05 09 48</t>
  </si>
  <si>
    <t>-05 30 55</t>
  </si>
  <si>
    <t>8.3 - 10.0</t>
  </si>
  <si>
    <t>SAO 131832</t>
  </si>
  <si>
    <t>UV Aur</t>
  </si>
  <si>
    <t>05 21 48</t>
  </si>
  <si>
    <t>+32 30 43</t>
  </si>
  <si>
    <t>7.4 - 10.6</t>
  </si>
  <si>
    <t>SAO 57941</t>
  </si>
  <si>
    <t>C7,2Jep</t>
  </si>
  <si>
    <t>S Aur</t>
  </si>
  <si>
    <t>05 27 07</t>
  </si>
  <si>
    <t>+34 08 59</t>
  </si>
  <si>
    <t>8.2 - 13.3</t>
  </si>
  <si>
    <t>GSC 2411: 222</t>
  </si>
  <si>
    <t>C4-5</t>
  </si>
  <si>
    <t>RT Ori</t>
  </si>
  <si>
    <t>05 33 13</t>
  </si>
  <si>
    <t>+07 09 12</t>
  </si>
  <si>
    <t xml:space="preserve">8.0 - 8.9 </t>
  </si>
  <si>
    <t>GSC 126: 161</t>
  </si>
  <si>
    <t>SZ Lep</t>
  </si>
  <si>
    <t>05 35 48</t>
  </si>
  <si>
    <t>-25 44 19</t>
  </si>
  <si>
    <t>7.4 – 7.9</t>
  </si>
  <si>
    <t>SAO 170582</t>
  </si>
  <si>
    <t>C7,3</t>
  </si>
  <si>
    <t>S Cam</t>
  </si>
  <si>
    <t>05 41 02</t>
  </si>
  <si>
    <t>+68 47 55</t>
  </si>
  <si>
    <t>7.7 - 11.6</t>
  </si>
  <si>
    <t>1958AJ.....63..477V</t>
  </si>
  <si>
    <t>SAO 13563</t>
  </si>
  <si>
    <t>C7,3e</t>
  </si>
  <si>
    <t>TU Tau</t>
  </si>
  <si>
    <t>05 45 13</t>
  </si>
  <si>
    <t>+24 25 12</t>
  </si>
  <si>
    <t xml:space="preserve">5.9 - 9.2 </t>
  </si>
  <si>
    <t>SAO 77502</t>
  </si>
  <si>
    <t>Y Tau</t>
  </si>
  <si>
    <t>05 45 39</t>
  </si>
  <si>
    <t>+20 41 42</t>
  </si>
  <si>
    <t xml:space="preserve">6.5 - 9.2 </t>
  </si>
  <si>
    <t>SAO 77516</t>
  </si>
  <si>
    <t>C6.5,4e</t>
  </si>
  <si>
    <t>FU Aur</t>
  </si>
  <si>
    <t>05 48 08</t>
  </si>
  <si>
    <t>+30 37 51</t>
  </si>
  <si>
    <t xml:space="preserve">8.3 - 8.5 </t>
  </si>
  <si>
    <t>SAO 58449</t>
  </si>
  <si>
    <t>added in RASC 2015</t>
  </si>
  <si>
    <t>SU Tau</t>
  </si>
  <si>
    <t>05 49 00</t>
  </si>
  <si>
    <t>+19 04 00</t>
  </si>
  <si>
    <t>9.1 – 18.0</t>
  </si>
  <si>
    <t>C1,0</t>
  </si>
  <si>
    <t>TU Gem</t>
  </si>
  <si>
    <t>06 10 53</t>
  </si>
  <si>
    <t>+26 00 53</t>
  </si>
  <si>
    <t xml:space="preserve">7.4 - 8.4 </t>
  </si>
  <si>
    <t>SAO 78066</t>
  </si>
  <si>
    <t>GK Ori</t>
  </si>
  <si>
    <t>06 17 42</t>
  </si>
  <si>
    <t>+08 31 11</t>
  </si>
  <si>
    <t>9.5 – 11.0</t>
  </si>
  <si>
    <t>FU Mon</t>
  </si>
  <si>
    <t>06 22 23</t>
  </si>
  <si>
    <t>+03 25 27</t>
  </si>
  <si>
    <t xml:space="preserve">8.5 - 9.8 </t>
  </si>
  <si>
    <t>GSC 136: 183</t>
  </si>
  <si>
    <t>C8,0J(CSe)</t>
  </si>
  <si>
    <t>V Aur</t>
  </si>
  <si>
    <t>06 24 02</t>
  </si>
  <si>
    <t>+47 42 23</t>
  </si>
  <si>
    <t>8.5 - 13.0</t>
  </si>
  <si>
    <t>GSC 3380: 1119</t>
  </si>
  <si>
    <t>C6,2e</t>
  </si>
  <si>
    <t>BL Ori</t>
  </si>
  <si>
    <t>06 25 28</t>
  </si>
  <si>
    <t>+14 43 19</t>
  </si>
  <si>
    <t xml:space="preserve">6.0 - 7.0 </t>
  </si>
  <si>
    <t>SAO 95659</t>
  </si>
  <si>
    <t>RV Aur</t>
  </si>
  <si>
    <t>06 34 45</t>
  </si>
  <si>
    <t>+42 30 13</t>
  </si>
  <si>
    <t>HD 46321</t>
  </si>
  <si>
    <t>UU Aur</t>
  </si>
  <si>
    <t>06 36 32</t>
  </si>
  <si>
    <t>+38 26 43</t>
  </si>
  <si>
    <t xml:space="preserve">5.1 - 7.0 </t>
  </si>
  <si>
    <t>SAO 59280</t>
  </si>
  <si>
    <t>VW Gem</t>
  </si>
  <si>
    <t>06 42 08</t>
  </si>
  <si>
    <t>+31 27 17</t>
  </si>
  <si>
    <t xml:space="preserve">8.1 - 8.5 </t>
  </si>
  <si>
    <t>SAO 59383</t>
  </si>
  <si>
    <t>GY Mon</t>
  </si>
  <si>
    <t>06 53 11</t>
  </si>
  <si>
    <t>-04 34 34</t>
  </si>
  <si>
    <t xml:space="preserve">8.1 - 9.0 </t>
  </si>
  <si>
    <t>SAO 133825</t>
  </si>
  <si>
    <t>NP Pup</t>
  </si>
  <si>
    <t>06 54 27</t>
  </si>
  <si>
    <t>-42 21 56</t>
  </si>
  <si>
    <t>6.2 – 6.5</t>
  </si>
  <si>
    <t>SAO 218296</t>
  </si>
  <si>
    <t>C-R3</t>
  </si>
  <si>
    <t>RV Mon</t>
  </si>
  <si>
    <t>06 58 21</t>
  </si>
  <si>
    <t>+06 10 01</t>
  </si>
  <si>
    <t xml:space="preserve">7.0 - 8.9 </t>
  </si>
  <si>
    <t>SAO 114704</t>
  </si>
  <si>
    <t>V614 Mon</t>
  </si>
  <si>
    <t>07 01 01</t>
  </si>
  <si>
    <t>-03 15 09</t>
  </si>
  <si>
    <t xml:space="preserve">7.0 - 7.4 </t>
  </si>
  <si>
    <t>SAO 134049</t>
  </si>
  <si>
    <t>RY Mon</t>
  </si>
  <si>
    <t>07 06 56</t>
  </si>
  <si>
    <t>-07 33 26</t>
  </si>
  <si>
    <t xml:space="preserve">7.5 - 9.2 </t>
  </si>
  <si>
    <t>GSC 5381: 403</t>
  </si>
  <si>
    <t>C5,5:</t>
  </si>
  <si>
    <t>W CMa</t>
  </si>
  <si>
    <t>07 08 03</t>
  </si>
  <si>
    <t>-11 55 23</t>
  </si>
  <si>
    <t xml:space="preserve">6.4 - 7.9 </t>
  </si>
  <si>
    <t>SAO 152427</t>
  </si>
  <si>
    <t>R CMi</t>
  </si>
  <si>
    <t>07 08 42</t>
  </si>
  <si>
    <t>+10 01 26</t>
  </si>
  <si>
    <t>7.3 - 11.6</t>
  </si>
  <si>
    <t>1955AnAp...18..292J</t>
  </si>
  <si>
    <t>SAO 96548</t>
  </si>
  <si>
    <t>C7,1Je</t>
  </si>
  <si>
    <t>BM Gem</t>
  </si>
  <si>
    <t>07 20 59</t>
  </si>
  <si>
    <t>+24 59 58</t>
  </si>
  <si>
    <t xml:space="preserve">8.3 - 9.2 </t>
  </si>
  <si>
    <t>GSC 1913: 1170</t>
  </si>
  <si>
    <t>C5,4J</t>
  </si>
  <si>
    <t>RU Cam</t>
  </si>
  <si>
    <t>07 21 44</t>
  </si>
  <si>
    <t>+69 40 14</t>
  </si>
  <si>
    <t xml:space="preserve">8.1 - 9.8 </t>
  </si>
  <si>
    <t>SAO 14157</t>
  </si>
  <si>
    <t>C2,3e</t>
  </si>
  <si>
    <t>CWA</t>
  </si>
  <si>
    <t>BE CMa</t>
  </si>
  <si>
    <t>07 23 39</t>
  </si>
  <si>
    <t>-22 58 11</t>
  </si>
  <si>
    <t>GSC 6537: 508</t>
  </si>
  <si>
    <t>C5,5J</t>
  </si>
  <si>
    <t>NQ Gem</t>
  </si>
  <si>
    <t>07 31 54</t>
  </si>
  <si>
    <t>+24 30 12</t>
  </si>
  <si>
    <t xml:space="preserve">7.4 - 8.0 </t>
  </si>
  <si>
    <t>SAO 79474</t>
  </si>
  <si>
    <t>Symbiotic</t>
  </si>
  <si>
    <t>W CMi</t>
  </si>
  <si>
    <t>07 48 46</t>
  </si>
  <si>
    <t>+05 23 35</t>
  </si>
  <si>
    <t>8.7 – 9.0</t>
  </si>
  <si>
    <t>SAO 115963</t>
  </si>
  <si>
    <t>RT Pup</t>
  </si>
  <si>
    <t>08 05 20</t>
  </si>
  <si>
    <t>-38 46 36</t>
  </si>
  <si>
    <t>SAO 198783</t>
  </si>
  <si>
    <t>C6,2</t>
  </si>
  <si>
    <t>RU Pup</t>
  </si>
  <si>
    <t>08 07 29</t>
  </si>
  <si>
    <t>-22 54 45</t>
  </si>
  <si>
    <t>8.1 - 11.1</t>
  </si>
  <si>
    <t>SAO 175215</t>
  </si>
  <si>
    <t>BL</t>
  </si>
  <si>
    <t>IR Pup</t>
  </si>
  <si>
    <t>08 11 41</t>
  </si>
  <si>
    <t>-21 12 37</t>
  </si>
  <si>
    <t>TYC 6008-2034-1</t>
  </si>
  <si>
    <t>C4,3(N)</t>
  </si>
  <si>
    <t>RY Hya</t>
  </si>
  <si>
    <t>08 20 06</t>
  </si>
  <si>
    <t>+02 45 56</t>
  </si>
  <si>
    <t>C6,4e</t>
  </si>
  <si>
    <t>AC Pup</t>
  </si>
  <si>
    <t>08 22 44</t>
  </si>
  <si>
    <t>-15 54 59</t>
  </si>
  <si>
    <t>8.9 – 10.1</t>
  </si>
  <si>
    <t>GSC 5997: 899</t>
  </si>
  <si>
    <t>41061 A</t>
  </si>
  <si>
    <t>YY Pyx</t>
  </si>
  <si>
    <t>08 28 14</t>
  </si>
  <si>
    <t>-27 15 28</t>
  </si>
  <si>
    <t>GSC 6577: 244</t>
  </si>
  <si>
    <t>C</t>
  </si>
  <si>
    <t>vsx mag Hp, used guide 8</t>
  </si>
  <si>
    <t>UZ Pyx</t>
  </si>
  <si>
    <t>08 46 36</t>
  </si>
  <si>
    <t>-29 43 41</t>
  </si>
  <si>
    <t>7.0 – 7.5</t>
  </si>
  <si>
    <t>SAO 176458</t>
  </si>
  <si>
    <t>X Cnc</t>
  </si>
  <si>
    <t>08 55 22</t>
  </si>
  <si>
    <t>+17 13 52</t>
  </si>
  <si>
    <t xml:space="preserve">5.6 - 7.5 </t>
  </si>
  <si>
    <t>1966CoLPL...4...99J</t>
  </si>
  <si>
    <t>SAO 98230</t>
  </si>
  <si>
    <t>T Cnc</t>
  </si>
  <si>
    <t>08 56 40</t>
  </si>
  <si>
    <t>+19 50 56</t>
  </si>
  <si>
    <t>7.6 - 10.5</t>
  </si>
  <si>
    <t>SAO 80524</t>
  </si>
  <si>
    <t>C4,7</t>
  </si>
  <si>
    <t>RT UMa</t>
  </si>
  <si>
    <t>09 18 24</t>
  </si>
  <si>
    <t>+51 24 07</t>
  </si>
  <si>
    <t>8.6 – 9.6</t>
  </si>
  <si>
    <t>Y Hya</t>
  </si>
  <si>
    <t>09 51 03</t>
  </si>
  <si>
    <t>-23 01 02</t>
  </si>
  <si>
    <t xml:space="preserve">6.5 - 9.0 </t>
  </si>
  <si>
    <t>SAO 178088</t>
  </si>
  <si>
    <t>Sa</t>
  </si>
  <si>
    <t>X Vel</t>
  </si>
  <si>
    <t>09 55 26</t>
  </si>
  <si>
    <t>-41 35 13</t>
  </si>
  <si>
    <t>SAO 221606</t>
  </si>
  <si>
    <t>C4-5,4-5(Nb)</t>
  </si>
  <si>
    <t>SZ Car</t>
  </si>
  <si>
    <t>09 59 52</t>
  </si>
  <si>
    <t>-60 13 06</t>
  </si>
  <si>
    <t>GSC 8942: 2668</t>
  </si>
  <si>
    <t>AB Ant</t>
  </si>
  <si>
    <t>10 11 54</t>
  </si>
  <si>
    <t>-35 19 29</t>
  </si>
  <si>
    <t>6.8 – 6.9</t>
  </si>
  <si>
    <t>SAO 201156</t>
  </si>
  <si>
    <t>U Ant</t>
  </si>
  <si>
    <t>10 35 13</t>
  </si>
  <si>
    <t>-39 33 45</t>
  </si>
  <si>
    <t>SAO 201533</t>
  </si>
  <si>
    <t>C5,3(Nb)</t>
  </si>
  <si>
    <t>semiregular</t>
  </si>
  <si>
    <t>U Hya</t>
  </si>
  <si>
    <t>10 37 33</t>
  </si>
  <si>
    <t>-13 23 04</t>
  </si>
  <si>
    <t xml:space="preserve">4.5 - 6.2 </t>
  </si>
  <si>
    <t>SAO 156110</t>
  </si>
  <si>
    <t>C6.5,3</t>
  </si>
  <si>
    <t>VY UMa</t>
  </si>
  <si>
    <t>10 45 04</t>
  </si>
  <si>
    <t>+67 24 40</t>
  </si>
  <si>
    <t xml:space="preserve">5.9 - 7.0 </t>
  </si>
  <si>
    <t>SAO 15274</t>
  </si>
  <si>
    <t>TZ Car</t>
  </si>
  <si>
    <t>10 46 03</t>
  </si>
  <si>
    <t>-65 36 53</t>
  </si>
  <si>
    <t>GSC 8965: 623</t>
  </si>
  <si>
    <t>V Hya</t>
  </si>
  <si>
    <t>10 51 37</t>
  </si>
  <si>
    <t>-21 15 00</t>
  </si>
  <si>
    <t>6.5 - 12.0</t>
  </si>
  <si>
    <t>SAO 179278</t>
  </si>
  <si>
    <t>C6,3e</t>
  </si>
  <si>
    <t>SY Car</t>
  </si>
  <si>
    <t>11 15 39</t>
  </si>
  <si>
    <t>-57 55 42</t>
  </si>
  <si>
    <t>GSC 8624: 485</t>
  </si>
  <si>
    <t>S Cen</t>
  </si>
  <si>
    <t>12 24 34</t>
  </si>
  <si>
    <t>-49 26 25</t>
  </si>
  <si>
    <t>SAO 223414</t>
  </si>
  <si>
    <t>SS Vir</t>
  </si>
  <si>
    <t>12 25 14</t>
  </si>
  <si>
    <t>+00 46 10</t>
  </si>
  <si>
    <t xml:space="preserve">6.0 - 9.6 </t>
  </si>
  <si>
    <t>GSC 282:753</t>
  </si>
  <si>
    <t>Y CVn</t>
  </si>
  <si>
    <t>12 45 07</t>
  </si>
  <si>
    <t>+45 26 24</t>
  </si>
  <si>
    <t xml:space="preserve">4.8 - 6.4 </t>
  </si>
  <si>
    <t>SAO 44317</t>
  </si>
  <si>
    <t>La Superba</t>
  </si>
  <si>
    <t>RU Vir</t>
  </si>
  <si>
    <t>12 47 18</t>
  </si>
  <si>
    <t>+04 08 41</t>
  </si>
  <si>
    <t>7.9 – 14.2</t>
  </si>
  <si>
    <t>HD 111166</t>
  </si>
  <si>
    <t>C8,1e</t>
  </si>
  <si>
    <t>Sk</t>
  </si>
  <si>
    <t>DY Cru</t>
  </si>
  <si>
    <t>12 47 25</t>
  </si>
  <si>
    <t>-59 41 41</t>
  </si>
  <si>
    <t>8.4 – 9.9</t>
  </si>
  <si>
    <t>GSC 8659: 1394</t>
  </si>
  <si>
    <t>aka EsB 365</t>
  </si>
  <si>
    <t>RY Dra</t>
  </si>
  <si>
    <t>12 56 25</t>
  </si>
  <si>
    <t>+65 59 39</t>
  </si>
  <si>
    <t xml:space="preserve">6.0 - 8.0 </t>
  </si>
  <si>
    <t>1965ApJ...141..161M</t>
  </si>
  <si>
    <t>SAO 15945</t>
  </si>
  <si>
    <t>TT CVn</t>
  </si>
  <si>
    <t>12 59 23</t>
  </si>
  <si>
    <t>+37 49 04</t>
  </si>
  <si>
    <t>SAO 63280</t>
  </si>
  <si>
    <t>C3,5CH</t>
  </si>
  <si>
    <t>SAO 157721 (Vir)</t>
  </si>
  <si>
    <t>13 06 24</t>
  </si>
  <si>
    <t>-20 03 31</t>
  </si>
  <si>
    <t xml:space="preserve">8.5 - 8.5 </t>
  </si>
  <si>
    <t>GSC 6118: 1194</t>
  </si>
  <si>
    <t>C2(K5p)</t>
  </si>
  <si>
    <t>No variability detected</t>
  </si>
  <si>
    <t>HM Lib</t>
  </si>
  <si>
    <t>15 27 48</t>
  </si>
  <si>
    <t>-25 10 10</t>
  </si>
  <si>
    <t>7.4 – 7.6</t>
  </si>
  <si>
    <t>SAO 183485</t>
  </si>
  <si>
    <t>C-Hd2lb C2 3.5 CH0</t>
  </si>
  <si>
    <t>R CrB</t>
  </si>
  <si>
    <t>15 48 36</t>
  </si>
  <si>
    <t>+28 09 00</t>
  </si>
  <si>
    <t>5.7 – 15.2</t>
  </si>
  <si>
    <t>C0,0</t>
  </si>
  <si>
    <t>V CrB</t>
  </si>
  <si>
    <t>15 49 31</t>
  </si>
  <si>
    <t>+39 34 17</t>
  </si>
  <si>
    <t>6.9 - 12.6</t>
  </si>
  <si>
    <t>SAO 64929</t>
  </si>
  <si>
    <t>RR Her</t>
  </si>
  <si>
    <t>16 04 13</t>
  </si>
  <si>
    <t>+50 29 56</t>
  </si>
  <si>
    <t>SAO 29781</t>
  </si>
  <si>
    <t>C6,5e</t>
  </si>
  <si>
    <t>V Oph</t>
  </si>
  <si>
    <t>16 26 43</t>
  </si>
  <si>
    <t>-12 25 35</t>
  </si>
  <si>
    <t>1973PASP...85..625L</t>
  </si>
  <si>
    <t>SAO 159916</t>
  </si>
  <si>
    <t>80550 A</t>
  </si>
  <si>
    <t>SU Sco</t>
  </si>
  <si>
    <t>16 40 39</t>
  </si>
  <si>
    <t>-32 22 48</t>
  </si>
  <si>
    <t>SAO 207911</t>
  </si>
  <si>
    <t>V901 Sco</t>
  </si>
  <si>
    <t>17 02 46</t>
  </si>
  <si>
    <t>-32 43 32</t>
  </si>
  <si>
    <t>GSC 7364: 692</t>
  </si>
  <si>
    <t>Ce(Ne)</t>
  </si>
  <si>
    <t>is not HIP 83404</t>
  </si>
  <si>
    <t>vsx mag p, used BL</t>
  </si>
  <si>
    <t>SAO 46574 (Her)</t>
  </si>
  <si>
    <t>17 13 31</t>
  </si>
  <si>
    <t>+42 06 22</t>
  </si>
  <si>
    <t xml:space="preserve">7.3 - 7.7 </t>
  </si>
  <si>
    <t>GSC 3081: 810</t>
  </si>
  <si>
    <t>C3(R0)</t>
  </si>
  <si>
    <t>TW Oph</t>
  </si>
  <si>
    <t>17 29 43</t>
  </si>
  <si>
    <t>-19 28 22</t>
  </si>
  <si>
    <t xml:space="preserve">7.0 - 9.0 </t>
  </si>
  <si>
    <t>GSC 6243: 462</t>
  </si>
  <si>
    <t>V Pav</t>
  </si>
  <si>
    <t>17 43 19</t>
  </si>
  <si>
    <t>-57 43 26</t>
  </si>
  <si>
    <t>GSC 8737: 1110</t>
  </si>
  <si>
    <t>C6,4(Nb)</t>
  </si>
  <si>
    <t>SZ Sgr</t>
  </si>
  <si>
    <t>17 44 56</t>
  </si>
  <si>
    <t>-18 39 26</t>
  </si>
  <si>
    <t xml:space="preserve">8.2 - 9.2 </t>
  </si>
  <si>
    <t>SAO 160795</t>
  </si>
  <si>
    <t>86873 A</t>
  </si>
  <si>
    <t>SX Sco</t>
  </si>
  <si>
    <t>17 47 28</t>
  </si>
  <si>
    <t>-35 42 05</t>
  </si>
  <si>
    <t>SAO 209256</t>
  </si>
  <si>
    <t>T Dra</t>
  </si>
  <si>
    <t>17 56 23</t>
  </si>
  <si>
    <t>+58 13 06</t>
  </si>
  <si>
    <t>7.2 - 13.5</t>
  </si>
  <si>
    <t>GSC 3914: 546</t>
  </si>
  <si>
    <t>C7,2e</t>
  </si>
  <si>
    <t>wide double</t>
  </si>
  <si>
    <t>FO Ser</t>
  </si>
  <si>
    <t>18 19 21</t>
  </si>
  <si>
    <t>-15 36 46</t>
  </si>
  <si>
    <t>SAO 161327</t>
  </si>
  <si>
    <t>AC Her</t>
  </si>
  <si>
    <t>18 30 16</t>
  </si>
  <si>
    <t>+21 52 00</t>
  </si>
  <si>
    <t xml:space="preserve">6.9 - 9.0 </t>
  </si>
  <si>
    <t>SAO 86134</t>
  </si>
  <si>
    <t>F2pIb-K4e(C0,0)</t>
  </si>
  <si>
    <t>RV Tau</t>
  </si>
  <si>
    <t>SS Sgr</t>
  </si>
  <si>
    <t>18 30 26</t>
  </si>
  <si>
    <t>-16 53 49</t>
  </si>
  <si>
    <t>GSC 6270: 1521</t>
  </si>
  <si>
    <t>C3,4</t>
  </si>
  <si>
    <t>T Lyr</t>
  </si>
  <si>
    <t>18 32 20</t>
  </si>
  <si>
    <t>+36 59 55</t>
  </si>
  <si>
    <t xml:space="preserve">7.5 - 9.3 </t>
  </si>
  <si>
    <t>SAO 67087</t>
  </si>
  <si>
    <t>C6,5</t>
  </si>
  <si>
    <t>Irregular</t>
  </si>
  <si>
    <t>HK Lyr</t>
  </si>
  <si>
    <t>18 42 50</t>
  </si>
  <si>
    <t>+36 57 30</t>
  </si>
  <si>
    <t xml:space="preserve">7.8 - 9.6 </t>
  </si>
  <si>
    <t>1986A&amp;AS...65..405O</t>
  </si>
  <si>
    <t>GSC 2649: 507</t>
  </si>
  <si>
    <t>RV Sct</t>
  </si>
  <si>
    <t>18 44 25</t>
  </si>
  <si>
    <t>-13 12 48</t>
  </si>
  <si>
    <t>GSC 5704: 100</t>
  </si>
  <si>
    <t>DR Ser</t>
  </si>
  <si>
    <t>18 47 21</t>
  </si>
  <si>
    <t>+05 27 19</t>
  </si>
  <si>
    <t>1975ApJ...200...88O</t>
  </si>
  <si>
    <t>GSC 456: 4</t>
  </si>
  <si>
    <t>C6,4(N)</t>
  </si>
  <si>
    <t>S Sct</t>
  </si>
  <si>
    <t>18 50 20</t>
  </si>
  <si>
    <t>-07 54 27</t>
  </si>
  <si>
    <t xml:space="preserve">6.3 - 9.0 </t>
  </si>
  <si>
    <t>SAO 142674</t>
  </si>
  <si>
    <t>UV Aql</t>
  </si>
  <si>
    <t>18 58 32</t>
  </si>
  <si>
    <t>+14 21 49</t>
  </si>
  <si>
    <t xml:space="preserve">8.0 - 9.6 </t>
  </si>
  <si>
    <t>GSC 1051: 51</t>
  </si>
  <si>
    <t>C5,4-5</t>
  </si>
  <si>
    <t>V Aql</t>
  </si>
  <si>
    <t>19 04 24</t>
  </si>
  <si>
    <t>-05 41 05</t>
  </si>
  <si>
    <t xml:space="preserve">6.6 - 8.4 </t>
  </si>
  <si>
    <t>SAO 142985</t>
  </si>
  <si>
    <t>V1942 Sgr</t>
  </si>
  <si>
    <t>19 19 09</t>
  </si>
  <si>
    <t>-15 54 30</t>
  </si>
  <si>
    <t xml:space="preserve">6.7 - 7.0 </t>
  </si>
  <si>
    <t>SAO 162465</t>
  </si>
  <si>
    <t>U Lyr</t>
  </si>
  <si>
    <t>19 20 09</t>
  </si>
  <si>
    <t>+37 52 36</t>
  </si>
  <si>
    <t>8.3 - 13.5</t>
  </si>
  <si>
    <t>GSC 3134: 1708</t>
  </si>
  <si>
    <t>C4,5e(N0e)</t>
  </si>
  <si>
    <t>UX Dra</t>
  </si>
  <si>
    <t>19 21 35</t>
  </si>
  <si>
    <t>+76 33 34</t>
  </si>
  <si>
    <t xml:space="preserve">5.9 - 7.1 </t>
  </si>
  <si>
    <t>SAO 9404</t>
  </si>
  <si>
    <t>NSV 11960 (Aql)</t>
  </si>
  <si>
    <t>19 23 10</t>
  </si>
  <si>
    <t>-10 42 11</t>
  </si>
  <si>
    <t xml:space="preserve">7.0 - 7.1 </t>
  </si>
  <si>
    <t>SAO 162551</t>
  </si>
  <si>
    <t>C2(R0)</t>
  </si>
  <si>
    <t>AW Cyg</t>
  </si>
  <si>
    <t>19 28 47</t>
  </si>
  <si>
    <t>+46 02 38</t>
  </si>
  <si>
    <t xml:space="preserve">7.1 - 8.5 </t>
  </si>
  <si>
    <t>GSC 3543: 2275</t>
  </si>
  <si>
    <t>95777 A</t>
  </si>
  <si>
    <t>AQ Sgr</t>
  </si>
  <si>
    <t>19 34 18</t>
  </si>
  <si>
    <t>-16 22 27</t>
  </si>
  <si>
    <t xml:space="preserve">6.6 - 8.5 </t>
  </si>
  <si>
    <t>SAO 162777</t>
  </si>
  <si>
    <t>TT Cyg</t>
  </si>
  <si>
    <t>19 40 57</t>
  </si>
  <si>
    <t>+32 37 05</t>
  </si>
  <si>
    <t xml:space="preserve">7.0 - 9.1 </t>
  </si>
  <si>
    <t>SAO 68688</t>
  </si>
  <si>
    <t>C5,4e</t>
  </si>
  <si>
    <t>AX Cyg</t>
  </si>
  <si>
    <t>19 57 12</t>
  </si>
  <si>
    <t>+44 15 40</t>
  </si>
  <si>
    <t xml:space="preserve">7.9 - 8.8 </t>
  </si>
  <si>
    <t>1976ApJS...30...97D</t>
  </si>
  <si>
    <t>GSC 3149: 942</t>
  </si>
  <si>
    <t>V1469 Aql</t>
  </si>
  <si>
    <t>20 01 03</t>
  </si>
  <si>
    <t>+09 30 51</t>
  </si>
  <si>
    <t xml:space="preserve">8.4 - 8.7 </t>
  </si>
  <si>
    <t>SAO 125356</t>
  </si>
  <si>
    <t>BF Sge</t>
  </si>
  <si>
    <t>20 02 23</t>
  </si>
  <si>
    <t>+21 05 24</t>
  </si>
  <si>
    <t>8.5 - 10.0</t>
  </si>
  <si>
    <t>GSC 1629: 945</t>
  </si>
  <si>
    <t>C4,4(N3)</t>
  </si>
  <si>
    <t>X Sge</t>
  </si>
  <si>
    <t>20 05 05</t>
  </si>
  <si>
    <t>+20 38 51</t>
  </si>
  <si>
    <t xml:space="preserve">7.0 - 9.7 </t>
  </si>
  <si>
    <t>HD 190606</t>
  </si>
  <si>
    <t>C6-,5(N3)</t>
  </si>
  <si>
    <t>SV Cyg</t>
  </si>
  <si>
    <t>20 09 30</t>
  </si>
  <si>
    <t>+47 52 17</t>
  </si>
  <si>
    <t>GSC 3563: 462</t>
  </si>
  <si>
    <t>RY Cyg</t>
  </si>
  <si>
    <t>20 10 23</t>
  </si>
  <si>
    <t>+35 56 50</t>
  </si>
  <si>
    <t>8.5 - 10.3</t>
  </si>
  <si>
    <t>GSC 2683: 3082</t>
  </si>
  <si>
    <t>RS Cyg</t>
  </si>
  <si>
    <t>20 13 23</t>
  </si>
  <si>
    <t>+38 43 44</t>
  </si>
  <si>
    <t xml:space="preserve">6.5 - 9.5 </t>
  </si>
  <si>
    <t>SAO 69636</t>
  </si>
  <si>
    <t>C8,2e</t>
  </si>
  <si>
    <t>RT Cap</t>
  </si>
  <si>
    <t>20 17 06</t>
  </si>
  <si>
    <t>-21 19 04</t>
  </si>
  <si>
    <t xml:space="preserve">7.0 - 8.1 </t>
  </si>
  <si>
    <t>GSC 6340: 1015</t>
  </si>
  <si>
    <t>WX Cyg</t>
  </si>
  <si>
    <t>20 18 33</t>
  </si>
  <si>
    <t>+37 26 59</t>
  </si>
  <si>
    <t>8.8 – 13.2</t>
  </si>
  <si>
    <t>GSC 2684: 689</t>
  </si>
  <si>
    <t>C8,2JLi</t>
  </si>
  <si>
    <t>U Cyg</t>
  </si>
  <si>
    <t>20 19 36</t>
  </si>
  <si>
    <t>+47 53 39</t>
  </si>
  <si>
    <t>5.9 - 12.1</t>
  </si>
  <si>
    <t>SAO 49477</t>
  </si>
  <si>
    <t>V778 Cyg</t>
  </si>
  <si>
    <t>20 36 07</t>
  </si>
  <si>
    <t>+60 05 26</t>
  </si>
  <si>
    <t>GSC 4246: 1005</t>
  </si>
  <si>
    <t>BD Vul</t>
  </si>
  <si>
    <t>20 37 18</t>
  </si>
  <si>
    <t>+26 39 13</t>
  </si>
  <si>
    <t>9.3 – 12.7</t>
  </si>
  <si>
    <t>V Cyg</t>
  </si>
  <si>
    <t>20 41 18</t>
  </si>
  <si>
    <t>+48 08 28</t>
  </si>
  <si>
    <t>7.7 - 13.9</t>
  </si>
  <si>
    <t>SAO 49940</t>
  </si>
  <si>
    <t>CY Cyg</t>
  </si>
  <si>
    <t>20 46 50</t>
  </si>
  <si>
    <t>+46 03 06</t>
  </si>
  <si>
    <t xml:space="preserve">7.9 - 8.4 </t>
  </si>
  <si>
    <t>SAO 50053</t>
  </si>
  <si>
    <t>CS(M2p)</t>
  </si>
  <si>
    <t>SAO 106516 (Del)</t>
  </si>
  <si>
    <t>20 48 36</t>
  </si>
  <si>
    <t>+17 50 23</t>
  </si>
  <si>
    <t xml:space="preserve">7.9 - 8.1 </t>
  </si>
  <si>
    <t>GSC 1651: 1359</t>
  </si>
  <si>
    <t>C1(R0)</t>
  </si>
  <si>
    <t>Star with envelope of CH type.</t>
  </si>
  <si>
    <t>NSV 13571 (Vul)</t>
  </si>
  <si>
    <t>21 09 59</t>
  </si>
  <si>
    <t>+26 36 54</t>
  </si>
  <si>
    <t xml:space="preserve">8.1 - 8.2 </t>
  </si>
  <si>
    <t>SAO 89499</t>
  </si>
  <si>
    <t>C1(Kp)</t>
  </si>
  <si>
    <t>S Cep</t>
  </si>
  <si>
    <t>21 35 12</t>
  </si>
  <si>
    <t>+78 37 28</t>
  </si>
  <si>
    <t>7.4 - 12.9</t>
  </si>
  <si>
    <t>SAO 10100</t>
  </si>
  <si>
    <t>C7,4e</t>
  </si>
  <si>
    <t>V460 Cyg</t>
  </si>
  <si>
    <t>21 42 01</t>
  </si>
  <si>
    <t>+35 30 36</t>
  </si>
  <si>
    <t xml:space="preserve">5.6 - 7.0 </t>
  </si>
  <si>
    <t>SAO 71613</t>
  </si>
  <si>
    <t>RV Cyg</t>
  </si>
  <si>
    <t>21 43 16</t>
  </si>
  <si>
    <t>+38 01 02</t>
  </si>
  <si>
    <t xml:space="preserve">7.1 - 9.3 </t>
  </si>
  <si>
    <t>SAO 71642</t>
  </si>
  <si>
    <t>LW Cyg</t>
  </si>
  <si>
    <t>21 55 14</t>
  </si>
  <si>
    <t>+50 29 50</t>
  </si>
  <si>
    <t>HD 208512</t>
  </si>
  <si>
    <t>C5,4(R3)</t>
  </si>
  <si>
    <t>RX Peg</t>
  </si>
  <si>
    <t>21 56 22</t>
  </si>
  <si>
    <t>+22 51 39</t>
  </si>
  <si>
    <t xml:space="preserve">7.7 - 9.5 </t>
  </si>
  <si>
    <t>HD 208526</t>
  </si>
  <si>
    <t>C4,4J</t>
  </si>
  <si>
    <t>not observed by HIP</t>
  </si>
  <si>
    <t>RZ Peg</t>
  </si>
  <si>
    <t>22 05 52</t>
  </si>
  <si>
    <t>+33 30 24</t>
  </si>
  <si>
    <t>7.6 - 13.6</t>
  </si>
  <si>
    <t>GSC 2724: 1872</t>
  </si>
  <si>
    <t>C9,1e</t>
  </si>
  <si>
    <t>DG Cep</t>
  </si>
  <si>
    <t>22 44 11</t>
  </si>
  <si>
    <t>+61 43 43</t>
  </si>
  <si>
    <t>GSC 4265: 376</t>
  </si>
  <si>
    <t>TV Lac</t>
  </si>
  <si>
    <t>22 56 07</t>
  </si>
  <si>
    <t>+54 13 46</t>
  </si>
  <si>
    <t>SAO 34966</t>
  </si>
  <si>
    <t>VY And</t>
  </si>
  <si>
    <t>23 01 49</t>
  </si>
  <si>
    <t>+45 53 09</t>
  </si>
  <si>
    <t>9.6 – 11.8</t>
  </si>
  <si>
    <t>113715 A</t>
  </si>
  <si>
    <t>RU Aqr</t>
  </si>
  <si>
    <t>23 24 24</t>
  </si>
  <si>
    <t>-17 19 08</t>
  </si>
  <si>
    <t>8.5 - 10.1</t>
  </si>
  <si>
    <t>SAO 165676</t>
  </si>
  <si>
    <t>M4/5III</t>
  </si>
  <si>
    <t>may not be C*</t>
  </si>
  <si>
    <t>EW And</t>
  </si>
  <si>
    <t>23 26 57</t>
  </si>
  <si>
    <t>+49 30 59</t>
  </si>
  <si>
    <t>SAO 53036</t>
  </si>
  <si>
    <t>ST And</t>
  </si>
  <si>
    <t>23 38 45</t>
  </si>
  <si>
    <t>+35 46 21</t>
  </si>
  <si>
    <t>7.7 - 11.8</t>
  </si>
  <si>
    <t>GSC 2778: 765</t>
  </si>
  <si>
    <t>C5,3e</t>
  </si>
  <si>
    <t>TX Psc</t>
  </si>
  <si>
    <t>23 46 23</t>
  </si>
  <si>
    <t>+03 29 12</t>
  </si>
  <si>
    <t xml:space="preserve">4.8 - 5.2 </t>
  </si>
  <si>
    <t>SAO 128374</t>
  </si>
  <si>
    <t>aka 19 Psc</t>
  </si>
  <si>
    <t>SAO 128396 (Psc)</t>
  </si>
  <si>
    <t>23 49 05</t>
  </si>
  <si>
    <t>+06 22 56</t>
  </si>
  <si>
    <t xml:space="preserve">8.5 - 8.8 </t>
  </si>
  <si>
    <t>GSC 592: 649</t>
  </si>
  <si>
    <t>C3(R3)</t>
  </si>
  <si>
    <t>Brian Skiff S&amp;T Article 1998</t>
  </si>
  <si>
    <t>http://www.saguaroastro.org/content/RED-STARS-Mostly-N-Type-Mostly-Variables.htm</t>
  </si>
  <si>
    <t>http://4dw.net/belmontnc/carbonstar.htm</t>
  </si>
  <si>
    <t>N</t>
  </si>
  <si>
    <t>Identifier</t>
  </si>
  <si>
    <t>typed ident</t>
  </si>
  <si>
    <t>Otype</t>
  </si>
  <si>
    <t>ICRS (J2000)</t>
  </si>
  <si>
    <t>RA</t>
  </si>
  <si>
    <t>DEC</t>
  </si>
  <si>
    <t>Mag U</t>
  </si>
  <si>
    <t>Mag B</t>
  </si>
  <si>
    <t>Mag V</t>
  </si>
  <si>
    <t>Mag R</t>
  </si>
  <si>
    <t>Mag I</t>
  </si>
  <si>
    <t>Sp type</t>
  </si>
  <si>
    <t>V* WZ Cas</t>
  </si>
  <si>
    <t>C*</t>
  </si>
  <si>
    <t>00 01 15.8567004789</t>
  </si>
  <si>
    <t>+60 21 19.023491384</t>
  </si>
  <si>
    <t>C-N7III:</t>
  </si>
  <si>
    <t>V* SU And</t>
  </si>
  <si>
    <t>00 04 36.4076067148</t>
  </si>
  <si>
    <t>+43 33 04.726367660</t>
  </si>
  <si>
    <t>C-N5</t>
  </si>
  <si>
    <t>HD 26</t>
  </si>
  <si>
    <t>SAO 109003</t>
  </si>
  <si>
    <t>Pe*</t>
  </si>
  <si>
    <t>00 05 22.2077761394</t>
  </si>
  <si>
    <t>+08 47 16.096990670</t>
  </si>
  <si>
    <t>C-H1.5</t>
  </si>
  <si>
    <t>V* ST Cas</t>
  </si>
  <si>
    <t>00 17 32.0821207593</t>
  </si>
  <si>
    <t>+50 17 14.445875799</t>
  </si>
  <si>
    <t>V* VX And</t>
  </si>
  <si>
    <t>00 19 54.0156326103</t>
  </si>
  <si>
    <t>+44 42 33.898137380</t>
  </si>
  <si>
    <t>C-J4.5</t>
  </si>
  <si>
    <t>V* NQ Cas</t>
  </si>
  <si>
    <t>00 24 34.8664978316</t>
  </si>
  <si>
    <t>+54 17 38.284548367</t>
  </si>
  <si>
    <t>V* AQ And</t>
  </si>
  <si>
    <t>00 27 31.6821917855</t>
  </si>
  <si>
    <t>+35 35 14.489056924</t>
  </si>
  <si>
    <t>C-N5+</t>
  </si>
  <si>
    <t>HD 5223</t>
  </si>
  <si>
    <t>00 54 13.6094686085</t>
  </si>
  <si>
    <t>+24 04 01.522268338</t>
  </si>
  <si>
    <t>C-H2IIIb:</t>
  </si>
  <si>
    <t>V* W Cas</t>
  </si>
  <si>
    <t>00 54 53.8483328105</t>
  </si>
  <si>
    <t>+58 33 49.149363639</t>
  </si>
  <si>
    <t>V* Z Psc</t>
  </si>
  <si>
    <t>01 16 05.0295407752</t>
  </si>
  <si>
    <t>+25 46 09.695709530</t>
  </si>
  <si>
    <t>V* R Scl</t>
  </si>
  <si>
    <t>01 26 58.0946233986</t>
  </si>
  <si>
    <t>-32 32 35.437732667</t>
  </si>
  <si>
    <t>V* WW Cas</t>
  </si>
  <si>
    <t>01 33 32.6883489346</t>
  </si>
  <si>
    <t>+57 45 05.451047011</t>
  </si>
  <si>
    <t>V* V Ari</t>
  </si>
  <si>
    <t>02 15 00.0771486824</t>
  </si>
  <si>
    <t>+12 14 23.613348802</t>
  </si>
  <si>
    <t>C-H3.5</t>
  </si>
  <si>
    <t>V* R For</t>
  </si>
  <si>
    <t>02 29 15.3081251463</t>
  </si>
  <si>
    <t>-26 05 55.647016467</t>
  </si>
  <si>
    <t>HD 16115</t>
  </si>
  <si>
    <t>SAO 129989</t>
  </si>
  <si>
    <t>02 35 06.4987962466</t>
  </si>
  <si>
    <t>-09 26 34.128548303</t>
  </si>
  <si>
    <t>C-H3II:</t>
  </si>
  <si>
    <t>V* DY Per</t>
  </si>
  <si>
    <t>RC*</t>
  </si>
  <si>
    <t>02 35 17.1273531147</t>
  </si>
  <si>
    <t>+56 08 44.719460598</t>
  </si>
  <si>
    <t>C-R4+</t>
  </si>
  <si>
    <t>V* UY And</t>
  </si>
  <si>
    <t>02 38 23.7855580921</t>
  </si>
  <si>
    <t>+39 10 09.933532943</t>
  </si>
  <si>
    <t>HD 19557</t>
  </si>
  <si>
    <t>03 11 25.3267420918</t>
  </si>
  <si>
    <t>+57 54 11.227599898</t>
  </si>
  <si>
    <t>C-J4</t>
  </si>
  <si>
    <t>V* Y Per</t>
  </si>
  <si>
    <t>03 27 42.3910029037</t>
  </si>
  <si>
    <t>+44 10 36.490594153</t>
  </si>
  <si>
    <t>C5,3e_Ba5</t>
  </si>
  <si>
    <t>HD 232820</t>
  </si>
  <si>
    <t>03 41 29.5964469751</t>
  </si>
  <si>
    <t>+51 30 11.731294715</t>
  </si>
  <si>
    <t>C5,5_MS4</t>
  </si>
  <si>
    <t>V* U Cam</t>
  </si>
  <si>
    <t>03 41 48.1762532767</t>
  </si>
  <si>
    <t>+62 38 54.397016016</t>
  </si>
  <si>
    <t>V* AC Per</t>
  </si>
  <si>
    <t>03 45 03.4112798752</t>
  </si>
  <si>
    <t>+44 46 51.772679522</t>
  </si>
  <si>
    <t>V* UV Cam</t>
  </si>
  <si>
    <t>04 05 53.8492693966</t>
  </si>
  <si>
    <t>+61 47 39.976105052</t>
  </si>
  <si>
    <t>V* XX Cam</t>
  </si>
  <si>
    <t>04 08 38.7487746559</t>
  </si>
  <si>
    <t>+53 21 39.349720481</t>
  </si>
  <si>
    <t>F8I</t>
  </si>
  <si>
    <t>V* T Cae</t>
  </si>
  <si>
    <t>04 47 18.9238883495</t>
  </si>
  <si>
    <t>-36 12 33.572294540</t>
  </si>
  <si>
    <t>C-N4IV:</t>
  </si>
  <si>
    <t>V* ST Cam</t>
  </si>
  <si>
    <t>04 51 13.3478339517</t>
  </si>
  <si>
    <t>+68 10 07.646494913</t>
  </si>
  <si>
    <t>V* TT Tau</t>
  </si>
  <si>
    <t>04 51 31.2647165772</t>
  </si>
  <si>
    <t>+28 31 36.867948885</t>
  </si>
  <si>
    <t>HD 280188</t>
  </si>
  <si>
    <t>04 52 34.8740876186</t>
  </si>
  <si>
    <t>+38 30 19.896979638</t>
  </si>
  <si>
    <t>V* R Lep</t>
  </si>
  <si>
    <t>04 59 36.3480393629</t>
  </si>
  <si>
    <t>-14 48 22.511432606</t>
  </si>
  <si>
    <t>HD 32088</t>
  </si>
  <si>
    <t>05 03 23.0468600922</t>
  </si>
  <si>
    <t>+50 37 58.085098623</t>
  </si>
  <si>
    <t>C-N5-</t>
  </si>
  <si>
    <t>V* W Ori</t>
  </si>
  <si>
    <t>05 05 23.7201883024</t>
  </si>
  <si>
    <t>+01 10 39.459119918</t>
  </si>
  <si>
    <t>V* TX Aur</t>
  </si>
  <si>
    <t>05 09 05.4680145966</t>
  </si>
  <si>
    <t>+39 00 08.472704234</t>
  </si>
  <si>
    <t>C-N4.5</t>
  </si>
  <si>
    <t>V* SY Eri</t>
  </si>
  <si>
    <t>05 09 48.2721800312</t>
  </si>
  <si>
    <t>-05 30 55.144184762</t>
  </si>
  <si>
    <t>V* UV Aur</t>
  </si>
  <si>
    <t>05 21 48.9137852435</t>
  </si>
  <si>
    <t>+32 30 40.177257425</t>
  </si>
  <si>
    <t>C8,1Je</t>
  </si>
  <si>
    <t>V* S Aur</t>
  </si>
  <si>
    <t>05 27 07.4588448362</t>
  </si>
  <si>
    <t>+34 08 58.844765355</t>
  </si>
  <si>
    <t>V* RT Ori</t>
  </si>
  <si>
    <t>05 33 13.7455793903</t>
  </si>
  <si>
    <t>+07 09 12.433864421</t>
  </si>
  <si>
    <t>V* SZ Lep</t>
  </si>
  <si>
    <t>05 35 47.7176190033</t>
  </si>
  <si>
    <t>-25 44 18.526562445</t>
  </si>
  <si>
    <t>C-N3.5III</t>
  </si>
  <si>
    <t>V* S Cam</t>
  </si>
  <si>
    <t>05 41 02.4931390461</t>
  </si>
  <si>
    <t>+68 47 55.034451207</t>
  </si>
  <si>
    <t>C-N6-:</t>
  </si>
  <si>
    <t>V* TU Tau</t>
  </si>
  <si>
    <t>05 45 13.7250342271</t>
  </si>
  <si>
    <t>+24 25 12.445885507</t>
  </si>
  <si>
    <t>C-N4+</t>
  </si>
  <si>
    <t>V* Y Tau</t>
  </si>
  <si>
    <t>05 45 39.4116657307</t>
  </si>
  <si>
    <t>+20 41 42.150008983</t>
  </si>
  <si>
    <t>V* FU Aur</t>
  </si>
  <si>
    <t>05 48 08.1761304871</t>
  </si>
  <si>
    <t>+30 37 51.926166655</t>
  </si>
  <si>
    <t>C-N6:</t>
  </si>
  <si>
    <t>V* SU Tau</t>
  </si>
  <si>
    <t>05 49 03.7311442986</t>
  </si>
  <si>
    <t>+19 04 21.890704406</t>
  </si>
  <si>
    <t>C1,0_Hd_CH0</t>
  </si>
  <si>
    <t>V* TU Gem</t>
  </si>
  <si>
    <t>06 10 53.1008</t>
  </si>
  <si>
    <t>+26 00 53.354</t>
  </si>
  <si>
    <t>V* GK Ori</t>
  </si>
  <si>
    <t>06 17 42.0948554151</t>
  </si>
  <si>
    <t>+08 31 11.392091128</t>
  </si>
  <si>
    <t>V* FU Mon</t>
  </si>
  <si>
    <t>S*</t>
  </si>
  <si>
    <t>06 22 23.8510657225</t>
  </si>
  <si>
    <t>+03 25 27.893619723</t>
  </si>
  <si>
    <t>S6.5/7.5</t>
  </si>
  <si>
    <t>V* V Aur</t>
  </si>
  <si>
    <t>06 24 02.3343432265</t>
  </si>
  <si>
    <t>+47 42 23.852467269</t>
  </si>
  <si>
    <t>V* BL Ori</t>
  </si>
  <si>
    <t>06 25 28.1733900221</t>
  </si>
  <si>
    <t>+14 43 19.186665187</t>
  </si>
  <si>
    <t>V* RV Aur</t>
  </si>
  <si>
    <t>06 34 44.6267205157</t>
  </si>
  <si>
    <t>+42 30 12.773876172</t>
  </si>
  <si>
    <t>V* UU Aur</t>
  </si>
  <si>
    <t>06 36 32.8375658812</t>
  </si>
  <si>
    <t>+38 26 43.833646997</t>
  </si>
  <si>
    <t>V* VW Gem</t>
  </si>
  <si>
    <t>06 42 08.5875165990</t>
  </si>
  <si>
    <t>+31 27 17.551468556</t>
  </si>
  <si>
    <t>C5,4_Ba5</t>
  </si>
  <si>
    <t>V* GY Mon</t>
  </si>
  <si>
    <t>06 53 11.3118881621</t>
  </si>
  <si>
    <t>-04 34 34.016372373</t>
  </si>
  <si>
    <t>V* NP Pup</t>
  </si>
  <si>
    <t>06 54 26.6836612589</t>
  </si>
  <si>
    <t>-42 21 56.056266157</t>
  </si>
  <si>
    <t>V* RV Mon</t>
  </si>
  <si>
    <t>06 58 21.4890395542</t>
  </si>
  <si>
    <t>+06 10 01.560306362</t>
  </si>
  <si>
    <t>HD 52432</t>
  </si>
  <si>
    <t>07 01 01.9534139083</t>
  </si>
  <si>
    <t>-03 15 09.134056845</t>
  </si>
  <si>
    <t>C-J3.5</t>
  </si>
  <si>
    <t>V* RY Mon</t>
  </si>
  <si>
    <t>07 06 56.4751624597</t>
  </si>
  <si>
    <t>-07 33 26.504953250</t>
  </si>
  <si>
    <t>V* W CMa</t>
  </si>
  <si>
    <t>07 08 03.4363216943</t>
  </si>
  <si>
    <t>-11 55 23.793216538</t>
  </si>
  <si>
    <t>V* R CMi</t>
  </si>
  <si>
    <t>07 08 42.6121867471</t>
  </si>
  <si>
    <t>+10 01 26.464001661</t>
  </si>
  <si>
    <t>SC4-7/10e</t>
  </si>
  <si>
    <t>V* BM Gem</t>
  </si>
  <si>
    <t>07 20 59.0073994507</t>
  </si>
  <si>
    <t>+24 59 58.090785507</t>
  </si>
  <si>
    <t>C-J5-</t>
  </si>
  <si>
    <t>V* RU Cam</t>
  </si>
  <si>
    <t>WV*</t>
  </si>
  <si>
    <t>07 21 44.1178182168</t>
  </si>
  <si>
    <t>+69 40 14.725818530</t>
  </si>
  <si>
    <t>C0,1_CH4</t>
  </si>
  <si>
    <t>V* BE CMa</t>
  </si>
  <si>
    <t>07 23 38.5731155667</t>
  </si>
  <si>
    <t>-22 58 10.770118401</t>
  </si>
  <si>
    <t>V* NQ Gem</t>
  </si>
  <si>
    <t>Sy*</t>
  </si>
  <si>
    <t>07 31 54.5215639809</t>
  </si>
  <si>
    <t>+24 30 12.543689289</t>
  </si>
  <si>
    <t>C6,2_CH3</t>
  </si>
  <si>
    <t>V* W CMi</t>
  </si>
  <si>
    <t>07 48 45.5270613029</t>
  </si>
  <si>
    <t>+05 23 35.392154930</t>
  </si>
  <si>
    <t>V* RT Pup</t>
  </si>
  <si>
    <t>08 05 19.9851287871</t>
  </si>
  <si>
    <t>-38 46 36.077146820</t>
  </si>
  <si>
    <t>C-N5.5IIIa:</t>
  </si>
  <si>
    <t>V* RU Pup</t>
  </si>
  <si>
    <t>08 07 29.8293860175</t>
  </si>
  <si>
    <t>-22 54 45.269293180</t>
  </si>
  <si>
    <t>C-N5III:</t>
  </si>
  <si>
    <t>V* IR Pup</t>
  </si>
  <si>
    <t>08 11 41.0749953400</t>
  </si>
  <si>
    <t>-21 12 36.659151351</t>
  </si>
  <si>
    <t>C4,3</t>
  </si>
  <si>
    <t>V* RY Hya</t>
  </si>
  <si>
    <t>08 20 06.3199265844</t>
  </si>
  <si>
    <t>+02 45 56.187586093</t>
  </si>
  <si>
    <t>V* AC Pup</t>
  </si>
  <si>
    <t>08 22 44.1592668198</t>
  </si>
  <si>
    <t>-15 54 59.370894366</t>
  </si>
  <si>
    <t>V* YY Pyx</t>
  </si>
  <si>
    <t>08 28 13.5034269281</t>
  </si>
  <si>
    <t>-27 15 28.418913584</t>
  </si>
  <si>
    <t>N3</t>
  </si>
  <si>
    <t>V* UZ Pyx</t>
  </si>
  <si>
    <t>08 46 36.3325118676</t>
  </si>
  <si>
    <t>-29 43 41.199009993</t>
  </si>
  <si>
    <t>V* X Cnc</t>
  </si>
  <si>
    <t>08 55 22.8824572992</t>
  </si>
  <si>
    <t>+17 13 52.585346790</t>
  </si>
  <si>
    <t>V* T Cnc</t>
  </si>
  <si>
    <t>08 56 40.146</t>
  </si>
  <si>
    <t>+19 50 56.95</t>
  </si>
  <si>
    <t>V* RT UMa</t>
  </si>
  <si>
    <t>09 18 24.4028300279</t>
  </si>
  <si>
    <t>+51 24 07.442331275</t>
  </si>
  <si>
    <t>C4+,4</t>
  </si>
  <si>
    <t>V* Y Hya</t>
  </si>
  <si>
    <t>09 51 03.7183623740</t>
  </si>
  <si>
    <t>-23 01 02.359218355</t>
  </si>
  <si>
    <t>C-N4.5III:</t>
  </si>
  <si>
    <t>V* X Vel</t>
  </si>
  <si>
    <t>09 55 26.1119127674</t>
  </si>
  <si>
    <t>-41 35 12.790399779</t>
  </si>
  <si>
    <t>C-N3</t>
  </si>
  <si>
    <t>V* SZ Car</t>
  </si>
  <si>
    <t>09 59 51.7125985180</t>
  </si>
  <si>
    <t>-60 13 06.038138350</t>
  </si>
  <si>
    <t>V* AB Ant</t>
  </si>
  <si>
    <t>10 11 53.8202076159</t>
  </si>
  <si>
    <t>-35 19 29.049590887</t>
  </si>
  <si>
    <t>V* U Ant</t>
  </si>
  <si>
    <t>10 35 12.8508908507</t>
  </si>
  <si>
    <t>-39 33 45.320533564</t>
  </si>
  <si>
    <t>V* U Hya</t>
  </si>
  <si>
    <t>10 37 33.2729535</t>
  </si>
  <si>
    <t>-13 23 04.352923</t>
  </si>
  <si>
    <t>V* VY UMa</t>
  </si>
  <si>
    <t>10 45 04.0305145913</t>
  </si>
  <si>
    <t>+67 24 40.983504682</t>
  </si>
  <si>
    <t>V* TZ Car</t>
  </si>
  <si>
    <t>10 46 03.0083237895</t>
  </si>
  <si>
    <t>-65 36 52.708238304</t>
  </si>
  <si>
    <t>C-R4III:</t>
  </si>
  <si>
    <t>V* V Hya</t>
  </si>
  <si>
    <t>10 51 37.2614060865</t>
  </si>
  <si>
    <t>-21 15 00.339641553</t>
  </si>
  <si>
    <t>C-N:6</t>
  </si>
  <si>
    <t>V* SY Car</t>
  </si>
  <si>
    <t>11 15 38.5819463825</t>
  </si>
  <si>
    <t>-57 55 42.336683924</t>
  </si>
  <si>
    <t>V* S Cen</t>
  </si>
  <si>
    <t>12 24 33.9187290505</t>
  </si>
  <si>
    <t>-49 26 24.724612836</t>
  </si>
  <si>
    <t>C-R4</t>
  </si>
  <si>
    <t>V* SS Vir</t>
  </si>
  <si>
    <t>12 25 14.3952079722</t>
  </si>
  <si>
    <t>+00 46 10.946733968</t>
  </si>
  <si>
    <t>C-N4.5:</t>
  </si>
  <si>
    <t>V* Y CVn</t>
  </si>
  <si>
    <t>12 45 07.8257032577</t>
  </si>
  <si>
    <t>+45 26 24.898861195</t>
  </si>
  <si>
    <t>V* RU Vir</t>
  </si>
  <si>
    <t>12 47 18.4075712853</t>
  </si>
  <si>
    <t>+04 08 41.364022128</t>
  </si>
  <si>
    <t>V* DY Cru</t>
  </si>
  <si>
    <t>12 47 24.6788917168</t>
  </si>
  <si>
    <t>-59 41 41.074035084</t>
  </si>
  <si>
    <t>C-N5.5</t>
  </si>
  <si>
    <t>V* RY Dra</t>
  </si>
  <si>
    <t>12 56 25.9123940873</t>
  </si>
  <si>
    <t>+65 59 39.809927879</t>
  </si>
  <si>
    <t>C-N3III:</t>
  </si>
  <si>
    <t>HD 112869</t>
  </si>
  <si>
    <t>12 59 22.6409641478</t>
  </si>
  <si>
    <t>+37 49 03.687447775</t>
  </si>
  <si>
    <t>C-H4-</t>
  </si>
  <si>
    <t>HD 113801</t>
  </si>
  <si>
    <t>SAO 157721</t>
  </si>
  <si>
    <t>13 06 24.8036268272</t>
  </si>
  <si>
    <t>-20 03 31.474584180</t>
  </si>
  <si>
    <t>C-R3III</t>
  </si>
  <si>
    <t>HD 137613</t>
  </si>
  <si>
    <t>15 27 48.3151138680</t>
  </si>
  <si>
    <t>-25 10 10.125296415</t>
  </si>
  <si>
    <t>C-Hd1Ib:</t>
  </si>
  <si>
    <t>V* R CrB</t>
  </si>
  <si>
    <t>15 48 34.4147978750</t>
  </si>
  <si>
    <t>+28 09 24.298218765</t>
  </si>
  <si>
    <t>G0Iep</t>
  </si>
  <si>
    <t>V* V CrB</t>
  </si>
  <si>
    <t>15 49 31.3129356625</t>
  </si>
  <si>
    <t>+39 34 17.889392903</t>
  </si>
  <si>
    <t>C6,2e_MS3</t>
  </si>
  <si>
    <t>V* RR Her</t>
  </si>
  <si>
    <t>16 04 13.4082496171</t>
  </si>
  <si>
    <t>+50 29 56.990505142</t>
  </si>
  <si>
    <t>SC5.5-C71e</t>
  </si>
  <si>
    <t>V* V Oph</t>
  </si>
  <si>
    <t>16 26 43.7071803249</t>
  </si>
  <si>
    <t>-12 25 35.815297379</t>
  </si>
  <si>
    <t>C-N:4</t>
  </si>
  <si>
    <t>V* SU Sco</t>
  </si>
  <si>
    <t>16 40 38.6732200510</t>
  </si>
  <si>
    <t>-32 22 48.048007458</t>
  </si>
  <si>
    <t>MSB 58</t>
  </si>
  <si>
    <t>17 02 45.9043721255</t>
  </si>
  <si>
    <t>-32 43 31.755623393</t>
  </si>
  <si>
    <t>HD 156074</t>
  </si>
  <si>
    <t>SAO 46574</t>
  </si>
  <si>
    <t>17 13 31.2406466799</t>
  </si>
  <si>
    <t>+42 06 22.767557235</t>
  </si>
  <si>
    <t>C-R2III</t>
  </si>
  <si>
    <t>V* TW Oph</t>
  </si>
  <si>
    <t>17 29 43.6641693394</t>
  </si>
  <si>
    <t>-19 28 22.867073875</t>
  </si>
  <si>
    <t>V* V Pav</t>
  </si>
  <si>
    <t>17 43 18.9385755525</t>
  </si>
  <si>
    <t>-57 43 26.280846211</t>
  </si>
  <si>
    <t>V* SZ Sgr</t>
  </si>
  <si>
    <t>17 44 56.47713</t>
  </si>
  <si>
    <t>-18 39 26.3131</t>
  </si>
  <si>
    <t>V* SX Sco</t>
  </si>
  <si>
    <t>17 47 28.2371090488</t>
  </si>
  <si>
    <t>-35 42 04.610204254</t>
  </si>
  <si>
    <t>V* T Dra</t>
  </si>
  <si>
    <t>17 56 23.3278798922</t>
  </si>
  <si>
    <t>+58 13 06.827212507</t>
  </si>
  <si>
    <t>V* FO Ser</t>
  </si>
  <si>
    <t>18 19 21.8140846748</t>
  </si>
  <si>
    <t>-15 36 46.063123433</t>
  </si>
  <si>
    <t>C-J4+</t>
  </si>
  <si>
    <t>V* AC Her</t>
  </si>
  <si>
    <t>pA*</t>
  </si>
  <si>
    <t>18 30 16.2374666779</t>
  </si>
  <si>
    <t>+21 52 00.618442618</t>
  </si>
  <si>
    <t>F4Ibp</t>
  </si>
  <si>
    <t>V* SS Sgr</t>
  </si>
  <si>
    <t>18 30 26.0486662797</t>
  </si>
  <si>
    <t>-16 53 49.336497677</t>
  </si>
  <si>
    <t>V* T Lyr</t>
  </si>
  <si>
    <t>18 32 20.0770614691</t>
  </si>
  <si>
    <t>+36 59 55.619287018</t>
  </si>
  <si>
    <t>C-J4:p</t>
  </si>
  <si>
    <t>V* HK Lyr</t>
  </si>
  <si>
    <t>18 42 50.0050823492</t>
  </si>
  <si>
    <t>+36 57 30.883170555</t>
  </si>
  <si>
    <t>V* RV Sct</t>
  </si>
  <si>
    <t>18 44 25.1719620626</t>
  </si>
  <si>
    <t>-13 12 47.663588883</t>
  </si>
  <si>
    <t>V* DR Ser</t>
  </si>
  <si>
    <t>18 47 21.0229663571</t>
  </si>
  <si>
    <t>+05 27 18.603538975</t>
  </si>
  <si>
    <t>V* S Sct</t>
  </si>
  <si>
    <t>18 50 20.0367524071</t>
  </si>
  <si>
    <t>-07 54 27.430964220</t>
  </si>
  <si>
    <t>V* UV Aql</t>
  </si>
  <si>
    <t>18 58 32.4282994521</t>
  </si>
  <si>
    <t>+14 21 49.596852833</t>
  </si>
  <si>
    <t>V* V Aql</t>
  </si>
  <si>
    <t>19 04 24.1548619887</t>
  </si>
  <si>
    <t>-05 41 05.434251344</t>
  </si>
  <si>
    <t>V* V1942 Sgr</t>
  </si>
  <si>
    <t>19 19 09.5946752605</t>
  </si>
  <si>
    <t>-15 54 30.038224150</t>
  </si>
  <si>
    <t>V* U Lyr</t>
  </si>
  <si>
    <t>19 20 09.1511530426</t>
  </si>
  <si>
    <t>+37 52 36.915069066</t>
  </si>
  <si>
    <t>C4,5e</t>
  </si>
  <si>
    <t>V* UX Dra</t>
  </si>
  <si>
    <t>19 21 35.5158242859</t>
  </si>
  <si>
    <t>+76 33 34.549597671</t>
  </si>
  <si>
    <t>HD 182040</t>
  </si>
  <si>
    <t>NSV 11960</t>
  </si>
  <si>
    <t>19 23 10.0772363647</t>
  </si>
  <si>
    <t>-10 42 11.539194284</t>
  </si>
  <si>
    <t>C-Hd2II:</t>
  </si>
  <si>
    <t>V* AW Cyg</t>
  </si>
  <si>
    <t>19 28 47.5687245468</t>
  </si>
  <si>
    <t>+46 02 38.138019440</t>
  </si>
  <si>
    <t>V* AQ Sgr</t>
  </si>
  <si>
    <t>19 34 18.9945475487</t>
  </si>
  <si>
    <t>-16 22 27.048908541</t>
  </si>
  <si>
    <t>V* TT Cyg</t>
  </si>
  <si>
    <t>19 40 57.0159854799</t>
  </si>
  <si>
    <t>+32 37 05.755486755</t>
  </si>
  <si>
    <t>V* AX Cyg</t>
  </si>
  <si>
    <t>19 57 12.5070124708</t>
  </si>
  <si>
    <t>+44 15 40.033878504</t>
  </si>
  <si>
    <t>HD 189711</t>
  </si>
  <si>
    <t>20 01 03.7891766338</t>
  </si>
  <si>
    <t>+09 30 51.154617612</t>
  </si>
  <si>
    <t>C4,3_CH3:_Ba5</t>
  </si>
  <si>
    <t>V* BF Sge</t>
  </si>
  <si>
    <t>20 02 23.0795939012</t>
  </si>
  <si>
    <t>+21 05 24.833875295</t>
  </si>
  <si>
    <t>C2,4</t>
  </si>
  <si>
    <t>V* X Sge</t>
  </si>
  <si>
    <t>20 05 05.066</t>
  </si>
  <si>
    <t>+20 38 51.53</t>
  </si>
  <si>
    <t>V* SV Cyg</t>
  </si>
  <si>
    <t>20 09 30.0881524153</t>
  </si>
  <si>
    <t>+47 52 17.184073814</t>
  </si>
  <si>
    <t>C7,4e:</t>
  </si>
  <si>
    <t>V* RY Cyg</t>
  </si>
  <si>
    <t>20 10 23.4202374419</t>
  </si>
  <si>
    <t>+35 56 49.398934921</t>
  </si>
  <si>
    <t>V* RS Cyg</t>
  </si>
  <si>
    <t>20 13 23.6616911801</t>
  </si>
  <si>
    <t>+38 43 44.469785401</t>
  </si>
  <si>
    <t>V* RT Cap</t>
  </si>
  <si>
    <t>20 17 06.5288478069</t>
  </si>
  <si>
    <t>-21 19 04.462721142</t>
  </si>
  <si>
    <t>V* WX Cyg</t>
  </si>
  <si>
    <t>20 18 33.2743243024</t>
  </si>
  <si>
    <t>+37 26 59.076638818</t>
  </si>
  <si>
    <t>C-J6</t>
  </si>
  <si>
    <t>V* U Cyg</t>
  </si>
  <si>
    <t>20 19 36.5944622319</t>
  </si>
  <si>
    <t>+47 53 39.085332215</t>
  </si>
  <si>
    <t>C9,2e</t>
  </si>
  <si>
    <t>MSB 38</t>
  </si>
  <si>
    <t>20 36 07.3863551706</t>
  </si>
  <si>
    <t>+60 05 26.037276961</t>
  </si>
  <si>
    <t>V* BD Vul</t>
  </si>
  <si>
    <t>20 37 17.8441948398</t>
  </si>
  <si>
    <t>+26 29 13.101789747</t>
  </si>
  <si>
    <t>C5,2e</t>
  </si>
  <si>
    <t>V* V Cyg</t>
  </si>
  <si>
    <t>20 41 18.2688237607</t>
  </si>
  <si>
    <t>+48 08 28.886946369</t>
  </si>
  <si>
    <t>C7,4eJ</t>
  </si>
  <si>
    <t>V* CY Cyg</t>
  </si>
  <si>
    <t>20 46 50.2447575410</t>
  </si>
  <si>
    <t>+46 03 06.929987868</t>
  </si>
  <si>
    <t>SC2_Zr0</t>
  </si>
  <si>
    <t>HD 198269</t>
  </si>
  <si>
    <t>SAO 106516</t>
  </si>
  <si>
    <t>20 48 36.7373846084</t>
  </si>
  <si>
    <t>+17 50 23.700525129</t>
  </si>
  <si>
    <t>C-H3IV:</t>
  </si>
  <si>
    <t>HD 201626</t>
  </si>
  <si>
    <t>NSV 13571</t>
  </si>
  <si>
    <t>21 09 59.2669493692</t>
  </si>
  <si>
    <t>+26 36 55.010503706</t>
  </si>
  <si>
    <t>C-H2IV:</t>
  </si>
  <si>
    <t>V* S Cep</t>
  </si>
  <si>
    <t>21 35 12.8240104870</t>
  </si>
  <si>
    <t>+78 37 28.201592479</t>
  </si>
  <si>
    <t>V* V460 Cyg</t>
  </si>
  <si>
    <t>21 42 01.0831986858</t>
  </si>
  <si>
    <t>+35 30 36.713658662</t>
  </si>
  <si>
    <t>V* RV Cyg</t>
  </si>
  <si>
    <t>21 43 16.3283644053</t>
  </si>
  <si>
    <t>+38 01 02.977478786</t>
  </si>
  <si>
    <t>C-N5:</t>
  </si>
  <si>
    <t>V* LW Cyg</t>
  </si>
  <si>
    <t>21 55 13.7693675476</t>
  </si>
  <si>
    <t>+50 29 49.739740954</t>
  </si>
  <si>
    <t>C5,4e:</t>
  </si>
  <si>
    <t>V* RX Peg</t>
  </si>
  <si>
    <t>21 56 22.3389655192</t>
  </si>
  <si>
    <t>+22 51 42.564890934</t>
  </si>
  <si>
    <t>C-J4.5:</t>
  </si>
  <si>
    <t>V* RZ Peg</t>
  </si>
  <si>
    <t>Mi*</t>
  </si>
  <si>
    <t>22 05 52.9711216769</t>
  </si>
  <si>
    <t>+33 30 24.810194832</t>
  </si>
  <si>
    <t>SC5-9/9-e</t>
  </si>
  <si>
    <t>V* DG Cep</t>
  </si>
  <si>
    <t>22 44 11.1128529161</t>
  </si>
  <si>
    <t>+61 43 42.559918909</t>
  </si>
  <si>
    <t>V* TV Lac</t>
  </si>
  <si>
    <t>22 56 07.3853987646</t>
  </si>
  <si>
    <t>+54 13 45.612013783</t>
  </si>
  <si>
    <t>V* VY And</t>
  </si>
  <si>
    <t>23 01 49.4655132146</t>
  </si>
  <si>
    <t>+45 53 09.109460141</t>
  </si>
  <si>
    <t>C3,5J</t>
  </si>
  <si>
    <t>V* RU Aqr</t>
  </si>
  <si>
    <t>LP*</t>
  </si>
  <si>
    <t>23 24 24.3075516173</t>
  </si>
  <si>
    <t>-17 19 08.713999362</t>
  </si>
  <si>
    <t>V* EW And</t>
  </si>
  <si>
    <t>23 26 57.3630851470</t>
  </si>
  <si>
    <t>+49 30 58.983767504</t>
  </si>
  <si>
    <t>V* ST And</t>
  </si>
  <si>
    <t>23 38 45.1329122942</t>
  </si>
  <si>
    <t>+35 46 21.243224718</t>
  </si>
  <si>
    <t>C5,4e_MS3</t>
  </si>
  <si>
    <t>* 19 Psc</t>
  </si>
  <si>
    <t>23 46 23.5126056542</t>
  </si>
  <si>
    <t>+03 29 12.505415198</t>
  </si>
  <si>
    <t>C-N6</t>
  </si>
  <si>
    <t>HD 223392</t>
  </si>
  <si>
    <t>SAO 128396</t>
  </si>
  <si>
    <t>23 49 05.4854759768</t>
  </si>
  <si>
    <t>+06 22 56.645444133</t>
  </si>
  <si>
    <t>C-R3III:</t>
  </si>
  <si>
    <t>ID</t>
    <phoneticPr fontId="5" type="noConversion"/>
  </si>
  <si>
    <t>New B-V</t>
    <phoneticPr fontId="5" type="noConversion"/>
  </si>
  <si>
    <t>SS</t>
    <phoneticPr fontId="5" type="noConversion"/>
  </si>
  <si>
    <t>S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</si>
  <si>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</si>
  <si>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</si>
  <si>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</si>
  <si>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</si>
  <si>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NUM</t>
    <phoneticPr fontId="5" type="noConversion"/>
  </si>
  <si>
    <t>SMAG</t>
    <phoneticPr fontId="5" type="noConversion"/>
  </si>
  <si>
    <t>DY Per</t>
    <phoneticPr fontId="5" type="noConversion"/>
  </si>
  <si>
    <t>vMag Low</t>
    <phoneticPr fontId="5" type="noConversion"/>
  </si>
  <si>
    <t>vMag Max</t>
    <phoneticPr fontId="5" type="noConversion"/>
  </si>
  <si>
    <t>ISOK</t>
    <phoneticPr fontId="5" type="noConversion"/>
  </si>
  <si>
    <t>Mag Mark</t>
    <phoneticPr fontId="5" type="noConversion"/>
  </si>
  <si>
    <t>FINAL</t>
    <phoneticPr fontId="5" type="noConversion"/>
  </si>
  <si>
    <t>U Hya</t>
    <phoneticPr fontId="5" type="noConversion"/>
  </si>
  <si>
    <t>MARKONLY</t>
    <phoneticPr fontId="5" type="noConversion"/>
  </si>
  <si>
    <t>δ Mag</t>
    <phoneticPr fontId="5" type="noConversion"/>
  </si>
  <si>
    <t>FINAL Mag</t>
    <phoneticPr fontId="5" type="noConversion"/>
  </si>
  <si>
    <t>7.01</t>
    <phoneticPr fontId="5" type="noConversion"/>
  </si>
  <si>
    <t>7.02</t>
    <phoneticPr fontId="5" type="noConversion"/>
  </si>
  <si>
    <t>7.03</t>
    <phoneticPr fontId="5" type="noConversion"/>
  </si>
  <si>
    <t>7.04</t>
    <phoneticPr fontId="5" type="noConversion"/>
  </si>
  <si>
    <t>7.01</t>
    <phoneticPr fontId="5" type="noConversion"/>
  </si>
  <si>
    <t>7.03</t>
    <phoneticPr fontId="5" type="noConversion"/>
  </si>
  <si>
    <t>7.02</t>
    <phoneticPr fontId="5" type="noConversion"/>
  </si>
  <si>
    <t>7.02</t>
    <phoneticPr fontId="5" type="noConversion"/>
  </si>
  <si>
    <t>7.41</t>
    <phoneticPr fontId="5" type="noConversion"/>
  </si>
  <si>
    <t>7.42</t>
    <phoneticPr fontId="5" type="noConversion"/>
  </si>
  <si>
    <t>7.5</t>
    <phoneticPr fontId="5" type="noConversion"/>
  </si>
  <si>
    <t>FINALL</t>
    <phoneticPr fontId="5" type="noConversion"/>
  </si>
  <si>
    <t>R1B</t>
  </si>
  <si>
    <t>R2C</t>
  </si>
  <si>
    <t>R3D</t>
  </si>
  <si>
    <t>R4C</t>
  </si>
  <si>
    <t>R5S</t>
  </si>
  <si>
    <t>R6D</t>
  </si>
  <si>
    <t>R7S</t>
  </si>
  <si>
    <t>R8D</t>
  </si>
  <si>
    <t>R9C</t>
  </si>
  <si>
    <t>R10B</t>
  </si>
  <si>
    <t>R11S</t>
  </si>
  <si>
    <t>R12C</t>
  </si>
  <si>
    <t>R13C</t>
  </si>
  <si>
    <t>R14SS</t>
  </si>
  <si>
    <t>R15D</t>
  </si>
  <si>
    <t>R16</t>
  </si>
  <si>
    <t>R17</t>
  </si>
  <si>
    <t>R18C</t>
  </si>
  <si>
    <t>R19B</t>
  </si>
  <si>
    <t>R20S</t>
  </si>
  <si>
    <t>R21S</t>
  </si>
  <si>
    <t>R22A</t>
  </si>
  <si>
    <t>R23C</t>
  </si>
  <si>
    <t>R24D</t>
  </si>
  <si>
    <t>R25C</t>
  </si>
  <si>
    <t>R26A</t>
  </si>
  <si>
    <t>R27B</t>
  </si>
  <si>
    <t>R28B</t>
  </si>
  <si>
    <t>R29SS</t>
  </si>
  <si>
    <t>R30A</t>
  </si>
  <si>
    <t>R31A</t>
  </si>
  <si>
    <t>R32A</t>
  </si>
  <si>
    <t>R33B</t>
  </si>
  <si>
    <t>R34D</t>
  </si>
  <si>
    <t>R35D</t>
  </si>
  <si>
    <t>R36B</t>
  </si>
  <si>
    <t>R37C</t>
  </si>
  <si>
    <t>R38C</t>
  </si>
  <si>
    <t>R39B</t>
  </si>
  <si>
    <t>R40A</t>
  </si>
  <si>
    <t>R41B</t>
  </si>
  <si>
    <t>R42D</t>
  </si>
  <si>
    <t>R43B</t>
  </si>
  <si>
    <t>R44C</t>
  </si>
  <si>
    <t>R45A</t>
  </si>
  <si>
    <t>R46S</t>
  </si>
  <si>
    <t>R47C</t>
  </si>
  <si>
    <t>R48A</t>
  </si>
  <si>
    <t>R49B</t>
  </si>
  <si>
    <t>R50C</t>
  </si>
  <si>
    <t>R51C</t>
  </si>
  <si>
    <t>R52C</t>
  </si>
  <si>
    <t>R53B</t>
  </si>
  <si>
    <t>R54D</t>
  </si>
  <si>
    <t>R55S</t>
  </si>
  <si>
    <t>R56C</t>
  </si>
  <si>
    <t>R57A</t>
  </si>
  <si>
    <t>R58B</t>
  </si>
  <si>
    <t>R59D</t>
  </si>
  <si>
    <t>R60B</t>
  </si>
  <si>
    <t>R61C</t>
  </si>
  <si>
    <t>R62C</t>
  </si>
  <si>
    <t>R63C</t>
  </si>
  <si>
    <t>R64A</t>
  </si>
  <si>
    <t>R65S</t>
  </si>
  <si>
    <t>R66S</t>
  </si>
  <si>
    <t>R67A</t>
  </si>
  <si>
    <t>R68A</t>
  </si>
  <si>
    <t>R69D</t>
  </si>
  <si>
    <t>R70A</t>
  </si>
  <si>
    <t>R71SS</t>
  </si>
  <si>
    <t>R72A</t>
  </si>
  <si>
    <t>R73S</t>
  </si>
  <si>
    <t>R74S</t>
  </si>
  <si>
    <t>R75B</t>
  </si>
  <si>
    <t>R76C</t>
  </si>
  <si>
    <t>R77B</t>
  </si>
  <si>
    <t>R78B</t>
  </si>
  <si>
    <t>R79C</t>
  </si>
  <si>
    <t>R80C</t>
  </si>
  <si>
    <t>R81SS</t>
  </si>
  <si>
    <t>R82C</t>
  </si>
  <si>
    <t>R83D</t>
  </si>
  <si>
    <t>R84S</t>
  </si>
  <si>
    <t>R85C</t>
  </si>
  <si>
    <t>R86SS</t>
  </si>
  <si>
    <t>R87SS</t>
  </si>
  <si>
    <t>R88A</t>
  </si>
  <si>
    <t>R89D</t>
  </si>
  <si>
    <t>R90D</t>
  </si>
  <si>
    <t>R91D</t>
  </si>
  <si>
    <t>R92D</t>
  </si>
  <si>
    <t>R93S</t>
  </si>
  <si>
    <t>R94A</t>
  </si>
  <si>
    <t>R95S</t>
  </si>
  <si>
    <t>R96S</t>
  </si>
  <si>
    <t>R97SS</t>
  </si>
  <si>
    <t>R98D</t>
  </si>
  <si>
    <t>R99S</t>
  </si>
  <si>
    <t>R100S</t>
  </si>
  <si>
    <t>R101C</t>
  </si>
  <si>
    <t>R102B</t>
  </si>
  <si>
    <t>R103SS</t>
  </si>
  <si>
    <t>R104D</t>
  </si>
  <si>
    <t>R105S</t>
  </si>
  <si>
    <t>R106S</t>
  </si>
  <si>
    <t>R107SS</t>
  </si>
  <si>
    <t>R108A</t>
  </si>
  <si>
    <t>R109B</t>
  </si>
  <si>
    <t>R110S</t>
  </si>
  <si>
    <t>R111A</t>
  </si>
  <si>
    <t>R112A</t>
  </si>
  <si>
    <t>R113S</t>
  </si>
  <si>
    <t>R114C</t>
  </si>
  <si>
    <t>R115</t>
  </si>
  <si>
    <t>R116B</t>
  </si>
  <si>
    <t>R117D</t>
  </si>
  <si>
    <t>R118S</t>
  </si>
  <si>
    <t>R119A</t>
  </si>
  <si>
    <t>R120A</t>
  </si>
  <si>
    <t>R121A</t>
  </si>
  <si>
    <t>R122C</t>
  </si>
  <si>
    <t>R123</t>
  </si>
  <si>
    <t>R124A</t>
  </si>
  <si>
    <t>R125A</t>
  </si>
  <si>
    <t>R126B</t>
  </si>
  <si>
    <t>R127A</t>
  </si>
  <si>
    <t>R128S</t>
  </si>
  <si>
    <t>R129C</t>
  </si>
  <si>
    <t>R130A</t>
  </si>
  <si>
    <t>R131</t>
  </si>
  <si>
    <t>R132A</t>
  </si>
  <si>
    <t>R133S</t>
  </si>
  <si>
    <t>R134</t>
  </si>
  <si>
    <t>R135D</t>
  </si>
  <si>
    <t>R136D</t>
  </si>
  <si>
    <t>R137S</t>
  </si>
  <si>
    <t>R138C</t>
  </si>
  <si>
    <t>R139SS</t>
  </si>
  <si>
    <t>R140S</t>
  </si>
  <si>
    <t>R141A</t>
  </si>
  <si>
    <t>R142S</t>
  </si>
  <si>
    <t>R143B</t>
  </si>
  <si>
    <t>R144B</t>
  </si>
  <si>
    <t>R145S</t>
  </si>
  <si>
    <t>R146D</t>
  </si>
  <si>
    <t>R147A</t>
  </si>
  <si>
    <t>R148A</t>
  </si>
  <si>
    <t>R149C</t>
  </si>
  <si>
    <t>R150D</t>
  </si>
  <si>
    <t>NAME</t>
    <phoneticPr fontId="5" type="noConversion"/>
  </si>
  <si>
    <t>ID</t>
    <phoneticPr fontId="5" type="noConversion"/>
  </si>
  <si>
    <t>RA</t>
    <phoneticPr fontId="5" type="noConversion"/>
  </si>
  <si>
    <t>DEC</t>
    <phoneticPr fontId="5" type="noConversion"/>
  </si>
  <si>
    <t>VMAG</t>
    <phoneticPr fontId="5" type="noConversion"/>
  </si>
  <si>
    <t>B-WZ Cas</t>
  </si>
  <si>
    <t>C-SU And</t>
  </si>
  <si>
    <t>D-SAO 109003</t>
  </si>
  <si>
    <t>C-ST Cas</t>
  </si>
  <si>
    <t>S-VX And</t>
  </si>
  <si>
    <t>D-NQ Cas</t>
  </si>
  <si>
    <t>S-AQ And</t>
  </si>
  <si>
    <t>D-SAO 74353</t>
  </si>
  <si>
    <t>C-W Cas</t>
  </si>
  <si>
    <t>B-Z Psc</t>
  </si>
  <si>
    <t>S-R Scl</t>
  </si>
  <si>
    <t>C-WW Cas</t>
  </si>
  <si>
    <t>C-V Ari</t>
  </si>
  <si>
    <t>SS-R For</t>
  </si>
  <si>
    <t>D-SAO 129989</t>
  </si>
  <si>
    <t>C-V623 Cas</t>
  </si>
  <si>
    <t>B-Y Per</t>
  </si>
  <si>
    <t>S-V466 Per</t>
  </si>
  <si>
    <t>S-U Cam</t>
  </si>
  <si>
    <t>A-AC Per</t>
  </si>
  <si>
    <t>C-UV Cam</t>
  </si>
  <si>
    <t>D-XX Cam</t>
  </si>
  <si>
    <t>C-T Cae</t>
  </si>
  <si>
    <t>A-ST Cam</t>
  </si>
  <si>
    <t>B-TT Tau</t>
  </si>
  <si>
    <t>B-V346 Aur</t>
  </si>
  <si>
    <t>SS-R Lep</t>
  </si>
  <si>
    <t>A-EL Aur</t>
  </si>
  <si>
    <t>A-W Ori</t>
  </si>
  <si>
    <t>A-TX Aur</t>
  </si>
  <si>
    <t>B-SY Eri</t>
  </si>
  <si>
    <t>D-UV Aur</t>
  </si>
  <si>
    <t>D-S Aur</t>
  </si>
  <si>
    <t>B-RT Ori</t>
  </si>
  <si>
    <t>C-SZ Lep</t>
  </si>
  <si>
    <t>C-S Cam</t>
  </si>
  <si>
    <t>B-TU Tau</t>
  </si>
  <si>
    <t>A-Y Tau</t>
  </si>
  <si>
    <t>B-FU Aur</t>
  </si>
  <si>
    <t>D-SU Tau</t>
  </si>
  <si>
    <t>B-TU Gem</t>
  </si>
  <si>
    <t>C-GK Ori</t>
  </si>
  <si>
    <t>A-FU Mon</t>
  </si>
  <si>
    <t>S-V Aur</t>
  </si>
  <si>
    <t>C-BL Ori</t>
  </si>
  <si>
    <t>A-RV Aur</t>
  </si>
  <si>
    <t>B-UU Aur</t>
  </si>
  <si>
    <t>C-VW Gem</t>
  </si>
  <si>
    <t>C-GY Mon</t>
  </si>
  <si>
    <t>C-NP Pup</t>
  </si>
  <si>
    <t>B-RV Mon</t>
  </si>
  <si>
    <t>D-V614 Mon</t>
  </si>
  <si>
    <t>S-RY Mon</t>
  </si>
  <si>
    <t>C-W CMa</t>
  </si>
  <si>
    <t>A-R CMi</t>
  </si>
  <si>
    <t>B-BM Gem</t>
  </si>
  <si>
    <t>D-RU Cam</t>
  </si>
  <si>
    <t>B-BE CMa</t>
  </si>
  <si>
    <t>C-NQ Gem</t>
  </si>
  <si>
    <t>C-W CMi</t>
  </si>
  <si>
    <t>C-RT Pup</t>
  </si>
  <si>
    <t>A-RU Pup</t>
  </si>
  <si>
    <t>S-IR Pup</t>
  </si>
  <si>
    <t>S-RY Hya</t>
  </si>
  <si>
    <t>A-AC Pup</t>
  </si>
  <si>
    <t>A-YY Pyx</t>
  </si>
  <si>
    <t>D-UZ Pyx</t>
  </si>
  <si>
    <t>A-X Cnc</t>
  </si>
  <si>
    <t>SS-T Cnc</t>
  </si>
  <si>
    <t>A-RT UMa</t>
  </si>
  <si>
    <t>S-Y Hya</t>
  </si>
  <si>
    <t>S-X Vel</t>
  </si>
  <si>
    <t>B-SZ Car</t>
  </si>
  <si>
    <t>C-AB Ant</t>
  </si>
  <si>
    <t>B-U Ant</t>
  </si>
  <si>
    <t>B-U Hya</t>
  </si>
  <si>
    <t>C-VY UMa</t>
  </si>
  <si>
    <t>C-TZ Car</t>
  </si>
  <si>
    <t>SS-V Hya</t>
  </si>
  <si>
    <t>C-SY Car</t>
  </si>
  <si>
    <t>D-S Cen</t>
  </si>
  <si>
    <t>S-SS Vir</t>
  </si>
  <si>
    <t>C-Y CVn</t>
  </si>
  <si>
    <t>SS-RU Vir</t>
  </si>
  <si>
    <t>SS-DY Cru</t>
  </si>
  <si>
    <t>A-RY Dra</t>
  </si>
  <si>
    <t>D-TT CVn</t>
  </si>
  <si>
    <t>D-SAO 157721</t>
  </si>
  <si>
    <t>D-HM Lib</t>
  </si>
  <si>
    <t>D-R CrB</t>
  </si>
  <si>
    <t>S-V CrB</t>
  </si>
  <si>
    <t>A-RR Her</t>
  </si>
  <si>
    <t>S-V Oph</t>
  </si>
  <si>
    <t>S-SU Sco</t>
  </si>
  <si>
    <t>SS-V901 Sco</t>
  </si>
  <si>
    <t>D-SAO 46574</t>
  </si>
  <si>
    <t>S-TW Oph</t>
  </si>
  <si>
    <t>S-V Pav</t>
  </si>
  <si>
    <t>C-SZ Sgr</t>
  </si>
  <si>
    <t>B-SX Sco</t>
  </si>
  <si>
    <t>SS-T Dra</t>
  </si>
  <si>
    <t>D-FO Ser</t>
  </si>
  <si>
    <t>S-AC Her</t>
  </si>
  <si>
    <t>S-SS Sgr</t>
  </si>
  <si>
    <t>SS-T Lyr</t>
  </si>
  <si>
    <t>A-HK Lyr</t>
  </si>
  <si>
    <t>B-RV Sct</t>
  </si>
  <si>
    <t>S-DR Ser</t>
  </si>
  <si>
    <t>A-S Sct</t>
  </si>
  <si>
    <t>A-UV Aql</t>
  </si>
  <si>
    <t>S-V Aql</t>
  </si>
  <si>
    <t>C-V1942 Sgr</t>
  </si>
  <si>
    <t>B-UX Dra</t>
  </si>
  <si>
    <t>D-NSV 11960</t>
  </si>
  <si>
    <t>S-AW Cyg</t>
  </si>
  <si>
    <t>A-AQ Sgr</t>
  </si>
  <si>
    <t>A-TT Cyg</t>
  </si>
  <si>
    <t>A-AX Cyg</t>
  </si>
  <si>
    <t>C-V1469 Aql</t>
  </si>
  <si>
    <t>A-X Sge</t>
  </si>
  <si>
    <t>A-SV Cyg</t>
  </si>
  <si>
    <t>B-RY Cyg</t>
  </si>
  <si>
    <t>A-RS Cyg</t>
  </si>
  <si>
    <t>S-RT Cap</t>
  </si>
  <si>
    <t>C-WX Cyg</t>
  </si>
  <si>
    <t>A-U Cyg</t>
  </si>
  <si>
    <t>A-BD Vul</t>
  </si>
  <si>
    <t>S-V Cyg</t>
  </si>
  <si>
    <t>D-SAO 106516</t>
  </si>
  <si>
    <t>D-NSV 13571</t>
  </si>
  <si>
    <t>S-S Cep</t>
  </si>
  <si>
    <t>C-V460 Cyg</t>
  </si>
  <si>
    <t>SS-RV Cyg</t>
  </si>
  <si>
    <t>S-LW Cyg</t>
  </si>
  <si>
    <t>A-RX Peg</t>
  </si>
  <si>
    <t>S-RZ Peg</t>
  </si>
  <si>
    <t>B-DG Cep</t>
  </si>
  <si>
    <t>B-TV Lac</t>
  </si>
  <si>
    <t>S-VY And</t>
  </si>
  <si>
    <t>D-RU Aqr</t>
  </si>
  <si>
    <t>A-EW And</t>
  </si>
  <si>
    <t>A-ST And</t>
  </si>
  <si>
    <t>C-TX Psc</t>
  </si>
  <si>
    <t>D-SAO 128396</t>
  </si>
  <si>
    <t>IC9000</t>
  </si>
  <si>
    <t>IC9001</t>
  </si>
  <si>
    <t>IC9002</t>
  </si>
  <si>
    <t>IC9003</t>
  </si>
  <si>
    <t>IC9004</t>
  </si>
  <si>
    <t>IC9005</t>
  </si>
  <si>
    <t>IC9006</t>
  </si>
  <si>
    <t>IC9007</t>
  </si>
  <si>
    <t>IC9008</t>
  </si>
  <si>
    <t>IC9009</t>
  </si>
  <si>
    <t>IC9010</t>
  </si>
  <si>
    <t>IC9011</t>
  </si>
  <si>
    <t>IC9012</t>
  </si>
  <si>
    <t>IC9013</t>
  </si>
  <si>
    <t>IC9014</t>
  </si>
  <si>
    <t>IC9015</t>
  </si>
  <si>
    <t>IC9016</t>
  </si>
  <si>
    <t>IC9017</t>
  </si>
  <si>
    <t>IC9018</t>
  </si>
  <si>
    <t>IC9019</t>
  </si>
  <si>
    <t>IC9020</t>
  </si>
  <si>
    <t>IC9021</t>
  </si>
  <si>
    <t>IC9022</t>
  </si>
  <si>
    <t>IC9023</t>
  </si>
  <si>
    <t>IC9024</t>
  </si>
  <si>
    <t>IC9025</t>
  </si>
  <si>
    <t>IC9026</t>
  </si>
  <si>
    <t>IC9027</t>
  </si>
  <si>
    <t>IC9028</t>
  </si>
  <si>
    <t>IC9029</t>
  </si>
  <si>
    <t>IC9030</t>
  </si>
  <si>
    <t>IC9031</t>
  </si>
  <si>
    <t>IC9032</t>
  </si>
  <si>
    <t>IC9033</t>
  </si>
  <si>
    <t>IC9034</t>
  </si>
  <si>
    <t>IC9035</t>
  </si>
  <si>
    <t>IC9036</t>
  </si>
  <si>
    <t>IC9037</t>
  </si>
  <si>
    <t>IC9038</t>
  </si>
  <si>
    <t>IC9039</t>
  </si>
  <si>
    <t>IC9040</t>
  </si>
  <si>
    <t>IC9041</t>
  </si>
  <si>
    <t>IC9042</t>
  </si>
  <si>
    <t>IC9043</t>
  </si>
  <si>
    <t>IC9044</t>
  </si>
  <si>
    <t>IC9045</t>
  </si>
  <si>
    <t>IC9046</t>
  </si>
  <si>
    <t>IC9047</t>
  </si>
  <si>
    <t>IC9048</t>
  </si>
  <si>
    <t>IC9049</t>
  </si>
  <si>
    <t>IC9050</t>
  </si>
  <si>
    <t>IC9051</t>
  </si>
  <si>
    <t>IC9052</t>
  </si>
  <si>
    <t>IC9053</t>
  </si>
  <si>
    <t>IC9054</t>
  </si>
  <si>
    <t>IC9055</t>
  </si>
  <si>
    <t>IC9056</t>
  </si>
  <si>
    <t>IC9057</t>
  </si>
  <si>
    <t>IC9058</t>
  </si>
  <si>
    <t>IC9059</t>
  </si>
  <si>
    <t>IC9060</t>
  </si>
  <si>
    <t>IC9061</t>
  </si>
  <si>
    <t>IC9062</t>
  </si>
  <si>
    <t>IC9063</t>
  </si>
  <si>
    <t>IC9064</t>
  </si>
  <si>
    <t>IC9065</t>
  </si>
  <si>
    <t>IC9066</t>
  </si>
  <si>
    <t>IC9067</t>
  </si>
  <si>
    <t>IC9068</t>
  </si>
  <si>
    <t>IC9069</t>
  </si>
  <si>
    <t>IC9070</t>
  </si>
  <si>
    <t>IC9071</t>
  </si>
  <si>
    <t>IC9072</t>
  </si>
  <si>
    <t>IC9073</t>
  </si>
  <si>
    <t>IC9074</t>
  </si>
  <si>
    <t>IC9075</t>
  </si>
  <si>
    <t>IC9076</t>
  </si>
  <si>
    <t>IC9077</t>
  </si>
  <si>
    <t>IC9078</t>
  </si>
  <si>
    <t>IC9079</t>
  </si>
  <si>
    <t>IC9080</t>
  </si>
  <si>
    <t>IC9081</t>
  </si>
  <si>
    <t>IC9082</t>
  </si>
  <si>
    <t>IC9083</t>
  </si>
  <si>
    <t>IC9084</t>
  </si>
  <si>
    <t>IC9085</t>
  </si>
  <si>
    <t>IC9086</t>
  </si>
  <si>
    <t>IC9087</t>
  </si>
  <si>
    <t>IC9088</t>
  </si>
  <si>
    <t>IC9089</t>
  </si>
  <si>
    <t>IC9090</t>
  </si>
  <si>
    <t>IC9091</t>
  </si>
  <si>
    <t>IC9092</t>
  </si>
  <si>
    <t>IC9093</t>
  </si>
  <si>
    <t>IC9094</t>
  </si>
  <si>
    <t>IC9095</t>
  </si>
  <si>
    <t>IC9096</t>
  </si>
  <si>
    <t>IC9097</t>
  </si>
  <si>
    <t>IC9098</t>
  </si>
  <si>
    <t>IC9099</t>
  </si>
  <si>
    <t>IC9100</t>
  </si>
  <si>
    <t>IC9101</t>
  </si>
  <si>
    <t>IC9102</t>
  </si>
  <si>
    <t>IC9103</t>
  </si>
  <si>
    <t>IC9104</t>
  </si>
  <si>
    <t>IC9105</t>
  </si>
  <si>
    <t>IC9106</t>
  </si>
  <si>
    <t>IC9107</t>
  </si>
  <si>
    <t>IC9108</t>
  </si>
  <si>
    <t>IC9109</t>
  </si>
  <si>
    <t>IC9110</t>
  </si>
  <si>
    <t>IC9111</t>
  </si>
  <si>
    <t>IC9112</t>
  </si>
  <si>
    <t>IC9113</t>
  </si>
  <si>
    <t>IC9114</t>
  </si>
  <si>
    <t>IC9115</t>
  </si>
  <si>
    <t>IC9116</t>
  </si>
  <si>
    <t>IC9117</t>
  </si>
  <si>
    <t>IC9118</t>
  </si>
  <si>
    <t>IC9119</t>
  </si>
  <si>
    <t>IC9120</t>
  </si>
  <si>
    <t>IC9121</t>
  </si>
  <si>
    <t>IC9122</t>
  </si>
  <si>
    <t>IC9123</t>
  </si>
  <si>
    <t>IC9124</t>
  </si>
  <si>
    <t>IC9125</t>
  </si>
  <si>
    <t>IC9126</t>
  </si>
  <si>
    <t>IC9127</t>
  </si>
  <si>
    <t>IC9128</t>
  </si>
  <si>
    <t>IC9129</t>
  </si>
  <si>
    <t>IC9130</t>
  </si>
  <si>
    <t>IC9131</t>
  </si>
  <si>
    <t>IC9132</t>
  </si>
  <si>
    <t>IC9133</t>
  </si>
  <si>
    <t>IC9134</t>
  </si>
  <si>
    <t>IC9135</t>
  </si>
  <si>
    <t>IC9136</t>
  </si>
  <si>
    <t>IC9137</t>
  </si>
  <si>
    <t>IC9138</t>
  </si>
  <si>
    <t>IC9139</t>
  </si>
  <si>
    <t>IC9140</t>
  </si>
  <si>
    <t>IC9141</t>
  </si>
  <si>
    <t>IC9142</t>
  </si>
  <si>
    <t>IC9143</t>
  </si>
  <si>
    <t>IC9144</t>
  </si>
  <si>
    <t>IC9145</t>
  </si>
  <si>
    <t>IC9146</t>
  </si>
  <si>
    <t>IC9147</t>
  </si>
  <si>
    <t>IC9148</t>
  </si>
  <si>
    <t>IC9149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</si>
</sst>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_ "/>
    <numFmt numFmtId="178" formatCode="0.00_ "/>
  </numFmts>
  <fonts count="11" x14ac:knownFonts="1"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sz val="10"/>
      <name val="Arial"/>
      <family val="2"/>
    </font>
    <font>
      <sz val="10"/>
      <color indexed="12"/>
      <name val="Courier New"/>
      <family val="3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b/>
      <sz val="12"/>
      <color rgb="FF337DFF"/>
      <name val="Tahoma"/>
      <family val="2"/>
    </font>
    <font>
      <b/>
      <i/>
      <sz val="12"/>
      <color rgb="FFC3BFB6"/>
      <name val="Tahoma"/>
      <family val="2"/>
    </font>
    <font>
      <sz val="12"/>
      <color rgb="FF337DFF"/>
      <name val="Tahoma"/>
      <family val="2"/>
    </font>
    <font>
      <i/>
      <sz val="12"/>
      <color rgb="FFC3BFB6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181A1B"/>
        <bgColor indexed="64"/>
      </patternFill>
    </fill>
    <fill>
      <patternFill patternType="solid">
        <fgColor rgb="FF22242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AA"/>
      </left>
      <right style="medium">
        <color rgb="FF0000AA"/>
      </right>
      <top style="medium">
        <color rgb="FF0000AA"/>
      </top>
      <bottom style="medium">
        <color rgb="FF0000AA"/>
      </bottom>
      <diagonal/>
    </border>
    <border>
      <left style="medium">
        <color rgb="FF0000AA"/>
      </left>
      <right style="medium">
        <color rgb="FF0000AA"/>
      </right>
      <top style="medium">
        <color rgb="FF0000AA"/>
      </top>
      <bottom/>
      <diagonal/>
    </border>
    <border>
      <left style="medium">
        <color rgb="FF0000AA"/>
      </left>
      <right style="medium">
        <color rgb="FF0000AA"/>
      </right>
      <top/>
      <bottom style="medium">
        <color rgb="FF0000AA"/>
      </bottom>
      <diagonal/>
    </border>
    <border>
      <left style="medium">
        <color rgb="FF0000AA"/>
      </left>
      <right/>
      <top style="medium">
        <color rgb="FF0000AA"/>
      </top>
      <bottom style="medium">
        <color rgb="FF0000AA"/>
      </bottom>
      <diagonal/>
    </border>
    <border>
      <left style="medium">
        <color rgb="FF0000AA"/>
      </left>
      <right/>
      <top style="medium">
        <color rgb="FF0000AA"/>
      </top>
      <bottom/>
      <diagonal/>
    </border>
    <border>
      <left style="medium">
        <color rgb="FF0000AA"/>
      </left>
      <right/>
      <top/>
      <bottom style="medium">
        <color rgb="FF0000AA"/>
      </bottom>
      <diagonal/>
    </border>
    <border>
      <left/>
      <right style="medium">
        <color rgb="FF0000AA"/>
      </right>
      <top style="medium">
        <color rgb="FF0000AA"/>
      </top>
      <bottom style="medium">
        <color rgb="FF0000AA"/>
      </bottom>
      <diagonal/>
    </border>
    <border>
      <left/>
      <right style="medium">
        <color rgb="FF0000AA"/>
      </right>
      <top style="medium">
        <color rgb="FF0000AA"/>
      </top>
      <bottom/>
      <diagonal/>
    </border>
    <border>
      <left/>
      <right style="medium">
        <color rgb="FF0000AA"/>
      </right>
      <top/>
      <bottom style="medium">
        <color rgb="FF0000AA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 vertical="top"/>
    </xf>
    <xf numFmtId="176" fontId="1" fillId="0" borderId="0" xfId="0" applyNumberFormat="1" applyFont="1" applyFill="1" applyAlignment="1">
      <alignment horizontal="right" vertical="top"/>
    </xf>
    <xf numFmtId="49" fontId="1" fillId="0" borderId="0" xfId="0" applyNumberFormat="1" applyFont="1" applyFill="1" applyAlignment="1">
      <alignment vertical="top"/>
    </xf>
    <xf numFmtId="176" fontId="1" fillId="0" borderId="0" xfId="0" applyNumberFormat="1" applyFont="1" applyFill="1" applyAlignment="1">
      <alignment horizontal="left" vertical="top"/>
    </xf>
    <xf numFmtId="2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right" vertical="top"/>
    </xf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2" fillId="0" borderId="0" xfId="0" applyFont="1" applyFill="1" applyAlignment="1">
      <alignment horizontal="center" vertical="top"/>
    </xf>
    <xf numFmtId="176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176" fontId="2" fillId="0" borderId="0" xfId="0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/>
    <xf numFmtId="49" fontId="2" fillId="0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0" fillId="0" borderId="0" xfId="0" applyFont="1" applyFill="1"/>
    <xf numFmtId="49" fontId="4" fillId="0" borderId="0" xfId="0" applyNumberFormat="1" applyFont="1" applyFill="1" applyAlignment="1">
      <alignment vertical="top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6" fillId="3" borderId="1" xfId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177" fontId="2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vertical="top"/>
    </xf>
    <xf numFmtId="0" fontId="1" fillId="5" borderId="0" xfId="0" applyNumberFormat="1" applyFont="1" applyFill="1" applyAlignment="1">
      <alignment vertical="top"/>
    </xf>
    <xf numFmtId="178" fontId="1" fillId="0" borderId="0" xfId="0" applyNumberFormat="1" applyFont="1" applyFill="1" applyAlignment="1">
      <alignment vertical="top"/>
    </xf>
    <xf numFmtId="178" fontId="1" fillId="5" borderId="0" xfId="0" applyNumberFormat="1" applyFont="1" applyFill="1" applyAlignment="1">
      <alignment vertical="top"/>
    </xf>
    <xf numFmtId="0" fontId="2" fillId="0" borderId="0" xfId="0" applyNumberFormat="1" applyFont="1" applyFill="1" applyAlignment="1">
      <alignment vertical="top"/>
    </xf>
    <xf numFmtId="0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6" fillId="4" borderId="2" xfId="1" applyFill="1" applyBorder="1" applyAlignment="1">
      <alignment horizontal="center" vertical="center"/>
    </xf>
    <xf numFmtId="0" fontId="6" fillId="4" borderId="3" xfId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WORK!$T$8:$T$151</c:f>
              <c:numCache>
                <c:formatCode>0.00</c:formatCode>
                <c:ptCount val="144"/>
                <c:pt idx="0" formatCode="0.0">
                  <c:v>1.4</c:v>
                </c:pt>
                <c:pt idx="1">
                  <c:v>2.1</c:v>
                </c:pt>
                <c:pt idx="2" formatCode="0.0">
                  <c:v>2.6</c:v>
                </c:pt>
                <c:pt idx="3" formatCode="0.0">
                  <c:v>4</c:v>
                </c:pt>
                <c:pt idx="4">
                  <c:v>2.1</c:v>
                </c:pt>
                <c:pt idx="5" formatCode="0.0">
                  <c:v>2.1</c:v>
                </c:pt>
                <c:pt idx="6" formatCode="General">
                  <c:v>5.4</c:v>
                </c:pt>
                <c:pt idx="7" formatCode="0.0">
                  <c:v>1.2</c:v>
                </c:pt>
                <c:pt idx="8">
                  <c:v>0</c:v>
                </c:pt>
                <c:pt idx="9">
                  <c:v>0</c:v>
                </c:pt>
                <c:pt idx="10" formatCode="0.0">
                  <c:v>2.1</c:v>
                </c:pt>
                <c:pt idx="11" formatCode="0.0">
                  <c:v>2.9</c:v>
                </c:pt>
                <c:pt idx="12">
                  <c:v>4.25</c:v>
                </c:pt>
                <c:pt idx="13" formatCode="0.0">
                  <c:v>4.3</c:v>
                </c:pt>
                <c:pt idx="14">
                  <c:v>3.09</c:v>
                </c:pt>
                <c:pt idx="15" formatCode="0.0">
                  <c:v>2.2999999999999998</c:v>
                </c:pt>
                <c:pt idx="16" formatCode="0.0">
                  <c:v>0.8</c:v>
                </c:pt>
                <c:pt idx="17" formatCode="0.0">
                  <c:v>2.2999999999999998</c:v>
                </c:pt>
                <c:pt idx="18">
                  <c:v>3.38</c:v>
                </c:pt>
                <c:pt idx="19" formatCode="0.0">
                  <c:v>2.9</c:v>
                </c:pt>
                <c:pt idx="20" formatCode="0.0">
                  <c:v>2.9</c:v>
                </c:pt>
                <c:pt idx="21" formatCode="General">
                  <c:v>5.5</c:v>
                </c:pt>
                <c:pt idx="22">
                  <c:v>3.77</c:v>
                </c:pt>
                <c:pt idx="23" formatCode="0.0">
                  <c:v>3.5</c:v>
                </c:pt>
                <c:pt idx="24" formatCode="0.0">
                  <c:v>3.2</c:v>
                </c:pt>
                <c:pt idx="25" formatCode="0.0">
                  <c:v>2.6</c:v>
                </c:pt>
                <c:pt idx="26" formatCode="0.0">
                  <c:v>1.4</c:v>
                </c:pt>
                <c:pt idx="27">
                  <c:v>1.81</c:v>
                </c:pt>
                <c:pt idx="28" formatCode="0.0">
                  <c:v>2.9</c:v>
                </c:pt>
                <c:pt idx="29" formatCode="0.0">
                  <c:v>2.1</c:v>
                </c:pt>
                <c:pt idx="30" formatCode="0.0">
                  <c:v>2.5</c:v>
                </c:pt>
                <c:pt idx="31" formatCode="0.0">
                  <c:v>2.9</c:v>
                </c:pt>
                <c:pt idx="32" formatCode="0.0">
                  <c:v>3</c:v>
                </c:pt>
                <c:pt idx="33" formatCode="0.0">
                  <c:v>2.7</c:v>
                </c:pt>
                <c:pt idx="34">
                  <c:v>1.1000000000000001</c:v>
                </c:pt>
                <c:pt idx="35" formatCode="0.0">
                  <c:v>2.8</c:v>
                </c:pt>
                <c:pt idx="36">
                  <c:v>2</c:v>
                </c:pt>
                <c:pt idx="37" formatCode="0.0">
                  <c:v>3.3</c:v>
                </c:pt>
                <c:pt idx="38">
                  <c:v>3.87</c:v>
                </c:pt>
                <c:pt idx="39" formatCode="0.0">
                  <c:v>2.2999999999999998</c:v>
                </c:pt>
                <c:pt idx="40">
                  <c:v>3.47</c:v>
                </c:pt>
                <c:pt idx="41" formatCode="0.0">
                  <c:v>2.6</c:v>
                </c:pt>
                <c:pt idx="42" formatCode="0.0">
                  <c:v>2.4</c:v>
                </c:pt>
                <c:pt idx="43" formatCode="0.0">
                  <c:v>2.4</c:v>
                </c:pt>
                <c:pt idx="44" formatCode="0.0">
                  <c:v>2.2000000000000002</c:v>
                </c:pt>
                <c:pt idx="45" formatCode="0.0">
                  <c:v>2.7</c:v>
                </c:pt>
                <c:pt idx="46" formatCode="0.0">
                  <c:v>1.7000000000000002</c:v>
                </c:pt>
                <c:pt idx="47" formatCode="0.0">
                  <c:v>4</c:v>
                </c:pt>
                <c:pt idx="48" formatCode="0.0">
                  <c:v>2.4</c:v>
                </c:pt>
                <c:pt idx="49" formatCode="0.0">
                  <c:v>3.2</c:v>
                </c:pt>
                <c:pt idx="50">
                  <c:v>2.8</c:v>
                </c:pt>
                <c:pt idx="51" formatCode="0.0">
                  <c:v>1.5</c:v>
                </c:pt>
                <c:pt idx="52" formatCode="0.0">
                  <c:v>2.9</c:v>
                </c:pt>
                <c:pt idx="53" formatCode="0.0">
                  <c:v>2.2000000000000002</c:v>
                </c:pt>
                <c:pt idx="54" formatCode="0.0">
                  <c:v>2.5</c:v>
                </c:pt>
                <c:pt idx="55" formatCode="0.0">
                  <c:v>2.4</c:v>
                </c:pt>
                <c:pt idx="56" formatCode="0.0">
                  <c:v>3.6</c:v>
                </c:pt>
                <c:pt idx="57" formatCode="0.0">
                  <c:v>3.8</c:v>
                </c:pt>
                <c:pt idx="58" formatCode="0.0">
                  <c:v>4.0999999999999996</c:v>
                </c:pt>
                <c:pt idx="59" formatCode="0.0">
                  <c:v>3.5</c:v>
                </c:pt>
                <c:pt idx="60" formatCode="0.0">
                  <c:v>3</c:v>
                </c:pt>
                <c:pt idx="61" formatCode="0.0">
                  <c:v>1.9</c:v>
                </c:pt>
                <c:pt idx="62" formatCode="0.0">
                  <c:v>3.4</c:v>
                </c:pt>
                <c:pt idx="63" formatCode="0.0">
                  <c:v>4.8</c:v>
                </c:pt>
                <c:pt idx="64">
                  <c:v>3.69</c:v>
                </c:pt>
                <c:pt idx="65" formatCode="0.0">
                  <c:v>3.8</c:v>
                </c:pt>
                <c:pt idx="66" formatCode="0.0">
                  <c:v>4.3</c:v>
                </c:pt>
                <c:pt idx="67" formatCode="0.0">
                  <c:v>2.9</c:v>
                </c:pt>
                <c:pt idx="68" formatCode="0.0">
                  <c:v>2.2999999999999998</c:v>
                </c:pt>
                <c:pt idx="69" formatCode="0.0">
                  <c:v>2.9</c:v>
                </c:pt>
                <c:pt idx="70" formatCode="0.0">
                  <c:v>2.6</c:v>
                </c:pt>
                <c:pt idx="71" formatCode="0.0">
                  <c:v>2.4</c:v>
                </c:pt>
                <c:pt idx="72" formatCode="0.0">
                  <c:v>2.2000000000000002</c:v>
                </c:pt>
                <c:pt idx="73" formatCode="General">
                  <c:v>5.5</c:v>
                </c:pt>
                <c:pt idx="74" formatCode="0.0">
                  <c:v>2.2999999999999998</c:v>
                </c:pt>
                <c:pt idx="75" formatCode="0.0">
                  <c:v>1.8</c:v>
                </c:pt>
                <c:pt idx="76" formatCode="0.0">
                  <c:v>4.2</c:v>
                </c:pt>
                <c:pt idx="77" formatCode="0.0">
                  <c:v>2.5</c:v>
                </c:pt>
                <c:pt idx="78">
                  <c:v>4.5</c:v>
                </c:pt>
                <c:pt idx="79" formatCode="General">
                  <c:v>5.8</c:v>
                </c:pt>
                <c:pt idx="80" formatCode="0.0">
                  <c:v>3.3</c:v>
                </c:pt>
                <c:pt idx="81" formatCode="0.0">
                  <c:v>1.9</c:v>
                </c:pt>
                <c:pt idx="82" formatCode="0.0">
                  <c:v>1.2</c:v>
                </c:pt>
                <c:pt idx="83" formatCode="0.0">
                  <c:v>1.2</c:v>
                </c:pt>
                <c:pt idx="84">
                  <c:v>1.9</c:v>
                </c:pt>
                <c:pt idx="85" formatCode="0.0">
                  <c:v>4.4000000000000004</c:v>
                </c:pt>
                <c:pt idx="86">
                  <c:v>3</c:v>
                </c:pt>
                <c:pt idx="87" formatCode="0.0">
                  <c:v>4</c:v>
                </c:pt>
                <c:pt idx="88" formatCode="0.0">
                  <c:v>4.4000000000000004</c:v>
                </c:pt>
                <c:pt idx="89" formatCode="0.0">
                  <c:v>4.5</c:v>
                </c:pt>
                <c:pt idx="90" formatCode="0.0">
                  <c:v>1.2</c:v>
                </c:pt>
                <c:pt idx="91" formatCode="0.0">
                  <c:v>4.3</c:v>
                </c:pt>
                <c:pt idx="92" formatCode="0.0">
                  <c:v>4</c:v>
                </c:pt>
                <c:pt idx="93" formatCode="0.0">
                  <c:v>2.2999999999999998</c:v>
                </c:pt>
                <c:pt idx="94" formatCode="0.0">
                  <c:v>2.8</c:v>
                </c:pt>
                <c:pt idx="95" formatCode="General">
                  <c:v>5.6</c:v>
                </c:pt>
                <c:pt idx="96" formatCode="0.0">
                  <c:v>1.8</c:v>
                </c:pt>
                <c:pt idx="97" formatCode="0.0">
                  <c:v>3.8</c:v>
                </c:pt>
                <c:pt idx="98">
                  <c:v>3.82</c:v>
                </c:pt>
                <c:pt idx="99" formatCode="General">
                  <c:v>5.5</c:v>
                </c:pt>
                <c:pt idx="100" formatCode="0.0">
                  <c:v>3.1</c:v>
                </c:pt>
                <c:pt idx="101">
                  <c:v>2.63</c:v>
                </c:pt>
                <c:pt idx="102" formatCode="0.0">
                  <c:v>3.8</c:v>
                </c:pt>
                <c:pt idx="103" formatCode="0.0">
                  <c:v>3.1</c:v>
                </c:pt>
                <c:pt idx="104" formatCode="0.0">
                  <c:v>3.6</c:v>
                </c:pt>
                <c:pt idx="105" formatCode="0.0">
                  <c:v>4.2</c:v>
                </c:pt>
                <c:pt idx="106" formatCode="0.0">
                  <c:v>2.5</c:v>
                </c:pt>
                <c:pt idx="107">
                  <c:v>0</c:v>
                </c:pt>
                <c:pt idx="108" formatCode="0.0">
                  <c:v>2.9</c:v>
                </c:pt>
                <c:pt idx="109" formatCode="0.0">
                  <c:v>1.1000000000000001</c:v>
                </c:pt>
                <c:pt idx="110">
                  <c:v>3.87</c:v>
                </c:pt>
                <c:pt idx="111" formatCode="0.0">
                  <c:v>3.4</c:v>
                </c:pt>
                <c:pt idx="112">
                  <c:v>3.15</c:v>
                </c:pt>
                <c:pt idx="113" formatCode="0.0">
                  <c:v>3.4</c:v>
                </c:pt>
                <c:pt idx="114" formatCode="0.0">
                  <c:v>2.1</c:v>
                </c:pt>
                <c:pt idx="115">
                  <c:v>0</c:v>
                </c:pt>
                <c:pt idx="116" formatCode="0.0">
                  <c:v>3.3</c:v>
                </c:pt>
                <c:pt idx="117" formatCode="0.0">
                  <c:v>3.3</c:v>
                </c:pt>
                <c:pt idx="118">
                  <c:v>2.82</c:v>
                </c:pt>
                <c:pt idx="119" formatCode="0.0">
                  <c:v>3</c:v>
                </c:pt>
                <c:pt idx="120" formatCode="0.0">
                  <c:v>4</c:v>
                </c:pt>
                <c:pt idx="121">
                  <c:v>2.59</c:v>
                </c:pt>
                <c:pt idx="122" formatCode="0.0">
                  <c:v>3.3</c:v>
                </c:pt>
                <c:pt idx="123">
                  <c:v>0</c:v>
                </c:pt>
                <c:pt idx="124">
                  <c:v>3.74</c:v>
                </c:pt>
                <c:pt idx="125">
                  <c:v>4.04</c:v>
                </c:pt>
                <c:pt idx="126">
                  <c:v>0</c:v>
                </c:pt>
                <c:pt idx="127" formatCode="0.0">
                  <c:v>1.3</c:v>
                </c:pt>
                <c:pt idx="128" formatCode="0.0">
                  <c:v>1.1000000000000001</c:v>
                </c:pt>
                <c:pt idx="129">
                  <c:v>4.45</c:v>
                </c:pt>
                <c:pt idx="130" formatCode="0.0">
                  <c:v>2.5</c:v>
                </c:pt>
                <c:pt idx="131">
                  <c:v>4.5199999999999996</c:v>
                </c:pt>
                <c:pt idx="132" formatCode="0.0">
                  <c:v>4.2</c:v>
                </c:pt>
                <c:pt idx="133">
                  <c:v>3.18</c:v>
                </c:pt>
                <c:pt idx="134" formatCode="0.0">
                  <c:v>3.9</c:v>
                </c:pt>
                <c:pt idx="135" formatCode="0.0">
                  <c:v>2.7</c:v>
                </c:pt>
                <c:pt idx="136">
                  <c:v>2.94</c:v>
                </c:pt>
                <c:pt idx="137">
                  <c:v>3.81</c:v>
                </c:pt>
                <c:pt idx="138" formatCode="0.0">
                  <c:v>1.6</c:v>
                </c:pt>
                <c:pt idx="139">
                  <c:v>3.33</c:v>
                </c:pt>
                <c:pt idx="140">
                  <c:v>3.53</c:v>
                </c:pt>
                <c:pt idx="141" formatCode="0.0">
                  <c:v>2.5</c:v>
                </c:pt>
                <c:pt idx="142" formatCode="0.0">
                  <c:v>1.4</c:v>
                </c:pt>
                <c:pt idx="143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0-47D7-BDC6-D8E1348C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7375"/>
        <c:axId val="411923631"/>
      </c:lineChart>
      <c:catAx>
        <c:axId val="41192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23631"/>
        <c:crosses val="autoZero"/>
        <c:auto val="1"/>
        <c:lblAlgn val="ctr"/>
        <c:lblOffset val="100"/>
        <c:noMultiLvlLbl val="0"/>
      </c:catAx>
      <c:valAx>
        <c:axId val="4119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2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WORK!$N$2:$N$151</c:f>
              <c:numCache>
                <c:formatCode>0.0</c:formatCode>
                <c:ptCount val="150"/>
                <c:pt idx="0">
                  <c:v>8</c:v>
                </c:pt>
                <c:pt idx="1">
                  <c:v>8.1999999999999993</c:v>
                </c:pt>
                <c:pt idx="2">
                  <c:v>7.5</c:v>
                </c:pt>
                <c:pt idx="3">
                  <c:v>7.8</c:v>
                </c:pt>
                <c:pt idx="4">
                  <c:v>9.5</c:v>
                </c:pt>
                <c:pt idx="5">
                  <c:v>6.9</c:v>
                </c:pt>
                <c:pt idx="6">
                  <c:v>8.3000000000000007</c:v>
                </c:pt>
                <c:pt idx="7">
                  <c:v>7.8</c:v>
                </c:pt>
                <c:pt idx="8">
                  <c:v>6.5</c:v>
                </c:pt>
                <c:pt idx="9">
                  <c:v>5.7</c:v>
                </c:pt>
                <c:pt idx="10">
                  <c:v>9.1</c:v>
                </c:pt>
                <c:pt idx="11">
                  <c:v>8.3000000000000007</c:v>
                </c:pt>
                <c:pt idx="12">
                  <c:v>7.5</c:v>
                </c:pt>
                <c:pt idx="13">
                  <c:v>8.1999999999999993</c:v>
                </c:pt>
                <c:pt idx="14">
                  <c:v>10.6</c:v>
                </c:pt>
                <c:pt idx="15">
                  <c:v>7.4</c:v>
                </c:pt>
                <c:pt idx="16">
                  <c:v>7.3</c:v>
                </c:pt>
                <c:pt idx="17">
                  <c:v>8.1</c:v>
                </c:pt>
                <c:pt idx="18">
                  <c:v>8.4</c:v>
                </c:pt>
                <c:pt idx="19">
                  <c:v>6.9</c:v>
                </c:pt>
                <c:pt idx="20">
                  <c:v>9.6999999999999993</c:v>
                </c:pt>
                <c:pt idx="21">
                  <c:v>7.5</c:v>
                </c:pt>
                <c:pt idx="22">
                  <c:v>7.1</c:v>
                </c:pt>
                <c:pt idx="23">
                  <c:v>7.5</c:v>
                </c:pt>
                <c:pt idx="24">
                  <c:v>6.7</c:v>
                </c:pt>
                <c:pt idx="25">
                  <c:v>7.7</c:v>
                </c:pt>
                <c:pt idx="26">
                  <c:v>8.8000000000000007</c:v>
                </c:pt>
                <c:pt idx="27">
                  <c:v>5.5</c:v>
                </c:pt>
                <c:pt idx="28">
                  <c:v>8.5</c:v>
                </c:pt>
                <c:pt idx="29">
                  <c:v>5.8</c:v>
                </c:pt>
                <c:pt idx="30">
                  <c:v>8.5</c:v>
                </c:pt>
                <c:pt idx="31">
                  <c:v>8.3000000000000007</c:v>
                </c:pt>
                <c:pt idx="32">
                  <c:v>7.4</c:v>
                </c:pt>
                <c:pt idx="33">
                  <c:v>8.1999999999999993</c:v>
                </c:pt>
                <c:pt idx="34">
                  <c:v>8</c:v>
                </c:pt>
                <c:pt idx="35">
                  <c:v>7.4</c:v>
                </c:pt>
                <c:pt idx="36">
                  <c:v>7.7</c:v>
                </c:pt>
                <c:pt idx="37">
                  <c:v>5.9</c:v>
                </c:pt>
                <c:pt idx="38">
                  <c:v>6.5</c:v>
                </c:pt>
                <c:pt idx="39">
                  <c:v>8.3000000000000007</c:v>
                </c:pt>
                <c:pt idx="40">
                  <c:v>9.1</c:v>
                </c:pt>
                <c:pt idx="41">
                  <c:v>7.4</c:v>
                </c:pt>
                <c:pt idx="42">
                  <c:v>9.5</c:v>
                </c:pt>
                <c:pt idx="43">
                  <c:v>8.5</c:v>
                </c:pt>
                <c:pt idx="44">
                  <c:v>8.5</c:v>
                </c:pt>
                <c:pt idx="45">
                  <c:v>6</c:v>
                </c:pt>
                <c:pt idx="46">
                  <c:v>8.4</c:v>
                </c:pt>
                <c:pt idx="47">
                  <c:v>5.0999999999999996</c:v>
                </c:pt>
                <c:pt idx="48">
                  <c:v>8.1</c:v>
                </c:pt>
                <c:pt idx="49">
                  <c:v>8.1</c:v>
                </c:pt>
                <c:pt idx="50">
                  <c:v>6.2</c:v>
                </c:pt>
                <c:pt idx="51">
                  <c:v>7</c:v>
                </c:pt>
                <c:pt idx="52">
                  <c:v>7</c:v>
                </c:pt>
                <c:pt idx="53">
                  <c:v>7.5</c:v>
                </c:pt>
                <c:pt idx="54">
                  <c:v>6.4</c:v>
                </c:pt>
                <c:pt idx="55">
                  <c:v>7.3</c:v>
                </c:pt>
                <c:pt idx="56">
                  <c:v>8.3000000000000007</c:v>
                </c:pt>
                <c:pt idx="57">
                  <c:v>8.1</c:v>
                </c:pt>
                <c:pt idx="58">
                  <c:v>7</c:v>
                </c:pt>
                <c:pt idx="59">
                  <c:v>7.4</c:v>
                </c:pt>
                <c:pt idx="60">
                  <c:v>8.6999999999999993</c:v>
                </c:pt>
                <c:pt idx="61">
                  <c:v>7</c:v>
                </c:pt>
                <c:pt idx="62">
                  <c:v>8.1</c:v>
                </c:pt>
                <c:pt idx="63">
                  <c:v>8.1999999999999993</c:v>
                </c:pt>
                <c:pt idx="64">
                  <c:v>8.3000000000000007</c:v>
                </c:pt>
                <c:pt idx="65">
                  <c:v>8.9</c:v>
                </c:pt>
                <c:pt idx="66">
                  <c:v>8.5</c:v>
                </c:pt>
                <c:pt idx="67">
                  <c:v>7</c:v>
                </c:pt>
                <c:pt idx="68">
                  <c:v>5.6</c:v>
                </c:pt>
                <c:pt idx="69">
                  <c:v>7.6</c:v>
                </c:pt>
                <c:pt idx="70">
                  <c:v>8.6</c:v>
                </c:pt>
                <c:pt idx="71">
                  <c:v>6.5</c:v>
                </c:pt>
                <c:pt idx="72">
                  <c:v>6.5</c:v>
                </c:pt>
                <c:pt idx="73">
                  <c:v>7.5</c:v>
                </c:pt>
                <c:pt idx="74">
                  <c:v>6.8</c:v>
                </c:pt>
                <c:pt idx="75">
                  <c:v>6</c:v>
                </c:pt>
                <c:pt idx="76">
                  <c:v>4.5</c:v>
                </c:pt>
                <c:pt idx="77">
                  <c:v>5.9</c:v>
                </c:pt>
                <c:pt idx="78">
                  <c:v>8</c:v>
                </c:pt>
                <c:pt idx="79">
                  <c:v>6.5</c:v>
                </c:pt>
                <c:pt idx="80">
                  <c:v>9.3000000000000007</c:v>
                </c:pt>
                <c:pt idx="81">
                  <c:v>7</c:v>
                </c:pt>
                <c:pt idx="82">
                  <c:v>6</c:v>
                </c:pt>
                <c:pt idx="83">
                  <c:v>4.8</c:v>
                </c:pt>
                <c:pt idx="84">
                  <c:v>7.9</c:v>
                </c:pt>
                <c:pt idx="85">
                  <c:v>8.4</c:v>
                </c:pt>
                <c:pt idx="86">
                  <c:v>6</c:v>
                </c:pt>
                <c:pt idx="87">
                  <c:v>9.1999999999999993</c:v>
                </c:pt>
                <c:pt idx="88">
                  <c:v>8.5</c:v>
                </c:pt>
                <c:pt idx="89">
                  <c:v>7.4</c:v>
                </c:pt>
                <c:pt idx="90">
                  <c:v>5.7</c:v>
                </c:pt>
                <c:pt idx="91">
                  <c:v>6.9</c:v>
                </c:pt>
                <c:pt idx="92">
                  <c:v>7.8</c:v>
                </c:pt>
                <c:pt idx="93">
                  <c:v>7.3</c:v>
                </c:pt>
                <c:pt idx="94">
                  <c:v>7</c:v>
                </c:pt>
                <c:pt idx="95">
                  <c:v>8</c:v>
                </c:pt>
                <c:pt idx="96">
                  <c:v>7.3</c:v>
                </c:pt>
                <c:pt idx="97">
                  <c:v>7</c:v>
                </c:pt>
                <c:pt idx="98">
                  <c:v>7</c:v>
                </c:pt>
                <c:pt idx="99">
                  <c:v>8.1999999999999993</c:v>
                </c:pt>
                <c:pt idx="100">
                  <c:v>7</c:v>
                </c:pt>
                <c:pt idx="101">
                  <c:v>7.2</c:v>
                </c:pt>
                <c:pt idx="102">
                  <c:v>8.5</c:v>
                </c:pt>
                <c:pt idx="103">
                  <c:v>6.9</c:v>
                </c:pt>
                <c:pt idx="104">
                  <c:v>9</c:v>
                </c:pt>
                <c:pt idx="105">
                  <c:v>7.5</c:v>
                </c:pt>
                <c:pt idx="106">
                  <c:v>7.8</c:v>
                </c:pt>
                <c:pt idx="107">
                  <c:v>8.6999999999999993</c:v>
                </c:pt>
                <c:pt idx="108">
                  <c:v>9.5</c:v>
                </c:pt>
                <c:pt idx="109">
                  <c:v>6.3</c:v>
                </c:pt>
                <c:pt idx="110">
                  <c:v>8</c:v>
                </c:pt>
                <c:pt idx="111">
                  <c:v>6.6</c:v>
                </c:pt>
                <c:pt idx="112">
                  <c:v>6.7</c:v>
                </c:pt>
                <c:pt idx="113">
                  <c:v>8.3000000000000007</c:v>
                </c:pt>
                <c:pt idx="114">
                  <c:v>5.9</c:v>
                </c:pt>
                <c:pt idx="115">
                  <c:v>7</c:v>
                </c:pt>
                <c:pt idx="116">
                  <c:v>7.1</c:v>
                </c:pt>
                <c:pt idx="117">
                  <c:v>6.6</c:v>
                </c:pt>
                <c:pt idx="118">
                  <c:v>7</c:v>
                </c:pt>
                <c:pt idx="119">
                  <c:v>7.9</c:v>
                </c:pt>
                <c:pt idx="120">
                  <c:v>8.4</c:v>
                </c:pt>
                <c:pt idx="121">
                  <c:v>8.5</c:v>
                </c:pt>
                <c:pt idx="122">
                  <c:v>7</c:v>
                </c:pt>
                <c:pt idx="123">
                  <c:v>8.5</c:v>
                </c:pt>
                <c:pt idx="124">
                  <c:v>8.5</c:v>
                </c:pt>
                <c:pt idx="125">
                  <c:v>6.5</c:v>
                </c:pt>
                <c:pt idx="126">
                  <c:v>7</c:v>
                </c:pt>
                <c:pt idx="127">
                  <c:v>8.8000000000000007</c:v>
                </c:pt>
                <c:pt idx="128">
                  <c:v>5.9</c:v>
                </c:pt>
                <c:pt idx="129">
                  <c:v>11</c:v>
                </c:pt>
                <c:pt idx="130">
                  <c:v>9.3000000000000007</c:v>
                </c:pt>
                <c:pt idx="131">
                  <c:v>7.7</c:v>
                </c:pt>
                <c:pt idx="132">
                  <c:v>7.9</c:v>
                </c:pt>
                <c:pt idx="133">
                  <c:v>7.9</c:v>
                </c:pt>
                <c:pt idx="134">
                  <c:v>8.1</c:v>
                </c:pt>
                <c:pt idx="135">
                  <c:v>7.4</c:v>
                </c:pt>
                <c:pt idx="136">
                  <c:v>5.6</c:v>
                </c:pt>
                <c:pt idx="137">
                  <c:v>7.1</c:v>
                </c:pt>
                <c:pt idx="138">
                  <c:v>9.8000000000000007</c:v>
                </c:pt>
                <c:pt idx="139">
                  <c:v>7.7</c:v>
                </c:pt>
                <c:pt idx="140">
                  <c:v>7.6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9.6</c:v>
                </c:pt>
                <c:pt idx="144">
                  <c:v>8.5</c:v>
                </c:pt>
                <c:pt idx="145">
                  <c:v>9</c:v>
                </c:pt>
                <c:pt idx="146">
                  <c:v>7.7</c:v>
                </c:pt>
                <c:pt idx="147">
                  <c:v>4.8</c:v>
                </c:pt>
                <c:pt idx="148">
                  <c:v>8.5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A-4B35-BE30-B7756F0B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22287"/>
        <c:axId val="407523951"/>
      </c:barChart>
      <c:catAx>
        <c:axId val="40752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3951"/>
        <c:crosses val="autoZero"/>
        <c:auto val="1"/>
        <c:lblAlgn val="ctr"/>
        <c:lblOffset val="100"/>
        <c:noMultiLvlLbl val="0"/>
      </c:catAx>
      <c:valAx>
        <c:axId val="4075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853110</xdr:colOff>
      <xdr:row>176</xdr:row>
      <xdr:rowOff>110986</xdr:rowOff>
    </xdr:from>
    <xdr:to>
      <xdr:col>25</xdr:col>
      <xdr:colOff>82827</xdr:colOff>
      <xdr:row>198</xdr:row>
      <xdr:rowOff>33129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161511</xdr:colOff>
      <xdr:row>153</xdr:row>
      <xdr:rowOff>19878</xdr:rowOff>
    </xdr:from>
    <xdr:to>
      <xdr:col>17</xdr:col>
      <xdr:colOff>658468</xdr:colOff>
      <xdr:row>168</xdr:row>
      <xdr:rowOff>154056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dw.net/belmontnc/carbonstar.ht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imbad.u-strasbg.fr/simbad/sim-id?Ident=%40301183&amp;Name=V*%20UX%20Dra&amp;submit=submit" TargetMode="External"/><Relationship Id="rId21" Type="http://schemas.openxmlformats.org/officeDocument/2006/relationships/hyperlink" Target="http://simbad.u-strasbg.fr/simbad/sim-id?Ident=%40212721&amp;Name=HD%20232820&amp;submit=submit" TargetMode="External"/><Relationship Id="rId42" Type="http://schemas.openxmlformats.org/officeDocument/2006/relationships/hyperlink" Target="http://simbad.u-strasbg.fr/simbad/sim-id?Ident=%40821922&amp;Name=V*%20FU%20Aur&amp;submit=submit" TargetMode="External"/><Relationship Id="rId63" Type="http://schemas.openxmlformats.org/officeDocument/2006/relationships/hyperlink" Target="http://simbad.u-strasbg.fr/simbad/sim-id?Ident=%401007023&amp;Name=V*%20W%20CMi&amp;submit=submit" TargetMode="External"/><Relationship Id="rId84" Type="http://schemas.openxmlformats.org/officeDocument/2006/relationships/hyperlink" Target="http://simbad.u-strasbg.fr/simbad/sim-id?Ident=%403295005&amp;Name=V*%20S%20Cen&amp;submit=submit" TargetMode="External"/><Relationship Id="rId138" Type="http://schemas.openxmlformats.org/officeDocument/2006/relationships/hyperlink" Target="http://simbad.u-strasbg.fr/simbad/sim-id?Ident=%40278007&amp;Name=V*%20S%20Cep&amp;submit=submit" TargetMode="External"/><Relationship Id="rId107" Type="http://schemas.openxmlformats.org/officeDocument/2006/relationships/hyperlink" Target="http://simbad.u-strasbg.fr/simbad/sim-id?Ident=%402552581&amp;Name=V*%20SS%20Sgr&amp;submit=submit" TargetMode="External"/><Relationship Id="rId11" Type="http://schemas.openxmlformats.org/officeDocument/2006/relationships/hyperlink" Target="http://simbad.u-strasbg.fr/simbad/sim-id?Ident=%401494518&amp;Name=V*%20Z%20Psc&amp;submit=submit" TargetMode="External"/><Relationship Id="rId32" Type="http://schemas.openxmlformats.org/officeDocument/2006/relationships/hyperlink" Target="http://simbad.u-strasbg.fr/simbad/sim-id?Ident=%40769989&amp;Name=V*%20W%20Ori&amp;submit=submit" TargetMode="External"/><Relationship Id="rId53" Type="http://schemas.openxmlformats.org/officeDocument/2006/relationships/hyperlink" Target="http://simbad.u-strasbg.fr/simbad/sim-id?Ident=%40934230&amp;Name=V*%20NP%20Pup&amp;submit=submit" TargetMode="External"/><Relationship Id="rId74" Type="http://schemas.openxmlformats.org/officeDocument/2006/relationships/hyperlink" Target="http://simbad.u-strasbg.fr/simbad/sim-id?Ident=%401663869&amp;Name=V*%20Y%20Hya&amp;submit=submit" TargetMode="External"/><Relationship Id="rId128" Type="http://schemas.openxmlformats.org/officeDocument/2006/relationships/hyperlink" Target="http://simbad.u-strasbg.fr/simbad/sim-id?Ident=%402952803&amp;Name=V*%20RS%20Cyg&amp;submit=submit" TargetMode="External"/><Relationship Id="rId149" Type="http://schemas.openxmlformats.org/officeDocument/2006/relationships/hyperlink" Target="http://simbad.u-strasbg.fr/simbad/sim-id?Ident=%401529987&amp;Name=V*%20ST%20And&amp;submit=submit" TargetMode="External"/><Relationship Id="rId5" Type="http://schemas.openxmlformats.org/officeDocument/2006/relationships/hyperlink" Target="http://simbad.u-strasbg.fr/simbad/sim-id?Ident=%4021932&amp;Name=V*%20ST%20Cas&amp;submit=submit" TargetMode="External"/><Relationship Id="rId95" Type="http://schemas.openxmlformats.org/officeDocument/2006/relationships/hyperlink" Target="http://simbad.u-strasbg.fr/simbad/sim-id?Ident=%40442080&amp;Name=V*%20RR%20Her&amp;submit=submit" TargetMode="External"/><Relationship Id="rId22" Type="http://schemas.openxmlformats.org/officeDocument/2006/relationships/hyperlink" Target="http://simbad.u-strasbg.fr/simbad/sim-id?Ident=%40256325&amp;Name=V*%20U%20Cam&amp;submit=submit" TargetMode="External"/><Relationship Id="rId27" Type="http://schemas.openxmlformats.org/officeDocument/2006/relationships/hyperlink" Target="http://simbad.u-strasbg.fr/simbad/sim-id?Ident=%40293327&amp;Name=V*%20ST%20Cam&amp;submit=submit" TargetMode="External"/><Relationship Id="rId43" Type="http://schemas.openxmlformats.org/officeDocument/2006/relationships/hyperlink" Target="http://simbad.u-strasbg.fr/simbad/sim-id?Ident=%40841639&amp;Name=V*%20SU%20Tau&amp;submit=submit" TargetMode="External"/><Relationship Id="rId48" Type="http://schemas.openxmlformats.org/officeDocument/2006/relationships/hyperlink" Target="http://simbad.u-strasbg.fr/simbad/sim-id?Ident=%40887467&amp;Name=V*%20BL%20Ori&amp;submit=submit" TargetMode="External"/><Relationship Id="rId64" Type="http://schemas.openxmlformats.org/officeDocument/2006/relationships/hyperlink" Target="http://simbad.u-strasbg.fr/simbad/sim-id?Ident=%401058297&amp;Name=V*%20RT%20Pup&amp;submit=submit" TargetMode="External"/><Relationship Id="rId69" Type="http://schemas.openxmlformats.org/officeDocument/2006/relationships/hyperlink" Target="http://simbad.u-strasbg.fr/simbad/sim-id?Ident=%401098883&amp;Name=V*%20YY%20Pyx&amp;submit=submit" TargetMode="External"/><Relationship Id="rId113" Type="http://schemas.openxmlformats.org/officeDocument/2006/relationships/hyperlink" Target="http://simbad.u-strasbg.fr/simbad/sim-id?Ident=%402735526&amp;Name=V*%20UV%20Aql&amp;submit=submit" TargetMode="External"/><Relationship Id="rId118" Type="http://schemas.openxmlformats.org/officeDocument/2006/relationships/hyperlink" Target="http://simbad.u-strasbg.fr/simbad/sim-id?Ident=%402589762&amp;Name=HD%20182040&amp;submit=submit" TargetMode="External"/><Relationship Id="rId134" Type="http://schemas.openxmlformats.org/officeDocument/2006/relationships/hyperlink" Target="http://simbad.u-strasbg.fr/simbad/sim-id?Ident=%40116378&amp;Name=V*%20V%20Cyg&amp;submit=submit" TargetMode="External"/><Relationship Id="rId139" Type="http://schemas.openxmlformats.org/officeDocument/2006/relationships/hyperlink" Target="http://simbad.u-strasbg.fr/simbad/sim-id?Ident=%401550849&amp;Name=V*%20V460%20Cyg&amp;submit=submit" TargetMode="External"/><Relationship Id="rId80" Type="http://schemas.openxmlformats.org/officeDocument/2006/relationships/hyperlink" Target="http://simbad.u-strasbg.fr/simbad/sim-id?Ident=%40448645&amp;Name=V*%20VY%20UMa&amp;submit=submit" TargetMode="External"/><Relationship Id="rId85" Type="http://schemas.openxmlformats.org/officeDocument/2006/relationships/hyperlink" Target="http://simbad.u-strasbg.fr/simbad/sim-id?Ident=%401940001&amp;Name=V*%20SS%20Vir&amp;submit=submit" TargetMode="External"/><Relationship Id="rId150" Type="http://schemas.openxmlformats.org/officeDocument/2006/relationships/hyperlink" Target="http://simbad.u-strasbg.fr/simbad/sim-id?Ident=%401402860&amp;Name=*%20%2019%20Psc&amp;submit=submit" TargetMode="External"/><Relationship Id="rId12" Type="http://schemas.openxmlformats.org/officeDocument/2006/relationships/hyperlink" Target="http://simbad.u-strasbg.fr/simbad/sim-id?Ident=%401212423&amp;Name=V*%20R%20Scl&amp;submit=submit" TargetMode="External"/><Relationship Id="rId17" Type="http://schemas.openxmlformats.org/officeDocument/2006/relationships/hyperlink" Target="http://simbad.u-strasbg.fr/simbad/sim-id?Ident=%4011684907&amp;Name=V*%20DY%20Per&amp;submit=submit" TargetMode="External"/><Relationship Id="rId33" Type="http://schemas.openxmlformats.org/officeDocument/2006/relationships/hyperlink" Target="http://simbad.u-strasbg.fr/simbad/sim-id?Ident=%40755174&amp;Name=V*%20TX%20Aur&amp;submit=submit" TargetMode="External"/><Relationship Id="rId38" Type="http://schemas.openxmlformats.org/officeDocument/2006/relationships/hyperlink" Target="http://simbad.u-strasbg.fr/simbad/sim-id?Ident=%40817188&amp;Name=V*%20SZ%20Lep&amp;submit=submit" TargetMode="External"/><Relationship Id="rId59" Type="http://schemas.openxmlformats.org/officeDocument/2006/relationships/hyperlink" Target="http://simbad.u-strasbg.fr/simbad/sim-id?Ident=%40969158&amp;Name=V*%20BM%20Gem&amp;submit=submit" TargetMode="External"/><Relationship Id="rId103" Type="http://schemas.openxmlformats.org/officeDocument/2006/relationships/hyperlink" Target="http://simbad.u-strasbg.fr/simbad/sim-id?Ident=%402365350&amp;Name=V*%20SX%20Sco&amp;submit=submit" TargetMode="External"/><Relationship Id="rId108" Type="http://schemas.openxmlformats.org/officeDocument/2006/relationships/hyperlink" Target="http://simbad.u-strasbg.fr/simbad/sim-id?Ident=%402899696&amp;Name=V*%20T%20Lyr&amp;submit=submit" TargetMode="External"/><Relationship Id="rId124" Type="http://schemas.openxmlformats.org/officeDocument/2006/relationships/hyperlink" Target="http://simbad.u-strasbg.fr/simbad/sim-id?Ident=%402791098&amp;Name=V*%20BF%20Sge&amp;submit=submit" TargetMode="External"/><Relationship Id="rId129" Type="http://schemas.openxmlformats.org/officeDocument/2006/relationships/hyperlink" Target="http://simbad.u-strasbg.fr/simbad/sim-id?Ident=%402526747&amp;Name=V*%20RT%20Cap&amp;submit=submit" TargetMode="External"/><Relationship Id="rId54" Type="http://schemas.openxmlformats.org/officeDocument/2006/relationships/hyperlink" Target="http://simbad.u-strasbg.fr/simbad/sim-id?Ident=%40938989&amp;Name=V*%20RV%20Mon&amp;submit=submit" TargetMode="External"/><Relationship Id="rId70" Type="http://schemas.openxmlformats.org/officeDocument/2006/relationships/hyperlink" Target="http://simbad.u-strasbg.fr/simbad/sim-id?Ident=%401119997&amp;Name=V*%20UZ%20Pyx&amp;submit=submit" TargetMode="External"/><Relationship Id="rId75" Type="http://schemas.openxmlformats.org/officeDocument/2006/relationships/hyperlink" Target="http://simbad.u-strasbg.fr/simbad/sim-id?Ident=%403029839&amp;Name=V*%20X%20Vel&amp;submit=submit" TargetMode="External"/><Relationship Id="rId91" Type="http://schemas.openxmlformats.org/officeDocument/2006/relationships/hyperlink" Target="http://simbad.u-strasbg.fr/simbad/sim-id?Ident=%402059543&amp;Name=HD%20113801&amp;submit=submit" TargetMode="External"/><Relationship Id="rId96" Type="http://schemas.openxmlformats.org/officeDocument/2006/relationships/hyperlink" Target="http://simbad.u-strasbg.fr/simbad/sim-id?Ident=%402579561&amp;Name=V*%20V%20Oph&amp;submit=submit" TargetMode="External"/><Relationship Id="rId140" Type="http://schemas.openxmlformats.org/officeDocument/2006/relationships/hyperlink" Target="http://simbad.u-strasbg.fr/simbad/sim-id?Ident=%401583618&amp;Name=V*%20RV%20Cyg&amp;submit=submit" TargetMode="External"/><Relationship Id="rId145" Type="http://schemas.openxmlformats.org/officeDocument/2006/relationships/hyperlink" Target="http://simbad.u-strasbg.fr/simbad/sim-id?Ident=%4078675&amp;Name=V*%20TV%20Lac&amp;submit=submit" TargetMode="External"/><Relationship Id="rId1" Type="http://schemas.openxmlformats.org/officeDocument/2006/relationships/hyperlink" Target="http://simbad.u-strasbg.fr/simbad/sim-display?data=otypes" TargetMode="External"/><Relationship Id="rId6" Type="http://schemas.openxmlformats.org/officeDocument/2006/relationships/hyperlink" Target="http://simbad.u-strasbg.fr/simbad/sim-id?Ident=%4011671284&amp;Name=V*%20VX%20And&amp;submit=submit" TargetMode="External"/><Relationship Id="rId23" Type="http://schemas.openxmlformats.org/officeDocument/2006/relationships/hyperlink" Target="http://simbad.u-strasbg.fr/simbad/sim-id?Ident=%40151791&amp;Name=V*%20AC%20Per&amp;submit=submit" TargetMode="External"/><Relationship Id="rId28" Type="http://schemas.openxmlformats.org/officeDocument/2006/relationships/hyperlink" Target="http://simbad.u-strasbg.fr/simbad/sim-id?Ident=%40732135&amp;Name=V*%20TT%20Tau&amp;submit=submit" TargetMode="External"/><Relationship Id="rId49" Type="http://schemas.openxmlformats.org/officeDocument/2006/relationships/hyperlink" Target="http://simbad.u-strasbg.fr/simbad/sim-id?Ident=%40898619&amp;Name=V*%20RV%20Aur&amp;submit=submit" TargetMode="External"/><Relationship Id="rId114" Type="http://schemas.openxmlformats.org/officeDocument/2006/relationships/hyperlink" Target="http://simbad.u-strasbg.fr/simbad/sim-id?Ident=%402616325&amp;Name=V*%20V%20Aql&amp;submit=submit" TargetMode="External"/><Relationship Id="rId119" Type="http://schemas.openxmlformats.org/officeDocument/2006/relationships/hyperlink" Target="http://simbad.u-strasbg.fr/simbad/sim-id?Ident=%40215132&amp;Name=V*%20AW%20Cyg&amp;submit=submit" TargetMode="External"/><Relationship Id="rId44" Type="http://schemas.openxmlformats.org/officeDocument/2006/relationships/hyperlink" Target="http://simbad.u-strasbg.fr/simbad/sim-id?Ident=%40852733&amp;Name=V*%20TU%20Gem&amp;submit=submit" TargetMode="External"/><Relationship Id="rId60" Type="http://schemas.openxmlformats.org/officeDocument/2006/relationships/hyperlink" Target="http://simbad.u-strasbg.fr/simbad/sim-id?Ident=%40368782&amp;Name=V*%20RU%20Cam&amp;submit=submit" TargetMode="External"/><Relationship Id="rId65" Type="http://schemas.openxmlformats.org/officeDocument/2006/relationships/hyperlink" Target="http://simbad.u-strasbg.fr/simbad/sim-id?Ident=%401054512&amp;Name=V*%20RU%20Pup&amp;submit=submit" TargetMode="External"/><Relationship Id="rId81" Type="http://schemas.openxmlformats.org/officeDocument/2006/relationships/hyperlink" Target="http://simbad.u-strasbg.fr/simbad/sim-id?Ident=%403222333&amp;Name=V*%20TZ%20Car&amp;submit=submit" TargetMode="External"/><Relationship Id="rId86" Type="http://schemas.openxmlformats.org/officeDocument/2006/relationships/hyperlink" Target="http://simbad.u-strasbg.fr/simbad/sim-id?Ident=%40608073&amp;Name=V*%20Y%20CVn&amp;submit=submit" TargetMode="External"/><Relationship Id="rId130" Type="http://schemas.openxmlformats.org/officeDocument/2006/relationships/hyperlink" Target="http://simbad.u-strasbg.fr/simbad/sim-id?Ident=%402954303&amp;Name=V*%20WX%20Cyg&amp;submit=submit" TargetMode="External"/><Relationship Id="rId135" Type="http://schemas.openxmlformats.org/officeDocument/2006/relationships/hyperlink" Target="http://simbad.u-strasbg.fr/simbad/sim-id?Ident=%4093201&amp;Name=V*%20CY%20Cyg&amp;submit=submit" TargetMode="External"/><Relationship Id="rId151" Type="http://schemas.openxmlformats.org/officeDocument/2006/relationships/hyperlink" Target="http://simbad.u-strasbg.fr/simbad/sim-id?Ident=%401413205&amp;Name=HD%20223392&amp;submit=submit" TargetMode="External"/><Relationship Id="rId13" Type="http://schemas.openxmlformats.org/officeDocument/2006/relationships/hyperlink" Target="http://simbad.u-strasbg.fr/simbad/sim-id?Ident=%40133984&amp;Name=V*%20WW%20Cas&amp;submit=submit" TargetMode="External"/><Relationship Id="rId18" Type="http://schemas.openxmlformats.org/officeDocument/2006/relationships/hyperlink" Target="http://simbad.u-strasbg.fr/simbad/sim-id?Ident=%4011066&amp;Name=V*%20UY%20And&amp;submit=submit" TargetMode="External"/><Relationship Id="rId39" Type="http://schemas.openxmlformats.org/officeDocument/2006/relationships/hyperlink" Target="http://simbad.u-strasbg.fr/simbad/sim-id?Ident=%40319951&amp;Name=V*%20S%20Cam&amp;submit=submit" TargetMode="External"/><Relationship Id="rId109" Type="http://schemas.openxmlformats.org/officeDocument/2006/relationships/hyperlink" Target="http://simbad.u-strasbg.fr/simbad/sim-id?Ident=%402900046&amp;Name=V*%20HK%20Lyr&amp;submit=submit" TargetMode="External"/><Relationship Id="rId34" Type="http://schemas.openxmlformats.org/officeDocument/2006/relationships/hyperlink" Target="http://simbad.u-strasbg.fr/simbad/sim-id?Ident=%40771409&amp;Name=V*%20SY%20Eri&amp;submit=submit" TargetMode="External"/><Relationship Id="rId50" Type="http://schemas.openxmlformats.org/officeDocument/2006/relationships/hyperlink" Target="http://simbad.u-strasbg.fr/simbad/sim-id?Ident=%40899136&amp;Name=V*%20UU%20Aur&amp;submit=submit" TargetMode="External"/><Relationship Id="rId55" Type="http://schemas.openxmlformats.org/officeDocument/2006/relationships/hyperlink" Target="http://simbad.u-strasbg.fr/simbad/sim-id?Ident=%40942078&amp;Name=HD%20%2052432&amp;submit=submit" TargetMode="External"/><Relationship Id="rId76" Type="http://schemas.openxmlformats.org/officeDocument/2006/relationships/hyperlink" Target="http://simbad.u-strasbg.fr/simbad/sim-id?Ident=%403173414&amp;Name=V*%20SZ%20Car&amp;submit=submit" TargetMode="External"/><Relationship Id="rId97" Type="http://schemas.openxmlformats.org/officeDocument/2006/relationships/hyperlink" Target="http://simbad.u-strasbg.fr/simbad/sim-id?Ident=%402359335&amp;Name=V*%20SU%20Sco&amp;submit=submit" TargetMode="External"/><Relationship Id="rId104" Type="http://schemas.openxmlformats.org/officeDocument/2006/relationships/hyperlink" Target="http://simbad.u-strasbg.fr/simbad/sim-id?Ident=%40323755&amp;Name=V*%20T%20Dra&amp;submit=submit" TargetMode="External"/><Relationship Id="rId120" Type="http://schemas.openxmlformats.org/officeDocument/2006/relationships/hyperlink" Target="http://simbad.u-strasbg.fr/simbad/sim-id?Ident=%402555937&amp;Name=V*%20AQ%20Sgr&amp;submit=submit" TargetMode="External"/><Relationship Id="rId125" Type="http://schemas.openxmlformats.org/officeDocument/2006/relationships/hyperlink" Target="http://simbad.u-strasbg.fr/simbad/sim-id?Ident=%402791579&amp;Name=V*%20X%20Sge&amp;submit=submit" TargetMode="External"/><Relationship Id="rId141" Type="http://schemas.openxmlformats.org/officeDocument/2006/relationships/hyperlink" Target="http://simbad.u-strasbg.fr/simbad/sim-id?Ident=%4073221&amp;Name=V*%20LW%20Cyg&amp;submit=submit" TargetMode="External"/><Relationship Id="rId146" Type="http://schemas.openxmlformats.org/officeDocument/2006/relationships/hyperlink" Target="http://simbad.u-strasbg.fr/simbad/sim-id?Ident=%405256&amp;Name=V*%20VY%20And&amp;submit=submit" TargetMode="External"/><Relationship Id="rId7" Type="http://schemas.openxmlformats.org/officeDocument/2006/relationships/hyperlink" Target="http://simbad.u-strasbg.fr/simbad/sim-id?Ident=%4081222&amp;Name=V*%20NQ%20Cas&amp;submit=submit" TargetMode="External"/><Relationship Id="rId71" Type="http://schemas.openxmlformats.org/officeDocument/2006/relationships/hyperlink" Target="http://simbad.u-strasbg.fr/simbad/sim-id?Ident=%401126559&amp;Name=V*%20X%20Cnc&amp;submit=submit" TargetMode="External"/><Relationship Id="rId92" Type="http://schemas.openxmlformats.org/officeDocument/2006/relationships/hyperlink" Target="http://simbad.u-strasbg.fr/simbad/sim-id?Ident=%402399414&amp;Name=HD%20137613&amp;submit=submit" TargetMode="External"/><Relationship Id="rId2" Type="http://schemas.openxmlformats.org/officeDocument/2006/relationships/hyperlink" Target="http://simbad.u-strasbg.fr/simbad/sim-id?Ident=%40129430&amp;Name=V*%20WZ%20Cas&amp;submit=submit" TargetMode="External"/><Relationship Id="rId29" Type="http://schemas.openxmlformats.org/officeDocument/2006/relationships/hyperlink" Target="http://simbad.u-strasbg.fr/simbad/sim-id?Ident=%40741252&amp;Name=HD%20280188&amp;submit=submit" TargetMode="External"/><Relationship Id="rId24" Type="http://schemas.openxmlformats.org/officeDocument/2006/relationships/hyperlink" Target="http://simbad.u-strasbg.fr/simbad/sim-id?Ident=%40256419&amp;Name=V*%20UV%20Cam&amp;submit=submit" TargetMode="External"/><Relationship Id="rId40" Type="http://schemas.openxmlformats.org/officeDocument/2006/relationships/hyperlink" Target="http://simbad.u-strasbg.fr/simbad/sim-id?Ident=%40822989&amp;Name=V*%20TU%20Tau&amp;submit=submit" TargetMode="External"/><Relationship Id="rId45" Type="http://schemas.openxmlformats.org/officeDocument/2006/relationships/hyperlink" Target="http://simbad.u-strasbg.fr/simbad/sim-id?Ident=%40876284&amp;Name=V*%20GK%20Ori&amp;submit=submit" TargetMode="External"/><Relationship Id="rId66" Type="http://schemas.openxmlformats.org/officeDocument/2006/relationships/hyperlink" Target="http://simbad.u-strasbg.fr/simbad/sim-id?Ident=%401053854&amp;Name=V*%20IR%20Pup&amp;submit=submit" TargetMode="External"/><Relationship Id="rId87" Type="http://schemas.openxmlformats.org/officeDocument/2006/relationships/hyperlink" Target="http://simbad.u-strasbg.fr/simbad/sim-id?Ident=%401993198&amp;Name=V*%20RU%20Vir&amp;submit=submit" TargetMode="External"/><Relationship Id="rId110" Type="http://schemas.openxmlformats.org/officeDocument/2006/relationships/hyperlink" Target="http://simbad.u-strasbg.fr/simbad/sim-id?Ident=%402587798&amp;Name=V*%20RV%20Sct&amp;submit=submit" TargetMode="External"/><Relationship Id="rId115" Type="http://schemas.openxmlformats.org/officeDocument/2006/relationships/hyperlink" Target="http://simbad.u-strasbg.fr/simbad/sim-id?Ident=%402569535&amp;Name=V*%20V1942%20Sgr&amp;submit=submit" TargetMode="External"/><Relationship Id="rId131" Type="http://schemas.openxmlformats.org/officeDocument/2006/relationships/hyperlink" Target="http://simbad.u-strasbg.fr/simbad/sim-id?Ident=%40154213&amp;Name=V*%20U%20Cyg&amp;submit=submit" TargetMode="External"/><Relationship Id="rId136" Type="http://schemas.openxmlformats.org/officeDocument/2006/relationships/hyperlink" Target="http://simbad.u-strasbg.fr/simbad/sim-id?Ident=%402793271&amp;Name=HD%20198269&amp;submit=submit" TargetMode="External"/><Relationship Id="rId61" Type="http://schemas.openxmlformats.org/officeDocument/2006/relationships/hyperlink" Target="http://simbad.u-strasbg.fr/simbad/sim-id?Ident=%40978053&amp;Name=V*%20BE%20CMa&amp;submit=submit" TargetMode="External"/><Relationship Id="rId82" Type="http://schemas.openxmlformats.org/officeDocument/2006/relationships/hyperlink" Target="http://simbad.u-strasbg.fr/simbad/sim-id?Ident=%401759585&amp;Name=V*%20V%20Hya&amp;submit=submit" TargetMode="External"/><Relationship Id="rId152" Type="http://schemas.openxmlformats.org/officeDocument/2006/relationships/printerSettings" Target="../printerSettings/printerSettings2.bin"/><Relationship Id="rId19" Type="http://schemas.openxmlformats.org/officeDocument/2006/relationships/hyperlink" Target="http://simbad.u-strasbg.fr/simbad/sim-id?Ident=%40211160&amp;Name=HD%20%2019557&amp;submit=submit" TargetMode="External"/><Relationship Id="rId14" Type="http://schemas.openxmlformats.org/officeDocument/2006/relationships/hyperlink" Target="http://simbad.u-strasbg.fr/simbad/sim-id?Ident=%401456285&amp;Name=V*%20V%20Ari&amp;submit=submit" TargetMode="External"/><Relationship Id="rId30" Type="http://schemas.openxmlformats.org/officeDocument/2006/relationships/hyperlink" Target="http://simbad.u-strasbg.fr/simbad/sim-id?Ident=%40751371&amp;Name=V*%20R%20Lep&amp;submit=submit" TargetMode="External"/><Relationship Id="rId35" Type="http://schemas.openxmlformats.org/officeDocument/2006/relationships/hyperlink" Target="http://simbad.u-strasbg.fr/simbad/sim-id?Ident=%408971962&amp;Name=V*%20UV%20Aur&amp;submit=submit" TargetMode="External"/><Relationship Id="rId56" Type="http://schemas.openxmlformats.org/officeDocument/2006/relationships/hyperlink" Target="http://simbad.u-strasbg.fr/simbad/sim-id?Ident=%40943073&amp;Name=V*%20RY%20Mon&amp;submit=submit" TargetMode="External"/><Relationship Id="rId77" Type="http://schemas.openxmlformats.org/officeDocument/2006/relationships/hyperlink" Target="http://simbad.u-strasbg.fr/simbad/sim-id?Ident=%401704220&amp;Name=V*%20AB%20Ant&amp;submit=submit" TargetMode="External"/><Relationship Id="rId100" Type="http://schemas.openxmlformats.org/officeDocument/2006/relationships/hyperlink" Target="http://simbad.u-strasbg.fr/simbad/sim-id?Ident=%402547373&amp;Name=V*%20TW%20Oph&amp;submit=submit" TargetMode="External"/><Relationship Id="rId105" Type="http://schemas.openxmlformats.org/officeDocument/2006/relationships/hyperlink" Target="http://simbad.u-strasbg.fr/simbad/sim-id?Ident=%402564082&amp;Name=V*%20FO%20Ser&amp;submit=submit" TargetMode="External"/><Relationship Id="rId126" Type="http://schemas.openxmlformats.org/officeDocument/2006/relationships/hyperlink" Target="http://simbad.u-strasbg.fr/simbad/sim-id?Ident=%40153404&amp;Name=V*%20SV%20Cyg&amp;submit=submit" TargetMode="External"/><Relationship Id="rId147" Type="http://schemas.openxmlformats.org/officeDocument/2006/relationships/hyperlink" Target="http://simbad.u-strasbg.fr/simbad/sim-id?Ident=%401294266&amp;Name=V*%20RU%20Aqr&amp;submit=submit" TargetMode="External"/><Relationship Id="rId8" Type="http://schemas.openxmlformats.org/officeDocument/2006/relationships/hyperlink" Target="http://simbad.u-strasbg.fr/simbad/sim-id?Ident=%401531224&amp;Name=V*%20AQ%20And&amp;submit=submit" TargetMode="External"/><Relationship Id="rId51" Type="http://schemas.openxmlformats.org/officeDocument/2006/relationships/hyperlink" Target="http://simbad.u-strasbg.fr/simbad/sim-id?Ident=%40899956&amp;Name=V*%20VW%20Gem&amp;submit=submit" TargetMode="External"/><Relationship Id="rId72" Type="http://schemas.openxmlformats.org/officeDocument/2006/relationships/hyperlink" Target="http://simbad.u-strasbg.fr/simbad/sim-id?Ident=%401125652&amp;Name=V*%20T%20Cnc&amp;submit=submit" TargetMode="External"/><Relationship Id="rId93" Type="http://schemas.openxmlformats.org/officeDocument/2006/relationships/hyperlink" Target="http://simbad.u-strasbg.fr/simbad/sim-id?Ident=%402831935&amp;Name=V*%20R%20CrB&amp;submit=submit" TargetMode="External"/><Relationship Id="rId98" Type="http://schemas.openxmlformats.org/officeDocument/2006/relationships/hyperlink" Target="http://simbad.u-strasbg.fr/simbad/sim-id?Ident=%402379703&amp;Name=MSB%2058&amp;submit=submit" TargetMode="External"/><Relationship Id="rId121" Type="http://schemas.openxmlformats.org/officeDocument/2006/relationships/hyperlink" Target="http://simbad.u-strasbg.fr/simbad/sim-id?Ident=%402870749&amp;Name=V*%20TT%20Cyg&amp;submit=submit" TargetMode="External"/><Relationship Id="rId142" Type="http://schemas.openxmlformats.org/officeDocument/2006/relationships/hyperlink" Target="http://simbad.u-strasbg.fr/simbad/sim-id?Ident=%401488049&amp;Name=V*%20RX%20Peg&amp;submit=submit" TargetMode="External"/><Relationship Id="rId3" Type="http://schemas.openxmlformats.org/officeDocument/2006/relationships/hyperlink" Target="http://simbad.u-strasbg.fr/simbad/sim-id?Ident=%401588634&amp;Name=V*%20SU%20And&amp;submit=submit" TargetMode="External"/><Relationship Id="rId25" Type="http://schemas.openxmlformats.org/officeDocument/2006/relationships/hyperlink" Target="http://simbad.u-strasbg.fr/simbad/sim-id?Ident=%40244758&amp;Name=V*%20XX%20Cam&amp;submit=submit" TargetMode="External"/><Relationship Id="rId46" Type="http://schemas.openxmlformats.org/officeDocument/2006/relationships/hyperlink" Target="http://simbad.u-strasbg.fr/simbad/sim-id?Ident=%40877249&amp;Name=V*%20FU%20Mon&amp;submit=submit" TargetMode="External"/><Relationship Id="rId67" Type="http://schemas.openxmlformats.org/officeDocument/2006/relationships/hyperlink" Target="http://simbad.u-strasbg.fr/simbad/sim-id?Ident=%401067574&amp;Name=V*%20RY%20Hya&amp;submit=submit" TargetMode="External"/><Relationship Id="rId116" Type="http://schemas.openxmlformats.org/officeDocument/2006/relationships/hyperlink" Target="http://simbad.u-strasbg.fr/simbad/sim-id?Ident=%402925299&amp;Name=V*%20U%20Lyr&amp;submit=submit" TargetMode="External"/><Relationship Id="rId137" Type="http://schemas.openxmlformats.org/officeDocument/2006/relationships/hyperlink" Target="http://simbad.u-strasbg.fr/simbad/sim-id?Ident=%401524404&amp;Name=HD%20201626&amp;submit=submit" TargetMode="External"/><Relationship Id="rId20" Type="http://schemas.openxmlformats.org/officeDocument/2006/relationships/hyperlink" Target="http://simbad.u-strasbg.fr/simbad/sim-id?Ident=%40113032&amp;Name=V*%20Y%20Per&amp;submit=submit" TargetMode="External"/><Relationship Id="rId41" Type="http://schemas.openxmlformats.org/officeDocument/2006/relationships/hyperlink" Target="http://simbad.u-strasbg.fr/simbad/sim-id?Ident=%40823436&amp;Name=V*%20Y%20Tau&amp;submit=submit" TargetMode="External"/><Relationship Id="rId62" Type="http://schemas.openxmlformats.org/officeDocument/2006/relationships/hyperlink" Target="http://simbad.u-strasbg.fr/simbad/sim-id?Ident=%40985429&amp;Name=V*%20NQ%20Gem&amp;submit=submit" TargetMode="External"/><Relationship Id="rId83" Type="http://schemas.openxmlformats.org/officeDocument/2006/relationships/hyperlink" Target="http://simbad.u-strasbg.fr/simbad/sim-id?Ident=%403216627&amp;Name=V*%20SY%20Car&amp;submit=submit" TargetMode="External"/><Relationship Id="rId88" Type="http://schemas.openxmlformats.org/officeDocument/2006/relationships/hyperlink" Target="http://simbad.u-strasbg.fr/simbad/sim-id?Ident=%403312684&amp;Name=V*%20DY%20Cru&amp;submit=submit" TargetMode="External"/><Relationship Id="rId111" Type="http://schemas.openxmlformats.org/officeDocument/2006/relationships/hyperlink" Target="http://simbad.u-strasbg.fr/simbad/sim-id?Ident=%402672217&amp;Name=V*%20DR%20Ser&amp;submit=submit" TargetMode="External"/><Relationship Id="rId132" Type="http://schemas.openxmlformats.org/officeDocument/2006/relationships/hyperlink" Target="http://simbad.u-strasbg.fr/simbad/sim-id?Ident=%40217847&amp;Name=MSB%2038&amp;submit=submit" TargetMode="External"/><Relationship Id="rId15" Type="http://schemas.openxmlformats.org/officeDocument/2006/relationships/hyperlink" Target="http://simbad.u-strasbg.fr/simbad/sim-id?Ident=%4011675624&amp;Name=V*%20R%20For&amp;submit=submit" TargetMode="External"/><Relationship Id="rId36" Type="http://schemas.openxmlformats.org/officeDocument/2006/relationships/hyperlink" Target="http://simbad.u-strasbg.fr/simbad/sim-id?Ident=%40792701&amp;Name=V*%20S%20Aur&amp;submit=submit" TargetMode="External"/><Relationship Id="rId57" Type="http://schemas.openxmlformats.org/officeDocument/2006/relationships/hyperlink" Target="http://simbad.u-strasbg.fr/simbad/sim-id?Ident=%40959600&amp;Name=V*%20W%20CMa&amp;submit=submit" TargetMode="External"/><Relationship Id="rId106" Type="http://schemas.openxmlformats.org/officeDocument/2006/relationships/hyperlink" Target="http://simbad.u-strasbg.fr/simbad/sim-id?Ident=%402766868&amp;Name=V*%20AC%20Her&amp;submit=submit" TargetMode="External"/><Relationship Id="rId127" Type="http://schemas.openxmlformats.org/officeDocument/2006/relationships/hyperlink" Target="http://simbad.u-strasbg.fr/simbad/sim-id?Ident=%402929511&amp;Name=V*%20RY%20Cyg&amp;submit=submit" TargetMode="External"/><Relationship Id="rId10" Type="http://schemas.openxmlformats.org/officeDocument/2006/relationships/hyperlink" Target="http://simbad.u-strasbg.fr/simbad/sim-id?Ident=%40132149&amp;Name=V*%20W%20Cas&amp;submit=submit" TargetMode="External"/><Relationship Id="rId31" Type="http://schemas.openxmlformats.org/officeDocument/2006/relationships/hyperlink" Target="http://simbad.u-strasbg.fr/simbad/sim-id?Ident=%40271740&amp;Name=HD%20%2032088&amp;submit=submit" TargetMode="External"/><Relationship Id="rId52" Type="http://schemas.openxmlformats.org/officeDocument/2006/relationships/hyperlink" Target="http://simbad.u-strasbg.fr/simbad/sim-id?Ident=%40927565&amp;Name=V*%20GY%20Mon&amp;submit=submit" TargetMode="External"/><Relationship Id="rId73" Type="http://schemas.openxmlformats.org/officeDocument/2006/relationships/hyperlink" Target="http://simbad.u-strasbg.fr/simbad/sim-id?Ident=%40538550&amp;Name=V*%20RT%20UMa&amp;submit=submit" TargetMode="External"/><Relationship Id="rId78" Type="http://schemas.openxmlformats.org/officeDocument/2006/relationships/hyperlink" Target="http://simbad.u-strasbg.fr/simbad/sim-id?Ident=%401741972&amp;Name=V*%20U%20Ant&amp;submit=submit" TargetMode="External"/><Relationship Id="rId94" Type="http://schemas.openxmlformats.org/officeDocument/2006/relationships/hyperlink" Target="http://simbad.u-strasbg.fr/simbad/sim-id?Ident=%402939300&amp;Name=V*%20V%20CrB&amp;submit=submit" TargetMode="External"/><Relationship Id="rId99" Type="http://schemas.openxmlformats.org/officeDocument/2006/relationships/hyperlink" Target="http://simbad.u-strasbg.fr/simbad/sim-id?Ident=%402944733&amp;Name=HD%20156074&amp;submit=submit" TargetMode="External"/><Relationship Id="rId101" Type="http://schemas.openxmlformats.org/officeDocument/2006/relationships/hyperlink" Target="http://simbad.u-strasbg.fr/simbad/sim-id?Ident=%403464613&amp;Name=V*%20V%20Pav&amp;submit=submit" TargetMode="External"/><Relationship Id="rId122" Type="http://schemas.openxmlformats.org/officeDocument/2006/relationships/hyperlink" Target="http://simbad.u-strasbg.fr/simbad/sim-id?Ident=%40152891&amp;Name=V*%20AX%20Cyg&amp;submit=submit" TargetMode="External"/><Relationship Id="rId143" Type="http://schemas.openxmlformats.org/officeDocument/2006/relationships/hyperlink" Target="http://simbad.u-strasbg.fr/simbad/sim-id?Ident=%401540691&amp;Name=V*%20RZ%20Peg&amp;submit=submit" TargetMode="External"/><Relationship Id="rId148" Type="http://schemas.openxmlformats.org/officeDocument/2006/relationships/hyperlink" Target="http://simbad.u-strasbg.fr/simbad/sim-id?Ident=%4020348&amp;Name=V*%20EW%20And&amp;submit=submit" TargetMode="External"/><Relationship Id="rId4" Type="http://schemas.openxmlformats.org/officeDocument/2006/relationships/hyperlink" Target="http://simbad.u-strasbg.fr/simbad/sim-id?Ident=%401423061&amp;Name=HD%20%20%20%20%2026&amp;submit=submit" TargetMode="External"/><Relationship Id="rId9" Type="http://schemas.openxmlformats.org/officeDocument/2006/relationships/hyperlink" Target="http://simbad.u-strasbg.fr/simbad/sim-id?Ident=%401484061&amp;Name=HD%20%20%205223&amp;submit=submit" TargetMode="External"/><Relationship Id="rId26" Type="http://schemas.openxmlformats.org/officeDocument/2006/relationships/hyperlink" Target="http://simbad.u-strasbg.fr/simbad/sim-id?Ident=%40740108&amp;Name=V*%20T%20Cae&amp;submit=submit" TargetMode="External"/><Relationship Id="rId47" Type="http://schemas.openxmlformats.org/officeDocument/2006/relationships/hyperlink" Target="http://simbad.u-strasbg.fr/simbad/sim-id?Ident=%40350343&amp;Name=V*%20V%20Aur&amp;submit=submit" TargetMode="External"/><Relationship Id="rId68" Type="http://schemas.openxmlformats.org/officeDocument/2006/relationships/hyperlink" Target="http://simbad.u-strasbg.fr/simbad/sim-id?Ident=%401070288&amp;Name=V*%20AC%20Pup&amp;submit=submit" TargetMode="External"/><Relationship Id="rId89" Type="http://schemas.openxmlformats.org/officeDocument/2006/relationships/hyperlink" Target="http://simbad.u-strasbg.fr/simbad/sim-id?Ident=%40461463&amp;Name=V*%20RY%20Dra&amp;submit=submit" TargetMode="External"/><Relationship Id="rId112" Type="http://schemas.openxmlformats.org/officeDocument/2006/relationships/hyperlink" Target="http://simbad.u-strasbg.fr/simbad/sim-id?Ident=%402613624&amp;Name=V*%20S%20Sct&amp;submit=submit" TargetMode="External"/><Relationship Id="rId133" Type="http://schemas.openxmlformats.org/officeDocument/2006/relationships/hyperlink" Target="http://simbad.u-strasbg.fr/simbad/sim-id?Ident=%402852327&amp;Name=V*%20BD%20Vul&amp;submit=submit" TargetMode="External"/><Relationship Id="rId16" Type="http://schemas.openxmlformats.org/officeDocument/2006/relationships/hyperlink" Target="http://simbad.u-strasbg.fr/simbad/sim-id?Ident=%401318786&amp;Name=HD%20%2016115&amp;submit=submit" TargetMode="External"/><Relationship Id="rId37" Type="http://schemas.openxmlformats.org/officeDocument/2006/relationships/hyperlink" Target="http://simbad.u-strasbg.fr/simbad/sim-id?Ident=%40797817&amp;Name=V*%20RT%20Ori&amp;submit=submit" TargetMode="External"/><Relationship Id="rId58" Type="http://schemas.openxmlformats.org/officeDocument/2006/relationships/hyperlink" Target="http://simbad.u-strasbg.fr/simbad/sim-id?Ident=%40954870&amp;Name=V*%20R%20CMi&amp;submit=submit" TargetMode="External"/><Relationship Id="rId79" Type="http://schemas.openxmlformats.org/officeDocument/2006/relationships/hyperlink" Target="http://simbad.u-strasbg.fr/simbad/sim-id?Ident=%401738353&amp;Name=V*%20U%20Hya&amp;submit=submit" TargetMode="External"/><Relationship Id="rId102" Type="http://schemas.openxmlformats.org/officeDocument/2006/relationships/hyperlink" Target="http://simbad.u-strasbg.fr/simbad/sim-id?Ident=%402547866&amp;Name=V*%20SZ%20Sgr&amp;submit=submit" TargetMode="External"/><Relationship Id="rId123" Type="http://schemas.openxmlformats.org/officeDocument/2006/relationships/hyperlink" Target="http://simbad.u-strasbg.fr/simbad/sim-id?Ident=%402708688&amp;Name=HD%20189711&amp;submit=submit" TargetMode="External"/><Relationship Id="rId144" Type="http://schemas.openxmlformats.org/officeDocument/2006/relationships/hyperlink" Target="http://simbad.u-strasbg.fr/simbad/sim-id?Ident=%40159830&amp;Name=V*%20DG%20Cep&amp;submit=submit" TargetMode="External"/><Relationship Id="rId90" Type="http://schemas.openxmlformats.org/officeDocument/2006/relationships/hyperlink" Target="http://simbad.u-strasbg.fr/simbad/sim-id?Ident=%402006918&amp;Name=HD%20112869&amp;submit=subm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7"/>
  <sheetViews>
    <sheetView zoomScale="85" zoomScaleNormal="85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11" sqref="J11"/>
    </sheetView>
  </sheetViews>
  <sheetFormatPr defaultColWidth="11.5703125" defaultRowHeight="13.5" x14ac:dyDescent="0.2"/>
  <cols>
    <col min="1" max="1" width="5.140625" style="1" customWidth="1"/>
    <col min="2" max="2" width="6.140625" style="1" customWidth="1"/>
    <col min="3" max="4" width="5" style="1" customWidth="1"/>
    <col min="5" max="5" width="12.5703125" style="2" customWidth="1"/>
    <col min="6" max="6" width="17" style="3" customWidth="1"/>
    <col min="7" max="7" width="8.140625" style="4" customWidth="1"/>
    <col min="8" max="8" width="8.140625" style="2" customWidth="1"/>
    <col min="9" max="10" width="20" style="5" customWidth="1"/>
    <col min="11" max="11" width="8.140625" style="2" customWidth="1"/>
    <col min="12" max="13" width="11.7109375" style="1" customWidth="1"/>
    <col min="14" max="14" width="17.85546875" style="6" customWidth="1"/>
    <col min="15" max="15" width="10.7109375" style="7" customWidth="1"/>
    <col min="16" max="16" width="8.42578125" style="6" customWidth="1"/>
    <col min="17" max="17" width="23.140625" style="6" customWidth="1"/>
    <col min="18" max="18" width="17.42578125" style="1" customWidth="1"/>
    <col min="19" max="19" width="5.85546875" style="1" customWidth="1"/>
    <col min="20" max="20" width="9.5703125" style="8" customWidth="1"/>
    <col min="21" max="21" width="22" style="1" customWidth="1"/>
    <col min="22" max="22" width="14" style="1" customWidth="1"/>
    <col min="23" max="23" width="45.42578125" style="9" customWidth="1"/>
    <col min="24" max="24" width="68.85546875" style="9" customWidth="1"/>
    <col min="25" max="25" width="26.5703125" style="3" customWidth="1"/>
    <col min="26" max="16384" width="11.5703125" style="10"/>
  </cols>
  <sheetData>
    <row r="1" spans="1:25" s="19" customForma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13" t="s">
        <v>8</v>
      </c>
      <c r="J1" s="13" t="s">
        <v>1429</v>
      </c>
      <c r="K1" s="11"/>
      <c r="L1" s="13" t="s">
        <v>9</v>
      </c>
      <c r="M1" s="13" t="s">
        <v>10</v>
      </c>
      <c r="N1" s="14" t="s">
        <v>11</v>
      </c>
      <c r="O1" s="15" t="s">
        <v>12</v>
      </c>
      <c r="P1" s="14" t="s">
        <v>13</v>
      </c>
      <c r="Q1" s="14" t="s">
        <v>14</v>
      </c>
      <c r="R1" s="13" t="s">
        <v>15</v>
      </c>
      <c r="S1" s="16" t="s">
        <v>16</v>
      </c>
      <c r="T1" s="16" t="s">
        <v>17</v>
      </c>
      <c r="U1" s="13" t="s">
        <v>18</v>
      </c>
      <c r="V1" s="13" t="s">
        <v>19</v>
      </c>
      <c r="W1" s="17" t="s">
        <v>20</v>
      </c>
      <c r="X1" s="17" t="s">
        <v>21</v>
      </c>
      <c r="Y1" s="18" t="s">
        <v>22</v>
      </c>
    </row>
    <row r="2" spans="1:25" ht="15" customHeight="1" x14ac:dyDescent="0.2">
      <c r="A2" s="2">
        <v>1</v>
      </c>
      <c r="B2" s="2">
        <v>1</v>
      </c>
      <c r="C2" s="2">
        <v>1</v>
      </c>
      <c r="D2" s="2"/>
      <c r="H2" s="2">
        <v>3</v>
      </c>
      <c r="I2" s="5" t="s">
        <v>23</v>
      </c>
      <c r="J2" s="5" t="s">
        <v>23</v>
      </c>
      <c r="K2" s="2">
        <v>1</v>
      </c>
      <c r="L2" s="1" t="s">
        <v>24</v>
      </c>
      <c r="M2" s="1" t="s">
        <v>25</v>
      </c>
      <c r="N2" s="6" t="s">
        <v>26</v>
      </c>
      <c r="O2" s="7">
        <v>3.12</v>
      </c>
      <c r="P2" s="6">
        <v>2.8</v>
      </c>
      <c r="Q2" s="6" t="s">
        <v>27</v>
      </c>
      <c r="R2" s="1" t="s">
        <v>28</v>
      </c>
      <c r="S2" s="8">
        <v>186</v>
      </c>
      <c r="T2" s="8">
        <v>99</v>
      </c>
      <c r="U2" s="1" t="s">
        <v>29</v>
      </c>
      <c r="V2" s="1" t="s">
        <v>30</v>
      </c>
      <c r="W2" s="9" t="s">
        <v>31</v>
      </c>
      <c r="Y2" s="3" t="s">
        <v>32</v>
      </c>
    </row>
    <row r="3" spans="1:25" ht="13.35" customHeight="1" x14ac:dyDescent="0.2">
      <c r="A3" s="2"/>
      <c r="B3" s="2">
        <v>1</v>
      </c>
      <c r="C3" s="2">
        <v>1</v>
      </c>
      <c r="D3" s="2"/>
      <c r="H3" s="2">
        <v>3</v>
      </c>
      <c r="I3" s="5" t="s">
        <v>33</v>
      </c>
      <c r="J3" s="5" t="s">
        <v>33</v>
      </c>
      <c r="K3" s="2">
        <v>2</v>
      </c>
      <c r="L3" s="1" t="s">
        <v>34</v>
      </c>
      <c r="M3" s="1" t="s">
        <v>35</v>
      </c>
      <c r="N3" s="6" t="s">
        <v>36</v>
      </c>
      <c r="O3" s="7">
        <v>2.81</v>
      </c>
      <c r="P3" s="6">
        <v>2.5</v>
      </c>
      <c r="Q3" s="6" t="s">
        <v>27</v>
      </c>
      <c r="R3" s="1" t="s">
        <v>37</v>
      </c>
      <c r="S3" s="8" t="s">
        <v>38</v>
      </c>
      <c r="T3" s="8">
        <v>363</v>
      </c>
      <c r="U3" s="1" t="s">
        <v>39</v>
      </c>
      <c r="V3" s="1" t="s">
        <v>40</v>
      </c>
    </row>
    <row r="4" spans="1:25" x14ac:dyDescent="0.2">
      <c r="A4" s="2"/>
      <c r="B4" s="2"/>
      <c r="C4" s="2">
        <v>1</v>
      </c>
      <c r="D4" s="2"/>
      <c r="H4" s="2">
        <v>5</v>
      </c>
      <c r="I4" s="5" t="s">
        <v>41</v>
      </c>
      <c r="J4" s="5" t="s">
        <v>899</v>
      </c>
      <c r="K4" s="2">
        <v>3</v>
      </c>
      <c r="L4" s="1" t="s">
        <v>42</v>
      </c>
      <c r="M4" s="1" t="s">
        <v>43</v>
      </c>
      <c r="N4" s="6" t="s">
        <v>44</v>
      </c>
      <c r="O4" s="7" t="s">
        <v>45</v>
      </c>
      <c r="P4" s="6">
        <v>1.1000000000000001</v>
      </c>
      <c r="Q4" s="6" t="s">
        <v>46</v>
      </c>
      <c r="R4" s="1" t="s">
        <v>47</v>
      </c>
      <c r="S4" s="8" t="s">
        <v>48</v>
      </c>
      <c r="T4" s="8">
        <v>447</v>
      </c>
      <c r="U4" s="1" t="s">
        <v>49</v>
      </c>
      <c r="V4" s="1" t="s">
        <v>50</v>
      </c>
      <c r="W4" s="9" t="s">
        <v>51</v>
      </c>
      <c r="X4" s="9" t="s">
        <v>52</v>
      </c>
    </row>
    <row r="5" spans="1:25" x14ac:dyDescent="0.2">
      <c r="A5" s="2">
        <v>1</v>
      </c>
      <c r="B5" s="2">
        <v>1</v>
      </c>
      <c r="C5" s="2"/>
      <c r="D5" s="2"/>
      <c r="H5" s="2">
        <v>3</v>
      </c>
      <c r="I5" s="1" t="s">
        <v>53</v>
      </c>
      <c r="J5" s="1" t="s">
        <v>53</v>
      </c>
      <c r="K5" s="2">
        <v>4</v>
      </c>
      <c r="L5" s="1" t="s">
        <v>54</v>
      </c>
      <c r="M5" s="1" t="s">
        <v>55</v>
      </c>
      <c r="N5" s="6">
        <v>7.5</v>
      </c>
      <c r="O5" s="7">
        <v>2.48</v>
      </c>
      <c r="P5" s="6" t="s">
        <v>45</v>
      </c>
      <c r="R5" s="1" t="s">
        <v>56</v>
      </c>
      <c r="S5" s="8" t="s">
        <v>57</v>
      </c>
      <c r="T5" s="8">
        <v>1401</v>
      </c>
      <c r="U5" s="1" t="s">
        <v>58</v>
      </c>
      <c r="V5" s="1" t="s">
        <v>30</v>
      </c>
      <c r="X5" s="9" t="s">
        <v>59</v>
      </c>
      <c r="Y5" s="3" t="s">
        <v>32</v>
      </c>
    </row>
    <row r="6" spans="1:25" x14ac:dyDescent="0.2">
      <c r="A6" s="2"/>
      <c r="B6" s="2">
        <v>1</v>
      </c>
      <c r="C6" s="2">
        <v>1</v>
      </c>
      <c r="D6" s="2"/>
      <c r="H6" s="2">
        <v>3</v>
      </c>
      <c r="I6" s="20" t="s">
        <v>60</v>
      </c>
      <c r="J6" s="20" t="s">
        <v>60</v>
      </c>
      <c r="K6" s="2">
        <v>5</v>
      </c>
      <c r="L6" s="1" t="s">
        <v>61</v>
      </c>
      <c r="M6" s="1" t="s">
        <v>62</v>
      </c>
      <c r="N6" s="6" t="s">
        <v>63</v>
      </c>
      <c r="O6" s="15">
        <v>5.59</v>
      </c>
      <c r="P6" s="14">
        <v>4.4000000000000004</v>
      </c>
      <c r="Q6" s="9" t="s">
        <v>64</v>
      </c>
      <c r="R6" s="1" t="s">
        <v>65</v>
      </c>
      <c r="S6" s="8">
        <v>369</v>
      </c>
      <c r="T6" s="8">
        <v>1593</v>
      </c>
      <c r="U6" s="1" t="s">
        <v>66</v>
      </c>
      <c r="V6" s="1" t="s">
        <v>67</v>
      </c>
      <c r="X6" s="10"/>
    </row>
    <row r="7" spans="1:25" x14ac:dyDescent="0.2">
      <c r="A7" s="2"/>
      <c r="B7" s="2">
        <v>1</v>
      </c>
      <c r="C7" s="2"/>
      <c r="D7" s="2"/>
      <c r="H7" s="2">
        <v>3</v>
      </c>
      <c r="I7" s="1" t="s">
        <v>68</v>
      </c>
      <c r="J7" s="1" t="s">
        <v>68</v>
      </c>
      <c r="K7" s="2">
        <v>6</v>
      </c>
      <c r="L7" s="1" t="s">
        <v>69</v>
      </c>
      <c r="M7" s="1" t="s">
        <v>70</v>
      </c>
      <c r="N7" s="6">
        <v>9.5</v>
      </c>
      <c r="O7" s="7">
        <v>1.83</v>
      </c>
      <c r="P7" s="6">
        <v>1.8</v>
      </c>
      <c r="Q7" s="6" t="s">
        <v>27</v>
      </c>
      <c r="R7" s="1" t="s">
        <v>71</v>
      </c>
      <c r="S7" s="8" t="s">
        <v>57</v>
      </c>
      <c r="T7" s="8">
        <v>1945</v>
      </c>
      <c r="U7" s="1" t="s">
        <v>66</v>
      </c>
      <c r="V7" s="1" t="s">
        <v>72</v>
      </c>
      <c r="X7" s="9" t="s">
        <v>73</v>
      </c>
    </row>
    <row r="8" spans="1:25" x14ac:dyDescent="0.2">
      <c r="A8" s="2"/>
      <c r="B8" s="2">
        <v>1</v>
      </c>
      <c r="C8" s="2">
        <v>1</v>
      </c>
      <c r="D8" s="2"/>
      <c r="H8" s="2">
        <v>3</v>
      </c>
      <c r="I8" s="20" t="s">
        <v>74</v>
      </c>
      <c r="J8" s="20" t="s">
        <v>74</v>
      </c>
      <c r="K8" s="2">
        <v>7</v>
      </c>
      <c r="L8" s="1" t="s">
        <v>75</v>
      </c>
      <c r="M8" s="1" t="s">
        <v>76</v>
      </c>
      <c r="N8" s="6" t="s">
        <v>77</v>
      </c>
      <c r="O8" s="7">
        <v>3.65</v>
      </c>
      <c r="P8" s="14">
        <v>3.8</v>
      </c>
      <c r="Q8" s="6" t="s">
        <v>78</v>
      </c>
      <c r="R8" s="1" t="s">
        <v>79</v>
      </c>
      <c r="S8" s="8">
        <v>346</v>
      </c>
      <c r="T8" s="8">
        <v>2180</v>
      </c>
      <c r="U8" s="1" t="s">
        <v>80</v>
      </c>
      <c r="V8" s="1" t="s">
        <v>30</v>
      </c>
    </row>
    <row r="9" spans="1:25" x14ac:dyDescent="0.2">
      <c r="A9" s="2"/>
      <c r="B9" s="2"/>
      <c r="C9" s="2">
        <v>1</v>
      </c>
      <c r="D9" s="2"/>
      <c r="H9" s="2">
        <v>5</v>
      </c>
      <c r="I9" s="5" t="s">
        <v>81</v>
      </c>
      <c r="J9" s="5" t="s">
        <v>86</v>
      </c>
      <c r="K9" s="2">
        <v>8</v>
      </c>
      <c r="L9" s="1" t="s">
        <v>82</v>
      </c>
      <c r="M9" s="1" t="s">
        <v>83</v>
      </c>
      <c r="N9" s="6" t="s">
        <v>84</v>
      </c>
      <c r="O9" s="7" t="s">
        <v>45</v>
      </c>
      <c r="P9" s="6">
        <v>1.4</v>
      </c>
      <c r="Q9" s="6" t="s">
        <v>85</v>
      </c>
      <c r="R9" s="1" t="s">
        <v>86</v>
      </c>
      <c r="S9" s="8">
        <v>755</v>
      </c>
      <c r="T9" s="8">
        <v>4252</v>
      </c>
      <c r="U9" s="1" t="s">
        <v>87</v>
      </c>
      <c r="V9" s="1" t="s">
        <v>88</v>
      </c>
    </row>
    <row r="10" spans="1:25" x14ac:dyDescent="0.2">
      <c r="A10" s="2"/>
      <c r="B10" s="2">
        <v>1</v>
      </c>
      <c r="C10" s="2">
        <v>1</v>
      </c>
      <c r="D10" s="2"/>
      <c r="H10" s="2">
        <v>3</v>
      </c>
      <c r="I10" s="5" t="s">
        <v>89</v>
      </c>
      <c r="J10" s="5" t="s">
        <v>89</v>
      </c>
      <c r="K10" s="2">
        <v>9</v>
      </c>
      <c r="L10" s="1" t="s">
        <v>90</v>
      </c>
      <c r="M10" s="1" t="s">
        <v>91</v>
      </c>
      <c r="N10" s="6" t="s">
        <v>92</v>
      </c>
      <c r="O10" s="7">
        <v>2.1</v>
      </c>
      <c r="P10" s="6" t="s">
        <v>45</v>
      </c>
      <c r="R10" s="1" t="s">
        <v>93</v>
      </c>
      <c r="S10" s="8">
        <v>406</v>
      </c>
      <c r="T10" s="8">
        <v>4284</v>
      </c>
      <c r="U10" s="1" t="s">
        <v>94</v>
      </c>
      <c r="V10" s="1" t="s">
        <v>67</v>
      </c>
    </row>
    <row r="11" spans="1:25" x14ac:dyDescent="0.2">
      <c r="A11" s="2">
        <v>1</v>
      </c>
      <c r="B11" s="2">
        <v>1</v>
      </c>
      <c r="C11" s="2">
        <v>1</v>
      </c>
      <c r="D11" s="2"/>
      <c r="H11" s="2">
        <v>5</v>
      </c>
      <c r="I11" s="5" t="s">
        <v>95</v>
      </c>
      <c r="J11" s="5" t="s">
        <v>95</v>
      </c>
      <c r="K11" s="2">
        <v>10</v>
      </c>
      <c r="L11" s="1" t="s">
        <v>96</v>
      </c>
      <c r="M11" s="1" t="s">
        <v>97</v>
      </c>
      <c r="N11" s="6" t="s">
        <v>98</v>
      </c>
      <c r="O11" s="7">
        <v>3.6</v>
      </c>
      <c r="P11" s="6">
        <v>2.6</v>
      </c>
      <c r="Q11" s="6" t="s">
        <v>27</v>
      </c>
      <c r="R11" s="1" t="s">
        <v>99</v>
      </c>
      <c r="S11" s="8">
        <v>144</v>
      </c>
      <c r="T11" s="8">
        <v>5914</v>
      </c>
      <c r="U11" s="1" t="s">
        <v>100</v>
      </c>
      <c r="V11" s="1" t="s">
        <v>30</v>
      </c>
      <c r="Y11" s="3" t="s">
        <v>32</v>
      </c>
    </row>
    <row r="12" spans="1:25" x14ac:dyDescent="0.2">
      <c r="A12" s="2">
        <v>1</v>
      </c>
      <c r="B12" s="2">
        <v>1</v>
      </c>
      <c r="C12" s="2"/>
      <c r="D12" s="2"/>
      <c r="H12" s="2">
        <v>7</v>
      </c>
      <c r="I12" s="13" t="s">
        <v>101</v>
      </c>
      <c r="J12" s="13" t="s">
        <v>101</v>
      </c>
      <c r="K12" s="2">
        <v>11</v>
      </c>
      <c r="L12" s="1" t="s">
        <v>102</v>
      </c>
      <c r="M12" s="1" t="s">
        <v>103</v>
      </c>
      <c r="N12" s="6" t="s">
        <v>104</v>
      </c>
      <c r="O12" s="15">
        <v>4.4000000000000004</v>
      </c>
      <c r="P12" s="14">
        <v>4</v>
      </c>
      <c r="Q12" s="9" t="s">
        <v>64</v>
      </c>
      <c r="R12" s="1" t="s">
        <v>105</v>
      </c>
      <c r="S12" s="8">
        <v>370</v>
      </c>
      <c r="T12" s="8">
        <v>6759</v>
      </c>
      <c r="U12" s="1" t="s">
        <v>106</v>
      </c>
      <c r="V12" s="1" t="s">
        <v>67</v>
      </c>
    </row>
    <row r="13" spans="1:25" x14ac:dyDescent="0.2">
      <c r="A13" s="2"/>
      <c r="B13" s="2">
        <v>1</v>
      </c>
      <c r="C13" s="2"/>
      <c r="D13" s="2"/>
      <c r="H13" s="2">
        <v>1</v>
      </c>
      <c r="I13" s="1" t="s">
        <v>107</v>
      </c>
      <c r="J13" s="1" t="s">
        <v>107</v>
      </c>
      <c r="K13" s="2">
        <v>12</v>
      </c>
      <c r="L13" s="1" t="s">
        <v>108</v>
      </c>
      <c r="M13" s="1" t="s">
        <v>109</v>
      </c>
      <c r="N13" s="6" t="s">
        <v>110</v>
      </c>
      <c r="O13" s="7">
        <v>2.1</v>
      </c>
      <c r="P13" s="6" t="s">
        <v>45</v>
      </c>
      <c r="S13" s="8" t="s">
        <v>57</v>
      </c>
      <c r="T13" s="8" t="s">
        <v>111</v>
      </c>
      <c r="U13" s="1" t="s">
        <v>112</v>
      </c>
      <c r="V13" s="1" t="s">
        <v>72</v>
      </c>
      <c r="W13" s="9" t="s">
        <v>113</v>
      </c>
    </row>
    <row r="14" spans="1:25" x14ac:dyDescent="0.2">
      <c r="A14" s="2"/>
      <c r="B14" s="2">
        <v>1</v>
      </c>
      <c r="C14" s="2">
        <v>1</v>
      </c>
      <c r="D14" s="2"/>
      <c r="H14" s="2">
        <v>4</v>
      </c>
      <c r="I14" s="5" t="s">
        <v>114</v>
      </c>
      <c r="J14" s="5" t="s">
        <v>114</v>
      </c>
      <c r="K14" s="2">
        <v>13</v>
      </c>
      <c r="L14" s="1" t="s">
        <v>115</v>
      </c>
      <c r="M14" s="1" t="s">
        <v>116</v>
      </c>
      <c r="N14" s="6" t="s">
        <v>117</v>
      </c>
      <c r="O14" s="7">
        <v>2.15</v>
      </c>
      <c r="P14" s="6">
        <v>2.1</v>
      </c>
      <c r="Q14" s="6" t="s">
        <v>27</v>
      </c>
      <c r="R14" s="1" t="s">
        <v>118</v>
      </c>
      <c r="S14" s="8">
        <v>77</v>
      </c>
      <c r="T14" s="8">
        <v>10472</v>
      </c>
      <c r="U14" s="1" t="s">
        <v>119</v>
      </c>
      <c r="V14" s="1" t="s">
        <v>30</v>
      </c>
    </row>
    <row r="15" spans="1:25" x14ac:dyDescent="0.2">
      <c r="A15" s="2">
        <v>1</v>
      </c>
      <c r="B15" s="2">
        <v>1</v>
      </c>
      <c r="C15" s="2"/>
      <c r="D15" s="2"/>
      <c r="H15" s="2">
        <v>6</v>
      </c>
      <c r="I15" s="13" t="s">
        <v>120</v>
      </c>
      <c r="J15" s="13" t="s">
        <v>120</v>
      </c>
      <c r="K15" s="2">
        <v>14</v>
      </c>
      <c r="L15" s="1" t="s">
        <v>121</v>
      </c>
      <c r="M15" s="1" t="s">
        <v>122</v>
      </c>
      <c r="N15" s="6" t="s">
        <v>123</v>
      </c>
      <c r="O15" s="7">
        <v>2.21</v>
      </c>
      <c r="P15" s="18">
        <v>5.4</v>
      </c>
      <c r="Q15" s="6" t="s">
        <v>124</v>
      </c>
      <c r="R15" s="1" t="s">
        <v>125</v>
      </c>
      <c r="S15" s="8">
        <v>389</v>
      </c>
      <c r="T15" s="8">
        <v>11582</v>
      </c>
      <c r="U15" s="1" t="s">
        <v>126</v>
      </c>
      <c r="V15" s="1" t="s">
        <v>67</v>
      </c>
    </row>
    <row r="16" spans="1:25" x14ac:dyDescent="0.2">
      <c r="A16" s="2"/>
      <c r="B16" s="2">
        <v>1</v>
      </c>
      <c r="C16" s="2">
        <v>1</v>
      </c>
      <c r="D16" s="2"/>
      <c r="H16" s="2">
        <v>6</v>
      </c>
      <c r="I16" s="5" t="s">
        <v>127</v>
      </c>
      <c r="J16" s="5" t="s">
        <v>942</v>
      </c>
      <c r="K16" s="2">
        <v>15</v>
      </c>
      <c r="L16" s="1" t="s">
        <v>128</v>
      </c>
      <c r="M16" s="1" t="s">
        <v>129</v>
      </c>
      <c r="N16" s="6" t="s">
        <v>130</v>
      </c>
      <c r="O16" s="7">
        <v>1.23</v>
      </c>
      <c r="P16" s="6">
        <v>1.2</v>
      </c>
      <c r="Q16" s="6" t="s">
        <v>124</v>
      </c>
      <c r="R16" s="1" t="s">
        <v>131</v>
      </c>
      <c r="S16" s="8" t="s">
        <v>48</v>
      </c>
      <c r="T16" s="8">
        <v>12028</v>
      </c>
      <c r="U16" s="1" t="s">
        <v>132</v>
      </c>
      <c r="V16" s="1" t="s">
        <v>50</v>
      </c>
      <c r="W16" s="9" t="s">
        <v>133</v>
      </c>
      <c r="Y16" s="21" t="s">
        <v>127</v>
      </c>
    </row>
    <row r="17" spans="1:25" x14ac:dyDescent="0.2">
      <c r="A17" s="2"/>
      <c r="B17" s="2">
        <v>1</v>
      </c>
      <c r="C17" s="2"/>
      <c r="D17" s="2"/>
      <c r="H17" s="2">
        <v>2</v>
      </c>
      <c r="I17" s="1" t="s">
        <v>134</v>
      </c>
      <c r="J17" s="1" t="s">
        <v>134</v>
      </c>
      <c r="K17" s="2">
        <v>16</v>
      </c>
      <c r="L17" s="1" t="s">
        <v>135</v>
      </c>
      <c r="M17" s="1" t="s">
        <v>136</v>
      </c>
      <c r="N17" s="6" t="s">
        <v>137</v>
      </c>
      <c r="O17" s="7" t="s">
        <v>45</v>
      </c>
      <c r="P17" s="6" t="s">
        <v>45</v>
      </c>
      <c r="R17" s="1" t="s">
        <v>138</v>
      </c>
      <c r="S17" s="8" t="s">
        <v>48</v>
      </c>
      <c r="T17" s="8" t="s">
        <v>45</v>
      </c>
      <c r="U17" s="1" t="s">
        <v>139</v>
      </c>
      <c r="V17" s="1" t="s">
        <v>30</v>
      </c>
    </row>
    <row r="18" spans="1:25" x14ac:dyDescent="0.2">
      <c r="A18" s="2"/>
      <c r="B18" s="2"/>
      <c r="C18" s="2">
        <v>1</v>
      </c>
      <c r="D18" s="2"/>
      <c r="H18" s="2">
        <v>2</v>
      </c>
      <c r="I18" s="5" t="s">
        <v>140</v>
      </c>
      <c r="J18" s="5" t="s">
        <v>140</v>
      </c>
      <c r="K18" s="2">
        <v>17</v>
      </c>
      <c r="L18" s="1" t="s">
        <v>141</v>
      </c>
      <c r="M18" s="1" t="s">
        <v>142</v>
      </c>
      <c r="N18" s="6" t="s">
        <v>143</v>
      </c>
      <c r="O18" s="7" t="s">
        <v>45</v>
      </c>
      <c r="P18" s="6" t="s">
        <v>45</v>
      </c>
      <c r="R18" s="1" t="s">
        <v>144</v>
      </c>
      <c r="S18" s="8" t="s">
        <v>48</v>
      </c>
      <c r="T18" s="8">
        <v>12298</v>
      </c>
      <c r="U18" s="1" t="s">
        <v>145</v>
      </c>
      <c r="V18" s="1" t="s">
        <v>72</v>
      </c>
      <c r="Y18" s="3" t="s">
        <v>146</v>
      </c>
    </row>
    <row r="19" spans="1:25" x14ac:dyDescent="0.2">
      <c r="A19" s="2"/>
      <c r="B19" s="2">
        <v>1</v>
      </c>
      <c r="C19" s="2">
        <v>1</v>
      </c>
      <c r="D19" s="2"/>
      <c r="H19" s="2">
        <v>2</v>
      </c>
      <c r="I19" s="5" t="s">
        <v>147</v>
      </c>
      <c r="J19" s="5" t="s">
        <v>147</v>
      </c>
      <c r="K19" s="2">
        <v>18</v>
      </c>
      <c r="L19" s="1" t="s">
        <v>148</v>
      </c>
      <c r="M19" s="1" t="s">
        <v>149</v>
      </c>
      <c r="N19" s="6" t="s">
        <v>150</v>
      </c>
      <c r="O19" s="7">
        <v>2.2999999999999998</v>
      </c>
      <c r="P19" s="6">
        <v>2.1</v>
      </c>
      <c r="Q19" s="6" t="s">
        <v>27</v>
      </c>
      <c r="R19" s="1" t="s">
        <v>151</v>
      </c>
      <c r="S19" s="8" t="s">
        <v>48</v>
      </c>
      <c r="T19" s="8">
        <v>14827</v>
      </c>
      <c r="U19" s="1" t="s">
        <v>66</v>
      </c>
      <c r="V19" s="1" t="s">
        <v>72</v>
      </c>
      <c r="Y19" s="3" t="s">
        <v>152</v>
      </c>
    </row>
    <row r="20" spans="1:25" x14ac:dyDescent="0.2">
      <c r="A20" s="2"/>
      <c r="B20" s="2">
        <v>1</v>
      </c>
      <c r="C20" s="2">
        <v>1</v>
      </c>
      <c r="D20" s="2"/>
      <c r="H20" s="2">
        <v>13</v>
      </c>
      <c r="I20" s="5" t="s">
        <v>153</v>
      </c>
      <c r="J20" s="5" t="s">
        <v>153</v>
      </c>
      <c r="K20" s="2">
        <v>19</v>
      </c>
      <c r="L20" s="1" t="s">
        <v>154</v>
      </c>
      <c r="M20" s="1" t="s">
        <v>155</v>
      </c>
      <c r="N20" s="6" t="s">
        <v>156</v>
      </c>
      <c r="O20" s="7">
        <v>2.52</v>
      </c>
      <c r="P20" s="6">
        <v>2.9</v>
      </c>
      <c r="Q20" s="6" t="s">
        <v>27</v>
      </c>
      <c r="R20" s="1" t="s">
        <v>157</v>
      </c>
      <c r="S20" s="8">
        <v>249</v>
      </c>
      <c r="T20" s="8">
        <v>16126</v>
      </c>
      <c r="U20" s="1" t="s">
        <v>126</v>
      </c>
      <c r="V20" s="1" t="s">
        <v>67</v>
      </c>
    </row>
    <row r="21" spans="1:25" x14ac:dyDescent="0.2">
      <c r="A21" s="2"/>
      <c r="B21" s="2">
        <v>1</v>
      </c>
      <c r="C21" s="2">
        <v>1</v>
      </c>
      <c r="D21" s="2"/>
      <c r="H21" s="2">
        <v>13</v>
      </c>
      <c r="I21" s="20" t="s">
        <v>158</v>
      </c>
      <c r="J21" s="20" t="s">
        <v>158</v>
      </c>
      <c r="K21" s="2">
        <v>20</v>
      </c>
      <c r="L21" s="1" t="s">
        <v>159</v>
      </c>
      <c r="M21" s="1" t="s">
        <v>160</v>
      </c>
      <c r="N21" s="6" t="s">
        <v>161</v>
      </c>
      <c r="O21" s="15">
        <v>4.25</v>
      </c>
      <c r="P21" s="6" t="s">
        <v>45</v>
      </c>
      <c r="R21" s="1" t="s">
        <v>162</v>
      </c>
      <c r="S21" s="8" t="s">
        <v>48</v>
      </c>
      <c r="T21" s="8" t="s">
        <v>45</v>
      </c>
      <c r="U21" s="1" t="s">
        <v>112</v>
      </c>
      <c r="V21" s="1" t="s">
        <v>30</v>
      </c>
    </row>
    <row r="22" spans="1:25" x14ac:dyDescent="0.2">
      <c r="A22" s="2">
        <v>1</v>
      </c>
      <c r="B22" s="2">
        <v>1</v>
      </c>
      <c r="C22" s="2">
        <v>1</v>
      </c>
      <c r="D22" s="2"/>
      <c r="H22" s="2">
        <v>11</v>
      </c>
      <c r="I22" s="20" t="s">
        <v>163</v>
      </c>
      <c r="J22" s="20" t="s">
        <v>163</v>
      </c>
      <c r="K22" s="2">
        <v>21</v>
      </c>
      <c r="L22" s="1" t="s">
        <v>164</v>
      </c>
      <c r="M22" s="1" t="s">
        <v>165</v>
      </c>
      <c r="N22" s="6" t="s">
        <v>166</v>
      </c>
      <c r="O22" s="15">
        <v>3.95</v>
      </c>
      <c r="P22" s="14">
        <v>4.3</v>
      </c>
      <c r="Q22" s="6" t="s">
        <v>27</v>
      </c>
      <c r="R22" s="1" t="s">
        <v>167</v>
      </c>
      <c r="S22" s="8" t="s">
        <v>48</v>
      </c>
      <c r="T22" s="8" t="s">
        <v>168</v>
      </c>
      <c r="U22" s="1" t="s">
        <v>169</v>
      </c>
      <c r="V22" s="1" t="s">
        <v>30</v>
      </c>
      <c r="W22" s="9" t="s">
        <v>113</v>
      </c>
    </row>
    <row r="23" spans="1:25" x14ac:dyDescent="0.2">
      <c r="A23" s="2"/>
      <c r="B23" s="2">
        <v>1</v>
      </c>
      <c r="C23" s="2"/>
      <c r="D23" s="2"/>
      <c r="H23" s="2">
        <v>13</v>
      </c>
      <c r="I23" s="1" t="s">
        <v>170</v>
      </c>
      <c r="J23" s="1" t="s">
        <v>170</v>
      </c>
      <c r="K23" s="2">
        <v>22</v>
      </c>
      <c r="L23" s="1" t="s">
        <v>171</v>
      </c>
      <c r="M23" s="1" t="s">
        <v>172</v>
      </c>
      <c r="N23" s="6">
        <v>9.6999999999999993</v>
      </c>
      <c r="O23" s="7">
        <v>3.09</v>
      </c>
      <c r="P23" s="6" t="s">
        <v>45</v>
      </c>
      <c r="R23" s="1" t="s">
        <v>173</v>
      </c>
      <c r="S23" s="8" t="s">
        <v>57</v>
      </c>
      <c r="T23" s="8" t="s">
        <v>45</v>
      </c>
      <c r="U23" s="1" t="s">
        <v>174</v>
      </c>
      <c r="V23" s="1" t="s">
        <v>72</v>
      </c>
      <c r="X23" s="9" t="s">
        <v>59</v>
      </c>
    </row>
    <row r="24" spans="1:25" x14ac:dyDescent="0.2">
      <c r="A24" s="2">
        <v>1</v>
      </c>
      <c r="B24" s="2">
        <v>1</v>
      </c>
      <c r="C24" s="2">
        <v>1</v>
      </c>
      <c r="D24" s="2"/>
      <c r="H24" s="2">
        <v>11</v>
      </c>
      <c r="I24" s="5" t="s">
        <v>175</v>
      </c>
      <c r="J24" s="5" t="s">
        <v>175</v>
      </c>
      <c r="K24" s="2">
        <v>23</v>
      </c>
      <c r="L24" s="1" t="s">
        <v>176</v>
      </c>
      <c r="M24" s="1" t="s">
        <v>177</v>
      </c>
      <c r="N24" s="6" t="s">
        <v>178</v>
      </c>
      <c r="O24" s="7">
        <v>2.2599999999999998</v>
      </c>
      <c r="P24" s="6">
        <v>2.2999999999999998</v>
      </c>
      <c r="Q24" s="6" t="s">
        <v>27</v>
      </c>
      <c r="R24" s="1" t="s">
        <v>179</v>
      </c>
      <c r="S24" s="8">
        <v>294</v>
      </c>
      <c r="T24" s="8">
        <v>19115</v>
      </c>
      <c r="U24" s="1" t="s">
        <v>180</v>
      </c>
      <c r="V24" s="1" t="s">
        <v>30</v>
      </c>
    </row>
    <row r="25" spans="1:25" x14ac:dyDescent="0.2">
      <c r="A25" s="2"/>
      <c r="B25" s="2"/>
      <c r="C25" s="2">
        <v>1</v>
      </c>
      <c r="D25" s="2"/>
      <c r="H25" s="2">
        <v>13</v>
      </c>
      <c r="I25" s="5" t="s">
        <v>181</v>
      </c>
      <c r="J25" s="5" t="s">
        <v>181</v>
      </c>
      <c r="K25" s="2">
        <v>24</v>
      </c>
      <c r="L25" s="1" t="s">
        <v>182</v>
      </c>
      <c r="M25" s="1" t="s">
        <v>183</v>
      </c>
      <c r="N25" s="6" t="s">
        <v>184</v>
      </c>
      <c r="O25" s="7" t="s">
        <v>45</v>
      </c>
      <c r="P25" s="6">
        <v>0.8</v>
      </c>
      <c r="Q25" s="6" t="s">
        <v>185</v>
      </c>
      <c r="R25" s="1" t="s">
        <v>186</v>
      </c>
      <c r="S25" s="8" t="s">
        <v>48</v>
      </c>
      <c r="T25" s="8">
        <v>19340</v>
      </c>
      <c r="U25" s="1" t="s">
        <v>187</v>
      </c>
      <c r="V25" s="1" t="s">
        <v>188</v>
      </c>
      <c r="Y25" s="3" t="s">
        <v>146</v>
      </c>
    </row>
    <row r="26" spans="1:25" x14ac:dyDescent="0.2">
      <c r="A26" s="2">
        <v>1</v>
      </c>
      <c r="B26" s="2">
        <v>1</v>
      </c>
      <c r="C26" s="2"/>
      <c r="D26" s="2"/>
      <c r="H26" s="2">
        <v>18</v>
      </c>
      <c r="I26" s="1" t="s">
        <v>189</v>
      </c>
      <c r="J26" s="1" t="s">
        <v>189</v>
      </c>
      <c r="K26" s="2">
        <v>25</v>
      </c>
      <c r="L26" s="1" t="s">
        <v>190</v>
      </c>
      <c r="M26" s="1" t="s">
        <v>191</v>
      </c>
      <c r="N26" s="6">
        <v>7.5</v>
      </c>
      <c r="O26" s="7">
        <v>2.59</v>
      </c>
      <c r="P26" s="6">
        <v>2.2999999999999998</v>
      </c>
      <c r="Q26" s="6" t="s">
        <v>27</v>
      </c>
      <c r="R26" s="1" t="s">
        <v>192</v>
      </c>
      <c r="S26" s="8">
        <v>156</v>
      </c>
      <c r="T26" s="8">
        <v>22247</v>
      </c>
      <c r="U26" s="1" t="s">
        <v>39</v>
      </c>
      <c r="V26" s="1" t="s">
        <v>30</v>
      </c>
      <c r="X26" s="9" t="s">
        <v>59</v>
      </c>
      <c r="Y26" s="3" t="s">
        <v>32</v>
      </c>
    </row>
    <row r="27" spans="1:25" x14ac:dyDescent="0.2">
      <c r="A27" s="2">
        <v>1</v>
      </c>
      <c r="B27" s="2">
        <v>1</v>
      </c>
      <c r="C27" s="2">
        <v>1</v>
      </c>
      <c r="D27" s="2"/>
      <c r="H27" s="2">
        <v>11</v>
      </c>
      <c r="I27" s="5" t="s">
        <v>193</v>
      </c>
      <c r="J27" s="5" t="s">
        <v>193</v>
      </c>
      <c r="K27" s="2">
        <v>26</v>
      </c>
      <c r="L27" s="1" t="s">
        <v>194</v>
      </c>
      <c r="M27" s="1" t="s">
        <v>195</v>
      </c>
      <c r="N27" s="6" t="s">
        <v>196</v>
      </c>
      <c r="O27" s="7">
        <v>3.38</v>
      </c>
      <c r="P27" s="6" t="s">
        <v>45</v>
      </c>
      <c r="R27" s="1" t="s">
        <v>197</v>
      </c>
      <c r="S27" s="8">
        <v>300</v>
      </c>
      <c r="T27" s="8">
        <v>22552</v>
      </c>
      <c r="U27" s="1" t="s">
        <v>80</v>
      </c>
      <c r="V27" s="1" t="s">
        <v>30</v>
      </c>
      <c r="Y27" s="3" t="s">
        <v>32</v>
      </c>
    </row>
    <row r="28" spans="1:25" x14ac:dyDescent="0.2">
      <c r="A28" s="2"/>
      <c r="B28" s="2">
        <v>1</v>
      </c>
      <c r="C28" s="2">
        <v>1</v>
      </c>
      <c r="D28" s="2"/>
      <c r="H28" s="2">
        <v>14</v>
      </c>
      <c r="I28" s="5" t="s">
        <v>198</v>
      </c>
      <c r="J28" s="5" t="s">
        <v>198</v>
      </c>
      <c r="K28" s="2">
        <v>27</v>
      </c>
      <c r="L28" s="1" t="s">
        <v>199</v>
      </c>
      <c r="M28" s="1" t="s">
        <v>200</v>
      </c>
      <c r="N28" s="6" t="s">
        <v>201</v>
      </c>
      <c r="O28" s="7">
        <v>3.22</v>
      </c>
      <c r="P28" s="6">
        <v>2.9</v>
      </c>
      <c r="Q28" s="6" t="s">
        <v>27</v>
      </c>
      <c r="R28" s="1" t="s">
        <v>202</v>
      </c>
      <c r="S28" s="8">
        <v>167</v>
      </c>
      <c r="T28" s="8">
        <v>22578</v>
      </c>
      <c r="U28" s="1" t="s">
        <v>203</v>
      </c>
      <c r="V28" s="1" t="s">
        <v>30</v>
      </c>
    </row>
    <row r="29" spans="1:25" x14ac:dyDescent="0.2">
      <c r="A29" s="2"/>
      <c r="B29" s="2">
        <v>1</v>
      </c>
      <c r="C29" s="2"/>
      <c r="D29" s="2"/>
      <c r="H29" s="2">
        <v>12</v>
      </c>
      <c r="I29" s="1" t="s">
        <v>204</v>
      </c>
      <c r="J29" s="1" t="s">
        <v>204</v>
      </c>
      <c r="K29" s="2">
        <v>28</v>
      </c>
      <c r="L29" s="1" t="s">
        <v>205</v>
      </c>
      <c r="M29" s="1" t="s">
        <v>206</v>
      </c>
      <c r="N29" s="6">
        <v>8.8000000000000007</v>
      </c>
      <c r="O29" s="7">
        <v>3.56</v>
      </c>
      <c r="P29" s="6">
        <v>2.9</v>
      </c>
      <c r="Q29" s="6" t="s">
        <v>78</v>
      </c>
      <c r="R29" s="1" t="s">
        <v>207</v>
      </c>
      <c r="S29" s="8">
        <v>365</v>
      </c>
      <c r="T29" s="8">
        <v>22670</v>
      </c>
      <c r="U29" s="1" t="s">
        <v>208</v>
      </c>
      <c r="V29" s="1" t="s">
        <v>30</v>
      </c>
      <c r="X29" s="9" t="s">
        <v>73</v>
      </c>
    </row>
    <row r="30" spans="1:25" x14ac:dyDescent="0.2">
      <c r="A30" s="2">
        <v>1</v>
      </c>
      <c r="B30" s="2">
        <v>1</v>
      </c>
      <c r="C30" s="2">
        <v>1</v>
      </c>
      <c r="D30" s="2"/>
      <c r="H30" s="2">
        <v>16</v>
      </c>
      <c r="I30" s="13" t="s">
        <v>209</v>
      </c>
      <c r="J30" s="13" t="s">
        <v>209</v>
      </c>
      <c r="K30" s="2">
        <v>29</v>
      </c>
      <c r="L30" s="1" t="s">
        <v>210</v>
      </c>
      <c r="M30" s="1" t="s">
        <v>211</v>
      </c>
      <c r="N30" s="6" t="s">
        <v>212</v>
      </c>
      <c r="O30" s="15">
        <v>4.93</v>
      </c>
      <c r="P30" s="18">
        <v>5.5</v>
      </c>
      <c r="Q30" s="9" t="s">
        <v>64</v>
      </c>
      <c r="R30" s="1" t="s">
        <v>213</v>
      </c>
      <c r="S30" s="8">
        <v>427</v>
      </c>
      <c r="T30" s="8">
        <v>23203</v>
      </c>
      <c r="U30" s="1" t="s">
        <v>214</v>
      </c>
      <c r="V30" s="1" t="s">
        <v>67</v>
      </c>
      <c r="W30" s="9" t="s">
        <v>215</v>
      </c>
    </row>
    <row r="31" spans="1:25" x14ac:dyDescent="0.2">
      <c r="A31" s="2"/>
      <c r="B31" s="2">
        <v>1</v>
      </c>
      <c r="C31" s="2">
        <v>1</v>
      </c>
      <c r="D31" s="2"/>
      <c r="H31" s="2">
        <v>12</v>
      </c>
      <c r="I31" s="5" t="s">
        <v>216</v>
      </c>
      <c r="J31" s="5" t="s">
        <v>216</v>
      </c>
      <c r="K31" s="2">
        <v>30</v>
      </c>
      <c r="L31" s="1" t="s">
        <v>217</v>
      </c>
      <c r="M31" s="1" t="s">
        <v>218</v>
      </c>
      <c r="N31" s="6" t="s">
        <v>219</v>
      </c>
      <c r="O31" s="7">
        <v>3.77</v>
      </c>
      <c r="P31" s="6" t="s">
        <v>45</v>
      </c>
      <c r="R31" s="1" t="s">
        <v>220</v>
      </c>
      <c r="S31" s="8" t="s">
        <v>38</v>
      </c>
      <c r="T31" s="8">
        <v>23520</v>
      </c>
      <c r="U31" s="1" t="s">
        <v>80</v>
      </c>
      <c r="V31" s="1" t="s">
        <v>72</v>
      </c>
    </row>
    <row r="32" spans="1:25" x14ac:dyDescent="0.2">
      <c r="A32" s="2">
        <v>1</v>
      </c>
      <c r="B32" s="2">
        <v>1</v>
      </c>
      <c r="C32" s="2">
        <v>1</v>
      </c>
      <c r="D32" s="2"/>
      <c r="H32" s="2">
        <v>14</v>
      </c>
      <c r="I32" s="5" t="s">
        <v>221</v>
      </c>
      <c r="J32" s="5" t="s">
        <v>221</v>
      </c>
      <c r="K32" s="2">
        <v>31</v>
      </c>
      <c r="L32" s="1" t="s">
        <v>222</v>
      </c>
      <c r="M32" s="1" t="s">
        <v>223</v>
      </c>
      <c r="N32" s="6" t="s">
        <v>224</v>
      </c>
      <c r="O32" s="15">
        <v>3.81</v>
      </c>
      <c r="P32" s="6">
        <v>3.5</v>
      </c>
      <c r="Q32" s="6" t="s">
        <v>27</v>
      </c>
      <c r="R32" s="1" t="s">
        <v>225</v>
      </c>
      <c r="S32" s="8">
        <v>212</v>
      </c>
      <c r="T32" s="8">
        <v>23680</v>
      </c>
      <c r="U32" s="1" t="s">
        <v>80</v>
      </c>
      <c r="V32" s="1" t="s">
        <v>30</v>
      </c>
    </row>
    <row r="33" spans="1:25" x14ac:dyDescent="0.2">
      <c r="A33" s="2"/>
      <c r="B33" s="2">
        <v>1</v>
      </c>
      <c r="C33" s="2">
        <v>1</v>
      </c>
      <c r="D33" s="2"/>
      <c r="H33" s="2">
        <v>12</v>
      </c>
      <c r="I33" s="5" t="s">
        <v>226</v>
      </c>
      <c r="J33" s="5" t="s">
        <v>226</v>
      </c>
      <c r="K33" s="2">
        <v>32</v>
      </c>
      <c r="L33" s="1" t="s">
        <v>227</v>
      </c>
      <c r="M33" s="1" t="s">
        <v>228</v>
      </c>
      <c r="N33" s="6" t="s">
        <v>229</v>
      </c>
      <c r="O33" s="7">
        <v>3.71</v>
      </c>
      <c r="P33" s="6">
        <v>3.2</v>
      </c>
      <c r="Q33" s="6" t="s">
        <v>27</v>
      </c>
      <c r="R33" s="1" t="s">
        <v>230</v>
      </c>
      <c r="S33" s="8" t="s">
        <v>38</v>
      </c>
      <c r="T33" s="8">
        <v>23965</v>
      </c>
      <c r="U33" s="1" t="s">
        <v>80</v>
      </c>
      <c r="V33" s="1" t="s">
        <v>72</v>
      </c>
    </row>
    <row r="34" spans="1:25" x14ac:dyDescent="0.2">
      <c r="A34" s="2"/>
      <c r="B34" s="2">
        <v>1</v>
      </c>
      <c r="C34" s="2">
        <v>1</v>
      </c>
      <c r="D34" s="2"/>
      <c r="H34" s="2">
        <v>16</v>
      </c>
      <c r="I34" s="5" t="s">
        <v>231</v>
      </c>
      <c r="J34" s="5" t="s">
        <v>231</v>
      </c>
      <c r="K34" s="2">
        <v>33</v>
      </c>
      <c r="L34" s="1" t="s">
        <v>232</v>
      </c>
      <c r="M34" s="1" t="s">
        <v>233</v>
      </c>
      <c r="N34" s="6" t="s">
        <v>234</v>
      </c>
      <c r="O34" s="7">
        <v>2.62</v>
      </c>
      <c r="P34" s="6">
        <v>2.6</v>
      </c>
      <c r="Q34" s="6" t="s">
        <v>27</v>
      </c>
      <c r="R34" s="1" t="s">
        <v>235</v>
      </c>
      <c r="S34" s="8">
        <v>96</v>
      </c>
      <c r="T34" s="8">
        <v>24025</v>
      </c>
      <c r="U34" s="1" t="s">
        <v>174</v>
      </c>
      <c r="V34" s="1" t="s">
        <v>30</v>
      </c>
    </row>
    <row r="35" spans="1:25" x14ac:dyDescent="0.2">
      <c r="A35" s="2"/>
      <c r="B35" s="2">
        <v>1</v>
      </c>
      <c r="C35" s="2">
        <v>1</v>
      </c>
      <c r="D35" s="2"/>
      <c r="H35" s="2">
        <v>12</v>
      </c>
      <c r="I35" s="5" t="s">
        <v>236</v>
      </c>
      <c r="J35" s="5" t="s">
        <v>236</v>
      </c>
      <c r="K35" s="2">
        <v>34</v>
      </c>
      <c r="L35" s="1" t="s">
        <v>237</v>
      </c>
      <c r="M35" s="1" t="s">
        <v>238</v>
      </c>
      <c r="N35" s="6" t="s">
        <v>239</v>
      </c>
      <c r="O35" s="7">
        <v>2.1</v>
      </c>
      <c r="P35" s="6">
        <v>1.4</v>
      </c>
      <c r="Q35" s="6" t="s">
        <v>27</v>
      </c>
      <c r="R35" s="1" t="s">
        <v>240</v>
      </c>
      <c r="S35" s="8">
        <v>394</v>
      </c>
      <c r="T35" s="8">
        <v>25050</v>
      </c>
      <c r="U35" s="1" t="s">
        <v>241</v>
      </c>
      <c r="V35" s="1" t="s">
        <v>67</v>
      </c>
      <c r="W35" s="9" t="s">
        <v>113</v>
      </c>
      <c r="Y35" s="3" t="s">
        <v>146</v>
      </c>
    </row>
    <row r="36" spans="1:25" x14ac:dyDescent="0.2">
      <c r="A36" s="2"/>
      <c r="B36" s="2">
        <v>1</v>
      </c>
      <c r="C36" s="2">
        <v>1</v>
      </c>
      <c r="D36" s="2"/>
      <c r="H36" s="2">
        <v>12</v>
      </c>
      <c r="I36" s="5" t="s">
        <v>242</v>
      </c>
      <c r="J36" s="5" t="s">
        <v>242</v>
      </c>
      <c r="K36" s="2">
        <v>35</v>
      </c>
      <c r="L36" s="1" t="s">
        <v>243</v>
      </c>
      <c r="M36" s="1" t="s">
        <v>244</v>
      </c>
      <c r="N36" s="6" t="s">
        <v>245</v>
      </c>
      <c r="O36" s="7">
        <v>1.81</v>
      </c>
      <c r="P36" s="6" t="s">
        <v>45</v>
      </c>
      <c r="R36" s="1" t="s">
        <v>246</v>
      </c>
      <c r="S36" s="8">
        <v>590</v>
      </c>
      <c r="T36" s="8" t="s">
        <v>45</v>
      </c>
      <c r="U36" s="1" t="s">
        <v>247</v>
      </c>
      <c r="V36" s="1" t="s">
        <v>30</v>
      </c>
    </row>
    <row r="37" spans="1:25" x14ac:dyDescent="0.2">
      <c r="A37" s="2"/>
      <c r="B37" s="2">
        <v>1</v>
      </c>
      <c r="C37" s="2">
        <v>1</v>
      </c>
      <c r="D37" s="2"/>
      <c r="H37" s="2">
        <v>14</v>
      </c>
      <c r="I37" s="5" t="s">
        <v>248</v>
      </c>
      <c r="J37" s="5" t="s">
        <v>248</v>
      </c>
      <c r="K37" s="2">
        <v>36</v>
      </c>
      <c r="L37" s="1" t="s">
        <v>249</v>
      </c>
      <c r="M37" s="1" t="s">
        <v>250</v>
      </c>
      <c r="N37" s="6" t="s">
        <v>251</v>
      </c>
      <c r="O37" s="7">
        <v>2.97</v>
      </c>
      <c r="P37" s="6">
        <v>2.9</v>
      </c>
      <c r="Q37" s="6" t="s">
        <v>27</v>
      </c>
      <c r="R37" s="1" t="s">
        <v>252</v>
      </c>
      <c r="S37" s="8">
        <v>321</v>
      </c>
      <c r="T37" s="8">
        <v>26032</v>
      </c>
      <c r="U37" s="1" t="s">
        <v>39</v>
      </c>
      <c r="V37" s="1" t="s">
        <v>30</v>
      </c>
    </row>
    <row r="38" spans="1:25" x14ac:dyDescent="0.2">
      <c r="A38" s="2">
        <v>1</v>
      </c>
      <c r="B38" s="2">
        <v>1</v>
      </c>
      <c r="C38" s="2"/>
      <c r="D38" s="2"/>
      <c r="H38" s="2">
        <v>16</v>
      </c>
      <c r="I38" s="1" t="s">
        <v>253</v>
      </c>
      <c r="J38" s="1" t="s">
        <v>253</v>
      </c>
      <c r="K38" s="2">
        <v>37</v>
      </c>
      <c r="L38" s="1" t="s">
        <v>254</v>
      </c>
      <c r="M38" s="1" t="s">
        <v>255</v>
      </c>
      <c r="N38" s="6" t="s">
        <v>256</v>
      </c>
      <c r="O38" s="7">
        <v>2.4</v>
      </c>
      <c r="P38" s="6">
        <v>2.1</v>
      </c>
      <c r="Q38" s="6" t="s">
        <v>27</v>
      </c>
      <c r="R38" s="1" t="s">
        <v>257</v>
      </c>
      <c r="S38" s="8" t="s">
        <v>57</v>
      </c>
      <c r="T38" s="8">
        <v>26824</v>
      </c>
      <c r="U38" s="1" t="s">
        <v>258</v>
      </c>
      <c r="V38" s="1" t="s">
        <v>72</v>
      </c>
      <c r="Y38" s="3" t="s">
        <v>32</v>
      </c>
    </row>
    <row r="39" spans="1:25" x14ac:dyDescent="0.2">
      <c r="A39" s="2"/>
      <c r="B39" s="2">
        <v>1</v>
      </c>
      <c r="C39" s="2">
        <v>1</v>
      </c>
      <c r="D39" s="2"/>
      <c r="H39" s="2">
        <v>11</v>
      </c>
      <c r="I39" s="5" t="s">
        <v>259</v>
      </c>
      <c r="J39" s="5" t="s">
        <v>259</v>
      </c>
      <c r="K39" s="2">
        <v>38</v>
      </c>
      <c r="L39" s="1" t="s">
        <v>260</v>
      </c>
      <c r="M39" s="1" t="s">
        <v>261</v>
      </c>
      <c r="N39" s="6" t="s">
        <v>262</v>
      </c>
      <c r="O39" s="7">
        <v>2.95</v>
      </c>
      <c r="P39" s="6">
        <v>2.5</v>
      </c>
      <c r="Q39" s="6" t="s">
        <v>263</v>
      </c>
      <c r="R39" s="1" t="s">
        <v>264</v>
      </c>
      <c r="S39" s="8">
        <v>327</v>
      </c>
      <c r="T39" s="8">
        <v>26753</v>
      </c>
      <c r="U39" s="1" t="s">
        <v>265</v>
      </c>
      <c r="V39" s="1" t="s">
        <v>30</v>
      </c>
    </row>
    <row r="40" spans="1:25" x14ac:dyDescent="0.2">
      <c r="A40" s="2"/>
      <c r="B40" s="2">
        <v>1</v>
      </c>
      <c r="C40" s="2">
        <v>1</v>
      </c>
      <c r="D40" s="2"/>
      <c r="H40" s="2">
        <v>14</v>
      </c>
      <c r="I40" s="5" t="s">
        <v>266</v>
      </c>
      <c r="J40" s="5" t="s">
        <v>266</v>
      </c>
      <c r="K40" s="2">
        <v>39</v>
      </c>
      <c r="L40" s="1" t="s">
        <v>267</v>
      </c>
      <c r="M40" s="1" t="s">
        <v>268</v>
      </c>
      <c r="N40" s="6" t="s">
        <v>269</v>
      </c>
      <c r="O40" s="7">
        <v>2.75</v>
      </c>
      <c r="P40" s="6">
        <v>2.9</v>
      </c>
      <c r="Q40" s="6" t="s">
        <v>27</v>
      </c>
      <c r="R40" s="1" t="s">
        <v>270</v>
      </c>
      <c r="S40" s="8">
        <v>190</v>
      </c>
      <c r="T40" s="8">
        <v>27135</v>
      </c>
      <c r="U40" s="1" t="s">
        <v>80</v>
      </c>
      <c r="V40" s="1" t="s">
        <v>30</v>
      </c>
      <c r="Y40" s="3" t="s">
        <v>146</v>
      </c>
    </row>
    <row r="41" spans="1:25" x14ac:dyDescent="0.2">
      <c r="A41" s="2">
        <v>1</v>
      </c>
      <c r="B41" s="2">
        <v>1</v>
      </c>
      <c r="C41" s="2">
        <v>1</v>
      </c>
      <c r="D41" s="2"/>
      <c r="H41" s="2">
        <v>14</v>
      </c>
      <c r="I41" s="5" t="s">
        <v>271</v>
      </c>
      <c r="J41" s="5" t="s">
        <v>271</v>
      </c>
      <c r="K41" s="2">
        <v>40</v>
      </c>
      <c r="L41" s="1" t="s">
        <v>272</v>
      </c>
      <c r="M41" s="1" t="s">
        <v>273</v>
      </c>
      <c r="N41" s="6" t="s">
        <v>274</v>
      </c>
      <c r="O41" s="7">
        <v>3.44</v>
      </c>
      <c r="P41" s="6">
        <v>3</v>
      </c>
      <c r="Q41" s="6" t="s">
        <v>27</v>
      </c>
      <c r="R41" s="1" t="s">
        <v>275</v>
      </c>
      <c r="S41" s="8">
        <v>242</v>
      </c>
      <c r="T41" s="8">
        <v>27181</v>
      </c>
      <c r="U41" s="1" t="s">
        <v>276</v>
      </c>
      <c r="V41" s="1" t="s">
        <v>30</v>
      </c>
    </row>
    <row r="42" spans="1:25" x14ac:dyDescent="0.2">
      <c r="A42" s="2"/>
      <c r="B42" s="2">
        <v>1</v>
      </c>
      <c r="C42" s="2">
        <v>1</v>
      </c>
      <c r="D42" s="2"/>
      <c r="H42" s="2">
        <v>12</v>
      </c>
      <c r="I42" s="5" t="s">
        <v>277</v>
      </c>
      <c r="J42" s="5" t="s">
        <v>277</v>
      </c>
      <c r="K42" s="2">
        <v>41</v>
      </c>
      <c r="L42" s="1" t="s">
        <v>278</v>
      </c>
      <c r="M42" s="1" t="s">
        <v>279</v>
      </c>
      <c r="N42" s="6" t="s">
        <v>280</v>
      </c>
      <c r="O42" s="7">
        <v>2.77</v>
      </c>
      <c r="P42" s="6">
        <v>2.7</v>
      </c>
      <c r="Q42" s="6" t="s">
        <v>27</v>
      </c>
      <c r="R42" s="1" t="s">
        <v>281</v>
      </c>
      <c r="S42" s="8" t="s">
        <v>48</v>
      </c>
      <c r="T42" s="8">
        <v>27398</v>
      </c>
      <c r="U42" s="1" t="s">
        <v>100</v>
      </c>
      <c r="V42" s="1" t="s">
        <v>72</v>
      </c>
    </row>
    <row r="43" spans="1:25" x14ac:dyDescent="0.2">
      <c r="A43" s="2"/>
      <c r="B43" s="2">
        <v>1</v>
      </c>
      <c r="C43" s="2"/>
      <c r="D43" s="2"/>
      <c r="F43" s="22" t="s">
        <v>282</v>
      </c>
      <c r="I43" s="5" t="s">
        <v>283</v>
      </c>
      <c r="J43" s="5" t="s">
        <v>283</v>
      </c>
      <c r="K43" s="2">
        <v>42</v>
      </c>
      <c r="L43" s="1" t="s">
        <v>284</v>
      </c>
      <c r="M43" s="1" t="s">
        <v>285</v>
      </c>
      <c r="N43" s="6" t="s">
        <v>286</v>
      </c>
      <c r="O43" s="7">
        <v>1.1000000000000001</v>
      </c>
      <c r="S43" s="8"/>
      <c r="U43" s="1" t="s">
        <v>287</v>
      </c>
    </row>
    <row r="44" spans="1:25" x14ac:dyDescent="0.2">
      <c r="A44" s="2">
        <v>1</v>
      </c>
      <c r="B44" s="2">
        <v>1</v>
      </c>
      <c r="C44" s="2">
        <v>1</v>
      </c>
      <c r="D44" s="2"/>
      <c r="H44" s="2">
        <v>25</v>
      </c>
      <c r="I44" s="5" t="s">
        <v>288</v>
      </c>
      <c r="J44" s="5" t="s">
        <v>288</v>
      </c>
      <c r="K44" s="2">
        <v>43</v>
      </c>
      <c r="L44" s="1" t="s">
        <v>289</v>
      </c>
      <c r="M44" s="1" t="s">
        <v>290</v>
      </c>
      <c r="N44" s="6" t="s">
        <v>291</v>
      </c>
      <c r="O44" s="7">
        <v>3.36</v>
      </c>
      <c r="P44" s="6">
        <v>2.8</v>
      </c>
      <c r="Q44" s="6" t="s">
        <v>27</v>
      </c>
      <c r="R44" s="1" t="s">
        <v>292</v>
      </c>
      <c r="S44" s="8">
        <v>230</v>
      </c>
      <c r="T44" s="8" t="s">
        <v>45</v>
      </c>
      <c r="U44" s="1" t="s">
        <v>39</v>
      </c>
      <c r="V44" s="1" t="s">
        <v>30</v>
      </c>
      <c r="Y44" s="3" t="s">
        <v>32</v>
      </c>
    </row>
    <row r="45" spans="1:25" x14ac:dyDescent="0.2">
      <c r="A45" s="2"/>
      <c r="B45" s="2">
        <v>1</v>
      </c>
      <c r="C45" s="2"/>
      <c r="D45" s="2"/>
      <c r="H45" s="2">
        <v>14</v>
      </c>
      <c r="I45" s="1" t="s">
        <v>293</v>
      </c>
      <c r="J45" s="1" t="s">
        <v>293</v>
      </c>
      <c r="K45" s="2">
        <v>44</v>
      </c>
      <c r="L45" s="1" t="s">
        <v>294</v>
      </c>
      <c r="M45" s="1" t="s">
        <v>295</v>
      </c>
      <c r="N45" s="6" t="s">
        <v>296</v>
      </c>
      <c r="O45" s="7">
        <v>2</v>
      </c>
      <c r="P45" s="6" t="s">
        <v>45</v>
      </c>
      <c r="S45" s="8">
        <v>236</v>
      </c>
      <c r="T45" s="8">
        <v>29896</v>
      </c>
      <c r="U45" s="1" t="s">
        <v>247</v>
      </c>
      <c r="V45" s="1" t="s">
        <v>30</v>
      </c>
      <c r="W45" s="9" t="s">
        <v>113</v>
      </c>
    </row>
    <row r="46" spans="1:25" x14ac:dyDescent="0.2">
      <c r="A46" s="2"/>
      <c r="B46" s="2"/>
      <c r="C46" s="2">
        <v>1</v>
      </c>
      <c r="D46" s="2"/>
      <c r="H46" s="2">
        <v>25</v>
      </c>
      <c r="I46" s="5" t="s">
        <v>297</v>
      </c>
      <c r="J46" s="5" t="s">
        <v>297</v>
      </c>
      <c r="K46" s="2">
        <v>45</v>
      </c>
      <c r="L46" s="1" t="s">
        <v>298</v>
      </c>
      <c r="M46" s="1" t="s">
        <v>299</v>
      </c>
      <c r="N46" s="6" t="s">
        <v>300</v>
      </c>
      <c r="O46" s="7" t="s">
        <v>45</v>
      </c>
      <c r="P46" s="6">
        <v>3.3</v>
      </c>
      <c r="Q46" s="6" t="s">
        <v>124</v>
      </c>
      <c r="R46" s="1" t="s">
        <v>301</v>
      </c>
      <c r="S46" s="8">
        <v>310</v>
      </c>
      <c r="T46" s="8">
        <v>30301</v>
      </c>
      <c r="U46" s="1" t="s">
        <v>302</v>
      </c>
      <c r="V46" s="1" t="s">
        <v>30</v>
      </c>
    </row>
    <row r="47" spans="1:25" x14ac:dyDescent="0.2">
      <c r="A47" s="2"/>
      <c r="B47" s="2">
        <v>1</v>
      </c>
      <c r="C47" s="2">
        <v>1</v>
      </c>
      <c r="D47" s="2"/>
      <c r="H47" s="2">
        <v>12</v>
      </c>
      <c r="I47" s="5" t="s">
        <v>303</v>
      </c>
      <c r="J47" s="5" t="s">
        <v>303</v>
      </c>
      <c r="K47" s="2">
        <v>46</v>
      </c>
      <c r="L47" s="1" t="s">
        <v>304</v>
      </c>
      <c r="M47" s="1" t="s">
        <v>305</v>
      </c>
      <c r="N47" s="6" t="s">
        <v>306</v>
      </c>
      <c r="O47" s="15">
        <v>3.87</v>
      </c>
      <c r="P47" s="6" t="s">
        <v>45</v>
      </c>
      <c r="R47" s="1" t="s">
        <v>307</v>
      </c>
      <c r="S47" s="8">
        <v>353</v>
      </c>
      <c r="T47" s="8">
        <v>30449</v>
      </c>
      <c r="U47" s="1" t="s">
        <v>308</v>
      </c>
      <c r="V47" s="1" t="s">
        <v>67</v>
      </c>
    </row>
    <row r="48" spans="1:25" x14ac:dyDescent="0.2">
      <c r="A48" s="2">
        <v>1</v>
      </c>
      <c r="B48" s="2">
        <v>1</v>
      </c>
      <c r="C48" s="2">
        <v>1</v>
      </c>
      <c r="D48" s="2"/>
      <c r="H48" s="2">
        <v>14</v>
      </c>
      <c r="I48" s="5" t="s">
        <v>309</v>
      </c>
      <c r="J48" s="5" t="s">
        <v>309</v>
      </c>
      <c r="K48" s="2">
        <v>47</v>
      </c>
      <c r="L48" s="1" t="s">
        <v>310</v>
      </c>
      <c r="M48" s="1" t="s">
        <v>311</v>
      </c>
      <c r="N48" s="6" t="s">
        <v>312</v>
      </c>
      <c r="O48" s="7">
        <v>2.5499999999999998</v>
      </c>
      <c r="P48" s="6">
        <v>2.2999999999999998</v>
      </c>
      <c r="Q48" s="6" t="s">
        <v>27</v>
      </c>
      <c r="R48" s="1" t="s">
        <v>313</v>
      </c>
      <c r="S48" s="8">
        <v>154</v>
      </c>
      <c r="T48" s="8">
        <v>30564</v>
      </c>
      <c r="U48" s="1" t="s">
        <v>174</v>
      </c>
      <c r="V48" s="1" t="s">
        <v>72</v>
      </c>
    </row>
    <row r="49" spans="1:25" x14ac:dyDescent="0.2">
      <c r="A49" s="2"/>
      <c r="B49" s="2">
        <v>1</v>
      </c>
      <c r="C49" s="2"/>
      <c r="D49" s="2"/>
      <c r="H49" s="2">
        <v>12</v>
      </c>
      <c r="I49" s="1" t="s">
        <v>314</v>
      </c>
      <c r="J49" s="1" t="s">
        <v>314</v>
      </c>
      <c r="K49" s="2">
        <v>48</v>
      </c>
      <c r="L49" s="1" t="s">
        <v>315</v>
      </c>
      <c r="M49" s="1" t="s">
        <v>316</v>
      </c>
      <c r="N49" s="6">
        <v>8.4</v>
      </c>
      <c r="O49" s="7">
        <v>3.47</v>
      </c>
      <c r="P49" s="6" t="s">
        <v>45</v>
      </c>
      <c r="R49" s="1" t="s">
        <v>317</v>
      </c>
      <c r="S49" s="8">
        <v>229</v>
      </c>
      <c r="T49" s="8">
        <v>31379</v>
      </c>
      <c r="U49" s="1" t="s">
        <v>139</v>
      </c>
      <c r="V49" s="1" t="s">
        <v>30</v>
      </c>
      <c r="X49" s="9" t="s">
        <v>59</v>
      </c>
    </row>
    <row r="50" spans="1:25" x14ac:dyDescent="0.2">
      <c r="A50" s="2">
        <v>1</v>
      </c>
      <c r="B50" s="2">
        <v>1</v>
      </c>
      <c r="C50" s="2">
        <v>1</v>
      </c>
      <c r="D50" s="2"/>
      <c r="H50" s="2">
        <v>12</v>
      </c>
      <c r="I50" s="5" t="s">
        <v>318</v>
      </c>
      <c r="J50" s="5" t="s">
        <v>318</v>
      </c>
      <c r="K50" s="2">
        <v>49</v>
      </c>
      <c r="L50" s="1" t="s">
        <v>319</v>
      </c>
      <c r="M50" s="1" t="s">
        <v>320</v>
      </c>
      <c r="N50" s="6" t="s">
        <v>321</v>
      </c>
      <c r="O50" s="7">
        <v>3.1</v>
      </c>
      <c r="P50" s="6">
        <v>2.6</v>
      </c>
      <c r="Q50" s="9" t="s">
        <v>64</v>
      </c>
      <c r="R50" s="1" t="s">
        <v>322</v>
      </c>
      <c r="S50" s="8">
        <v>234</v>
      </c>
      <c r="T50" s="8">
        <v>31579</v>
      </c>
      <c r="U50" s="1" t="s">
        <v>174</v>
      </c>
      <c r="V50" s="1" t="s">
        <v>30</v>
      </c>
      <c r="W50" s="9" t="s">
        <v>113</v>
      </c>
    </row>
    <row r="51" spans="1:25" x14ac:dyDescent="0.2">
      <c r="A51" s="2"/>
      <c r="B51" s="2">
        <v>1</v>
      </c>
      <c r="C51" s="2">
        <v>1</v>
      </c>
      <c r="D51" s="2"/>
      <c r="H51" s="2">
        <v>25</v>
      </c>
      <c r="I51" s="5" t="s">
        <v>323</v>
      </c>
      <c r="J51" s="5" t="s">
        <v>323</v>
      </c>
      <c r="K51" s="2">
        <v>50</v>
      </c>
      <c r="L51" s="1" t="s">
        <v>324</v>
      </c>
      <c r="M51" s="1" t="s">
        <v>325</v>
      </c>
      <c r="N51" s="6" t="s">
        <v>326</v>
      </c>
      <c r="O51" s="7">
        <v>2.68</v>
      </c>
      <c r="P51" s="6">
        <v>2.4</v>
      </c>
      <c r="Q51" s="6" t="s">
        <v>263</v>
      </c>
      <c r="R51" s="1" t="s">
        <v>327</v>
      </c>
      <c r="S51" s="8" t="s">
        <v>38</v>
      </c>
      <c r="T51" s="8">
        <v>32083</v>
      </c>
      <c r="U51" s="1" t="s">
        <v>80</v>
      </c>
      <c r="V51" s="1" t="s">
        <v>72</v>
      </c>
    </row>
    <row r="52" spans="1:25" x14ac:dyDescent="0.2">
      <c r="A52" s="2"/>
      <c r="B52" s="2">
        <v>1</v>
      </c>
      <c r="C52" s="2">
        <v>1</v>
      </c>
      <c r="D52" s="2"/>
      <c r="H52" s="2">
        <v>27</v>
      </c>
      <c r="I52" s="5" t="s">
        <v>328</v>
      </c>
      <c r="J52" s="5" t="s">
        <v>328</v>
      </c>
      <c r="K52" s="2">
        <v>51</v>
      </c>
      <c r="L52" s="1" t="s">
        <v>329</v>
      </c>
      <c r="M52" s="1" t="s">
        <v>330</v>
      </c>
      <c r="N52" s="6" t="s">
        <v>331</v>
      </c>
      <c r="O52" s="7">
        <v>2.64</v>
      </c>
      <c r="P52" s="6">
        <v>2.4</v>
      </c>
      <c r="Q52" s="6" t="s">
        <v>27</v>
      </c>
      <c r="R52" s="1" t="s">
        <v>332</v>
      </c>
      <c r="S52" s="8" t="s">
        <v>38</v>
      </c>
      <c r="T52" s="8">
        <v>33059</v>
      </c>
      <c r="U52" s="1" t="s">
        <v>174</v>
      </c>
      <c r="V52" s="1" t="s">
        <v>72</v>
      </c>
    </row>
    <row r="53" spans="1:25" x14ac:dyDescent="0.2">
      <c r="A53" s="2"/>
      <c r="B53" s="2">
        <v>1</v>
      </c>
      <c r="C53" s="2"/>
      <c r="D53" s="2"/>
      <c r="H53" s="2">
        <v>29</v>
      </c>
      <c r="I53" s="1" t="s">
        <v>333</v>
      </c>
      <c r="J53" s="1" t="s">
        <v>333</v>
      </c>
      <c r="K53" s="2">
        <v>52</v>
      </c>
      <c r="L53" s="1" t="s">
        <v>334</v>
      </c>
      <c r="M53" s="1" t="s">
        <v>335</v>
      </c>
      <c r="N53" s="6" t="s">
        <v>336</v>
      </c>
      <c r="O53" s="7">
        <v>2.5</v>
      </c>
      <c r="P53" s="6">
        <v>2.2000000000000002</v>
      </c>
      <c r="Q53" s="6" t="s">
        <v>27</v>
      </c>
      <c r="R53" s="1" t="s">
        <v>337</v>
      </c>
      <c r="S53" s="8" t="s">
        <v>57</v>
      </c>
      <c r="T53" s="8">
        <v>33189</v>
      </c>
      <c r="U53" s="1" t="s">
        <v>338</v>
      </c>
      <c r="V53" s="1" t="s">
        <v>72</v>
      </c>
      <c r="Y53" s="3" t="s">
        <v>152</v>
      </c>
    </row>
    <row r="54" spans="1:25" x14ac:dyDescent="0.2">
      <c r="A54" s="2"/>
      <c r="B54" s="2">
        <v>1</v>
      </c>
      <c r="C54" s="2">
        <v>1</v>
      </c>
      <c r="D54" s="2"/>
      <c r="H54" s="2">
        <v>25</v>
      </c>
      <c r="I54" s="5" t="s">
        <v>339</v>
      </c>
      <c r="J54" s="5" t="s">
        <v>339</v>
      </c>
      <c r="K54" s="2">
        <v>53</v>
      </c>
      <c r="L54" s="1" t="s">
        <v>340</v>
      </c>
      <c r="M54" s="1" t="s">
        <v>341</v>
      </c>
      <c r="N54" s="6" t="s">
        <v>342</v>
      </c>
      <c r="O54" s="7">
        <v>3.2</v>
      </c>
      <c r="P54" s="6">
        <v>2.7</v>
      </c>
      <c r="Q54" s="6" t="s">
        <v>27</v>
      </c>
      <c r="R54" s="1" t="s">
        <v>343</v>
      </c>
      <c r="S54" s="8">
        <v>132</v>
      </c>
      <c r="T54" s="8">
        <v>33550</v>
      </c>
      <c r="U54" s="1" t="s">
        <v>180</v>
      </c>
      <c r="V54" s="1" t="s">
        <v>30</v>
      </c>
      <c r="Y54" s="3" t="s">
        <v>146</v>
      </c>
    </row>
    <row r="55" spans="1:25" x14ac:dyDescent="0.2">
      <c r="A55" s="2">
        <v>1</v>
      </c>
      <c r="B55" s="2">
        <v>1</v>
      </c>
      <c r="C55" s="2">
        <v>1</v>
      </c>
      <c r="D55" s="2"/>
      <c r="H55" s="2">
        <v>25</v>
      </c>
      <c r="I55" s="5" t="s">
        <v>344</v>
      </c>
      <c r="J55" s="5" t="s">
        <v>344</v>
      </c>
      <c r="K55" s="2">
        <v>54</v>
      </c>
      <c r="L55" s="1" t="s">
        <v>345</v>
      </c>
      <c r="M55" s="1" t="s">
        <v>346</v>
      </c>
      <c r="N55" s="6" t="s">
        <v>347</v>
      </c>
      <c r="O55" s="7">
        <v>1.96</v>
      </c>
      <c r="P55" s="6">
        <v>1.7000000000000002</v>
      </c>
      <c r="Q55" s="6" t="s">
        <v>27</v>
      </c>
      <c r="R55" s="1" t="s">
        <v>348</v>
      </c>
      <c r="S55" s="8">
        <v>60</v>
      </c>
      <c r="T55" s="8">
        <v>33794</v>
      </c>
      <c r="U55" s="1" t="s">
        <v>66</v>
      </c>
      <c r="V55" s="1" t="s">
        <v>30</v>
      </c>
      <c r="Y55" s="3" t="s">
        <v>32</v>
      </c>
    </row>
    <row r="56" spans="1:25" x14ac:dyDescent="0.2">
      <c r="A56" s="2"/>
      <c r="B56" s="2">
        <v>1</v>
      </c>
      <c r="C56" s="2">
        <v>1</v>
      </c>
      <c r="D56" s="2"/>
      <c r="H56" s="2">
        <v>27</v>
      </c>
      <c r="I56" s="20" t="s">
        <v>349</v>
      </c>
      <c r="J56" s="20" t="s">
        <v>349</v>
      </c>
      <c r="K56" s="2">
        <v>55</v>
      </c>
      <c r="L56" s="1" t="s">
        <v>350</v>
      </c>
      <c r="M56" s="1" t="s">
        <v>351</v>
      </c>
      <c r="N56" s="6" t="s">
        <v>352</v>
      </c>
      <c r="O56" s="15">
        <v>4.38</v>
      </c>
      <c r="P56" s="14">
        <v>4</v>
      </c>
      <c r="Q56" s="6" t="s">
        <v>27</v>
      </c>
      <c r="R56" s="1" t="s">
        <v>353</v>
      </c>
      <c r="S56" s="8">
        <v>456</v>
      </c>
      <c r="T56" s="8">
        <v>34326</v>
      </c>
      <c r="U56" s="23" t="s">
        <v>354</v>
      </c>
      <c r="V56" s="1" t="s">
        <v>30</v>
      </c>
      <c r="W56" s="9" t="s">
        <v>113</v>
      </c>
    </row>
    <row r="57" spans="1:25" x14ac:dyDescent="0.2">
      <c r="A57" s="2">
        <v>1</v>
      </c>
      <c r="B57" s="2">
        <v>1</v>
      </c>
      <c r="C57" s="2">
        <v>1</v>
      </c>
      <c r="D57" s="2"/>
      <c r="H57" s="2">
        <v>27</v>
      </c>
      <c r="I57" s="5" t="s">
        <v>355</v>
      </c>
      <c r="J57" s="5" t="s">
        <v>355</v>
      </c>
      <c r="K57" s="2">
        <v>56</v>
      </c>
      <c r="L57" s="1" t="s">
        <v>356</v>
      </c>
      <c r="M57" s="1" t="s">
        <v>357</v>
      </c>
      <c r="N57" s="6" t="s">
        <v>358</v>
      </c>
      <c r="O57" s="7">
        <v>2.66</v>
      </c>
      <c r="P57" s="6">
        <v>2.4</v>
      </c>
      <c r="Q57" s="6" t="s">
        <v>27</v>
      </c>
      <c r="R57" s="1" t="s">
        <v>359</v>
      </c>
      <c r="S57" s="8" t="s">
        <v>38</v>
      </c>
      <c r="T57" s="8">
        <v>34413</v>
      </c>
      <c r="U57" s="1" t="s">
        <v>174</v>
      </c>
      <c r="V57" s="1" t="s">
        <v>72</v>
      </c>
    </row>
    <row r="58" spans="1:25" x14ac:dyDescent="0.2">
      <c r="A58" s="2">
        <v>1</v>
      </c>
      <c r="B58" s="2">
        <v>1</v>
      </c>
      <c r="C58" s="2">
        <v>1</v>
      </c>
      <c r="D58" s="2"/>
      <c r="H58" s="2">
        <v>25</v>
      </c>
      <c r="I58" s="5" t="s">
        <v>360</v>
      </c>
      <c r="J58" s="5" t="s">
        <v>360</v>
      </c>
      <c r="K58" s="2">
        <v>57</v>
      </c>
      <c r="L58" s="1" t="s">
        <v>361</v>
      </c>
      <c r="M58" s="1" t="s">
        <v>362</v>
      </c>
      <c r="N58" s="6" t="s">
        <v>363</v>
      </c>
      <c r="O58" s="7">
        <v>2.5499999999999998</v>
      </c>
      <c r="P58" s="6">
        <v>3.2</v>
      </c>
      <c r="Q58" s="6" t="s">
        <v>364</v>
      </c>
      <c r="R58" s="1" t="s">
        <v>365</v>
      </c>
      <c r="S58" s="8">
        <v>338</v>
      </c>
      <c r="T58" s="8">
        <v>34474</v>
      </c>
      <c r="U58" s="1" t="s">
        <v>366</v>
      </c>
      <c r="V58" s="1" t="s">
        <v>67</v>
      </c>
    </row>
    <row r="59" spans="1:25" x14ac:dyDescent="0.2">
      <c r="A59" s="2"/>
      <c r="B59" s="2">
        <v>1</v>
      </c>
      <c r="C59" s="2">
        <v>1</v>
      </c>
      <c r="D59" s="2"/>
      <c r="H59" s="2">
        <v>25</v>
      </c>
      <c r="I59" s="5" t="s">
        <v>367</v>
      </c>
      <c r="J59" s="5" t="s">
        <v>367</v>
      </c>
      <c r="K59" s="2">
        <v>58</v>
      </c>
      <c r="L59" s="1" t="s">
        <v>368</v>
      </c>
      <c r="M59" s="1" t="s">
        <v>369</v>
      </c>
      <c r="N59" s="6" t="s">
        <v>370</v>
      </c>
      <c r="O59" s="7">
        <v>2.8</v>
      </c>
      <c r="P59" s="6" t="s">
        <v>45</v>
      </c>
      <c r="R59" s="1" t="s">
        <v>371</v>
      </c>
      <c r="S59" s="8">
        <v>286</v>
      </c>
      <c r="T59" s="8">
        <v>35617</v>
      </c>
      <c r="U59" s="1" t="s">
        <v>372</v>
      </c>
      <c r="V59" s="1" t="s">
        <v>30</v>
      </c>
    </row>
    <row r="60" spans="1:25" x14ac:dyDescent="0.2">
      <c r="A60" s="2"/>
      <c r="B60" s="2">
        <v>1</v>
      </c>
      <c r="C60" s="2">
        <v>1</v>
      </c>
      <c r="D60" s="2"/>
      <c r="H60" s="2">
        <v>21</v>
      </c>
      <c r="I60" s="5" t="s">
        <v>373</v>
      </c>
      <c r="J60" s="5" t="s">
        <v>373</v>
      </c>
      <c r="K60" s="2">
        <v>59</v>
      </c>
      <c r="L60" s="1" t="s">
        <v>374</v>
      </c>
      <c r="M60" s="1" t="s">
        <v>375</v>
      </c>
      <c r="N60" s="6" t="s">
        <v>376</v>
      </c>
      <c r="O60" s="7">
        <v>1.1599999999999999</v>
      </c>
      <c r="P60" s="6">
        <v>1.5</v>
      </c>
      <c r="Q60" s="6" t="s">
        <v>27</v>
      </c>
      <c r="R60" s="1" t="s">
        <v>377</v>
      </c>
      <c r="S60" s="8">
        <v>22</v>
      </c>
      <c r="T60" s="8">
        <v>35681</v>
      </c>
      <c r="U60" s="1" t="s">
        <v>378</v>
      </c>
      <c r="V60" s="1" t="s">
        <v>379</v>
      </c>
    </row>
    <row r="61" spans="1:25" x14ac:dyDescent="0.2">
      <c r="A61" s="2"/>
      <c r="B61" s="2">
        <v>1</v>
      </c>
      <c r="C61" s="2"/>
      <c r="D61" s="2"/>
      <c r="H61" s="2">
        <v>27</v>
      </c>
      <c r="I61" s="1" t="s">
        <v>380</v>
      </c>
      <c r="J61" s="1" t="s">
        <v>380</v>
      </c>
      <c r="K61" s="2">
        <v>60</v>
      </c>
      <c r="L61" s="1" t="s">
        <v>381</v>
      </c>
      <c r="M61" s="1" t="s">
        <v>382</v>
      </c>
      <c r="N61" s="6">
        <v>7</v>
      </c>
      <c r="O61" s="7">
        <v>2.46</v>
      </c>
      <c r="P61" s="6">
        <v>2.9</v>
      </c>
      <c r="Q61" s="6" t="s">
        <v>124</v>
      </c>
      <c r="R61" s="1" t="s">
        <v>383</v>
      </c>
      <c r="S61" s="8" t="s">
        <v>57</v>
      </c>
      <c r="T61" s="8">
        <v>35865</v>
      </c>
      <c r="U61" s="1" t="s">
        <v>384</v>
      </c>
      <c r="V61" s="1" t="s">
        <v>72</v>
      </c>
      <c r="X61" s="9" t="s">
        <v>59</v>
      </c>
    </row>
    <row r="62" spans="1:25" x14ac:dyDescent="0.2">
      <c r="A62" s="2">
        <v>1</v>
      </c>
      <c r="B62" s="2">
        <v>1</v>
      </c>
      <c r="C62" s="2">
        <v>1</v>
      </c>
      <c r="D62" s="2"/>
      <c r="H62" s="2">
        <v>25</v>
      </c>
      <c r="I62" s="5" t="s">
        <v>385</v>
      </c>
      <c r="J62" s="5" t="s">
        <v>385</v>
      </c>
      <c r="K62" s="2">
        <v>61</v>
      </c>
      <c r="L62" s="1" t="s">
        <v>386</v>
      </c>
      <c r="M62" s="1" t="s">
        <v>387</v>
      </c>
      <c r="N62" s="6" t="s">
        <v>388</v>
      </c>
      <c r="O62" s="7">
        <v>2.27</v>
      </c>
      <c r="P62" s="6">
        <v>2.2000000000000002</v>
      </c>
      <c r="Q62" s="6" t="s">
        <v>263</v>
      </c>
      <c r="R62" s="1" t="s">
        <v>389</v>
      </c>
      <c r="S62" s="8">
        <v>70</v>
      </c>
      <c r="T62" s="8">
        <v>36623</v>
      </c>
      <c r="U62" s="1" t="s">
        <v>308</v>
      </c>
      <c r="V62" s="1" t="s">
        <v>390</v>
      </c>
      <c r="Y62" s="3" t="s">
        <v>32</v>
      </c>
    </row>
    <row r="63" spans="1:25" x14ac:dyDescent="0.2">
      <c r="A63" s="2"/>
      <c r="B63" s="2">
        <v>1</v>
      </c>
      <c r="C63" s="2"/>
      <c r="D63" s="2"/>
      <c r="H63" s="2">
        <v>24</v>
      </c>
      <c r="I63" s="1" t="s">
        <v>391</v>
      </c>
      <c r="J63" s="1" t="s">
        <v>391</v>
      </c>
      <c r="K63" s="2">
        <v>62</v>
      </c>
      <c r="L63" s="1" t="s">
        <v>392</v>
      </c>
      <c r="M63" s="1" t="s">
        <v>393</v>
      </c>
      <c r="N63" s="6" t="s">
        <v>394</v>
      </c>
      <c r="O63" s="7">
        <v>3.23</v>
      </c>
      <c r="P63" s="6">
        <v>2.5</v>
      </c>
      <c r="Q63" s="6" t="s">
        <v>27</v>
      </c>
      <c r="R63" s="1" t="s">
        <v>395</v>
      </c>
      <c r="S63" s="8">
        <v>95</v>
      </c>
      <c r="T63" s="8">
        <v>38124</v>
      </c>
      <c r="U63" s="1" t="s">
        <v>100</v>
      </c>
      <c r="V63" s="1" t="s">
        <v>30</v>
      </c>
    </row>
    <row r="64" spans="1:25" x14ac:dyDescent="0.2">
      <c r="A64" s="2"/>
      <c r="B64" s="2">
        <v>1</v>
      </c>
      <c r="C64" s="2"/>
      <c r="D64" s="2"/>
      <c r="H64" s="2">
        <v>28</v>
      </c>
      <c r="I64" s="1" t="s">
        <v>396</v>
      </c>
      <c r="J64" s="1" t="s">
        <v>396</v>
      </c>
      <c r="K64" s="2">
        <v>63</v>
      </c>
      <c r="L64" s="1" t="s">
        <v>397</v>
      </c>
      <c r="M64" s="1" t="s">
        <v>398</v>
      </c>
      <c r="N64" s="6">
        <v>7</v>
      </c>
      <c r="O64" s="7">
        <v>2.4300000000000002</v>
      </c>
      <c r="P64" s="6">
        <v>2.4</v>
      </c>
      <c r="Q64" s="6" t="s">
        <v>124</v>
      </c>
      <c r="R64" s="1" t="s">
        <v>399</v>
      </c>
      <c r="S64" s="8">
        <v>100</v>
      </c>
      <c r="T64" s="8">
        <v>39583</v>
      </c>
      <c r="U64" s="1" t="s">
        <v>400</v>
      </c>
      <c r="V64" s="1" t="s">
        <v>30</v>
      </c>
      <c r="X64" s="9" t="s">
        <v>73</v>
      </c>
    </row>
    <row r="65" spans="1:25" x14ac:dyDescent="0.2">
      <c r="A65" s="2"/>
      <c r="B65" s="2">
        <v>1</v>
      </c>
      <c r="C65" s="2">
        <v>1</v>
      </c>
      <c r="D65" s="2"/>
      <c r="H65" s="2">
        <v>26</v>
      </c>
      <c r="I65" s="5" t="s">
        <v>401</v>
      </c>
      <c r="J65" s="5" t="s">
        <v>401</v>
      </c>
      <c r="K65" s="2">
        <v>64</v>
      </c>
      <c r="L65" s="1" t="s">
        <v>402</v>
      </c>
      <c r="M65" s="1" t="s">
        <v>403</v>
      </c>
      <c r="N65" s="6" t="s">
        <v>404</v>
      </c>
      <c r="O65" s="7">
        <v>3.61</v>
      </c>
      <c r="P65" s="6">
        <v>3.6</v>
      </c>
      <c r="Q65" s="6" t="s">
        <v>124</v>
      </c>
      <c r="R65" s="1" t="s">
        <v>405</v>
      </c>
      <c r="S65" s="8">
        <v>425</v>
      </c>
      <c r="T65" s="8">
        <v>39751</v>
      </c>
      <c r="U65" s="1" t="s">
        <v>80</v>
      </c>
      <c r="V65" s="1" t="s">
        <v>30</v>
      </c>
    </row>
    <row r="66" spans="1:25" x14ac:dyDescent="0.2">
      <c r="A66" s="2"/>
      <c r="B66" s="2"/>
      <c r="C66" s="2"/>
      <c r="D66" s="2" t="s">
        <v>406</v>
      </c>
      <c r="H66" s="2">
        <v>26</v>
      </c>
      <c r="I66" s="13" t="s">
        <v>407</v>
      </c>
      <c r="J66" s="13" t="s">
        <v>407</v>
      </c>
      <c r="K66" s="2">
        <v>65</v>
      </c>
      <c r="L66" s="1" t="s">
        <v>408</v>
      </c>
      <c r="M66" s="1" t="s">
        <v>409</v>
      </c>
      <c r="N66" s="6">
        <v>8.1999999999999993</v>
      </c>
      <c r="O66" s="7" t="s">
        <v>45</v>
      </c>
      <c r="P66" s="14">
        <v>3.8</v>
      </c>
      <c r="Q66" s="6" t="s">
        <v>124</v>
      </c>
      <c r="R66" s="1" t="s">
        <v>410</v>
      </c>
      <c r="S66" s="8">
        <v>70</v>
      </c>
      <c r="T66" s="8" t="s">
        <v>45</v>
      </c>
      <c r="U66" s="1" t="s">
        <v>411</v>
      </c>
      <c r="V66" s="1" t="s">
        <v>30</v>
      </c>
      <c r="X66" s="9" t="s">
        <v>59</v>
      </c>
    </row>
    <row r="67" spans="1:25" x14ac:dyDescent="0.2">
      <c r="A67" s="2"/>
      <c r="B67" s="2">
        <v>1</v>
      </c>
      <c r="C67" s="2"/>
      <c r="D67" s="2"/>
      <c r="H67" s="2">
        <v>24</v>
      </c>
      <c r="I67" s="13" t="s">
        <v>412</v>
      </c>
      <c r="J67" s="13" t="s">
        <v>412</v>
      </c>
      <c r="K67" s="2">
        <v>66</v>
      </c>
      <c r="L67" s="1" t="s">
        <v>413</v>
      </c>
      <c r="M67" s="1" t="s">
        <v>414</v>
      </c>
      <c r="N67" s="6">
        <v>8.3000000000000007</v>
      </c>
      <c r="O67" s="15">
        <v>3.77</v>
      </c>
      <c r="P67" s="14">
        <v>4.0999999999999996</v>
      </c>
      <c r="Q67" s="6" t="s">
        <v>124</v>
      </c>
      <c r="S67" s="8">
        <v>529</v>
      </c>
      <c r="T67" s="8" t="s">
        <v>45</v>
      </c>
      <c r="U67" s="1" t="s">
        <v>415</v>
      </c>
      <c r="V67" s="1" t="s">
        <v>30</v>
      </c>
      <c r="X67" s="9" t="s">
        <v>59</v>
      </c>
    </row>
    <row r="68" spans="1:25" x14ac:dyDescent="0.2">
      <c r="A68" s="2"/>
      <c r="B68" s="2">
        <v>1</v>
      </c>
      <c r="C68" s="2"/>
      <c r="D68" s="2"/>
      <c r="H68" s="2">
        <v>26</v>
      </c>
      <c r="I68" s="1" t="s">
        <v>416</v>
      </c>
      <c r="J68" s="1" t="s">
        <v>416</v>
      </c>
      <c r="K68" s="2">
        <v>67</v>
      </c>
      <c r="L68" s="1" t="s">
        <v>417</v>
      </c>
      <c r="M68" s="1" t="s">
        <v>418</v>
      </c>
      <c r="N68" s="6" t="s">
        <v>419</v>
      </c>
      <c r="O68" s="7">
        <v>3.04</v>
      </c>
      <c r="P68" s="6">
        <v>3.5</v>
      </c>
      <c r="Q68" s="6" t="s">
        <v>124</v>
      </c>
      <c r="R68" s="1" t="s">
        <v>420</v>
      </c>
      <c r="S68" s="8" t="s">
        <v>57</v>
      </c>
      <c r="T68" s="8" t="s">
        <v>421</v>
      </c>
      <c r="U68" s="1" t="s">
        <v>80</v>
      </c>
      <c r="V68" s="1" t="s">
        <v>72</v>
      </c>
      <c r="W68" s="9" t="s">
        <v>113</v>
      </c>
    </row>
    <row r="69" spans="1:25" x14ac:dyDescent="0.2">
      <c r="A69" s="2"/>
      <c r="B69" s="2">
        <v>1</v>
      </c>
      <c r="C69" s="2"/>
      <c r="D69" s="2"/>
      <c r="H69" s="2">
        <v>26</v>
      </c>
      <c r="I69" s="13" t="s">
        <v>422</v>
      </c>
      <c r="J69" s="13" t="s">
        <v>422</v>
      </c>
      <c r="K69" s="2">
        <v>68</v>
      </c>
      <c r="L69" s="1" t="s">
        <v>423</v>
      </c>
      <c r="M69" s="1" t="s">
        <v>424</v>
      </c>
      <c r="N69" s="6">
        <v>8.5</v>
      </c>
      <c r="O69" s="15">
        <v>4.5199999999999996</v>
      </c>
      <c r="P69" s="6">
        <v>3</v>
      </c>
      <c r="Q69" s="6" t="s">
        <v>124</v>
      </c>
      <c r="R69" s="1" t="s">
        <v>425</v>
      </c>
      <c r="S69" s="8">
        <v>192</v>
      </c>
      <c r="T69" s="8">
        <v>41535</v>
      </c>
      <c r="U69" s="1" t="s">
        <v>426</v>
      </c>
      <c r="V69" s="1" t="s">
        <v>30</v>
      </c>
      <c r="X69" s="9" t="s">
        <v>427</v>
      </c>
    </row>
    <row r="70" spans="1:25" x14ac:dyDescent="0.2">
      <c r="A70" s="2">
        <v>1</v>
      </c>
      <c r="B70" s="2">
        <v>1</v>
      </c>
      <c r="C70" s="2"/>
      <c r="D70" s="2"/>
      <c r="H70" s="2">
        <v>26</v>
      </c>
      <c r="I70" s="1" t="s">
        <v>428</v>
      </c>
      <c r="J70" s="1" t="s">
        <v>428</v>
      </c>
      <c r="K70" s="2">
        <v>69</v>
      </c>
      <c r="L70" s="1" t="s">
        <v>429</v>
      </c>
      <c r="M70" s="1" t="s">
        <v>430</v>
      </c>
      <c r="N70" s="6" t="s">
        <v>431</v>
      </c>
      <c r="O70" s="7">
        <v>2.39</v>
      </c>
      <c r="P70" s="6">
        <v>1.9</v>
      </c>
      <c r="Q70" s="6" t="s">
        <v>124</v>
      </c>
      <c r="R70" s="1" t="s">
        <v>432</v>
      </c>
      <c r="S70" s="8">
        <v>100</v>
      </c>
      <c r="T70" s="8">
        <v>43093</v>
      </c>
      <c r="U70" s="1" t="s">
        <v>384</v>
      </c>
      <c r="V70" s="1" t="s">
        <v>30</v>
      </c>
      <c r="Y70" s="3" t="s">
        <v>32</v>
      </c>
    </row>
    <row r="71" spans="1:25" x14ac:dyDescent="0.2">
      <c r="A71" s="2">
        <v>1</v>
      </c>
      <c r="B71" s="2">
        <v>1</v>
      </c>
      <c r="C71" s="2">
        <v>1</v>
      </c>
      <c r="D71" s="2"/>
      <c r="H71" s="2">
        <v>24</v>
      </c>
      <c r="I71" s="5" t="s">
        <v>433</v>
      </c>
      <c r="J71" s="5" t="s">
        <v>433</v>
      </c>
      <c r="K71" s="2">
        <v>70</v>
      </c>
      <c r="L71" s="1" t="s">
        <v>434</v>
      </c>
      <c r="M71" s="1" t="s">
        <v>435</v>
      </c>
      <c r="N71" s="6" t="s">
        <v>436</v>
      </c>
      <c r="O71" s="7">
        <v>3.37</v>
      </c>
      <c r="P71" s="6">
        <v>3.4</v>
      </c>
      <c r="Q71" s="6" t="s">
        <v>437</v>
      </c>
      <c r="R71" s="1" t="s">
        <v>438</v>
      </c>
      <c r="S71" s="8">
        <v>195</v>
      </c>
      <c r="T71" s="8">
        <v>43811</v>
      </c>
      <c r="U71" s="1" t="s">
        <v>80</v>
      </c>
      <c r="V71" s="1" t="s">
        <v>30</v>
      </c>
    </row>
    <row r="72" spans="1:25" x14ac:dyDescent="0.2">
      <c r="A72" s="2">
        <v>1</v>
      </c>
      <c r="B72" s="2">
        <v>1</v>
      </c>
      <c r="C72" s="2">
        <v>1</v>
      </c>
      <c r="D72" s="2"/>
      <c r="H72" s="2">
        <v>24</v>
      </c>
      <c r="I72" s="20" t="s">
        <v>439</v>
      </c>
      <c r="J72" s="20" t="s">
        <v>439</v>
      </c>
      <c r="K72" s="2">
        <v>71</v>
      </c>
      <c r="L72" s="1" t="s">
        <v>440</v>
      </c>
      <c r="M72" s="1" t="s">
        <v>441</v>
      </c>
      <c r="N72" s="6" t="s">
        <v>442</v>
      </c>
      <c r="O72" s="15">
        <v>4.32</v>
      </c>
      <c r="P72" s="14">
        <v>4.8</v>
      </c>
      <c r="Q72" s="6" t="s">
        <v>124</v>
      </c>
      <c r="R72" s="1" t="s">
        <v>443</v>
      </c>
      <c r="S72" s="8">
        <v>482</v>
      </c>
      <c r="T72" s="8">
        <v>43905</v>
      </c>
      <c r="U72" s="1" t="s">
        <v>444</v>
      </c>
      <c r="V72" s="1" t="s">
        <v>30</v>
      </c>
    </row>
    <row r="73" spans="1:25" x14ac:dyDescent="0.2">
      <c r="A73" s="2"/>
      <c r="B73" s="2">
        <v>1</v>
      </c>
      <c r="C73" s="2"/>
      <c r="D73" s="2"/>
      <c r="H73" s="2">
        <v>22</v>
      </c>
      <c r="I73" s="1" t="s">
        <v>445</v>
      </c>
      <c r="J73" s="1" t="s">
        <v>445</v>
      </c>
      <c r="K73" s="2">
        <v>72</v>
      </c>
      <c r="L73" s="1" t="s">
        <v>446</v>
      </c>
      <c r="M73" s="1" t="s">
        <v>447</v>
      </c>
      <c r="N73" s="6" t="s">
        <v>448</v>
      </c>
      <c r="O73" s="7">
        <v>3.69</v>
      </c>
      <c r="P73" s="6" t="s">
        <v>45</v>
      </c>
      <c r="S73" s="8" t="s">
        <v>57</v>
      </c>
      <c r="T73" s="8" t="s">
        <v>45</v>
      </c>
      <c r="U73" s="1" t="s">
        <v>58</v>
      </c>
      <c r="V73" s="1" t="s">
        <v>72</v>
      </c>
    </row>
    <row r="74" spans="1:25" x14ac:dyDescent="0.2">
      <c r="A74" s="2">
        <v>1</v>
      </c>
      <c r="B74" s="2">
        <v>1</v>
      </c>
      <c r="C74" s="2">
        <v>1</v>
      </c>
      <c r="D74" s="2"/>
      <c r="H74" s="2">
        <v>37</v>
      </c>
      <c r="I74" s="20" t="s">
        <v>449</v>
      </c>
      <c r="J74" s="20" t="s">
        <v>449</v>
      </c>
      <c r="K74" s="2">
        <v>73</v>
      </c>
      <c r="L74" s="1" t="s">
        <v>450</v>
      </c>
      <c r="M74" s="1" t="s">
        <v>451</v>
      </c>
      <c r="N74" s="6" t="s">
        <v>452</v>
      </c>
      <c r="O74" s="15">
        <v>4.17</v>
      </c>
      <c r="P74" s="14">
        <v>3.8</v>
      </c>
      <c r="Q74" s="6" t="s">
        <v>124</v>
      </c>
      <c r="R74" s="1" t="s">
        <v>453</v>
      </c>
      <c r="S74" s="8">
        <v>303</v>
      </c>
      <c r="T74" s="8">
        <v>48327</v>
      </c>
      <c r="U74" s="1" t="s">
        <v>80</v>
      </c>
      <c r="V74" s="1" t="s">
        <v>30</v>
      </c>
    </row>
    <row r="75" spans="1:25" x14ac:dyDescent="0.2">
      <c r="A75" s="2"/>
      <c r="B75" s="2"/>
      <c r="C75" s="2"/>
      <c r="D75" s="2" t="s">
        <v>454</v>
      </c>
      <c r="H75" s="2">
        <v>39</v>
      </c>
      <c r="I75" s="13" t="s">
        <v>455</v>
      </c>
      <c r="J75" s="13" t="s">
        <v>455</v>
      </c>
      <c r="K75" s="2">
        <v>74</v>
      </c>
      <c r="L75" s="1" t="s">
        <v>456</v>
      </c>
      <c r="M75" s="1" t="s">
        <v>457</v>
      </c>
      <c r="N75" s="6">
        <v>6.5</v>
      </c>
      <c r="O75" s="7" t="s">
        <v>45</v>
      </c>
      <c r="P75" s="14">
        <v>4.3</v>
      </c>
      <c r="Q75" s="6" t="s">
        <v>124</v>
      </c>
      <c r="R75" s="1" t="s">
        <v>458</v>
      </c>
      <c r="S75" s="8">
        <v>140</v>
      </c>
      <c r="T75" s="8">
        <v>48662</v>
      </c>
      <c r="U75" s="1" t="s">
        <v>459</v>
      </c>
      <c r="V75" s="1" t="s">
        <v>30</v>
      </c>
      <c r="X75" s="9" t="s">
        <v>73</v>
      </c>
      <c r="Y75" s="3" t="s">
        <v>146</v>
      </c>
    </row>
    <row r="76" spans="1:25" x14ac:dyDescent="0.2">
      <c r="A76" s="2"/>
      <c r="B76" s="2">
        <v>1</v>
      </c>
      <c r="C76" s="2"/>
      <c r="D76" s="2"/>
      <c r="H76" s="2">
        <v>39</v>
      </c>
      <c r="I76" s="1" t="s">
        <v>460</v>
      </c>
      <c r="J76" s="1" t="s">
        <v>460</v>
      </c>
      <c r="K76" s="2">
        <v>75</v>
      </c>
      <c r="L76" s="1" t="s">
        <v>461</v>
      </c>
      <c r="M76" s="1" t="s">
        <v>462</v>
      </c>
      <c r="N76" s="6">
        <v>7.5</v>
      </c>
      <c r="O76" s="7">
        <v>2.81</v>
      </c>
      <c r="P76" s="6">
        <v>2.9</v>
      </c>
      <c r="Q76" s="6" t="s">
        <v>124</v>
      </c>
      <c r="R76" s="1" t="s">
        <v>463</v>
      </c>
      <c r="S76" s="8">
        <v>126</v>
      </c>
      <c r="T76" s="8" t="s">
        <v>45</v>
      </c>
      <c r="U76" s="1" t="s">
        <v>426</v>
      </c>
      <c r="V76" s="1" t="s">
        <v>30</v>
      </c>
      <c r="X76" s="9" t="s">
        <v>59</v>
      </c>
    </row>
    <row r="77" spans="1:25" x14ac:dyDescent="0.2">
      <c r="A77" s="2">
        <v>1</v>
      </c>
      <c r="B77" s="2">
        <v>1</v>
      </c>
      <c r="C77" s="2"/>
      <c r="D77" s="2"/>
      <c r="H77" s="2">
        <v>39</v>
      </c>
      <c r="I77" s="1" t="s">
        <v>464</v>
      </c>
      <c r="J77" s="1" t="s">
        <v>464</v>
      </c>
      <c r="K77" s="2">
        <v>76</v>
      </c>
      <c r="L77" s="1" t="s">
        <v>465</v>
      </c>
      <c r="M77" s="1" t="s">
        <v>466</v>
      </c>
      <c r="N77" s="6" t="s">
        <v>467</v>
      </c>
      <c r="O77" s="7">
        <v>2.4700000000000002</v>
      </c>
      <c r="P77" s="6">
        <v>2.2999999999999998</v>
      </c>
      <c r="Q77" s="6" t="s">
        <v>27</v>
      </c>
      <c r="R77" s="1" t="s">
        <v>468</v>
      </c>
      <c r="S77" s="8" t="s">
        <v>57</v>
      </c>
      <c r="T77" s="8">
        <v>49950</v>
      </c>
      <c r="U77" s="1" t="s">
        <v>174</v>
      </c>
      <c r="V77" s="1" t="s">
        <v>72</v>
      </c>
      <c r="Y77" s="3" t="s">
        <v>32</v>
      </c>
    </row>
    <row r="78" spans="1:25" x14ac:dyDescent="0.2">
      <c r="A78" s="2">
        <v>1</v>
      </c>
      <c r="B78" s="2"/>
      <c r="C78" s="2"/>
      <c r="D78" s="2"/>
      <c r="H78" s="2">
        <v>38</v>
      </c>
      <c r="I78" s="1" t="s">
        <v>469</v>
      </c>
      <c r="J78" s="1" t="s">
        <v>469</v>
      </c>
      <c r="K78" s="2">
        <v>77</v>
      </c>
      <c r="L78" s="1" t="s">
        <v>470</v>
      </c>
      <c r="M78" s="1" t="s">
        <v>471</v>
      </c>
      <c r="N78" s="6">
        <v>6</v>
      </c>
      <c r="O78" s="7" t="s">
        <v>45</v>
      </c>
      <c r="P78" s="6">
        <v>2.9</v>
      </c>
      <c r="Q78" s="6" t="s">
        <v>124</v>
      </c>
      <c r="R78" s="1" t="s">
        <v>472</v>
      </c>
      <c r="S78" s="8" t="s">
        <v>57</v>
      </c>
      <c r="T78" s="8">
        <v>51821</v>
      </c>
      <c r="U78" s="1" t="s">
        <v>473</v>
      </c>
      <c r="V78" s="1" t="s">
        <v>474</v>
      </c>
      <c r="X78" s="9" t="s">
        <v>59</v>
      </c>
    </row>
    <row r="79" spans="1:25" x14ac:dyDescent="0.2">
      <c r="A79" s="2">
        <v>1</v>
      </c>
      <c r="B79" s="2">
        <v>1</v>
      </c>
      <c r="C79" s="2">
        <v>1</v>
      </c>
      <c r="D79" s="2"/>
      <c r="H79" s="2">
        <v>36</v>
      </c>
      <c r="I79" s="5" t="s">
        <v>475</v>
      </c>
      <c r="J79" s="5" t="s">
        <v>475</v>
      </c>
      <c r="K79" s="2">
        <v>78</v>
      </c>
      <c r="L79" s="1" t="s">
        <v>476</v>
      </c>
      <c r="M79" s="1" t="s">
        <v>477</v>
      </c>
      <c r="N79" s="6" t="s">
        <v>478</v>
      </c>
      <c r="O79" s="7">
        <v>2.8</v>
      </c>
      <c r="P79" s="6">
        <v>2.6</v>
      </c>
      <c r="Q79" s="9" t="s">
        <v>64</v>
      </c>
      <c r="R79" s="1" t="s">
        <v>479</v>
      </c>
      <c r="S79" s="8">
        <v>450</v>
      </c>
      <c r="T79" s="8">
        <v>52009</v>
      </c>
      <c r="U79" s="1" t="s">
        <v>480</v>
      </c>
      <c r="V79" s="1" t="s">
        <v>30</v>
      </c>
    </row>
    <row r="80" spans="1:25" x14ac:dyDescent="0.2">
      <c r="A80" s="2">
        <v>1</v>
      </c>
      <c r="B80" s="2">
        <v>1</v>
      </c>
      <c r="C80" s="2">
        <v>1</v>
      </c>
      <c r="D80" s="2"/>
      <c r="H80" s="2">
        <v>31</v>
      </c>
      <c r="I80" s="5" t="s">
        <v>481</v>
      </c>
      <c r="J80" s="5" t="s">
        <v>481</v>
      </c>
      <c r="K80" s="2">
        <v>79</v>
      </c>
      <c r="L80" s="1" t="s">
        <v>482</v>
      </c>
      <c r="M80" s="1" t="s">
        <v>483</v>
      </c>
      <c r="N80" s="6" t="s">
        <v>484</v>
      </c>
      <c r="O80" s="7">
        <v>2.59</v>
      </c>
      <c r="P80" s="6">
        <v>2.4</v>
      </c>
      <c r="Q80" s="6" t="s">
        <v>27</v>
      </c>
      <c r="R80" s="1" t="s">
        <v>485</v>
      </c>
      <c r="S80" s="8" t="s">
        <v>38</v>
      </c>
      <c r="T80" s="8">
        <v>52577</v>
      </c>
      <c r="U80" s="1" t="s">
        <v>174</v>
      </c>
      <c r="V80" s="1" t="s">
        <v>72</v>
      </c>
    </row>
    <row r="81" spans="1:25" x14ac:dyDescent="0.2">
      <c r="A81" s="2"/>
      <c r="B81" s="2">
        <v>1</v>
      </c>
      <c r="C81" s="2"/>
      <c r="D81" s="2"/>
      <c r="H81" s="2">
        <v>40</v>
      </c>
      <c r="I81" s="1" t="s">
        <v>486</v>
      </c>
      <c r="J81" s="1" t="s">
        <v>486</v>
      </c>
      <c r="K81" s="2">
        <v>80</v>
      </c>
      <c r="L81" s="1" t="s">
        <v>487</v>
      </c>
      <c r="M81" s="1" t="s">
        <v>488</v>
      </c>
      <c r="N81" s="6">
        <v>8</v>
      </c>
      <c r="O81" s="7">
        <v>2.4300000000000002</v>
      </c>
      <c r="P81" s="6">
        <v>2.2000000000000002</v>
      </c>
      <c r="Q81" s="6" t="s">
        <v>124</v>
      </c>
      <c r="R81" s="1" t="s">
        <v>489</v>
      </c>
      <c r="S81" s="8">
        <v>69</v>
      </c>
      <c r="T81" s="8">
        <v>52656</v>
      </c>
      <c r="U81" s="1" t="s">
        <v>426</v>
      </c>
      <c r="V81" s="1" t="s">
        <v>30</v>
      </c>
      <c r="X81" s="9" t="s">
        <v>59</v>
      </c>
    </row>
    <row r="82" spans="1:25" x14ac:dyDescent="0.2">
      <c r="A82" s="2"/>
      <c r="B82" s="2">
        <v>1</v>
      </c>
      <c r="C82" s="2">
        <v>1</v>
      </c>
      <c r="D82" s="2"/>
      <c r="H82" s="2">
        <v>36</v>
      </c>
      <c r="I82" s="13" t="s">
        <v>490</v>
      </c>
      <c r="J82" s="13" t="s">
        <v>490</v>
      </c>
      <c r="K82" s="2">
        <v>81</v>
      </c>
      <c r="L82" s="1" t="s">
        <v>491</v>
      </c>
      <c r="M82" s="1" t="s">
        <v>492</v>
      </c>
      <c r="N82" s="6" t="s">
        <v>493</v>
      </c>
      <c r="O82" s="15">
        <v>5.55</v>
      </c>
      <c r="P82" s="18">
        <v>5.5</v>
      </c>
      <c r="Q82" s="9" t="s">
        <v>64</v>
      </c>
      <c r="R82" s="1" t="s">
        <v>494</v>
      </c>
      <c r="S82" s="8">
        <v>531</v>
      </c>
      <c r="T82" s="8">
        <v>53085</v>
      </c>
      <c r="U82" s="1" t="s">
        <v>495</v>
      </c>
      <c r="V82" s="1" t="s">
        <v>30</v>
      </c>
      <c r="Y82" s="3" t="s">
        <v>146</v>
      </c>
    </row>
    <row r="83" spans="1:25" x14ac:dyDescent="0.2">
      <c r="A83" s="2"/>
      <c r="B83" s="2">
        <v>1</v>
      </c>
      <c r="C83" s="2"/>
      <c r="D83" s="2"/>
      <c r="H83" s="2">
        <v>38</v>
      </c>
      <c r="I83" s="1" t="s">
        <v>496</v>
      </c>
      <c r="J83" s="1" t="s">
        <v>496</v>
      </c>
      <c r="K83" s="2">
        <v>82</v>
      </c>
      <c r="L83" s="1" t="s">
        <v>497</v>
      </c>
      <c r="M83" s="1" t="s">
        <v>498</v>
      </c>
      <c r="N83" s="6">
        <v>9.3000000000000007</v>
      </c>
      <c r="O83" s="7">
        <v>2.48</v>
      </c>
      <c r="P83" s="6">
        <v>2.2999999999999998</v>
      </c>
      <c r="Q83" s="6" t="s">
        <v>124</v>
      </c>
      <c r="R83" s="1" t="s">
        <v>499</v>
      </c>
      <c r="S83" s="8" t="s">
        <v>57</v>
      </c>
      <c r="T83" s="8" t="s">
        <v>45</v>
      </c>
      <c r="U83" s="1" t="s">
        <v>426</v>
      </c>
      <c r="V83" s="1" t="s">
        <v>72</v>
      </c>
      <c r="X83" s="9" t="s">
        <v>59</v>
      </c>
    </row>
    <row r="84" spans="1:25" x14ac:dyDescent="0.2">
      <c r="A84" s="2"/>
      <c r="B84" s="2">
        <v>1</v>
      </c>
      <c r="C84" s="2"/>
      <c r="D84" s="2"/>
      <c r="H84" s="2">
        <v>49</v>
      </c>
      <c r="I84" s="1" t="s">
        <v>500</v>
      </c>
      <c r="J84" s="1" t="s">
        <v>500</v>
      </c>
      <c r="K84" s="2">
        <v>83</v>
      </c>
      <c r="L84" s="1" t="s">
        <v>501</v>
      </c>
      <c r="M84" s="1" t="s">
        <v>502</v>
      </c>
      <c r="N84" s="6">
        <v>7</v>
      </c>
      <c r="O84" s="7">
        <v>2.04</v>
      </c>
      <c r="P84" s="6">
        <v>1.8</v>
      </c>
      <c r="Q84" s="6" t="s">
        <v>85</v>
      </c>
      <c r="R84" s="1" t="s">
        <v>503</v>
      </c>
      <c r="S84" s="8">
        <v>65</v>
      </c>
      <c r="T84" s="8">
        <v>60534</v>
      </c>
      <c r="U84" s="1" t="s">
        <v>139</v>
      </c>
      <c r="V84" s="1" t="s">
        <v>30</v>
      </c>
      <c r="X84" s="9" t="s">
        <v>59</v>
      </c>
    </row>
    <row r="85" spans="1:25" x14ac:dyDescent="0.2">
      <c r="A85" s="2">
        <v>1</v>
      </c>
      <c r="B85" s="2">
        <v>1</v>
      </c>
      <c r="C85" s="2">
        <v>1</v>
      </c>
      <c r="D85" s="2"/>
      <c r="H85" s="2">
        <v>45</v>
      </c>
      <c r="I85" s="20" t="s">
        <v>504</v>
      </c>
      <c r="J85" s="20" t="s">
        <v>504</v>
      </c>
      <c r="K85" s="2">
        <v>84</v>
      </c>
      <c r="L85" s="1" t="s">
        <v>505</v>
      </c>
      <c r="M85" s="1" t="s">
        <v>506</v>
      </c>
      <c r="N85" s="6" t="s">
        <v>507</v>
      </c>
      <c r="O85" s="15">
        <v>4.2</v>
      </c>
      <c r="P85" s="14">
        <v>4.2</v>
      </c>
      <c r="Q85" s="9" t="s">
        <v>64</v>
      </c>
      <c r="R85" s="1" t="s">
        <v>508</v>
      </c>
      <c r="S85" s="8">
        <v>364</v>
      </c>
      <c r="T85" s="8">
        <v>120212</v>
      </c>
      <c r="U85" s="1" t="s">
        <v>495</v>
      </c>
      <c r="V85" s="1" t="s">
        <v>67</v>
      </c>
    </row>
    <row r="86" spans="1:25" x14ac:dyDescent="0.2">
      <c r="A86" s="2">
        <v>1</v>
      </c>
      <c r="B86" s="2">
        <v>1</v>
      </c>
      <c r="C86" s="2">
        <v>1</v>
      </c>
      <c r="D86" s="2"/>
      <c r="H86" s="2">
        <v>43</v>
      </c>
      <c r="I86" s="5" t="s">
        <v>509</v>
      </c>
      <c r="J86" s="5" t="s">
        <v>509</v>
      </c>
      <c r="K86" s="2">
        <v>85</v>
      </c>
      <c r="L86" s="1" t="s">
        <v>510</v>
      </c>
      <c r="M86" s="1" t="s">
        <v>511</v>
      </c>
      <c r="N86" s="6" t="s">
        <v>512</v>
      </c>
      <c r="O86" s="7">
        <v>3.4</v>
      </c>
      <c r="P86" s="6">
        <v>2.5</v>
      </c>
      <c r="Q86" s="6" t="s">
        <v>27</v>
      </c>
      <c r="R86" s="1" t="s">
        <v>513</v>
      </c>
      <c r="S86" s="8">
        <v>157</v>
      </c>
      <c r="T86" s="8">
        <v>62223</v>
      </c>
      <c r="U86" s="1" t="s">
        <v>372</v>
      </c>
      <c r="V86" s="1" t="s">
        <v>30</v>
      </c>
      <c r="W86" s="9" t="s">
        <v>514</v>
      </c>
    </row>
    <row r="87" spans="1:25" x14ac:dyDescent="0.2">
      <c r="A87" s="2"/>
      <c r="B87" s="2">
        <v>1</v>
      </c>
      <c r="C87" s="2"/>
      <c r="D87" s="2"/>
      <c r="H87" s="2">
        <v>45</v>
      </c>
      <c r="I87" s="13" t="s">
        <v>515</v>
      </c>
      <c r="J87" s="13" t="s">
        <v>515</v>
      </c>
      <c r="K87" s="2">
        <v>86</v>
      </c>
      <c r="L87" s="1" t="s">
        <v>516</v>
      </c>
      <c r="M87" s="1" t="s">
        <v>517</v>
      </c>
      <c r="N87" s="6" t="s">
        <v>518</v>
      </c>
      <c r="O87" s="15">
        <v>4.5</v>
      </c>
      <c r="P87" s="6" t="s">
        <v>45</v>
      </c>
      <c r="R87" s="1" t="s">
        <v>519</v>
      </c>
      <c r="S87" s="8">
        <v>433</v>
      </c>
      <c r="T87" s="8">
        <v>62401</v>
      </c>
      <c r="U87" s="1" t="s">
        <v>520</v>
      </c>
      <c r="V87" s="1" t="s">
        <v>67</v>
      </c>
    </row>
    <row r="88" spans="1:25" x14ac:dyDescent="0.2">
      <c r="A88" s="2"/>
      <c r="B88" s="2"/>
      <c r="C88" s="2"/>
      <c r="D88" s="2" t="s">
        <v>521</v>
      </c>
      <c r="H88" s="2">
        <v>49</v>
      </c>
      <c r="I88" s="13" t="s">
        <v>522</v>
      </c>
      <c r="J88" s="13" t="s">
        <v>522</v>
      </c>
      <c r="K88" s="2">
        <v>87</v>
      </c>
      <c r="L88" s="1" t="s">
        <v>523</v>
      </c>
      <c r="M88" s="1" t="s">
        <v>524</v>
      </c>
      <c r="N88" s="6" t="s">
        <v>525</v>
      </c>
      <c r="O88" s="7" t="s">
        <v>45</v>
      </c>
      <c r="P88" s="18">
        <v>5.8</v>
      </c>
      <c r="Q88" s="9" t="s">
        <v>64</v>
      </c>
      <c r="R88" s="1" t="s">
        <v>526</v>
      </c>
      <c r="S88" s="8" t="s">
        <v>57</v>
      </c>
      <c r="T88" s="8" t="s">
        <v>45</v>
      </c>
      <c r="U88" s="1" t="s">
        <v>426</v>
      </c>
      <c r="V88" s="1" t="s">
        <v>30</v>
      </c>
      <c r="W88" s="9" t="s">
        <v>527</v>
      </c>
    </row>
    <row r="89" spans="1:25" x14ac:dyDescent="0.2">
      <c r="A89" s="2">
        <v>1</v>
      </c>
      <c r="B89" s="2">
        <v>1</v>
      </c>
      <c r="C89" s="2">
        <v>1</v>
      </c>
      <c r="D89" s="2"/>
      <c r="H89" s="2">
        <v>41</v>
      </c>
      <c r="I89" s="5" t="s">
        <v>528</v>
      </c>
      <c r="J89" s="5" t="s">
        <v>528</v>
      </c>
      <c r="K89" s="2">
        <v>88</v>
      </c>
      <c r="L89" s="1" t="s">
        <v>529</v>
      </c>
      <c r="M89" s="1" t="s">
        <v>530</v>
      </c>
      <c r="N89" s="6" t="s">
        <v>531</v>
      </c>
      <c r="O89" s="7">
        <v>3.7</v>
      </c>
      <c r="P89" s="6">
        <v>3.3</v>
      </c>
      <c r="Q89" s="6" t="s">
        <v>532</v>
      </c>
      <c r="R89" s="1" t="s">
        <v>533</v>
      </c>
      <c r="S89" s="8">
        <v>200</v>
      </c>
      <c r="T89" s="8">
        <v>63152</v>
      </c>
      <c r="U89" s="1" t="s">
        <v>66</v>
      </c>
      <c r="V89" s="1" t="s">
        <v>30</v>
      </c>
    </row>
    <row r="90" spans="1:25" x14ac:dyDescent="0.2">
      <c r="A90" s="2"/>
      <c r="B90" s="2">
        <v>1</v>
      </c>
      <c r="C90" s="2"/>
      <c r="D90" s="2"/>
      <c r="H90" s="2">
        <v>43</v>
      </c>
      <c r="I90" s="1" t="s">
        <v>534</v>
      </c>
      <c r="J90" s="1" t="s">
        <v>534</v>
      </c>
      <c r="K90" s="2">
        <v>89</v>
      </c>
      <c r="L90" s="1" t="s">
        <v>535</v>
      </c>
      <c r="M90" s="1" t="s">
        <v>536</v>
      </c>
      <c r="N90" s="6">
        <v>9.1999999999999993</v>
      </c>
      <c r="O90" s="7">
        <v>1.99</v>
      </c>
      <c r="P90" s="6">
        <v>1.9</v>
      </c>
      <c r="Q90" s="6" t="s">
        <v>27</v>
      </c>
      <c r="R90" s="1" t="s">
        <v>537</v>
      </c>
      <c r="S90" s="8">
        <v>105</v>
      </c>
      <c r="T90" s="8">
        <v>63389</v>
      </c>
      <c r="U90" s="1" t="s">
        <v>538</v>
      </c>
      <c r="V90" s="1" t="s">
        <v>30</v>
      </c>
      <c r="X90" s="9" t="s">
        <v>73</v>
      </c>
    </row>
    <row r="91" spans="1:25" x14ac:dyDescent="0.2">
      <c r="A91" s="2"/>
      <c r="B91" s="2"/>
      <c r="C91" s="2">
        <v>1</v>
      </c>
      <c r="D91" s="2"/>
      <c r="H91" s="2">
        <v>47</v>
      </c>
      <c r="I91" s="5" t="s">
        <v>539</v>
      </c>
      <c r="J91" s="5" t="s">
        <v>1208</v>
      </c>
      <c r="K91" s="2">
        <v>90</v>
      </c>
      <c r="L91" s="1" t="s">
        <v>540</v>
      </c>
      <c r="M91" s="1" t="s">
        <v>541</v>
      </c>
      <c r="N91" s="6" t="s">
        <v>542</v>
      </c>
      <c r="O91" s="7" t="s">
        <v>45</v>
      </c>
      <c r="P91" s="6">
        <v>1.2</v>
      </c>
      <c r="Q91" s="6" t="s">
        <v>532</v>
      </c>
      <c r="R91" s="1" t="s">
        <v>543</v>
      </c>
      <c r="S91" s="8" t="s">
        <v>48</v>
      </c>
      <c r="T91" s="8">
        <v>63955</v>
      </c>
      <c r="U91" s="1" t="s">
        <v>544</v>
      </c>
      <c r="W91" s="9" t="s">
        <v>545</v>
      </c>
    </row>
    <row r="92" spans="1:25" x14ac:dyDescent="0.2">
      <c r="A92" s="2">
        <v>1</v>
      </c>
      <c r="B92" s="2"/>
      <c r="C92" s="2"/>
      <c r="D92" s="2"/>
      <c r="H92" s="2">
        <v>57</v>
      </c>
      <c r="I92" s="1" t="s">
        <v>546</v>
      </c>
      <c r="J92" s="1" t="s">
        <v>546</v>
      </c>
      <c r="K92" s="2">
        <v>91</v>
      </c>
      <c r="L92" s="1" t="s">
        <v>547</v>
      </c>
      <c r="M92" s="1" t="s">
        <v>548</v>
      </c>
      <c r="N92" s="6" t="s">
        <v>549</v>
      </c>
      <c r="O92" s="7" t="s">
        <v>45</v>
      </c>
      <c r="P92" s="6">
        <v>1.2</v>
      </c>
      <c r="Q92" s="6" t="s">
        <v>124</v>
      </c>
      <c r="R92" s="1" t="s">
        <v>550</v>
      </c>
      <c r="S92" s="8" t="s">
        <v>57</v>
      </c>
      <c r="T92" s="8">
        <v>75694</v>
      </c>
      <c r="U92" s="1" t="s">
        <v>551</v>
      </c>
      <c r="V92" s="1" t="s">
        <v>30</v>
      </c>
      <c r="Y92" s="3" t="s">
        <v>32</v>
      </c>
    </row>
    <row r="93" spans="1:25" x14ac:dyDescent="0.2">
      <c r="A93" s="2"/>
      <c r="B93" s="2">
        <v>1</v>
      </c>
      <c r="C93" s="2"/>
      <c r="D93" s="2"/>
      <c r="F93" s="22" t="s">
        <v>282</v>
      </c>
      <c r="I93" s="1" t="s">
        <v>552</v>
      </c>
      <c r="J93" s="1" t="s">
        <v>552</v>
      </c>
      <c r="K93" s="2">
        <v>92</v>
      </c>
      <c r="L93" s="1" t="s">
        <v>553</v>
      </c>
      <c r="M93" s="1" t="s">
        <v>554</v>
      </c>
      <c r="N93" s="6" t="s">
        <v>555</v>
      </c>
      <c r="O93" s="7">
        <v>1.9</v>
      </c>
      <c r="S93" s="8"/>
      <c r="U93" s="1" t="s">
        <v>556</v>
      </c>
    </row>
    <row r="94" spans="1:25" x14ac:dyDescent="0.2">
      <c r="A94" s="2">
        <v>1</v>
      </c>
      <c r="B94" s="2">
        <v>1</v>
      </c>
      <c r="C94" s="2">
        <v>1</v>
      </c>
      <c r="D94" s="2"/>
      <c r="H94" s="2">
        <v>53</v>
      </c>
      <c r="I94" s="20" t="s">
        <v>557</v>
      </c>
      <c r="J94" s="20" t="s">
        <v>557</v>
      </c>
      <c r="K94" s="2">
        <v>93</v>
      </c>
      <c r="L94" s="1" t="s">
        <v>558</v>
      </c>
      <c r="M94" s="1" t="s">
        <v>559</v>
      </c>
      <c r="N94" s="6" t="s">
        <v>560</v>
      </c>
      <c r="O94" s="7">
        <v>3.12</v>
      </c>
      <c r="P94" s="14">
        <v>4.4000000000000004</v>
      </c>
      <c r="Q94" s="9" t="s">
        <v>64</v>
      </c>
      <c r="R94" s="1" t="s">
        <v>561</v>
      </c>
      <c r="S94" s="8">
        <v>358</v>
      </c>
      <c r="T94" s="8">
        <v>77501</v>
      </c>
      <c r="U94" s="1" t="s">
        <v>308</v>
      </c>
      <c r="V94" s="1" t="s">
        <v>67</v>
      </c>
    </row>
    <row r="95" spans="1:25" x14ac:dyDescent="0.2">
      <c r="A95" s="2"/>
      <c r="B95" s="2">
        <v>1</v>
      </c>
      <c r="C95" s="2">
        <v>1</v>
      </c>
      <c r="D95" s="2"/>
      <c r="H95" s="2">
        <v>53</v>
      </c>
      <c r="I95" s="5" t="s">
        <v>562</v>
      </c>
      <c r="J95" s="5" t="s">
        <v>562</v>
      </c>
      <c r="K95" s="2">
        <v>94</v>
      </c>
      <c r="L95" s="1" t="s">
        <v>563</v>
      </c>
      <c r="M95" s="1" t="s">
        <v>564</v>
      </c>
      <c r="N95" s="6" t="s">
        <v>92</v>
      </c>
      <c r="O95" s="7">
        <v>3</v>
      </c>
      <c r="P95" s="6" t="s">
        <v>45</v>
      </c>
      <c r="R95" s="1" t="s">
        <v>565</v>
      </c>
      <c r="S95" s="8">
        <v>240</v>
      </c>
      <c r="T95" s="8">
        <v>78721</v>
      </c>
      <c r="U95" s="1" t="s">
        <v>566</v>
      </c>
      <c r="V95" s="1" t="s">
        <v>30</v>
      </c>
    </row>
    <row r="96" spans="1:25" x14ac:dyDescent="0.2">
      <c r="A96" s="2">
        <v>1</v>
      </c>
      <c r="B96" s="2">
        <v>1</v>
      </c>
      <c r="C96" s="2">
        <v>1</v>
      </c>
      <c r="D96" s="2"/>
      <c r="H96" s="2">
        <v>56</v>
      </c>
      <c r="I96" s="20" t="s">
        <v>567</v>
      </c>
      <c r="J96" s="20" t="s">
        <v>567</v>
      </c>
      <c r="K96" s="2">
        <v>95</v>
      </c>
      <c r="L96" s="1" t="s">
        <v>568</v>
      </c>
      <c r="M96" s="1" t="s">
        <v>569</v>
      </c>
      <c r="N96" s="6" t="s">
        <v>363</v>
      </c>
      <c r="O96" s="15">
        <v>4.38</v>
      </c>
      <c r="P96" s="14">
        <v>4</v>
      </c>
      <c r="Q96" s="6" t="s">
        <v>570</v>
      </c>
      <c r="R96" s="1" t="s">
        <v>571</v>
      </c>
      <c r="S96" s="8">
        <v>297</v>
      </c>
      <c r="T96" s="8" t="s">
        <v>572</v>
      </c>
      <c r="U96" s="1" t="s">
        <v>495</v>
      </c>
      <c r="V96" s="1" t="s">
        <v>67</v>
      </c>
      <c r="W96" s="9" t="s">
        <v>113</v>
      </c>
    </row>
    <row r="97" spans="1:25" x14ac:dyDescent="0.2">
      <c r="A97" s="2">
        <v>1</v>
      </c>
      <c r="B97" s="2">
        <v>1</v>
      </c>
      <c r="C97" s="2"/>
      <c r="D97" s="2"/>
      <c r="H97" s="2">
        <v>58</v>
      </c>
      <c r="I97" s="13" t="s">
        <v>573</v>
      </c>
      <c r="J97" s="13" t="s">
        <v>573</v>
      </c>
      <c r="K97" s="2">
        <v>96</v>
      </c>
      <c r="L97" s="1" t="s">
        <v>574</v>
      </c>
      <c r="M97" s="1" t="s">
        <v>575</v>
      </c>
      <c r="N97" s="6">
        <v>7</v>
      </c>
      <c r="O97" s="7">
        <v>3.36</v>
      </c>
      <c r="P97" s="14">
        <v>4.4000000000000004</v>
      </c>
      <c r="Q97" s="6" t="s">
        <v>124</v>
      </c>
      <c r="R97" s="1" t="s">
        <v>576</v>
      </c>
      <c r="S97" s="8">
        <v>414</v>
      </c>
      <c r="T97" s="8" t="s">
        <v>45</v>
      </c>
      <c r="U97" s="1" t="s">
        <v>112</v>
      </c>
      <c r="V97" s="1" t="s">
        <v>30</v>
      </c>
      <c r="X97" s="9" t="s">
        <v>59</v>
      </c>
      <c r="Y97" s="3" t="s">
        <v>32</v>
      </c>
    </row>
    <row r="98" spans="1:25" x14ac:dyDescent="0.2">
      <c r="A98" s="2"/>
      <c r="B98" s="2"/>
      <c r="C98" s="2"/>
      <c r="D98" s="2" t="s">
        <v>406</v>
      </c>
      <c r="H98" s="2">
        <v>58</v>
      </c>
      <c r="I98" s="13" t="s">
        <v>577</v>
      </c>
      <c r="J98" s="13" t="s">
        <v>577</v>
      </c>
      <c r="K98" s="2">
        <v>97</v>
      </c>
      <c r="L98" s="1" t="s">
        <v>578</v>
      </c>
      <c r="M98" s="1" t="s">
        <v>579</v>
      </c>
      <c r="N98" s="6">
        <v>8</v>
      </c>
      <c r="O98" s="7" t="s">
        <v>45</v>
      </c>
      <c r="P98" s="14">
        <v>4.5</v>
      </c>
      <c r="Q98" s="6" t="s">
        <v>124</v>
      </c>
      <c r="R98" s="1" t="s">
        <v>580</v>
      </c>
      <c r="S98" s="8" t="s">
        <v>57</v>
      </c>
      <c r="T98" s="8" t="s">
        <v>45</v>
      </c>
      <c r="U98" s="1" t="s">
        <v>581</v>
      </c>
      <c r="V98" s="1" t="s">
        <v>30</v>
      </c>
      <c r="W98" s="9" t="s">
        <v>582</v>
      </c>
      <c r="X98" s="9" t="s">
        <v>583</v>
      </c>
    </row>
    <row r="99" spans="1:25" x14ac:dyDescent="0.2">
      <c r="A99" s="2"/>
      <c r="B99" s="2"/>
      <c r="C99" s="2">
        <v>1</v>
      </c>
      <c r="D99" s="2"/>
      <c r="H99" s="2">
        <v>52</v>
      </c>
      <c r="I99" s="5" t="s">
        <v>584</v>
      </c>
      <c r="J99" s="5" t="s">
        <v>1239</v>
      </c>
      <c r="K99" s="2">
        <v>98</v>
      </c>
      <c r="L99" s="1" t="s">
        <v>585</v>
      </c>
      <c r="M99" s="1" t="s">
        <v>586</v>
      </c>
      <c r="N99" s="6" t="s">
        <v>587</v>
      </c>
      <c r="O99" s="7" t="s">
        <v>45</v>
      </c>
      <c r="P99" s="6">
        <v>1.2</v>
      </c>
      <c r="Q99" s="6" t="s">
        <v>85</v>
      </c>
      <c r="R99" s="1" t="s">
        <v>588</v>
      </c>
      <c r="S99" s="8" t="s">
        <v>48</v>
      </c>
      <c r="T99" s="8">
        <v>84266</v>
      </c>
      <c r="U99" s="1" t="s">
        <v>589</v>
      </c>
    </row>
    <row r="100" spans="1:25" x14ac:dyDescent="0.2">
      <c r="A100" s="2">
        <v>1</v>
      </c>
      <c r="B100" s="2">
        <v>1</v>
      </c>
      <c r="C100" s="2">
        <v>1</v>
      </c>
      <c r="D100" s="2"/>
      <c r="H100" s="2">
        <v>56</v>
      </c>
      <c r="I100" s="20" t="s">
        <v>590</v>
      </c>
      <c r="J100" s="20" t="s">
        <v>590</v>
      </c>
      <c r="K100" s="2">
        <v>99</v>
      </c>
      <c r="L100" s="1" t="s">
        <v>591</v>
      </c>
      <c r="M100" s="1" t="s">
        <v>592</v>
      </c>
      <c r="N100" s="6" t="s">
        <v>593</v>
      </c>
      <c r="O100" s="15">
        <v>4.34</v>
      </c>
      <c r="P100" s="14">
        <v>4.3</v>
      </c>
      <c r="Q100" s="6" t="s">
        <v>27</v>
      </c>
      <c r="R100" s="1" t="s">
        <v>594</v>
      </c>
      <c r="S100" s="8">
        <v>185</v>
      </c>
      <c r="T100" s="8">
        <v>85617</v>
      </c>
      <c r="U100" s="1" t="s">
        <v>112</v>
      </c>
      <c r="V100" s="1" t="s">
        <v>30</v>
      </c>
      <c r="Y100" s="3" t="s">
        <v>32</v>
      </c>
    </row>
    <row r="101" spans="1:25" x14ac:dyDescent="0.2">
      <c r="A101" s="2"/>
      <c r="B101" s="2"/>
      <c r="C101" s="2"/>
      <c r="D101" s="2" t="s">
        <v>521</v>
      </c>
      <c r="H101" s="2">
        <v>58</v>
      </c>
      <c r="I101" s="13" t="s">
        <v>595</v>
      </c>
      <c r="J101" s="13" t="s">
        <v>595</v>
      </c>
      <c r="K101" s="2">
        <v>100</v>
      </c>
      <c r="L101" s="1" t="s">
        <v>596</v>
      </c>
      <c r="M101" s="1" t="s">
        <v>597</v>
      </c>
      <c r="N101" s="6">
        <v>7</v>
      </c>
      <c r="O101" s="7" t="s">
        <v>45</v>
      </c>
      <c r="P101" s="14">
        <v>4</v>
      </c>
      <c r="Q101" s="9" t="s">
        <v>64</v>
      </c>
      <c r="R101" s="1" t="s">
        <v>598</v>
      </c>
      <c r="S101" s="8">
        <v>225</v>
      </c>
      <c r="T101" s="8">
        <v>86728</v>
      </c>
      <c r="U101" s="1" t="s">
        <v>599</v>
      </c>
      <c r="V101" s="1" t="s">
        <v>30</v>
      </c>
      <c r="W101" s="10"/>
      <c r="Y101" s="3" t="s">
        <v>152</v>
      </c>
    </row>
    <row r="102" spans="1:25" x14ac:dyDescent="0.2">
      <c r="A102" s="2"/>
      <c r="B102" s="2">
        <v>1</v>
      </c>
      <c r="C102" s="2">
        <v>1</v>
      </c>
      <c r="D102" s="2"/>
      <c r="H102" s="2">
        <v>67</v>
      </c>
      <c r="I102" s="5" t="s">
        <v>600</v>
      </c>
      <c r="J102" s="5" t="s">
        <v>600</v>
      </c>
      <c r="K102" s="2">
        <v>101</v>
      </c>
      <c r="L102" s="1" t="s">
        <v>601</v>
      </c>
      <c r="M102" s="1" t="s">
        <v>602</v>
      </c>
      <c r="N102" s="6" t="s">
        <v>603</v>
      </c>
      <c r="O102" s="7">
        <v>2.89</v>
      </c>
      <c r="P102" s="6">
        <v>2.2999999999999998</v>
      </c>
      <c r="Q102" s="6" t="s">
        <v>124</v>
      </c>
      <c r="R102" s="1" t="s">
        <v>604</v>
      </c>
      <c r="S102" s="8">
        <v>73</v>
      </c>
      <c r="T102" s="8" t="s">
        <v>605</v>
      </c>
      <c r="U102" s="1" t="s">
        <v>258</v>
      </c>
      <c r="V102" s="1" t="s">
        <v>30</v>
      </c>
      <c r="W102" s="9" t="s">
        <v>113</v>
      </c>
    </row>
    <row r="103" spans="1:25" x14ac:dyDescent="0.2">
      <c r="A103" s="2"/>
      <c r="B103" s="2">
        <v>1</v>
      </c>
      <c r="C103" s="2"/>
      <c r="D103" s="2"/>
      <c r="H103" s="2">
        <v>58</v>
      </c>
      <c r="I103" s="13" t="s">
        <v>606</v>
      </c>
      <c r="J103" s="13" t="s">
        <v>606</v>
      </c>
      <c r="K103" s="2">
        <v>102</v>
      </c>
      <c r="L103" s="1" t="s">
        <v>607</v>
      </c>
      <c r="M103" s="1" t="s">
        <v>608</v>
      </c>
      <c r="N103" s="6">
        <v>7</v>
      </c>
      <c r="O103" s="15">
        <v>3.82</v>
      </c>
      <c r="P103" s="6">
        <v>2.8</v>
      </c>
      <c r="Q103" s="6" t="s">
        <v>124</v>
      </c>
      <c r="R103" s="1" t="s">
        <v>609</v>
      </c>
      <c r="S103" s="8" t="s">
        <v>57</v>
      </c>
      <c r="T103" s="8">
        <v>87063</v>
      </c>
      <c r="U103" s="1" t="s">
        <v>80</v>
      </c>
      <c r="V103" s="1" t="s">
        <v>30</v>
      </c>
      <c r="X103" s="9" t="s">
        <v>59</v>
      </c>
    </row>
    <row r="104" spans="1:25" x14ac:dyDescent="0.2">
      <c r="A104" s="2">
        <v>1</v>
      </c>
      <c r="B104" s="2">
        <v>1</v>
      </c>
      <c r="C104" s="2">
        <v>1</v>
      </c>
      <c r="D104" s="2"/>
      <c r="H104" s="2">
        <v>52</v>
      </c>
      <c r="I104" s="13" t="s">
        <v>610</v>
      </c>
      <c r="J104" s="13" t="s">
        <v>610</v>
      </c>
      <c r="K104" s="2">
        <v>103</v>
      </c>
      <c r="L104" s="1" t="s">
        <v>611</v>
      </c>
      <c r="M104" s="1" t="s">
        <v>612</v>
      </c>
      <c r="N104" s="6" t="s">
        <v>613</v>
      </c>
      <c r="O104" s="7">
        <v>2.7</v>
      </c>
      <c r="P104" s="18">
        <v>5.6</v>
      </c>
      <c r="Q104" s="6" t="s">
        <v>27</v>
      </c>
      <c r="R104" s="1" t="s">
        <v>614</v>
      </c>
      <c r="S104" s="8">
        <v>422</v>
      </c>
      <c r="T104" s="8">
        <v>87820</v>
      </c>
      <c r="U104" s="1" t="s">
        <v>615</v>
      </c>
      <c r="V104" s="1" t="s">
        <v>67</v>
      </c>
      <c r="W104" s="9" t="s">
        <v>616</v>
      </c>
    </row>
    <row r="105" spans="1:25" x14ac:dyDescent="0.2">
      <c r="A105" s="2"/>
      <c r="B105" s="2">
        <v>1</v>
      </c>
      <c r="C105" s="2">
        <v>1</v>
      </c>
      <c r="D105" s="2"/>
      <c r="H105" s="2">
        <v>67</v>
      </c>
      <c r="I105" s="5" t="s">
        <v>617</v>
      </c>
      <c r="J105" s="5" t="s">
        <v>617</v>
      </c>
      <c r="K105" s="2">
        <v>104</v>
      </c>
      <c r="L105" s="1" t="s">
        <v>618</v>
      </c>
      <c r="M105" s="1" t="s">
        <v>619</v>
      </c>
      <c r="N105" s="6" t="s">
        <v>219</v>
      </c>
      <c r="O105" s="7">
        <v>2.0299999999999998</v>
      </c>
      <c r="P105" s="6">
        <v>1.8</v>
      </c>
      <c r="Q105" s="6" t="s">
        <v>27</v>
      </c>
      <c r="R105" s="1" t="s">
        <v>620</v>
      </c>
      <c r="S105" s="8" t="s">
        <v>38</v>
      </c>
      <c r="T105" s="8">
        <v>89783</v>
      </c>
      <c r="U105" s="1" t="s">
        <v>139</v>
      </c>
      <c r="V105" s="1" t="s">
        <v>72</v>
      </c>
    </row>
    <row r="106" spans="1:25" x14ac:dyDescent="0.2">
      <c r="A106" s="2"/>
      <c r="B106" s="2"/>
      <c r="C106" s="2">
        <v>1</v>
      </c>
      <c r="D106" s="2"/>
      <c r="H106" s="2">
        <v>65</v>
      </c>
      <c r="I106" s="20" t="s">
        <v>621</v>
      </c>
      <c r="J106" s="20" t="s">
        <v>621</v>
      </c>
      <c r="K106" s="2">
        <v>105</v>
      </c>
      <c r="L106" s="1" t="s">
        <v>622</v>
      </c>
      <c r="M106" s="1" t="s">
        <v>623</v>
      </c>
      <c r="N106" s="6" t="s">
        <v>624</v>
      </c>
      <c r="O106" s="7" t="s">
        <v>45</v>
      </c>
      <c r="P106" s="14">
        <v>3.8</v>
      </c>
      <c r="Q106" s="6" t="s">
        <v>85</v>
      </c>
      <c r="R106" s="1" t="s">
        <v>625</v>
      </c>
      <c r="S106" s="8">
        <v>75</v>
      </c>
      <c r="T106" s="8">
        <v>90697</v>
      </c>
      <c r="U106" s="1" t="s">
        <v>626</v>
      </c>
      <c r="V106" s="1" t="s">
        <v>627</v>
      </c>
      <c r="Y106" s="3" t="s">
        <v>146</v>
      </c>
    </row>
    <row r="107" spans="1:25" x14ac:dyDescent="0.2">
      <c r="A107" s="2"/>
      <c r="B107" s="2">
        <v>1</v>
      </c>
      <c r="C107" s="2"/>
      <c r="D107" s="2"/>
      <c r="H107" s="2">
        <v>67</v>
      </c>
      <c r="I107" s="1" t="s">
        <v>628</v>
      </c>
      <c r="J107" s="1" t="s">
        <v>628</v>
      </c>
      <c r="K107" s="2">
        <v>106</v>
      </c>
      <c r="L107" s="1" t="s">
        <v>629</v>
      </c>
      <c r="M107" s="1" t="s">
        <v>630</v>
      </c>
      <c r="N107" s="6">
        <v>9</v>
      </c>
      <c r="O107" s="15">
        <v>3.82</v>
      </c>
      <c r="P107" s="6" t="s">
        <v>45</v>
      </c>
      <c r="R107" s="1" t="s">
        <v>631</v>
      </c>
      <c r="S107" s="8" t="s">
        <v>57</v>
      </c>
      <c r="T107" s="8">
        <v>90709</v>
      </c>
      <c r="U107" s="1" t="s">
        <v>632</v>
      </c>
      <c r="V107" s="1" t="s">
        <v>30</v>
      </c>
      <c r="X107" s="9" t="s">
        <v>59</v>
      </c>
    </row>
    <row r="108" spans="1:25" x14ac:dyDescent="0.2">
      <c r="A108" s="2">
        <v>1</v>
      </c>
      <c r="B108" s="2">
        <v>1</v>
      </c>
      <c r="C108" s="2">
        <v>1</v>
      </c>
      <c r="D108" s="2"/>
      <c r="H108" s="2">
        <v>63</v>
      </c>
      <c r="I108" s="13" t="s">
        <v>633</v>
      </c>
      <c r="J108" s="13" t="s">
        <v>633</v>
      </c>
      <c r="K108" s="2">
        <v>107</v>
      </c>
      <c r="L108" s="1" t="s">
        <v>634</v>
      </c>
      <c r="M108" s="1" t="s">
        <v>635</v>
      </c>
      <c r="N108" s="6" t="s">
        <v>636</v>
      </c>
      <c r="O108" s="15">
        <v>5.46</v>
      </c>
      <c r="P108" s="18">
        <v>5.5</v>
      </c>
      <c r="Q108" s="9" t="s">
        <v>64</v>
      </c>
      <c r="R108" s="1" t="s">
        <v>637</v>
      </c>
      <c r="S108" s="8" t="s">
        <v>38</v>
      </c>
      <c r="T108" s="8">
        <v>90883</v>
      </c>
      <c r="U108" s="1" t="s">
        <v>638</v>
      </c>
      <c r="V108" s="1" t="s">
        <v>639</v>
      </c>
      <c r="Y108" s="3" t="s">
        <v>32</v>
      </c>
    </row>
    <row r="109" spans="1:25" x14ac:dyDescent="0.2">
      <c r="A109" s="2"/>
      <c r="B109" s="2">
        <v>1</v>
      </c>
      <c r="C109" s="2">
        <v>1</v>
      </c>
      <c r="D109" s="2"/>
      <c r="H109" s="2">
        <v>63</v>
      </c>
      <c r="I109" s="5" t="s">
        <v>640</v>
      </c>
      <c r="J109" s="5" t="s">
        <v>640</v>
      </c>
      <c r="K109" s="2">
        <v>108</v>
      </c>
      <c r="L109" s="1" t="s">
        <v>641</v>
      </c>
      <c r="M109" s="1" t="s">
        <v>642</v>
      </c>
      <c r="N109" s="6" t="s">
        <v>643</v>
      </c>
      <c r="O109" s="7">
        <v>3.5</v>
      </c>
      <c r="P109" s="6">
        <v>3.1</v>
      </c>
      <c r="Q109" s="6" t="s">
        <v>644</v>
      </c>
      <c r="R109" s="1" t="s">
        <v>645</v>
      </c>
      <c r="S109" s="8" t="s">
        <v>38</v>
      </c>
      <c r="T109" s="8">
        <v>91774</v>
      </c>
      <c r="U109" s="1" t="s">
        <v>203</v>
      </c>
      <c r="V109" s="1" t="s">
        <v>72</v>
      </c>
    </row>
    <row r="110" spans="1:25" x14ac:dyDescent="0.2">
      <c r="A110" s="2"/>
      <c r="B110" s="2">
        <v>1</v>
      </c>
      <c r="C110" s="2"/>
      <c r="D110" s="2"/>
      <c r="H110" s="2">
        <v>67</v>
      </c>
      <c r="I110" s="1" t="s">
        <v>646</v>
      </c>
      <c r="J110" s="1" t="s">
        <v>646</v>
      </c>
      <c r="K110" s="2">
        <v>109</v>
      </c>
      <c r="L110" s="1" t="s">
        <v>647</v>
      </c>
      <c r="M110" s="1" t="s">
        <v>648</v>
      </c>
      <c r="N110" s="6" t="s">
        <v>394</v>
      </c>
      <c r="O110" s="7">
        <v>2.63</v>
      </c>
      <c r="P110" s="6" t="s">
        <v>45</v>
      </c>
      <c r="R110" s="1" t="s">
        <v>649</v>
      </c>
      <c r="S110" s="8" t="s">
        <v>57</v>
      </c>
      <c r="T110" s="8">
        <v>91929</v>
      </c>
      <c r="U110" s="1" t="s">
        <v>58</v>
      </c>
      <c r="V110" s="1" t="s">
        <v>72</v>
      </c>
    </row>
    <row r="111" spans="1:25" x14ac:dyDescent="0.2">
      <c r="A111" s="2"/>
      <c r="B111" s="2"/>
      <c r="C111" s="2"/>
      <c r="D111" s="2" t="s">
        <v>454</v>
      </c>
      <c r="H111" s="2">
        <v>65</v>
      </c>
      <c r="I111" s="13" t="s">
        <v>650</v>
      </c>
      <c r="J111" s="13" t="s">
        <v>650</v>
      </c>
      <c r="K111" s="2">
        <v>110</v>
      </c>
      <c r="L111" s="1" t="s">
        <v>651</v>
      </c>
      <c r="M111" s="1" t="s">
        <v>652</v>
      </c>
      <c r="N111" s="6">
        <v>9.5</v>
      </c>
      <c r="O111" s="7" t="s">
        <v>45</v>
      </c>
      <c r="P111" s="14">
        <v>3.8</v>
      </c>
      <c r="Q111" s="6" t="s">
        <v>653</v>
      </c>
      <c r="R111" s="1" t="s">
        <v>654</v>
      </c>
      <c r="S111" s="8" t="s">
        <v>57</v>
      </c>
      <c r="T111" s="8">
        <v>92194</v>
      </c>
      <c r="U111" s="1" t="s">
        <v>655</v>
      </c>
      <c r="V111" s="1" t="s">
        <v>72</v>
      </c>
      <c r="X111" s="9" t="s">
        <v>73</v>
      </c>
    </row>
    <row r="112" spans="1:25" x14ac:dyDescent="0.2">
      <c r="A112" s="2">
        <v>1</v>
      </c>
      <c r="B112" s="2">
        <v>1</v>
      </c>
      <c r="C112" s="2">
        <v>1</v>
      </c>
      <c r="D112" s="2"/>
      <c r="H112" s="2">
        <v>67</v>
      </c>
      <c r="I112" s="5" t="s">
        <v>656</v>
      </c>
      <c r="J112" s="5" t="s">
        <v>656</v>
      </c>
      <c r="K112" s="2">
        <v>111</v>
      </c>
      <c r="L112" s="1" t="s">
        <v>657</v>
      </c>
      <c r="M112" s="1" t="s">
        <v>658</v>
      </c>
      <c r="N112" s="6" t="s">
        <v>659</v>
      </c>
      <c r="O112" s="7">
        <v>3.32</v>
      </c>
      <c r="P112" s="6">
        <v>3.1</v>
      </c>
      <c r="Q112" s="6" t="s">
        <v>27</v>
      </c>
      <c r="R112" s="1" t="s">
        <v>660</v>
      </c>
      <c r="S112" s="8">
        <v>148</v>
      </c>
      <c r="T112" s="8">
        <v>92442</v>
      </c>
      <c r="U112" s="1" t="s">
        <v>39</v>
      </c>
      <c r="V112" s="1" t="s">
        <v>30</v>
      </c>
      <c r="Y112" s="3" t="s">
        <v>32</v>
      </c>
    </row>
    <row r="113" spans="1:25" x14ac:dyDescent="0.2">
      <c r="A113" s="2"/>
      <c r="B113" s="2">
        <v>1</v>
      </c>
      <c r="C113" s="2">
        <v>1</v>
      </c>
      <c r="D113" s="2"/>
      <c r="H113" s="2">
        <v>65</v>
      </c>
      <c r="I113" s="20" t="s">
        <v>661</v>
      </c>
      <c r="J113" s="20" t="s">
        <v>661</v>
      </c>
      <c r="K113" s="2">
        <v>112</v>
      </c>
      <c r="L113" s="1" t="s">
        <v>662</v>
      </c>
      <c r="M113" s="1" t="s">
        <v>663</v>
      </c>
      <c r="N113" s="6" t="s">
        <v>664</v>
      </c>
      <c r="O113" s="15">
        <v>4.3899999999999997</v>
      </c>
      <c r="P113" s="6">
        <v>3.6</v>
      </c>
      <c r="Q113" s="6" t="s">
        <v>27</v>
      </c>
      <c r="R113" s="1" t="s">
        <v>665</v>
      </c>
      <c r="S113" s="8">
        <v>386</v>
      </c>
      <c r="T113" s="8">
        <v>93158</v>
      </c>
      <c r="U113" s="1" t="s">
        <v>666</v>
      </c>
      <c r="V113" s="1" t="s">
        <v>30</v>
      </c>
    </row>
    <row r="114" spans="1:25" x14ac:dyDescent="0.2">
      <c r="A114" s="2">
        <v>1</v>
      </c>
      <c r="B114" s="2">
        <v>1</v>
      </c>
      <c r="C114" s="2">
        <v>1</v>
      </c>
      <c r="D114" s="2"/>
      <c r="H114" s="2">
        <v>67</v>
      </c>
      <c r="I114" s="20" t="s">
        <v>667</v>
      </c>
      <c r="J114" s="20" t="s">
        <v>667</v>
      </c>
      <c r="K114" s="2">
        <v>113</v>
      </c>
      <c r="L114" s="1" t="s">
        <v>668</v>
      </c>
      <c r="M114" s="1" t="s">
        <v>669</v>
      </c>
      <c r="N114" s="6" t="s">
        <v>670</v>
      </c>
      <c r="O114" s="15">
        <v>4</v>
      </c>
      <c r="P114" s="14">
        <v>4.2</v>
      </c>
      <c r="Q114" s="9" t="s">
        <v>64</v>
      </c>
      <c r="R114" s="1" t="s">
        <v>671</v>
      </c>
      <c r="S114" s="8">
        <v>353</v>
      </c>
      <c r="T114" s="8">
        <v>93666</v>
      </c>
      <c r="U114" s="1" t="s">
        <v>80</v>
      </c>
      <c r="V114" s="1" t="s">
        <v>30</v>
      </c>
    </row>
    <row r="115" spans="1:25" x14ac:dyDescent="0.2">
      <c r="A115" s="2">
        <v>1</v>
      </c>
      <c r="B115" s="2">
        <v>1</v>
      </c>
      <c r="C115" s="2">
        <v>1</v>
      </c>
      <c r="D115" s="2"/>
      <c r="H115" s="2">
        <v>66</v>
      </c>
      <c r="I115" s="5" t="s">
        <v>672</v>
      </c>
      <c r="J115" s="5" t="s">
        <v>672</v>
      </c>
      <c r="K115" s="2">
        <v>114</v>
      </c>
      <c r="L115" s="1" t="s">
        <v>673</v>
      </c>
      <c r="M115" s="1" t="s">
        <v>674</v>
      </c>
      <c r="N115" s="6" t="s">
        <v>675</v>
      </c>
      <c r="O115" s="7">
        <v>2.73</v>
      </c>
      <c r="P115" s="6">
        <v>2.5</v>
      </c>
      <c r="Q115" s="6" t="s">
        <v>124</v>
      </c>
      <c r="R115" s="1" t="s">
        <v>676</v>
      </c>
      <c r="S115" s="8" t="s">
        <v>38</v>
      </c>
      <c r="T115" s="8">
        <v>94940</v>
      </c>
      <c r="U115" s="1" t="s">
        <v>39</v>
      </c>
      <c r="V115" s="1" t="s">
        <v>72</v>
      </c>
      <c r="Y115" s="3" t="s">
        <v>32</v>
      </c>
    </row>
    <row r="116" spans="1:25" x14ac:dyDescent="0.2">
      <c r="A116" s="2"/>
      <c r="B116" s="2"/>
      <c r="C116" s="2">
        <v>1</v>
      </c>
      <c r="D116" s="2"/>
      <c r="H116" s="2">
        <v>63</v>
      </c>
      <c r="I116" s="5" t="s">
        <v>677</v>
      </c>
      <c r="J116" s="5" t="s">
        <v>677</v>
      </c>
      <c r="K116" s="2">
        <v>115</v>
      </c>
      <c r="L116" s="1" t="s">
        <v>678</v>
      </c>
      <c r="M116" s="1" t="s">
        <v>679</v>
      </c>
      <c r="N116" s="6" t="s">
        <v>680</v>
      </c>
      <c r="O116" s="7" t="s">
        <v>45</v>
      </c>
      <c r="P116" s="6" t="s">
        <v>45</v>
      </c>
      <c r="R116" s="1" t="s">
        <v>681</v>
      </c>
      <c r="S116" s="8">
        <v>452</v>
      </c>
      <c r="T116" s="8">
        <v>95024</v>
      </c>
      <c r="U116" s="1" t="s">
        <v>682</v>
      </c>
      <c r="V116" s="1" t="s">
        <v>67</v>
      </c>
    </row>
    <row r="117" spans="1:25" x14ac:dyDescent="0.2">
      <c r="A117" s="2">
        <v>1</v>
      </c>
      <c r="B117" s="2">
        <v>1</v>
      </c>
      <c r="C117" s="2">
        <v>1</v>
      </c>
      <c r="D117" s="2"/>
      <c r="H117" s="2">
        <v>61</v>
      </c>
      <c r="I117" s="5" t="s">
        <v>683</v>
      </c>
      <c r="J117" s="5" t="s">
        <v>683</v>
      </c>
      <c r="K117" s="2">
        <v>116</v>
      </c>
      <c r="L117" s="1" t="s">
        <v>684</v>
      </c>
      <c r="M117" s="1" t="s">
        <v>685</v>
      </c>
      <c r="N117" s="6" t="s">
        <v>686</v>
      </c>
      <c r="O117" s="7">
        <v>2.91</v>
      </c>
      <c r="P117" s="6">
        <v>2.9</v>
      </c>
      <c r="Q117" s="9" t="s">
        <v>64</v>
      </c>
      <c r="R117" s="1" t="s">
        <v>687</v>
      </c>
      <c r="S117" s="8">
        <v>168</v>
      </c>
      <c r="T117" s="8">
        <v>95154</v>
      </c>
      <c r="U117" s="1" t="s">
        <v>258</v>
      </c>
      <c r="V117" s="1" t="s">
        <v>30</v>
      </c>
    </row>
    <row r="118" spans="1:25" x14ac:dyDescent="0.2">
      <c r="A118" s="2">
        <v>1</v>
      </c>
      <c r="B118" s="2"/>
      <c r="C118" s="2">
        <v>1</v>
      </c>
      <c r="D118" s="2"/>
      <c r="H118" s="2">
        <v>66</v>
      </c>
      <c r="I118" s="5" t="s">
        <v>688</v>
      </c>
      <c r="J118" s="5" t="s">
        <v>1303</v>
      </c>
      <c r="K118" s="2">
        <v>117</v>
      </c>
      <c r="L118" s="1" t="s">
        <v>689</v>
      </c>
      <c r="M118" s="1" t="s">
        <v>690</v>
      </c>
      <c r="N118" s="6" t="s">
        <v>691</v>
      </c>
      <c r="O118" s="7" t="s">
        <v>45</v>
      </c>
      <c r="P118" s="6">
        <v>1.1000000000000001</v>
      </c>
      <c r="Q118" s="6" t="s">
        <v>124</v>
      </c>
      <c r="R118" s="1" t="s">
        <v>692</v>
      </c>
      <c r="S118" s="8" t="s">
        <v>48</v>
      </c>
      <c r="T118" s="8">
        <v>95289</v>
      </c>
      <c r="U118" s="1" t="s">
        <v>693</v>
      </c>
      <c r="V118" s="1" t="s">
        <v>88</v>
      </c>
      <c r="Y118" s="3" t="s">
        <v>32</v>
      </c>
    </row>
    <row r="119" spans="1:25" x14ac:dyDescent="0.2">
      <c r="A119" s="2"/>
      <c r="B119" s="2">
        <v>1</v>
      </c>
      <c r="C119" s="2">
        <v>1</v>
      </c>
      <c r="D119" s="2"/>
      <c r="H119" s="2">
        <v>63</v>
      </c>
      <c r="I119" s="20" t="s">
        <v>694</v>
      </c>
      <c r="J119" s="20" t="s">
        <v>694</v>
      </c>
      <c r="K119" s="2">
        <v>118</v>
      </c>
      <c r="L119" s="1" t="s">
        <v>695</v>
      </c>
      <c r="M119" s="1" t="s">
        <v>696</v>
      </c>
      <c r="N119" s="6" t="s">
        <v>697</v>
      </c>
      <c r="O119" s="15">
        <v>3.87</v>
      </c>
      <c r="P119" s="6" t="s">
        <v>45</v>
      </c>
      <c r="R119" s="1" t="s">
        <v>698</v>
      </c>
      <c r="S119" s="8">
        <v>340</v>
      </c>
      <c r="T119" s="8" t="s">
        <v>699</v>
      </c>
      <c r="U119" s="1" t="s">
        <v>139</v>
      </c>
      <c r="V119" s="1" t="s">
        <v>30</v>
      </c>
      <c r="W119" s="9" t="s">
        <v>113</v>
      </c>
    </row>
    <row r="120" spans="1:25" x14ac:dyDescent="0.2">
      <c r="A120" s="2">
        <v>1</v>
      </c>
      <c r="B120" s="2">
        <v>1</v>
      </c>
      <c r="C120" s="2">
        <v>1</v>
      </c>
      <c r="D120" s="2"/>
      <c r="H120" s="2">
        <v>66</v>
      </c>
      <c r="I120" s="5" t="s">
        <v>700</v>
      </c>
      <c r="J120" s="5" t="s">
        <v>700</v>
      </c>
      <c r="K120" s="2">
        <v>119</v>
      </c>
      <c r="L120" s="1" t="s">
        <v>701</v>
      </c>
      <c r="M120" s="1" t="s">
        <v>702</v>
      </c>
      <c r="N120" s="6" t="s">
        <v>703</v>
      </c>
      <c r="O120" s="7">
        <v>3.26</v>
      </c>
      <c r="P120" s="6">
        <v>3.4</v>
      </c>
      <c r="Q120" s="6" t="s">
        <v>27</v>
      </c>
      <c r="R120" s="1" t="s">
        <v>704</v>
      </c>
      <c r="S120" s="8">
        <v>200</v>
      </c>
      <c r="T120" s="8">
        <v>96255</v>
      </c>
      <c r="U120" s="1" t="s">
        <v>203</v>
      </c>
      <c r="V120" s="1" t="s">
        <v>30</v>
      </c>
      <c r="Y120" s="3" t="s">
        <v>32</v>
      </c>
    </row>
    <row r="121" spans="1:25" x14ac:dyDescent="0.2">
      <c r="A121" s="2">
        <v>1</v>
      </c>
      <c r="B121" s="2">
        <v>1</v>
      </c>
      <c r="C121" s="2">
        <v>1</v>
      </c>
      <c r="D121" s="2"/>
      <c r="H121" s="2">
        <v>62</v>
      </c>
      <c r="I121" s="5" t="s">
        <v>705</v>
      </c>
      <c r="J121" s="5" t="s">
        <v>705</v>
      </c>
      <c r="K121" s="2">
        <v>120</v>
      </c>
      <c r="L121" s="1" t="s">
        <v>706</v>
      </c>
      <c r="M121" s="1" t="s">
        <v>707</v>
      </c>
      <c r="N121" s="6" t="s">
        <v>708</v>
      </c>
      <c r="O121" s="7">
        <v>3.15</v>
      </c>
      <c r="P121" s="6" t="s">
        <v>45</v>
      </c>
      <c r="R121" s="1" t="s">
        <v>709</v>
      </c>
      <c r="S121" s="8">
        <v>118</v>
      </c>
      <c r="T121" s="8">
        <v>96836</v>
      </c>
      <c r="U121" s="1" t="s">
        <v>710</v>
      </c>
      <c r="V121" s="1" t="s">
        <v>30</v>
      </c>
      <c r="Y121" s="3" t="s">
        <v>32</v>
      </c>
    </row>
    <row r="122" spans="1:25" x14ac:dyDescent="0.2">
      <c r="A122" s="2">
        <v>1</v>
      </c>
      <c r="B122" s="2">
        <v>1</v>
      </c>
      <c r="C122" s="2">
        <v>1</v>
      </c>
      <c r="D122" s="2"/>
      <c r="H122" s="2">
        <v>62</v>
      </c>
      <c r="I122" s="20" t="s">
        <v>711</v>
      </c>
      <c r="J122" s="20" t="s">
        <v>711</v>
      </c>
      <c r="K122" s="2">
        <v>121</v>
      </c>
      <c r="L122" s="1" t="s">
        <v>712</v>
      </c>
      <c r="M122" s="1" t="s">
        <v>713</v>
      </c>
      <c r="N122" s="6" t="s">
        <v>714</v>
      </c>
      <c r="O122" s="15">
        <v>4.4000000000000004</v>
      </c>
      <c r="P122" s="6">
        <v>3.4</v>
      </c>
      <c r="Q122" s="6" t="s">
        <v>715</v>
      </c>
      <c r="R122" s="1" t="s">
        <v>716</v>
      </c>
      <c r="S122" s="8" t="s">
        <v>38</v>
      </c>
      <c r="T122" s="8">
        <v>98190</v>
      </c>
      <c r="U122" s="1" t="s">
        <v>139</v>
      </c>
      <c r="V122" s="1" t="s">
        <v>72</v>
      </c>
    </row>
    <row r="123" spans="1:25" x14ac:dyDescent="0.2">
      <c r="A123" s="2"/>
      <c r="B123" s="2">
        <v>1</v>
      </c>
      <c r="C123" s="2">
        <v>1</v>
      </c>
      <c r="D123" s="2"/>
      <c r="H123" s="2">
        <v>64</v>
      </c>
      <c r="I123" s="5" t="s">
        <v>717</v>
      </c>
      <c r="J123" s="5" t="s">
        <v>717</v>
      </c>
      <c r="K123" s="2">
        <v>122</v>
      </c>
      <c r="L123" s="1" t="s">
        <v>718</v>
      </c>
      <c r="M123" s="1" t="s">
        <v>719</v>
      </c>
      <c r="N123" s="6" t="s">
        <v>720</v>
      </c>
      <c r="O123" s="7">
        <v>2.04</v>
      </c>
      <c r="P123" s="6">
        <v>2.1</v>
      </c>
      <c r="Q123" s="6" t="s">
        <v>532</v>
      </c>
      <c r="R123" s="1" t="s">
        <v>721</v>
      </c>
      <c r="S123" s="8">
        <v>98</v>
      </c>
      <c r="T123" s="8">
        <v>98538</v>
      </c>
      <c r="U123" s="1" t="s">
        <v>426</v>
      </c>
      <c r="V123" s="1" t="s">
        <v>72</v>
      </c>
    </row>
    <row r="124" spans="1:25" x14ac:dyDescent="0.2">
      <c r="A124" s="2"/>
      <c r="B124" s="2"/>
      <c r="C124" s="2">
        <v>1</v>
      </c>
      <c r="D124" s="2"/>
      <c r="H124" s="2">
        <v>64</v>
      </c>
      <c r="I124" s="5" t="s">
        <v>722</v>
      </c>
      <c r="J124" s="5" t="s">
        <v>722</v>
      </c>
      <c r="K124" s="2">
        <v>123</v>
      </c>
      <c r="L124" s="1" t="s">
        <v>723</v>
      </c>
      <c r="M124" s="1" t="s">
        <v>724</v>
      </c>
      <c r="N124" s="6" t="s">
        <v>725</v>
      </c>
      <c r="O124" s="7" t="s">
        <v>45</v>
      </c>
      <c r="P124" s="6" t="s">
        <v>45</v>
      </c>
      <c r="R124" s="1" t="s">
        <v>726</v>
      </c>
      <c r="S124" s="8">
        <v>177</v>
      </c>
      <c r="T124" s="8">
        <v>98662</v>
      </c>
      <c r="U124" s="1" t="s">
        <v>727</v>
      </c>
      <c r="V124" s="1" t="s">
        <v>72</v>
      </c>
    </row>
    <row r="125" spans="1:25" x14ac:dyDescent="0.2">
      <c r="A125" s="2"/>
      <c r="B125" s="2"/>
      <c r="C125" s="2">
        <v>1</v>
      </c>
      <c r="D125" s="2"/>
      <c r="H125" s="2">
        <v>64</v>
      </c>
      <c r="I125" s="5" t="s">
        <v>728</v>
      </c>
      <c r="J125" s="5" t="s">
        <v>728</v>
      </c>
      <c r="K125" s="2">
        <v>124</v>
      </c>
      <c r="L125" s="1" t="s">
        <v>729</v>
      </c>
      <c r="M125" s="1" t="s">
        <v>730</v>
      </c>
      <c r="N125" s="6" t="s">
        <v>731</v>
      </c>
      <c r="O125" s="7" t="s">
        <v>45</v>
      </c>
      <c r="P125" s="6">
        <v>3.3</v>
      </c>
      <c r="Q125" s="6" t="s">
        <v>27</v>
      </c>
      <c r="R125" s="1" t="s">
        <v>732</v>
      </c>
      <c r="S125" s="8">
        <v>196</v>
      </c>
      <c r="T125" s="8">
        <v>98909</v>
      </c>
      <c r="U125" s="1" t="s">
        <v>733</v>
      </c>
      <c r="V125" s="1" t="s">
        <v>30</v>
      </c>
      <c r="W125" s="9" t="s">
        <v>616</v>
      </c>
      <c r="Y125" s="3" t="s">
        <v>146</v>
      </c>
    </row>
    <row r="126" spans="1:25" x14ac:dyDescent="0.2">
      <c r="A126" s="2"/>
      <c r="B126" s="2">
        <v>1</v>
      </c>
      <c r="C126" s="2">
        <v>1</v>
      </c>
      <c r="D126" s="2"/>
      <c r="H126" s="2">
        <v>62</v>
      </c>
      <c r="I126" s="5" t="s">
        <v>734</v>
      </c>
      <c r="J126" s="5" t="s">
        <v>734</v>
      </c>
      <c r="K126" s="2">
        <v>125</v>
      </c>
      <c r="L126" s="1" t="s">
        <v>735</v>
      </c>
      <c r="M126" s="1" t="s">
        <v>736</v>
      </c>
      <c r="N126" s="6" t="s">
        <v>219</v>
      </c>
      <c r="O126" s="7">
        <v>3.15</v>
      </c>
      <c r="P126" s="6">
        <v>3.3</v>
      </c>
      <c r="Q126" s="6" t="s">
        <v>532</v>
      </c>
      <c r="R126" s="1" t="s">
        <v>737</v>
      </c>
      <c r="S126" s="8" t="s">
        <v>48</v>
      </c>
      <c r="T126" s="8">
        <v>99310</v>
      </c>
      <c r="U126" s="1" t="s">
        <v>203</v>
      </c>
      <c r="V126" s="1" t="s">
        <v>72</v>
      </c>
    </row>
    <row r="127" spans="1:25" x14ac:dyDescent="0.2">
      <c r="A127" s="2"/>
      <c r="B127" s="2">
        <v>1</v>
      </c>
      <c r="C127" s="2">
        <v>1</v>
      </c>
      <c r="D127" s="2"/>
      <c r="H127" s="2">
        <v>62</v>
      </c>
      <c r="I127" s="5" t="s">
        <v>738</v>
      </c>
      <c r="J127" s="5" t="s">
        <v>738</v>
      </c>
      <c r="K127" s="2">
        <v>126</v>
      </c>
      <c r="L127" s="1" t="s">
        <v>739</v>
      </c>
      <c r="M127" s="1" t="s">
        <v>740</v>
      </c>
      <c r="N127" s="6" t="s">
        <v>741</v>
      </c>
      <c r="O127" s="7">
        <v>2.82</v>
      </c>
      <c r="P127" s="6" t="s">
        <v>45</v>
      </c>
      <c r="R127" s="1" t="s">
        <v>742</v>
      </c>
      <c r="S127" s="8" t="s">
        <v>38</v>
      </c>
      <c r="T127" s="8" t="s">
        <v>45</v>
      </c>
      <c r="U127" s="1" t="s">
        <v>112</v>
      </c>
      <c r="V127" s="1" t="s">
        <v>72</v>
      </c>
    </row>
    <row r="128" spans="1:25" x14ac:dyDescent="0.2">
      <c r="A128" s="2">
        <v>1</v>
      </c>
      <c r="B128" s="2">
        <v>1</v>
      </c>
      <c r="C128" s="2">
        <v>1</v>
      </c>
      <c r="D128" s="2"/>
      <c r="H128" s="2">
        <v>62</v>
      </c>
      <c r="I128" s="5" t="s">
        <v>743</v>
      </c>
      <c r="J128" s="5" t="s">
        <v>743</v>
      </c>
      <c r="K128" s="2">
        <v>127</v>
      </c>
      <c r="L128" s="1" t="s">
        <v>744</v>
      </c>
      <c r="M128" s="1" t="s">
        <v>745</v>
      </c>
      <c r="N128" s="6" t="s">
        <v>746</v>
      </c>
      <c r="O128" s="7">
        <v>2.8</v>
      </c>
      <c r="P128" s="6">
        <v>3</v>
      </c>
      <c r="Q128" s="9" t="s">
        <v>64</v>
      </c>
      <c r="R128" s="1" t="s">
        <v>747</v>
      </c>
      <c r="S128" s="8">
        <v>417</v>
      </c>
      <c r="T128" s="8">
        <v>99653</v>
      </c>
      <c r="U128" s="1" t="s">
        <v>748</v>
      </c>
      <c r="V128" s="1" t="s">
        <v>67</v>
      </c>
    </row>
    <row r="129" spans="1:25" x14ac:dyDescent="0.2">
      <c r="A129" s="2">
        <v>1</v>
      </c>
      <c r="B129" s="2">
        <v>1</v>
      </c>
      <c r="C129" s="2">
        <v>1</v>
      </c>
      <c r="D129" s="2"/>
      <c r="H129" s="2">
        <v>66</v>
      </c>
      <c r="I129" s="20" t="s">
        <v>749</v>
      </c>
      <c r="J129" s="20" t="s">
        <v>749</v>
      </c>
      <c r="K129" s="2">
        <v>128</v>
      </c>
      <c r="L129" s="1" t="s">
        <v>750</v>
      </c>
      <c r="M129" s="1" t="s">
        <v>751</v>
      </c>
      <c r="N129" s="6" t="s">
        <v>752</v>
      </c>
      <c r="O129" s="15">
        <v>4.42</v>
      </c>
      <c r="P129" s="14">
        <v>4</v>
      </c>
      <c r="Q129" s="6" t="s">
        <v>27</v>
      </c>
      <c r="R129" s="1" t="s">
        <v>753</v>
      </c>
      <c r="S129" s="8">
        <v>393</v>
      </c>
      <c r="T129" s="8">
        <v>99990</v>
      </c>
      <c r="U129" s="1" t="s">
        <v>39</v>
      </c>
      <c r="V129" s="1" t="s">
        <v>30</v>
      </c>
    </row>
    <row r="130" spans="1:25" x14ac:dyDescent="0.2">
      <c r="A130" s="2"/>
      <c r="B130" s="2">
        <v>1</v>
      </c>
      <c r="C130" s="2"/>
      <c r="D130" s="2"/>
      <c r="H130" s="2">
        <v>62</v>
      </c>
      <c r="I130" s="1" t="s">
        <v>754</v>
      </c>
      <c r="J130" s="1" t="s">
        <v>754</v>
      </c>
      <c r="K130" s="2">
        <v>129</v>
      </c>
      <c r="L130" s="1" t="s">
        <v>755</v>
      </c>
      <c r="M130" s="1" t="s">
        <v>756</v>
      </c>
      <c r="N130" s="6" t="s">
        <v>757</v>
      </c>
      <c r="O130" s="7">
        <v>2.59</v>
      </c>
      <c r="P130" s="6" t="s">
        <v>45</v>
      </c>
      <c r="R130" s="1" t="s">
        <v>758</v>
      </c>
      <c r="S130" s="8">
        <v>410</v>
      </c>
      <c r="T130" s="8">
        <v>100113</v>
      </c>
      <c r="U130" s="1" t="s">
        <v>759</v>
      </c>
      <c r="V130" s="1" t="s">
        <v>67</v>
      </c>
    </row>
    <row r="131" spans="1:25" x14ac:dyDescent="0.2">
      <c r="A131" s="2">
        <v>1</v>
      </c>
      <c r="B131" s="2">
        <v>1</v>
      </c>
      <c r="C131" s="2">
        <v>1</v>
      </c>
      <c r="D131" s="2"/>
      <c r="H131" s="2">
        <v>62</v>
      </c>
      <c r="I131" s="5" t="s">
        <v>760</v>
      </c>
      <c r="J131" s="5" t="s">
        <v>760</v>
      </c>
      <c r="K131" s="2">
        <v>130</v>
      </c>
      <c r="L131" s="1" t="s">
        <v>761</v>
      </c>
      <c r="M131" s="1" t="s">
        <v>762</v>
      </c>
      <c r="N131" s="6" t="s">
        <v>763</v>
      </c>
      <c r="O131" s="7">
        <v>2.81</v>
      </c>
      <c r="P131" s="6">
        <v>3.3</v>
      </c>
      <c r="Q131" s="6" t="s">
        <v>532</v>
      </c>
      <c r="R131" s="1" t="s">
        <v>764</v>
      </c>
      <c r="S131" s="8">
        <v>463</v>
      </c>
      <c r="T131" s="8">
        <v>100219</v>
      </c>
      <c r="U131" s="1" t="s">
        <v>748</v>
      </c>
      <c r="V131" s="1" t="s">
        <v>67</v>
      </c>
    </row>
    <row r="132" spans="1:25" x14ac:dyDescent="0.2">
      <c r="A132" s="2"/>
      <c r="B132" s="2">
        <v>1</v>
      </c>
      <c r="C132" s="2"/>
      <c r="D132" s="2"/>
      <c r="H132" s="2">
        <v>61</v>
      </c>
      <c r="I132" s="1" t="s">
        <v>765</v>
      </c>
      <c r="J132" s="1" t="s">
        <v>765</v>
      </c>
      <c r="K132" s="2">
        <v>131</v>
      </c>
      <c r="L132" s="1" t="s">
        <v>766</v>
      </c>
      <c r="M132" s="1" t="s">
        <v>767</v>
      </c>
      <c r="N132" s="6">
        <v>11</v>
      </c>
      <c r="O132" s="7" t="s">
        <v>45</v>
      </c>
      <c r="P132" s="6" t="s">
        <v>45</v>
      </c>
      <c r="R132" s="1" t="s">
        <v>768</v>
      </c>
      <c r="S132" s="8" t="s">
        <v>57</v>
      </c>
      <c r="T132" s="8" t="s">
        <v>45</v>
      </c>
      <c r="U132" s="1" t="s">
        <v>66</v>
      </c>
      <c r="V132" s="1" t="s">
        <v>72</v>
      </c>
      <c r="X132" s="9" t="s">
        <v>59</v>
      </c>
    </row>
    <row r="133" spans="1:25" x14ac:dyDescent="0.2">
      <c r="A133" s="2"/>
      <c r="B133" s="2">
        <v>1</v>
      </c>
      <c r="C133" s="2"/>
      <c r="D133" s="2"/>
      <c r="H133" s="2">
        <v>62</v>
      </c>
      <c r="I133" s="1" t="s">
        <v>769</v>
      </c>
      <c r="J133" s="1" t="s">
        <v>769</v>
      </c>
      <c r="K133" s="2">
        <v>132</v>
      </c>
      <c r="L133" s="1" t="s">
        <v>770</v>
      </c>
      <c r="M133" s="1" t="s">
        <v>771</v>
      </c>
      <c r="N133" s="6" t="s">
        <v>772</v>
      </c>
      <c r="O133" s="7">
        <v>3.74</v>
      </c>
      <c r="P133" s="6" t="s">
        <v>45</v>
      </c>
      <c r="S133" s="8">
        <v>430</v>
      </c>
      <c r="T133" s="8" t="s">
        <v>45</v>
      </c>
      <c r="U133" s="1" t="s">
        <v>265</v>
      </c>
      <c r="V133" s="1" t="s">
        <v>67</v>
      </c>
    </row>
    <row r="134" spans="1:25" x14ac:dyDescent="0.2">
      <c r="A134" s="2">
        <v>1</v>
      </c>
      <c r="B134" s="2">
        <v>1</v>
      </c>
      <c r="C134" s="2">
        <v>1</v>
      </c>
      <c r="D134" s="2"/>
      <c r="H134" s="2">
        <v>62</v>
      </c>
      <c r="I134" s="20" t="s">
        <v>773</v>
      </c>
      <c r="J134" s="20" t="s">
        <v>773</v>
      </c>
      <c r="K134" s="2">
        <v>133</v>
      </c>
      <c r="L134" s="1" t="s">
        <v>774</v>
      </c>
      <c r="M134" s="1" t="s">
        <v>775</v>
      </c>
      <c r="N134" s="6" t="s">
        <v>776</v>
      </c>
      <c r="O134" s="15">
        <v>4.04</v>
      </c>
      <c r="P134" s="6" t="s">
        <v>45</v>
      </c>
      <c r="R134" s="1" t="s">
        <v>777</v>
      </c>
      <c r="S134" s="8">
        <v>421</v>
      </c>
      <c r="T134" s="8">
        <v>102082</v>
      </c>
      <c r="U134" s="1" t="s">
        <v>495</v>
      </c>
      <c r="V134" s="1" t="s">
        <v>67</v>
      </c>
      <c r="Y134" s="3" t="s">
        <v>32</v>
      </c>
    </row>
    <row r="135" spans="1:25" x14ac:dyDescent="0.2">
      <c r="A135" s="2"/>
      <c r="B135" s="2"/>
      <c r="C135" s="2">
        <v>1</v>
      </c>
      <c r="D135" s="2"/>
      <c r="H135" s="2">
        <v>62</v>
      </c>
      <c r="I135" s="5" t="s">
        <v>778</v>
      </c>
      <c r="J135" s="5" t="s">
        <v>778</v>
      </c>
      <c r="K135" s="2">
        <v>134</v>
      </c>
      <c r="L135" s="1" t="s">
        <v>779</v>
      </c>
      <c r="M135" s="1" t="s">
        <v>780</v>
      </c>
      <c r="N135" s="6" t="s">
        <v>781</v>
      </c>
      <c r="O135" s="7" t="s">
        <v>45</v>
      </c>
      <c r="P135" s="6" t="s">
        <v>45</v>
      </c>
      <c r="R135" s="1" t="s">
        <v>782</v>
      </c>
      <c r="S135" s="8" t="s">
        <v>48</v>
      </c>
      <c r="T135" s="8" t="s">
        <v>45</v>
      </c>
      <c r="U135" s="1" t="s">
        <v>783</v>
      </c>
      <c r="V135" s="1" t="s">
        <v>72</v>
      </c>
    </row>
    <row r="136" spans="1:25" x14ac:dyDescent="0.2">
      <c r="A136" s="2"/>
      <c r="B136" s="2"/>
      <c r="C136" s="2">
        <v>1</v>
      </c>
      <c r="D136" s="2"/>
      <c r="H136" s="2">
        <v>64</v>
      </c>
      <c r="I136" s="5" t="s">
        <v>784</v>
      </c>
      <c r="J136" s="5" t="s">
        <v>1367</v>
      </c>
      <c r="K136" s="2">
        <v>135</v>
      </c>
      <c r="L136" s="1" t="s">
        <v>785</v>
      </c>
      <c r="M136" s="1" t="s">
        <v>786</v>
      </c>
      <c r="N136" s="6" t="s">
        <v>787</v>
      </c>
      <c r="O136" s="7" t="s">
        <v>45</v>
      </c>
      <c r="P136" s="6">
        <v>1.3</v>
      </c>
      <c r="Q136" s="6" t="s">
        <v>263</v>
      </c>
      <c r="R136" s="1" t="s">
        <v>788</v>
      </c>
      <c r="S136" s="8" t="s">
        <v>48</v>
      </c>
      <c r="T136" s="8">
        <v>102706</v>
      </c>
      <c r="U136" s="1" t="s">
        <v>789</v>
      </c>
      <c r="X136" s="9" t="s">
        <v>790</v>
      </c>
      <c r="Y136" s="3" t="s">
        <v>152</v>
      </c>
    </row>
    <row r="137" spans="1:25" x14ac:dyDescent="0.2">
      <c r="A137" s="2"/>
      <c r="B137" s="2"/>
      <c r="C137" s="2">
        <v>1</v>
      </c>
      <c r="D137" s="2"/>
      <c r="H137" s="2">
        <v>75</v>
      </c>
      <c r="I137" s="5" t="s">
        <v>791</v>
      </c>
      <c r="J137" s="5" t="s">
        <v>1372</v>
      </c>
      <c r="K137" s="2">
        <v>136</v>
      </c>
      <c r="L137" s="1" t="s">
        <v>792</v>
      </c>
      <c r="M137" s="1" t="s">
        <v>793</v>
      </c>
      <c r="N137" s="6" t="s">
        <v>794</v>
      </c>
      <c r="O137" s="7" t="s">
        <v>45</v>
      </c>
      <c r="P137" s="6">
        <v>1.1000000000000001</v>
      </c>
      <c r="Q137" s="6" t="s">
        <v>532</v>
      </c>
      <c r="R137" s="1" t="s">
        <v>795</v>
      </c>
      <c r="S137" s="8" t="s">
        <v>48</v>
      </c>
      <c r="T137" s="8">
        <v>104486</v>
      </c>
      <c r="U137" s="1" t="s">
        <v>796</v>
      </c>
      <c r="X137" s="9" t="s">
        <v>790</v>
      </c>
    </row>
    <row r="138" spans="1:25" x14ac:dyDescent="0.2">
      <c r="A138" s="2">
        <v>1</v>
      </c>
      <c r="B138" s="2">
        <v>1</v>
      </c>
      <c r="C138" s="2">
        <v>1</v>
      </c>
      <c r="D138" s="2"/>
      <c r="H138" s="2">
        <v>71</v>
      </c>
      <c r="I138" s="20" t="s">
        <v>797</v>
      </c>
      <c r="J138" s="20" t="s">
        <v>797</v>
      </c>
      <c r="K138" s="2">
        <v>137</v>
      </c>
      <c r="L138" s="1" t="s">
        <v>798</v>
      </c>
      <c r="M138" s="1" t="s">
        <v>799</v>
      </c>
      <c r="N138" s="6" t="s">
        <v>800</v>
      </c>
      <c r="O138" s="15">
        <v>4.45</v>
      </c>
      <c r="P138" s="6" t="s">
        <v>45</v>
      </c>
      <c r="R138" s="1" t="s">
        <v>801</v>
      </c>
      <c r="S138" s="8">
        <v>487</v>
      </c>
      <c r="T138" s="8">
        <v>106583</v>
      </c>
      <c r="U138" s="1" t="s">
        <v>802</v>
      </c>
      <c r="V138" s="1" t="s">
        <v>67</v>
      </c>
    </row>
    <row r="139" spans="1:25" x14ac:dyDescent="0.2">
      <c r="A139" s="2">
        <v>1</v>
      </c>
      <c r="B139" s="2">
        <v>1</v>
      </c>
      <c r="C139" s="2">
        <v>1</v>
      </c>
      <c r="D139" s="2"/>
      <c r="H139" s="2">
        <v>73</v>
      </c>
      <c r="I139" s="5" t="s">
        <v>803</v>
      </c>
      <c r="J139" s="5" t="s">
        <v>803</v>
      </c>
      <c r="K139" s="2">
        <v>138</v>
      </c>
      <c r="L139" s="1" t="s">
        <v>804</v>
      </c>
      <c r="M139" s="1" t="s">
        <v>805</v>
      </c>
      <c r="N139" s="6" t="s">
        <v>806</v>
      </c>
      <c r="O139" s="7">
        <v>2.75</v>
      </c>
      <c r="P139" s="6">
        <v>2.5</v>
      </c>
      <c r="Q139" s="6" t="s">
        <v>532</v>
      </c>
      <c r="R139" s="1" t="s">
        <v>807</v>
      </c>
      <c r="S139" s="8">
        <v>180</v>
      </c>
      <c r="T139" s="8">
        <v>107129</v>
      </c>
      <c r="U139" s="1" t="s">
        <v>39</v>
      </c>
      <c r="V139" s="1" t="s">
        <v>30</v>
      </c>
    </row>
    <row r="140" spans="1:25" x14ac:dyDescent="0.2">
      <c r="A140" s="2">
        <v>1</v>
      </c>
      <c r="B140" s="2">
        <v>1</v>
      </c>
      <c r="C140" s="2">
        <v>1</v>
      </c>
      <c r="D140" s="2"/>
      <c r="H140" s="2">
        <v>73</v>
      </c>
      <c r="I140" s="20" t="s">
        <v>808</v>
      </c>
      <c r="J140" s="20" t="s">
        <v>808</v>
      </c>
      <c r="K140" s="2">
        <v>139</v>
      </c>
      <c r="L140" s="1" t="s">
        <v>809</v>
      </c>
      <c r="M140" s="1" t="s">
        <v>810</v>
      </c>
      <c r="N140" s="6" t="s">
        <v>811</v>
      </c>
      <c r="O140" s="15">
        <v>4.5199999999999996</v>
      </c>
      <c r="P140" s="6" t="s">
        <v>45</v>
      </c>
      <c r="R140" s="1" t="s">
        <v>812</v>
      </c>
      <c r="S140" s="8">
        <v>263</v>
      </c>
      <c r="T140" s="8">
        <v>107242</v>
      </c>
      <c r="U140" s="1" t="s">
        <v>415</v>
      </c>
      <c r="V140" s="1" t="s">
        <v>30</v>
      </c>
      <c r="Y140" s="3" t="s">
        <v>32</v>
      </c>
    </row>
    <row r="141" spans="1:25" x14ac:dyDescent="0.2">
      <c r="A141" s="2"/>
      <c r="B141" s="2"/>
      <c r="C141" s="2"/>
      <c r="D141" s="2" t="s">
        <v>521</v>
      </c>
      <c r="H141" s="2">
        <v>73</v>
      </c>
      <c r="I141" s="13" t="s">
        <v>813</v>
      </c>
      <c r="J141" s="13" t="s">
        <v>813</v>
      </c>
      <c r="K141" s="2">
        <v>140</v>
      </c>
      <c r="L141" s="1" t="s">
        <v>814</v>
      </c>
      <c r="M141" s="1" t="s">
        <v>815</v>
      </c>
      <c r="N141" s="6">
        <v>9.8000000000000007</v>
      </c>
      <c r="O141" s="7" t="s">
        <v>45</v>
      </c>
      <c r="P141" s="14">
        <v>4.2</v>
      </c>
      <c r="Q141" s="9" t="s">
        <v>64</v>
      </c>
      <c r="R141" s="1" t="s">
        <v>816</v>
      </c>
      <c r="S141" s="8" t="s">
        <v>57</v>
      </c>
      <c r="T141" s="8">
        <v>108205</v>
      </c>
      <c r="U141" s="1" t="s">
        <v>817</v>
      </c>
      <c r="V141" s="1" t="s">
        <v>30</v>
      </c>
      <c r="W141" s="10"/>
    </row>
    <row r="142" spans="1:25" x14ac:dyDescent="0.2">
      <c r="A142" s="2"/>
      <c r="B142" s="2">
        <v>1</v>
      </c>
      <c r="C142" s="2">
        <v>1</v>
      </c>
      <c r="D142" s="2"/>
      <c r="H142" s="2">
        <v>75</v>
      </c>
      <c r="I142" s="5" t="s">
        <v>818</v>
      </c>
      <c r="J142" s="5" t="s">
        <v>818</v>
      </c>
      <c r="K142" s="2">
        <v>141</v>
      </c>
      <c r="L142" s="1" t="s">
        <v>819</v>
      </c>
      <c r="M142" s="1" t="s">
        <v>820</v>
      </c>
      <c r="N142" s="6" t="s">
        <v>821</v>
      </c>
      <c r="O142" s="7">
        <v>3.18</v>
      </c>
      <c r="P142" s="6" t="s">
        <v>45</v>
      </c>
      <c r="R142" s="1" t="s">
        <v>822</v>
      </c>
      <c r="S142" s="8">
        <v>629</v>
      </c>
      <c r="T142" s="8" t="s">
        <v>45</v>
      </c>
      <c r="U142" s="1" t="s">
        <v>823</v>
      </c>
      <c r="V142" s="1" t="s">
        <v>30</v>
      </c>
      <c r="W142" s="9" t="s">
        <v>824</v>
      </c>
    </row>
    <row r="143" spans="1:25" x14ac:dyDescent="0.2">
      <c r="A143" s="2">
        <v>1</v>
      </c>
      <c r="B143" s="2">
        <v>1</v>
      </c>
      <c r="C143" s="2">
        <v>1</v>
      </c>
      <c r="D143" s="2"/>
      <c r="H143" s="2">
        <v>75</v>
      </c>
      <c r="I143" s="5" t="s">
        <v>825</v>
      </c>
      <c r="J143" s="5" t="s">
        <v>825</v>
      </c>
      <c r="K143" s="2">
        <v>142</v>
      </c>
      <c r="L143" s="1" t="s">
        <v>826</v>
      </c>
      <c r="M143" s="1" t="s">
        <v>827</v>
      </c>
      <c r="N143" s="6" t="s">
        <v>828</v>
      </c>
      <c r="O143" s="7">
        <v>2.65</v>
      </c>
      <c r="P143" s="14">
        <v>3.9</v>
      </c>
      <c r="Q143" s="6" t="s">
        <v>653</v>
      </c>
      <c r="R143" s="1" t="s">
        <v>829</v>
      </c>
      <c r="S143" s="8">
        <v>439</v>
      </c>
      <c r="T143" s="8">
        <v>109089</v>
      </c>
      <c r="U143" s="1" t="s">
        <v>830</v>
      </c>
      <c r="V143" s="1" t="s">
        <v>67</v>
      </c>
    </row>
    <row r="144" spans="1:25" x14ac:dyDescent="0.2">
      <c r="A144" s="2"/>
      <c r="B144" s="2">
        <v>1</v>
      </c>
      <c r="C144" s="2"/>
      <c r="D144" s="2"/>
      <c r="H144" s="2">
        <v>71</v>
      </c>
      <c r="I144" s="1" t="s">
        <v>831</v>
      </c>
      <c r="J144" s="1" t="s">
        <v>831</v>
      </c>
      <c r="K144" s="2">
        <v>143</v>
      </c>
      <c r="L144" s="1" t="s">
        <v>832</v>
      </c>
      <c r="M144" s="1" t="s">
        <v>833</v>
      </c>
      <c r="N144" s="6">
        <v>8.3000000000000007</v>
      </c>
      <c r="O144" s="7">
        <v>3.17</v>
      </c>
      <c r="P144" s="6">
        <v>2.7</v>
      </c>
      <c r="Q144" s="6" t="s">
        <v>263</v>
      </c>
      <c r="R144" s="1" t="s">
        <v>834</v>
      </c>
      <c r="S144" s="8" t="s">
        <v>57</v>
      </c>
      <c r="T144" s="8">
        <v>112254</v>
      </c>
      <c r="U144" s="1" t="s">
        <v>39</v>
      </c>
      <c r="V144" s="1" t="s">
        <v>72</v>
      </c>
      <c r="X144" s="9" t="s">
        <v>73</v>
      </c>
    </row>
    <row r="145" spans="1:24" x14ac:dyDescent="0.2">
      <c r="A145" s="2"/>
      <c r="B145" s="2">
        <v>1</v>
      </c>
      <c r="C145" s="2"/>
      <c r="D145" s="2"/>
      <c r="H145" s="2">
        <v>72</v>
      </c>
      <c r="I145" s="1" t="s">
        <v>835</v>
      </c>
      <c r="J145" s="1" t="s">
        <v>835</v>
      </c>
      <c r="K145" s="2">
        <v>144</v>
      </c>
      <c r="L145" s="1" t="s">
        <v>836</v>
      </c>
      <c r="M145" s="1" t="s">
        <v>837</v>
      </c>
      <c r="N145" s="6">
        <v>9.4</v>
      </c>
      <c r="O145" s="7">
        <v>2.94</v>
      </c>
      <c r="P145" s="6" t="s">
        <v>45</v>
      </c>
      <c r="R145" s="1" t="s">
        <v>838</v>
      </c>
      <c r="S145" s="8" t="s">
        <v>57</v>
      </c>
      <c r="T145" s="8">
        <v>113260</v>
      </c>
      <c r="U145" s="1" t="s">
        <v>139</v>
      </c>
      <c r="V145" s="1" t="s">
        <v>72</v>
      </c>
      <c r="X145" s="9" t="s">
        <v>59</v>
      </c>
    </row>
    <row r="146" spans="1:24" x14ac:dyDescent="0.2">
      <c r="A146" s="2"/>
      <c r="B146" s="2">
        <v>1</v>
      </c>
      <c r="C146" s="2"/>
      <c r="D146" s="2"/>
      <c r="H146" s="2">
        <v>72</v>
      </c>
      <c r="I146" s="13" t="s">
        <v>839</v>
      </c>
      <c r="J146" s="13" t="s">
        <v>839</v>
      </c>
      <c r="K146" s="2">
        <v>145</v>
      </c>
      <c r="L146" s="1" t="s">
        <v>840</v>
      </c>
      <c r="M146" s="1" t="s">
        <v>841</v>
      </c>
      <c r="N146" s="6" t="s">
        <v>842</v>
      </c>
      <c r="O146" s="15">
        <v>3.81</v>
      </c>
      <c r="P146" s="6" t="s">
        <v>45</v>
      </c>
      <c r="S146" s="8">
        <v>149</v>
      </c>
      <c r="T146" s="8" t="s">
        <v>843</v>
      </c>
      <c r="U146" s="1" t="s">
        <v>823</v>
      </c>
      <c r="V146" s="1" t="s">
        <v>30</v>
      </c>
      <c r="W146" s="9" t="s">
        <v>113</v>
      </c>
    </row>
    <row r="147" spans="1:24" x14ac:dyDescent="0.2">
      <c r="A147" s="2"/>
      <c r="B147" s="2"/>
      <c r="C147" s="2">
        <v>1</v>
      </c>
      <c r="D147" s="2"/>
      <c r="H147" s="2">
        <v>76</v>
      </c>
      <c r="I147" s="5" t="s">
        <v>844</v>
      </c>
      <c r="J147" s="5" t="s">
        <v>844</v>
      </c>
      <c r="K147" s="2">
        <v>146</v>
      </c>
      <c r="L147" s="1" t="s">
        <v>845</v>
      </c>
      <c r="M147" s="1" t="s">
        <v>846</v>
      </c>
      <c r="N147" s="6" t="s">
        <v>847</v>
      </c>
      <c r="O147" s="7" t="s">
        <v>45</v>
      </c>
      <c r="P147" s="6">
        <v>1.6</v>
      </c>
      <c r="Q147" s="6" t="s">
        <v>85</v>
      </c>
      <c r="R147" s="1" t="s">
        <v>848</v>
      </c>
      <c r="S147" s="8">
        <v>69</v>
      </c>
      <c r="T147" s="8">
        <v>115553</v>
      </c>
      <c r="U147" s="1" t="s">
        <v>849</v>
      </c>
      <c r="V147" s="1" t="s">
        <v>30</v>
      </c>
      <c r="X147" s="9" t="s">
        <v>850</v>
      </c>
    </row>
    <row r="148" spans="1:24" x14ac:dyDescent="0.2">
      <c r="A148" s="2"/>
      <c r="B148" s="2">
        <v>1</v>
      </c>
      <c r="C148" s="2"/>
      <c r="D148" s="2"/>
      <c r="H148" s="2">
        <v>72</v>
      </c>
      <c r="I148" s="1" t="s">
        <v>851</v>
      </c>
      <c r="J148" s="1" t="s">
        <v>851</v>
      </c>
      <c r="K148" s="2">
        <v>147</v>
      </c>
      <c r="L148" s="1" t="s">
        <v>852</v>
      </c>
      <c r="M148" s="1" t="s">
        <v>853</v>
      </c>
      <c r="N148" s="6">
        <v>9</v>
      </c>
      <c r="O148" s="7">
        <v>3.33</v>
      </c>
      <c r="P148" s="6" t="s">
        <v>45</v>
      </c>
      <c r="R148" s="1" t="s">
        <v>854</v>
      </c>
      <c r="S148" s="8" t="s">
        <v>57</v>
      </c>
      <c r="T148" s="8">
        <v>115743</v>
      </c>
      <c r="U148" s="1" t="s">
        <v>258</v>
      </c>
      <c r="V148" s="1" t="s">
        <v>72</v>
      </c>
      <c r="X148" s="9" t="s">
        <v>59</v>
      </c>
    </row>
    <row r="149" spans="1:24" x14ac:dyDescent="0.2">
      <c r="A149" s="2"/>
      <c r="B149" s="2">
        <v>1</v>
      </c>
      <c r="C149" s="2">
        <v>1</v>
      </c>
      <c r="D149" s="2"/>
      <c r="H149" s="2">
        <v>72</v>
      </c>
      <c r="I149" s="5" t="s">
        <v>855</v>
      </c>
      <c r="J149" s="5" t="s">
        <v>855</v>
      </c>
      <c r="K149" s="2">
        <v>148</v>
      </c>
      <c r="L149" s="1" t="s">
        <v>856</v>
      </c>
      <c r="M149" s="1" t="s">
        <v>857</v>
      </c>
      <c r="N149" s="6" t="s">
        <v>858</v>
      </c>
      <c r="O149" s="7">
        <v>3.53</v>
      </c>
      <c r="P149" s="6" t="s">
        <v>45</v>
      </c>
      <c r="R149" s="1" t="s">
        <v>859</v>
      </c>
      <c r="S149" s="8">
        <v>328</v>
      </c>
      <c r="T149" s="8">
        <v>116681</v>
      </c>
      <c r="U149" s="1" t="s">
        <v>860</v>
      </c>
      <c r="V149" s="1" t="s">
        <v>30</v>
      </c>
    </row>
    <row r="150" spans="1:24" x14ac:dyDescent="0.2">
      <c r="A150" s="2">
        <v>1</v>
      </c>
      <c r="B150" s="2">
        <v>1</v>
      </c>
      <c r="C150" s="2">
        <v>1</v>
      </c>
      <c r="D150" s="2"/>
      <c r="H150" s="2">
        <v>74</v>
      </c>
      <c r="I150" s="5" t="s">
        <v>861</v>
      </c>
      <c r="J150" s="5" t="s">
        <v>861</v>
      </c>
      <c r="K150" s="2">
        <v>149</v>
      </c>
      <c r="L150" s="1" t="s">
        <v>862</v>
      </c>
      <c r="M150" s="1" t="s">
        <v>863</v>
      </c>
      <c r="N150" s="6" t="s">
        <v>864</v>
      </c>
      <c r="O150" s="7">
        <v>2.78</v>
      </c>
      <c r="P150" s="6">
        <v>2.5</v>
      </c>
      <c r="Q150" s="9" t="s">
        <v>64</v>
      </c>
      <c r="R150" s="1" t="s">
        <v>865</v>
      </c>
      <c r="S150" s="8" t="s">
        <v>38</v>
      </c>
      <c r="T150" s="8">
        <v>117245</v>
      </c>
      <c r="U150" s="1" t="s">
        <v>100</v>
      </c>
      <c r="V150" s="1" t="s">
        <v>639</v>
      </c>
      <c r="W150" s="9" t="s">
        <v>866</v>
      </c>
    </row>
    <row r="151" spans="1:24" x14ac:dyDescent="0.2">
      <c r="A151" s="2"/>
      <c r="B151" s="2"/>
      <c r="C151" s="2">
        <v>1</v>
      </c>
      <c r="D151" s="2"/>
      <c r="H151" s="2">
        <v>74</v>
      </c>
      <c r="I151" s="5" t="s">
        <v>867</v>
      </c>
      <c r="J151" s="5" t="s">
        <v>1425</v>
      </c>
      <c r="K151" s="2">
        <v>150</v>
      </c>
      <c r="L151" s="1" t="s">
        <v>868</v>
      </c>
      <c r="M151" s="1" t="s">
        <v>869</v>
      </c>
      <c r="N151" s="6" t="s">
        <v>870</v>
      </c>
      <c r="O151" s="7" t="s">
        <v>45</v>
      </c>
      <c r="P151" s="6">
        <v>1.4</v>
      </c>
      <c r="Q151" s="6" t="s">
        <v>263</v>
      </c>
      <c r="R151" s="1" t="s">
        <v>871</v>
      </c>
      <c r="S151" s="8" t="s">
        <v>48</v>
      </c>
      <c r="T151" s="8">
        <v>117467</v>
      </c>
      <c r="U151" s="1" t="s">
        <v>872</v>
      </c>
    </row>
    <row r="155" spans="1:24" x14ac:dyDescent="0.2">
      <c r="D155" s="24"/>
    </row>
    <row r="156" spans="1:24" x14ac:dyDescent="0.2">
      <c r="D156" s="24"/>
    </row>
    <row r="157" spans="1:24" x14ac:dyDescent="0.2">
      <c r="D157" s="24"/>
    </row>
  </sheetData>
  <sheetProtection selectLockedCells="1" selectUnlockedCells="1"/>
  <autoFilter ref="T1:T157"/>
  <phoneticPr fontId="5" type="noConversion"/>
  <printOptions gridLines="1"/>
  <pageMargins left="0.19652777777777777" right="0.19652777777777777" top="0.46180555555555558" bottom="0.43402777777777779" header="0.19652777777777777" footer="0.19652777777777777"/>
  <pageSetup fitToHeight="5" orientation="portrait" useFirstPageNumber="1" horizontalDpi="300" verticalDpi="300" r:id="rId1"/>
  <headerFooter alignWithMargins="0">
    <oddHeader>&amp;C&amp;"Arial,Bold"&amp;12Carbon Star Hunter List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"/>
  <sheetViews>
    <sheetView workbookViewId="0">
      <selection activeCell="D13" sqref="D13"/>
    </sheetView>
  </sheetViews>
  <sheetFormatPr defaultColWidth="11.5703125" defaultRowHeight="12.75" x14ac:dyDescent="0.2"/>
  <sheetData>
    <row r="1" spans="1:2" ht="13.5" x14ac:dyDescent="0.2">
      <c r="A1" s="2" t="s">
        <v>521</v>
      </c>
      <c r="B1" s="5" t="s">
        <v>873</v>
      </c>
    </row>
    <row r="2" spans="1:2" ht="13.5" x14ac:dyDescent="0.2">
      <c r="A2" s="2" t="s">
        <v>454</v>
      </c>
      <c r="B2" s="5" t="s">
        <v>874</v>
      </c>
    </row>
    <row r="3" spans="1:2" ht="13.5" x14ac:dyDescent="0.2">
      <c r="A3" s="2" t="s">
        <v>406</v>
      </c>
      <c r="B3" s="25" t="s">
        <v>875</v>
      </c>
    </row>
  </sheetData>
  <sheetProtection selectLockedCells="1" selectUnlockedCells="1"/>
  <phoneticPr fontId="5" type="noConversion"/>
  <hyperlinks>
    <hyperlink ref="B3" r:id="rId1"/>
  </hyperlinks>
  <printOptions gridLines="1"/>
  <pageMargins left="0.19652777777777777" right="0.19652777777777777" top="0.46180555555555558" bottom="0.43402777777777779" header="0.19652777777777777" footer="0.19652777777777777"/>
  <pageSetup fitToHeight="5" orientation="portrait" horizontalDpi="300" verticalDpi="300"/>
  <headerFooter alignWithMargins="0">
    <oddHeader>&amp;C&amp;"Arial,Bold"&amp;12Carbon Star Hunter List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2"/>
  <sheetViews>
    <sheetView workbookViewId="0">
      <selection activeCell="C10" sqref="C10"/>
    </sheetView>
  </sheetViews>
  <sheetFormatPr defaultColWidth="11.5703125" defaultRowHeight="12.75" x14ac:dyDescent="0.2"/>
  <cols>
    <col min="5" max="5" width="26.5703125" customWidth="1"/>
    <col min="6" max="6" width="27.5703125" customWidth="1"/>
  </cols>
  <sheetData>
    <row r="1" spans="1:12" ht="15" x14ac:dyDescent="0.2">
      <c r="A1" s="43" t="s">
        <v>876</v>
      </c>
      <c r="B1" s="43" t="s">
        <v>877</v>
      </c>
      <c r="C1" s="45" t="s">
        <v>878</v>
      </c>
      <c r="D1" s="47" t="s">
        <v>879</v>
      </c>
      <c r="E1" s="26" t="s">
        <v>880</v>
      </c>
      <c r="F1" s="28" t="s">
        <v>880</v>
      </c>
      <c r="G1" s="43" t="s">
        <v>883</v>
      </c>
      <c r="H1" s="43" t="s">
        <v>884</v>
      </c>
      <c r="I1" s="43" t="s">
        <v>885</v>
      </c>
      <c r="J1" s="43" t="s">
        <v>886</v>
      </c>
      <c r="K1" s="43" t="s">
        <v>887</v>
      </c>
      <c r="L1" s="43" t="s">
        <v>888</v>
      </c>
    </row>
    <row r="2" spans="1:12" ht="15.75" thickBot="1" x14ac:dyDescent="0.25">
      <c r="A2" s="44"/>
      <c r="B2" s="44"/>
      <c r="C2" s="46"/>
      <c r="D2" s="48"/>
      <c r="E2" s="27" t="s">
        <v>881</v>
      </c>
      <c r="F2" s="29" t="s">
        <v>882</v>
      </c>
      <c r="G2" s="44"/>
      <c r="H2" s="44"/>
      <c r="I2" s="44"/>
      <c r="J2" s="44"/>
      <c r="K2" s="44"/>
      <c r="L2" s="44"/>
    </row>
    <row r="3" spans="1:12" ht="15.75" thickBot="1" x14ac:dyDescent="0.25">
      <c r="A3" s="30">
        <v>1</v>
      </c>
      <c r="B3" s="31" t="s">
        <v>889</v>
      </c>
      <c r="C3" s="32" t="s">
        <v>23</v>
      </c>
      <c r="D3" s="30" t="s">
        <v>890</v>
      </c>
      <c r="E3" s="33" t="s">
        <v>891</v>
      </c>
      <c r="F3" s="34" t="s">
        <v>892</v>
      </c>
      <c r="G3" s="30">
        <v>8.77</v>
      </c>
      <c r="H3" s="30">
        <v>9.4700000000000006</v>
      </c>
      <c r="I3" s="30">
        <v>9.4</v>
      </c>
      <c r="J3" s="30"/>
      <c r="K3" s="30"/>
      <c r="L3" s="30" t="s">
        <v>893</v>
      </c>
    </row>
    <row r="4" spans="1:12" ht="15.75" thickBot="1" x14ac:dyDescent="0.25">
      <c r="A4" s="30">
        <v>2</v>
      </c>
      <c r="B4" s="31" t="s">
        <v>894</v>
      </c>
      <c r="C4" s="32" t="s">
        <v>33</v>
      </c>
      <c r="D4" s="30" t="s">
        <v>890</v>
      </c>
      <c r="E4" s="33" t="s">
        <v>895</v>
      </c>
      <c r="F4" s="34" t="s">
        <v>896</v>
      </c>
      <c r="G4" s="30">
        <v>15</v>
      </c>
      <c r="H4" s="30">
        <v>10.5</v>
      </c>
      <c r="I4" s="30">
        <v>8</v>
      </c>
      <c r="J4" s="30"/>
      <c r="K4" s="30"/>
      <c r="L4" s="30" t="s">
        <v>897</v>
      </c>
    </row>
    <row r="5" spans="1:12" ht="15.75" thickBot="1" x14ac:dyDescent="0.25">
      <c r="A5" s="30">
        <v>3</v>
      </c>
      <c r="B5" s="31" t="s">
        <v>898</v>
      </c>
      <c r="C5" s="32" t="s">
        <v>899</v>
      </c>
      <c r="D5" s="30" t="s">
        <v>900</v>
      </c>
      <c r="E5" s="33" t="s">
        <v>901</v>
      </c>
      <c r="F5" s="34" t="s">
        <v>902</v>
      </c>
      <c r="G5" s="30">
        <v>9.8000000000000007</v>
      </c>
      <c r="H5" s="30">
        <v>9.2899999999999991</v>
      </c>
      <c r="I5" s="30">
        <v>8.25</v>
      </c>
      <c r="J5" s="30">
        <v>7.49</v>
      </c>
      <c r="K5" s="30">
        <v>7.03</v>
      </c>
      <c r="L5" s="30" t="s">
        <v>903</v>
      </c>
    </row>
    <row r="6" spans="1:12" ht="15.75" thickBot="1" x14ac:dyDescent="0.25">
      <c r="A6" s="30">
        <v>4</v>
      </c>
      <c r="B6" s="31" t="s">
        <v>904</v>
      </c>
      <c r="C6" s="32" t="s">
        <v>53</v>
      </c>
      <c r="D6" s="30" t="s">
        <v>890</v>
      </c>
      <c r="E6" s="33" t="s">
        <v>905</v>
      </c>
      <c r="F6" s="34" t="s">
        <v>906</v>
      </c>
      <c r="G6" s="30"/>
      <c r="H6" s="30">
        <v>11.28</v>
      </c>
      <c r="I6" s="30">
        <v>11.6</v>
      </c>
      <c r="J6" s="30"/>
      <c r="K6" s="30"/>
      <c r="L6" s="30" t="s">
        <v>897</v>
      </c>
    </row>
    <row r="7" spans="1:12" ht="15.75" thickBot="1" x14ac:dyDescent="0.25">
      <c r="A7" s="30">
        <v>5</v>
      </c>
      <c r="B7" s="31" t="s">
        <v>907</v>
      </c>
      <c r="C7" s="32" t="s">
        <v>60</v>
      </c>
      <c r="D7" s="30" t="s">
        <v>890</v>
      </c>
      <c r="E7" s="33" t="s">
        <v>908</v>
      </c>
      <c r="F7" s="34" t="s">
        <v>909</v>
      </c>
      <c r="G7" s="30"/>
      <c r="H7" s="30">
        <v>12.23</v>
      </c>
      <c r="I7" s="30">
        <v>7.8</v>
      </c>
      <c r="J7" s="30"/>
      <c r="K7" s="30"/>
      <c r="L7" s="30" t="s">
        <v>910</v>
      </c>
    </row>
    <row r="8" spans="1:12" ht="15.75" thickBot="1" x14ac:dyDescent="0.25">
      <c r="A8" s="30">
        <v>6</v>
      </c>
      <c r="B8" s="31" t="s">
        <v>911</v>
      </c>
      <c r="C8" s="32" t="s">
        <v>68</v>
      </c>
      <c r="D8" s="30" t="s">
        <v>890</v>
      </c>
      <c r="E8" s="33" t="s">
        <v>912</v>
      </c>
      <c r="F8" s="34" t="s">
        <v>913</v>
      </c>
      <c r="G8" s="30"/>
      <c r="H8" s="30">
        <v>11.1</v>
      </c>
      <c r="I8" s="30">
        <v>9.2899999999999991</v>
      </c>
      <c r="J8" s="30"/>
      <c r="K8" s="30"/>
      <c r="L8" s="30" t="s">
        <v>910</v>
      </c>
    </row>
    <row r="9" spans="1:12" ht="15.75" thickBot="1" x14ac:dyDescent="0.25">
      <c r="A9" s="30">
        <v>7</v>
      </c>
      <c r="B9" s="31" t="s">
        <v>914</v>
      </c>
      <c r="C9" s="32" t="s">
        <v>74</v>
      </c>
      <c r="D9" s="30" t="s">
        <v>890</v>
      </c>
      <c r="E9" s="33" t="s">
        <v>915</v>
      </c>
      <c r="F9" s="34" t="s">
        <v>916</v>
      </c>
      <c r="G9" s="30"/>
      <c r="H9" s="30">
        <v>11.3</v>
      </c>
      <c r="I9" s="30">
        <v>9.9</v>
      </c>
      <c r="J9" s="30"/>
      <c r="K9" s="30"/>
      <c r="L9" s="30" t="s">
        <v>917</v>
      </c>
    </row>
    <row r="10" spans="1:12" ht="15.75" thickBot="1" x14ac:dyDescent="0.25">
      <c r="A10" s="30">
        <v>8</v>
      </c>
      <c r="B10" s="31" t="s">
        <v>918</v>
      </c>
      <c r="C10" s="32" t="s">
        <v>86</v>
      </c>
      <c r="D10" s="30" t="s">
        <v>900</v>
      </c>
      <c r="E10" s="33" t="s">
        <v>919</v>
      </c>
      <c r="F10" s="34" t="s">
        <v>920</v>
      </c>
      <c r="G10" s="30"/>
      <c r="H10" s="30">
        <v>9.8800000000000008</v>
      </c>
      <c r="I10" s="30">
        <v>8.4700000000000006</v>
      </c>
      <c r="J10" s="30"/>
      <c r="K10" s="30"/>
      <c r="L10" s="30" t="s">
        <v>921</v>
      </c>
    </row>
    <row r="11" spans="1:12" ht="15.75" thickBot="1" x14ac:dyDescent="0.25">
      <c r="A11" s="30">
        <v>9</v>
      </c>
      <c r="B11" s="31" t="s">
        <v>922</v>
      </c>
      <c r="C11" s="32" t="s">
        <v>89</v>
      </c>
      <c r="D11" s="30" t="s">
        <v>890</v>
      </c>
      <c r="E11" s="33" t="s">
        <v>923</v>
      </c>
      <c r="F11" s="34" t="s">
        <v>924</v>
      </c>
      <c r="G11" s="30"/>
      <c r="H11" s="30">
        <v>12.88</v>
      </c>
      <c r="I11" s="30">
        <v>7.8</v>
      </c>
      <c r="J11" s="30"/>
      <c r="K11" s="30"/>
      <c r="L11" s="30" t="s">
        <v>830</v>
      </c>
    </row>
    <row r="12" spans="1:12" ht="15.75" thickBot="1" x14ac:dyDescent="0.25">
      <c r="A12" s="30">
        <v>10</v>
      </c>
      <c r="B12" s="31" t="s">
        <v>925</v>
      </c>
      <c r="C12" s="32" t="s">
        <v>95</v>
      </c>
      <c r="D12" s="30" t="s">
        <v>890</v>
      </c>
      <c r="E12" s="33" t="s">
        <v>926</v>
      </c>
      <c r="F12" s="34" t="s">
        <v>927</v>
      </c>
      <c r="G12" s="30">
        <v>12.85</v>
      </c>
      <c r="H12" s="30">
        <v>9.4600000000000009</v>
      </c>
      <c r="I12" s="30">
        <v>6.84</v>
      </c>
      <c r="J12" s="30"/>
      <c r="K12" s="30"/>
      <c r="L12" s="30" t="s">
        <v>897</v>
      </c>
    </row>
    <row r="13" spans="1:12" ht="15.75" thickBot="1" x14ac:dyDescent="0.25">
      <c r="A13" s="30">
        <v>11</v>
      </c>
      <c r="B13" s="31" t="s">
        <v>928</v>
      </c>
      <c r="C13" s="32" t="s">
        <v>101</v>
      </c>
      <c r="D13" s="30" t="s">
        <v>890</v>
      </c>
      <c r="E13" s="33" t="s">
        <v>929</v>
      </c>
      <c r="F13" s="34" t="s">
        <v>930</v>
      </c>
      <c r="G13" s="30">
        <v>17.260000000000002</v>
      </c>
      <c r="H13" s="30">
        <v>9.59</v>
      </c>
      <c r="I13" s="30">
        <v>5.72</v>
      </c>
      <c r="J13" s="30">
        <v>3.69</v>
      </c>
      <c r="K13" s="30">
        <v>2.2999999999999998</v>
      </c>
      <c r="L13" s="30" t="s">
        <v>917</v>
      </c>
    </row>
    <row r="14" spans="1:12" ht="15.75" thickBot="1" x14ac:dyDescent="0.25">
      <c r="A14" s="30">
        <v>12</v>
      </c>
      <c r="B14" s="31" t="s">
        <v>931</v>
      </c>
      <c r="C14" s="32" t="s">
        <v>107</v>
      </c>
      <c r="D14" s="30" t="s">
        <v>890</v>
      </c>
      <c r="E14" s="33" t="s">
        <v>932</v>
      </c>
      <c r="F14" s="34" t="s">
        <v>933</v>
      </c>
      <c r="G14" s="30"/>
      <c r="H14" s="30">
        <v>13.14</v>
      </c>
      <c r="I14" s="30">
        <v>9.1</v>
      </c>
      <c r="J14" s="30"/>
      <c r="K14" s="30"/>
      <c r="L14" s="30" t="s">
        <v>112</v>
      </c>
    </row>
    <row r="15" spans="1:12" ht="15.75" thickBot="1" x14ac:dyDescent="0.25">
      <c r="A15" s="30">
        <v>13</v>
      </c>
      <c r="B15" s="31" t="s">
        <v>934</v>
      </c>
      <c r="C15" s="32" t="s">
        <v>114</v>
      </c>
      <c r="D15" s="30" t="s">
        <v>900</v>
      </c>
      <c r="E15" s="33" t="s">
        <v>935</v>
      </c>
      <c r="F15" s="34" t="s">
        <v>936</v>
      </c>
      <c r="G15" s="30"/>
      <c r="H15" s="30">
        <v>10.8</v>
      </c>
      <c r="I15" s="30">
        <v>9.8000000000000007</v>
      </c>
      <c r="J15" s="30"/>
      <c r="K15" s="30"/>
      <c r="L15" s="30" t="s">
        <v>937</v>
      </c>
    </row>
    <row r="16" spans="1:12" ht="15.75" thickBot="1" x14ac:dyDescent="0.25">
      <c r="A16" s="30">
        <v>14</v>
      </c>
      <c r="B16" s="31" t="s">
        <v>938</v>
      </c>
      <c r="C16" s="32" t="s">
        <v>120</v>
      </c>
      <c r="D16" s="30" t="s">
        <v>890</v>
      </c>
      <c r="E16" s="33" t="s">
        <v>939</v>
      </c>
      <c r="F16" s="34" t="s">
        <v>940</v>
      </c>
      <c r="G16" s="30"/>
      <c r="H16" s="30">
        <v>12.94</v>
      </c>
      <c r="I16" s="30">
        <v>7.5</v>
      </c>
      <c r="J16" s="30"/>
      <c r="K16" s="30"/>
      <c r="L16" s="30" t="s">
        <v>126</v>
      </c>
    </row>
    <row r="17" spans="1:12" ht="15.75" thickBot="1" x14ac:dyDescent="0.25">
      <c r="A17" s="30">
        <v>15</v>
      </c>
      <c r="B17" s="31" t="s">
        <v>941</v>
      </c>
      <c r="C17" s="32" t="s">
        <v>942</v>
      </c>
      <c r="D17" s="30" t="s">
        <v>900</v>
      </c>
      <c r="E17" s="33" t="s">
        <v>943</v>
      </c>
      <c r="F17" s="34" t="s">
        <v>944</v>
      </c>
      <c r="G17" s="30"/>
      <c r="H17" s="30">
        <v>9.36</v>
      </c>
      <c r="I17" s="30">
        <v>8.15</v>
      </c>
      <c r="J17" s="30"/>
      <c r="K17" s="30"/>
      <c r="L17" s="30" t="s">
        <v>945</v>
      </c>
    </row>
    <row r="18" spans="1:12" ht="15.75" thickBot="1" x14ac:dyDescent="0.25">
      <c r="A18" s="30">
        <v>16</v>
      </c>
      <c r="B18" s="31" t="s">
        <v>946</v>
      </c>
      <c r="C18" s="32" t="s">
        <v>134</v>
      </c>
      <c r="D18" s="30" t="s">
        <v>947</v>
      </c>
      <c r="E18" s="33" t="s">
        <v>948</v>
      </c>
      <c r="F18" s="34" t="s">
        <v>949</v>
      </c>
      <c r="G18" s="30"/>
      <c r="H18" s="30">
        <v>12.88</v>
      </c>
      <c r="I18" s="30">
        <v>11.09</v>
      </c>
      <c r="J18" s="30">
        <v>9.93</v>
      </c>
      <c r="K18" s="30">
        <v>8.64</v>
      </c>
      <c r="L18" s="30" t="s">
        <v>950</v>
      </c>
    </row>
    <row r="19" spans="1:12" ht="15.75" thickBot="1" x14ac:dyDescent="0.25">
      <c r="A19" s="30">
        <v>17</v>
      </c>
      <c r="B19" s="31" t="s">
        <v>951</v>
      </c>
      <c r="C19" s="32" t="s">
        <v>140</v>
      </c>
      <c r="D19" s="30" t="s">
        <v>890</v>
      </c>
      <c r="E19" s="33" t="s">
        <v>952</v>
      </c>
      <c r="F19" s="34" t="s">
        <v>953</v>
      </c>
      <c r="G19" s="30"/>
      <c r="H19" s="30">
        <v>12.7</v>
      </c>
      <c r="I19" s="30">
        <v>10</v>
      </c>
      <c r="J19" s="30">
        <v>11.2</v>
      </c>
      <c r="K19" s="30"/>
      <c r="L19" s="30" t="s">
        <v>80</v>
      </c>
    </row>
    <row r="20" spans="1:12" ht="15.75" thickBot="1" x14ac:dyDescent="0.25">
      <c r="A20" s="30">
        <v>18</v>
      </c>
      <c r="B20" s="31" t="s">
        <v>954</v>
      </c>
      <c r="C20" s="32" t="s">
        <v>147</v>
      </c>
      <c r="D20" s="30" t="s">
        <v>890</v>
      </c>
      <c r="E20" s="33" t="s">
        <v>955</v>
      </c>
      <c r="F20" s="34" t="s">
        <v>956</v>
      </c>
      <c r="G20" s="30"/>
      <c r="H20" s="30">
        <v>10.039999999999999</v>
      </c>
      <c r="I20" s="30">
        <v>8.59</v>
      </c>
      <c r="J20" s="30">
        <v>7.86</v>
      </c>
      <c r="K20" s="30"/>
      <c r="L20" s="30" t="s">
        <v>957</v>
      </c>
    </row>
    <row r="21" spans="1:12" ht="15.75" thickBot="1" x14ac:dyDescent="0.25">
      <c r="A21" s="30">
        <v>19</v>
      </c>
      <c r="B21" s="31" t="s">
        <v>958</v>
      </c>
      <c r="C21" s="32" t="s">
        <v>153</v>
      </c>
      <c r="D21" s="30" t="s">
        <v>890</v>
      </c>
      <c r="E21" s="33" t="s">
        <v>959</v>
      </c>
      <c r="F21" s="34" t="s">
        <v>960</v>
      </c>
      <c r="G21" s="30"/>
      <c r="H21" s="30">
        <v>11.89</v>
      </c>
      <c r="I21" s="30">
        <v>9.19</v>
      </c>
      <c r="J21" s="30">
        <v>8.7799999999999994</v>
      </c>
      <c r="K21" s="30"/>
      <c r="L21" s="30" t="s">
        <v>961</v>
      </c>
    </row>
    <row r="22" spans="1:12" ht="15.75" thickBot="1" x14ac:dyDescent="0.25">
      <c r="A22" s="30">
        <v>20</v>
      </c>
      <c r="B22" s="31" t="s">
        <v>962</v>
      </c>
      <c r="C22" s="32" t="s">
        <v>158</v>
      </c>
      <c r="D22" s="30" t="s">
        <v>890</v>
      </c>
      <c r="E22" s="33" t="s">
        <v>963</v>
      </c>
      <c r="F22" s="34" t="s">
        <v>964</v>
      </c>
      <c r="G22" s="30"/>
      <c r="H22" s="30">
        <v>12.14</v>
      </c>
      <c r="I22" s="30">
        <v>8.14</v>
      </c>
      <c r="J22" s="30"/>
      <c r="K22" s="30"/>
      <c r="L22" s="30" t="s">
        <v>965</v>
      </c>
    </row>
    <row r="23" spans="1:12" ht="15.75" thickBot="1" x14ac:dyDescent="0.25">
      <c r="A23" s="30">
        <v>21</v>
      </c>
      <c r="B23" s="31" t="s">
        <v>966</v>
      </c>
      <c r="C23" s="32" t="s">
        <v>163</v>
      </c>
      <c r="D23" s="30" t="s">
        <v>890</v>
      </c>
      <c r="E23" s="33" t="s">
        <v>967</v>
      </c>
      <c r="F23" s="34" t="s">
        <v>968</v>
      </c>
      <c r="G23" s="30"/>
      <c r="H23" s="30">
        <v>11.5</v>
      </c>
      <c r="I23" s="30">
        <v>11</v>
      </c>
      <c r="J23" s="30"/>
      <c r="K23" s="30"/>
      <c r="L23" s="30" t="s">
        <v>897</v>
      </c>
    </row>
    <row r="24" spans="1:12" ht="15.75" thickBot="1" x14ac:dyDescent="0.25">
      <c r="A24" s="30">
        <v>22</v>
      </c>
      <c r="B24" s="31" t="s">
        <v>969</v>
      </c>
      <c r="C24" s="32" t="s">
        <v>170</v>
      </c>
      <c r="D24" s="30" t="s">
        <v>890</v>
      </c>
      <c r="E24" s="33" t="s">
        <v>970</v>
      </c>
      <c r="F24" s="34" t="s">
        <v>971</v>
      </c>
      <c r="G24" s="30"/>
      <c r="H24" s="30">
        <v>12.46</v>
      </c>
      <c r="I24" s="30">
        <v>11.8</v>
      </c>
      <c r="J24" s="30"/>
      <c r="K24" s="30"/>
      <c r="L24" s="30" t="s">
        <v>897</v>
      </c>
    </row>
    <row r="25" spans="1:12" ht="15.75" thickBot="1" x14ac:dyDescent="0.25">
      <c r="A25" s="30">
        <v>23</v>
      </c>
      <c r="B25" s="31" t="s">
        <v>972</v>
      </c>
      <c r="C25" s="32" t="s">
        <v>175</v>
      </c>
      <c r="D25" s="30" t="s">
        <v>890</v>
      </c>
      <c r="E25" s="33" t="s">
        <v>973</v>
      </c>
      <c r="F25" s="34" t="s">
        <v>974</v>
      </c>
      <c r="G25" s="30"/>
      <c r="H25" s="30">
        <v>9.86</v>
      </c>
      <c r="I25" s="30">
        <v>7.6</v>
      </c>
      <c r="J25" s="30"/>
      <c r="K25" s="30"/>
      <c r="L25" s="30" t="s">
        <v>957</v>
      </c>
    </row>
    <row r="26" spans="1:12" ht="15.75" thickBot="1" x14ac:dyDescent="0.25">
      <c r="A26" s="30">
        <v>24</v>
      </c>
      <c r="B26" s="31" t="s">
        <v>975</v>
      </c>
      <c r="C26" s="32" t="s">
        <v>181</v>
      </c>
      <c r="D26" s="30" t="s">
        <v>947</v>
      </c>
      <c r="E26" s="33" t="s">
        <v>976</v>
      </c>
      <c r="F26" s="34" t="s">
        <v>977</v>
      </c>
      <c r="G26" s="30">
        <v>8.35</v>
      </c>
      <c r="H26" s="30">
        <v>8.1</v>
      </c>
      <c r="I26" s="30">
        <v>7.27</v>
      </c>
      <c r="J26" s="30"/>
      <c r="K26" s="30"/>
      <c r="L26" s="30" t="s">
        <v>978</v>
      </c>
    </row>
    <row r="27" spans="1:12" ht="15.75" thickBot="1" x14ac:dyDescent="0.25">
      <c r="A27" s="30">
        <v>25</v>
      </c>
      <c r="B27" s="31" t="s">
        <v>979</v>
      </c>
      <c r="C27" s="32" t="s">
        <v>189</v>
      </c>
      <c r="D27" s="30" t="s">
        <v>890</v>
      </c>
      <c r="E27" s="33" t="s">
        <v>980</v>
      </c>
      <c r="F27" s="34" t="s">
        <v>981</v>
      </c>
      <c r="G27" s="30">
        <v>13.27</v>
      </c>
      <c r="H27" s="30">
        <v>10.050000000000001</v>
      </c>
      <c r="I27" s="30">
        <v>7.73</v>
      </c>
      <c r="J27" s="30"/>
      <c r="K27" s="30"/>
      <c r="L27" s="30" t="s">
        <v>982</v>
      </c>
    </row>
    <row r="28" spans="1:12" ht="15.75" thickBot="1" x14ac:dyDescent="0.25">
      <c r="A28" s="30">
        <v>26</v>
      </c>
      <c r="B28" s="31" t="s">
        <v>983</v>
      </c>
      <c r="C28" s="32" t="s">
        <v>193</v>
      </c>
      <c r="D28" s="30" t="s">
        <v>890</v>
      </c>
      <c r="E28" s="33" t="s">
        <v>984</v>
      </c>
      <c r="F28" s="34" t="s">
        <v>985</v>
      </c>
      <c r="G28" s="30"/>
      <c r="H28" s="30">
        <v>9.77</v>
      </c>
      <c r="I28" s="30">
        <v>9.1999999999999993</v>
      </c>
      <c r="J28" s="30"/>
      <c r="K28" s="30"/>
      <c r="L28" s="30" t="s">
        <v>897</v>
      </c>
    </row>
    <row r="29" spans="1:12" ht="15.75" thickBot="1" x14ac:dyDescent="0.25">
      <c r="A29" s="30">
        <v>27</v>
      </c>
      <c r="B29" s="31" t="s">
        <v>986</v>
      </c>
      <c r="C29" s="32" t="s">
        <v>198</v>
      </c>
      <c r="D29" s="30" t="s">
        <v>890</v>
      </c>
      <c r="E29" s="33" t="s">
        <v>987</v>
      </c>
      <c r="F29" s="34" t="s">
        <v>988</v>
      </c>
      <c r="G29" s="30"/>
      <c r="H29" s="30">
        <v>11</v>
      </c>
      <c r="I29" s="30">
        <v>10.199999999999999</v>
      </c>
      <c r="J29" s="30"/>
      <c r="K29" s="30"/>
      <c r="L29" s="30" t="s">
        <v>917</v>
      </c>
    </row>
    <row r="30" spans="1:12" ht="15.75" thickBot="1" x14ac:dyDescent="0.25">
      <c r="A30" s="30">
        <v>28</v>
      </c>
      <c r="B30" s="31" t="s">
        <v>989</v>
      </c>
      <c r="C30" s="32" t="s">
        <v>204</v>
      </c>
      <c r="D30" s="30" t="s">
        <v>890</v>
      </c>
      <c r="E30" s="33" t="s">
        <v>990</v>
      </c>
      <c r="F30" s="34" t="s">
        <v>991</v>
      </c>
      <c r="G30" s="30"/>
      <c r="H30" s="30">
        <v>11.49</v>
      </c>
      <c r="I30" s="30">
        <v>8.64</v>
      </c>
      <c r="J30" s="30"/>
      <c r="K30" s="30"/>
      <c r="L30" s="30" t="s">
        <v>208</v>
      </c>
    </row>
    <row r="31" spans="1:12" ht="15.75" thickBot="1" x14ac:dyDescent="0.25">
      <c r="A31" s="30">
        <v>29</v>
      </c>
      <c r="B31" s="31" t="s">
        <v>992</v>
      </c>
      <c r="C31" s="32" t="s">
        <v>209</v>
      </c>
      <c r="D31" s="30" t="s">
        <v>890</v>
      </c>
      <c r="E31" s="33" t="s">
        <v>993</v>
      </c>
      <c r="F31" s="34" t="s">
        <v>994</v>
      </c>
      <c r="G31" s="30">
        <v>15.06</v>
      </c>
      <c r="H31" s="30">
        <v>13.51</v>
      </c>
      <c r="I31" s="30">
        <v>7.76</v>
      </c>
      <c r="J31" s="30">
        <v>4.9000000000000004</v>
      </c>
      <c r="K31" s="30">
        <v>3.42</v>
      </c>
      <c r="L31" s="30" t="s">
        <v>214</v>
      </c>
    </row>
    <row r="32" spans="1:12" ht="15.75" thickBot="1" x14ac:dyDescent="0.25">
      <c r="A32" s="30">
        <v>30</v>
      </c>
      <c r="B32" s="31" t="s">
        <v>995</v>
      </c>
      <c r="C32" s="32" t="s">
        <v>216</v>
      </c>
      <c r="D32" s="30" t="s">
        <v>890</v>
      </c>
      <c r="E32" s="33" t="s">
        <v>996</v>
      </c>
      <c r="F32" s="34" t="s">
        <v>997</v>
      </c>
      <c r="G32" s="30"/>
      <c r="H32" s="30">
        <v>12.13</v>
      </c>
      <c r="I32" s="30">
        <v>8.57</v>
      </c>
      <c r="J32" s="30"/>
      <c r="K32" s="30"/>
      <c r="L32" s="30" t="s">
        <v>998</v>
      </c>
    </row>
    <row r="33" spans="1:12" ht="15.75" thickBot="1" x14ac:dyDescent="0.25">
      <c r="A33" s="30">
        <v>31</v>
      </c>
      <c r="B33" s="31" t="s">
        <v>999</v>
      </c>
      <c r="C33" s="32" t="s">
        <v>221</v>
      </c>
      <c r="D33" s="30" t="s">
        <v>890</v>
      </c>
      <c r="E33" s="33" t="s">
        <v>1000</v>
      </c>
      <c r="F33" s="34" t="s">
        <v>1001</v>
      </c>
      <c r="G33" s="30">
        <v>16.36</v>
      </c>
      <c r="H33" s="30">
        <v>9.52</v>
      </c>
      <c r="I33" s="30">
        <v>6.1</v>
      </c>
      <c r="J33" s="30">
        <v>3.83</v>
      </c>
      <c r="K33" s="30">
        <v>2.35</v>
      </c>
      <c r="L33" s="30" t="s">
        <v>897</v>
      </c>
    </row>
    <row r="34" spans="1:12" ht="15.75" thickBot="1" x14ac:dyDescent="0.25">
      <c r="A34" s="30">
        <v>32</v>
      </c>
      <c r="B34" s="31" t="s">
        <v>1002</v>
      </c>
      <c r="C34" s="32" t="s">
        <v>226</v>
      </c>
      <c r="D34" s="30" t="s">
        <v>890</v>
      </c>
      <c r="E34" s="33" t="s">
        <v>1003</v>
      </c>
      <c r="F34" s="34" t="s">
        <v>1004</v>
      </c>
      <c r="G34" s="30"/>
      <c r="H34" s="30">
        <v>12.28</v>
      </c>
      <c r="I34" s="30">
        <v>9.09</v>
      </c>
      <c r="J34" s="30"/>
      <c r="K34" s="30"/>
      <c r="L34" s="30" t="s">
        <v>1005</v>
      </c>
    </row>
    <row r="35" spans="1:12" ht="15.75" thickBot="1" x14ac:dyDescent="0.25">
      <c r="A35" s="30">
        <v>33</v>
      </c>
      <c r="B35" s="31" t="s">
        <v>1006</v>
      </c>
      <c r="C35" s="32" t="s">
        <v>231</v>
      </c>
      <c r="D35" s="30" t="s">
        <v>890</v>
      </c>
      <c r="E35" s="33" t="s">
        <v>1007</v>
      </c>
      <c r="F35" s="34" t="s">
        <v>1008</v>
      </c>
      <c r="G35" s="30">
        <v>13.4</v>
      </c>
      <c r="H35" s="30">
        <v>10.98</v>
      </c>
      <c r="I35" s="30">
        <v>8.39</v>
      </c>
      <c r="J35" s="30"/>
      <c r="K35" s="30"/>
      <c r="L35" s="30" t="s">
        <v>897</v>
      </c>
    </row>
    <row r="36" spans="1:12" ht="15.75" thickBot="1" x14ac:dyDescent="0.25">
      <c r="A36" s="30">
        <v>34</v>
      </c>
      <c r="B36" s="31" t="s">
        <v>1009</v>
      </c>
      <c r="C36" s="32" t="s">
        <v>236</v>
      </c>
      <c r="D36" s="30" t="s">
        <v>890</v>
      </c>
      <c r="E36" s="33" t="s">
        <v>1010</v>
      </c>
      <c r="F36" s="34" t="s">
        <v>1011</v>
      </c>
      <c r="G36" s="30"/>
      <c r="H36" s="30">
        <v>12.46</v>
      </c>
      <c r="I36" s="30">
        <v>10.41</v>
      </c>
      <c r="J36" s="30">
        <v>9.15</v>
      </c>
      <c r="K36" s="30"/>
      <c r="L36" s="30" t="s">
        <v>1012</v>
      </c>
    </row>
    <row r="37" spans="1:12" ht="15.75" thickBot="1" x14ac:dyDescent="0.25">
      <c r="A37" s="30">
        <v>35</v>
      </c>
      <c r="B37" s="31" t="s">
        <v>1013</v>
      </c>
      <c r="C37" s="32" t="s">
        <v>242</v>
      </c>
      <c r="D37" s="30" t="s">
        <v>890</v>
      </c>
      <c r="E37" s="33" t="s">
        <v>1014</v>
      </c>
      <c r="F37" s="34" t="s">
        <v>1015</v>
      </c>
      <c r="G37" s="30"/>
      <c r="H37" s="30">
        <v>13.48</v>
      </c>
      <c r="I37" s="30">
        <v>8.1999999999999993</v>
      </c>
      <c r="J37" s="30"/>
      <c r="K37" s="30"/>
      <c r="L37" s="30" t="s">
        <v>917</v>
      </c>
    </row>
    <row r="38" spans="1:12" ht="15.75" thickBot="1" x14ac:dyDescent="0.25">
      <c r="A38" s="30">
        <v>36</v>
      </c>
      <c r="B38" s="31" t="s">
        <v>1016</v>
      </c>
      <c r="C38" s="32" t="s">
        <v>248</v>
      </c>
      <c r="D38" s="30" t="s">
        <v>890</v>
      </c>
      <c r="E38" s="33" t="s">
        <v>1017</v>
      </c>
      <c r="F38" s="34" t="s">
        <v>1018</v>
      </c>
      <c r="G38" s="30"/>
      <c r="H38" s="30">
        <v>10.8</v>
      </c>
      <c r="I38" s="30">
        <v>9.6999999999999993</v>
      </c>
      <c r="J38" s="30"/>
      <c r="K38" s="30"/>
      <c r="L38" s="30" t="s">
        <v>897</v>
      </c>
    </row>
    <row r="39" spans="1:12" ht="15.75" thickBot="1" x14ac:dyDescent="0.25">
      <c r="A39" s="30">
        <v>37</v>
      </c>
      <c r="B39" s="31" t="s">
        <v>1019</v>
      </c>
      <c r="C39" s="32" t="s">
        <v>253</v>
      </c>
      <c r="D39" s="30" t="s">
        <v>890</v>
      </c>
      <c r="E39" s="33" t="s">
        <v>1020</v>
      </c>
      <c r="F39" s="34" t="s">
        <v>1021</v>
      </c>
      <c r="G39" s="30">
        <v>13.11</v>
      </c>
      <c r="H39" s="30">
        <v>9.89</v>
      </c>
      <c r="I39" s="30">
        <v>7.59</v>
      </c>
      <c r="J39" s="30"/>
      <c r="K39" s="30"/>
      <c r="L39" s="30" t="s">
        <v>1022</v>
      </c>
    </row>
    <row r="40" spans="1:12" ht="15.75" thickBot="1" x14ac:dyDescent="0.25">
      <c r="A40" s="30">
        <v>38</v>
      </c>
      <c r="B40" s="31" t="s">
        <v>1023</v>
      </c>
      <c r="C40" s="32" t="s">
        <v>259</v>
      </c>
      <c r="D40" s="30" t="s">
        <v>890</v>
      </c>
      <c r="E40" s="33" t="s">
        <v>1024</v>
      </c>
      <c r="F40" s="34" t="s">
        <v>1025</v>
      </c>
      <c r="G40" s="30"/>
      <c r="H40" s="30">
        <v>10.67</v>
      </c>
      <c r="I40" s="30">
        <v>8.18</v>
      </c>
      <c r="J40" s="30"/>
      <c r="K40" s="30"/>
      <c r="L40" s="30" t="s">
        <v>1026</v>
      </c>
    </row>
    <row r="41" spans="1:12" ht="15.75" thickBot="1" x14ac:dyDescent="0.25">
      <c r="A41" s="30">
        <v>39</v>
      </c>
      <c r="B41" s="31" t="s">
        <v>1027</v>
      </c>
      <c r="C41" s="32" t="s">
        <v>266</v>
      </c>
      <c r="D41" s="30" t="s">
        <v>890</v>
      </c>
      <c r="E41" s="33" t="s">
        <v>1028</v>
      </c>
      <c r="F41" s="34" t="s">
        <v>1029</v>
      </c>
      <c r="G41" s="30">
        <v>12.69</v>
      </c>
      <c r="H41" s="30">
        <v>11.33</v>
      </c>
      <c r="I41" s="30">
        <v>8.4600000000000009</v>
      </c>
      <c r="J41" s="30"/>
      <c r="K41" s="30"/>
      <c r="L41" s="30" t="s">
        <v>1030</v>
      </c>
    </row>
    <row r="42" spans="1:12" ht="15.75" thickBot="1" x14ac:dyDescent="0.25">
      <c r="A42" s="30">
        <v>40</v>
      </c>
      <c r="B42" s="31" t="s">
        <v>1031</v>
      </c>
      <c r="C42" s="32" t="s">
        <v>271</v>
      </c>
      <c r="D42" s="30" t="s">
        <v>890</v>
      </c>
      <c r="E42" s="33" t="s">
        <v>1032</v>
      </c>
      <c r="F42" s="34" t="s">
        <v>1033</v>
      </c>
      <c r="G42" s="30">
        <v>15.71</v>
      </c>
      <c r="H42" s="30">
        <v>9.9</v>
      </c>
      <c r="I42" s="30">
        <v>6.9</v>
      </c>
      <c r="J42" s="30">
        <v>4.6900000000000004</v>
      </c>
      <c r="K42" s="30">
        <v>3.19</v>
      </c>
      <c r="L42" s="30" t="s">
        <v>998</v>
      </c>
    </row>
    <row r="43" spans="1:12" ht="15.75" thickBot="1" x14ac:dyDescent="0.25">
      <c r="A43" s="30">
        <v>41</v>
      </c>
      <c r="B43" s="31" t="s">
        <v>1034</v>
      </c>
      <c r="C43" s="32" t="s">
        <v>277</v>
      </c>
      <c r="D43" s="30" t="s">
        <v>890</v>
      </c>
      <c r="E43" s="33" t="s">
        <v>1035</v>
      </c>
      <c r="F43" s="34" t="s">
        <v>1036</v>
      </c>
      <c r="G43" s="30">
        <v>15.29</v>
      </c>
      <c r="H43" s="30">
        <v>10.98</v>
      </c>
      <c r="I43" s="30">
        <v>8.31</v>
      </c>
      <c r="J43" s="30"/>
      <c r="K43" s="30"/>
      <c r="L43" s="30" t="s">
        <v>1037</v>
      </c>
    </row>
    <row r="44" spans="1:12" ht="15.75" thickBot="1" x14ac:dyDescent="0.25">
      <c r="A44" s="30">
        <v>42</v>
      </c>
      <c r="B44" s="31" t="s">
        <v>1038</v>
      </c>
      <c r="C44" s="32" t="s">
        <v>283</v>
      </c>
      <c r="D44" s="30" t="s">
        <v>947</v>
      </c>
      <c r="E44" s="33" t="s">
        <v>1039</v>
      </c>
      <c r="F44" s="34" t="s">
        <v>1040</v>
      </c>
      <c r="G44" s="30"/>
      <c r="H44" s="30">
        <v>10.72</v>
      </c>
      <c r="I44" s="30">
        <v>9.1</v>
      </c>
      <c r="J44" s="30"/>
      <c r="K44" s="30"/>
      <c r="L44" s="30" t="s">
        <v>1041</v>
      </c>
    </row>
    <row r="45" spans="1:12" ht="15.75" thickBot="1" x14ac:dyDescent="0.25">
      <c r="A45" s="30">
        <v>43</v>
      </c>
      <c r="B45" s="31" t="s">
        <v>1042</v>
      </c>
      <c r="C45" s="32" t="s">
        <v>288</v>
      </c>
      <c r="D45" s="30" t="s">
        <v>890</v>
      </c>
      <c r="E45" s="33" t="s">
        <v>1043</v>
      </c>
      <c r="F45" s="34" t="s">
        <v>1044</v>
      </c>
      <c r="G45" s="30"/>
      <c r="H45" s="30"/>
      <c r="I45" s="30">
        <v>9.4</v>
      </c>
      <c r="J45" s="30"/>
      <c r="K45" s="30"/>
      <c r="L45" s="30" t="s">
        <v>917</v>
      </c>
    </row>
    <row r="46" spans="1:12" ht="15.75" thickBot="1" x14ac:dyDescent="0.25">
      <c r="A46" s="30">
        <v>44</v>
      </c>
      <c r="B46" s="31" t="s">
        <v>1045</v>
      </c>
      <c r="C46" s="32" t="s">
        <v>293</v>
      </c>
      <c r="D46" s="30" t="s">
        <v>890</v>
      </c>
      <c r="E46" s="33" t="s">
        <v>1046</v>
      </c>
      <c r="F46" s="34" t="s">
        <v>1047</v>
      </c>
      <c r="G46" s="30"/>
      <c r="H46" s="30"/>
      <c r="I46" s="30">
        <v>9.5</v>
      </c>
      <c r="J46" s="30"/>
      <c r="K46" s="30"/>
      <c r="L46" s="30" t="s">
        <v>998</v>
      </c>
    </row>
    <row r="47" spans="1:12" ht="15.75" thickBot="1" x14ac:dyDescent="0.25">
      <c r="A47" s="30">
        <v>45</v>
      </c>
      <c r="B47" s="31" t="s">
        <v>1048</v>
      </c>
      <c r="C47" s="32" t="s">
        <v>297</v>
      </c>
      <c r="D47" s="30" t="s">
        <v>1049</v>
      </c>
      <c r="E47" s="33" t="s">
        <v>1050</v>
      </c>
      <c r="F47" s="34" t="s">
        <v>1051</v>
      </c>
      <c r="G47" s="30">
        <v>16.86</v>
      </c>
      <c r="H47" s="30">
        <v>12.36</v>
      </c>
      <c r="I47" s="30">
        <v>9.06</v>
      </c>
      <c r="J47" s="30"/>
      <c r="K47" s="30"/>
      <c r="L47" s="30" t="s">
        <v>1052</v>
      </c>
    </row>
    <row r="48" spans="1:12" ht="15.75" thickBot="1" x14ac:dyDescent="0.25">
      <c r="A48" s="30">
        <v>46</v>
      </c>
      <c r="B48" s="31" t="s">
        <v>1053</v>
      </c>
      <c r="C48" s="32" t="s">
        <v>303</v>
      </c>
      <c r="D48" s="30" t="s">
        <v>890</v>
      </c>
      <c r="E48" s="33" t="s">
        <v>1054</v>
      </c>
      <c r="F48" s="34" t="s">
        <v>1055</v>
      </c>
      <c r="G48" s="30"/>
      <c r="H48" s="30">
        <v>13.4</v>
      </c>
      <c r="I48" s="30">
        <v>8.5</v>
      </c>
      <c r="J48" s="30"/>
      <c r="K48" s="30"/>
      <c r="L48" s="30" t="s">
        <v>308</v>
      </c>
    </row>
    <row r="49" spans="1:12" ht="15.75" thickBot="1" x14ac:dyDescent="0.25">
      <c r="A49" s="30">
        <v>47</v>
      </c>
      <c r="B49" s="31" t="s">
        <v>1056</v>
      </c>
      <c r="C49" s="32" t="s">
        <v>309</v>
      </c>
      <c r="D49" s="30" t="s">
        <v>890</v>
      </c>
      <c r="E49" s="33" t="s">
        <v>1057</v>
      </c>
      <c r="F49" s="34" t="s">
        <v>1058</v>
      </c>
      <c r="G49" s="30">
        <v>11.64</v>
      </c>
      <c r="H49" s="30">
        <v>8.31</v>
      </c>
      <c r="I49" s="30">
        <v>6</v>
      </c>
      <c r="J49" s="30">
        <v>4.28</v>
      </c>
      <c r="K49" s="30">
        <v>2.98</v>
      </c>
      <c r="L49" s="30" t="s">
        <v>998</v>
      </c>
    </row>
    <row r="50" spans="1:12" ht="15.75" thickBot="1" x14ac:dyDescent="0.25">
      <c r="A50" s="30">
        <v>48</v>
      </c>
      <c r="B50" s="31" t="s">
        <v>1059</v>
      </c>
      <c r="C50" s="32" t="s">
        <v>314</v>
      </c>
      <c r="D50" s="30" t="s">
        <v>890</v>
      </c>
      <c r="E50" s="33" t="s">
        <v>1060</v>
      </c>
      <c r="F50" s="34" t="s">
        <v>1061</v>
      </c>
      <c r="G50" s="30"/>
      <c r="H50" s="30">
        <v>12.26</v>
      </c>
      <c r="I50" s="30">
        <v>8.9700000000000006</v>
      </c>
      <c r="J50" s="30"/>
      <c r="K50" s="30"/>
      <c r="L50" s="30" t="s">
        <v>180</v>
      </c>
    </row>
    <row r="51" spans="1:12" ht="15.75" thickBot="1" x14ac:dyDescent="0.25">
      <c r="A51" s="30">
        <v>49</v>
      </c>
      <c r="B51" s="31" t="s">
        <v>1062</v>
      </c>
      <c r="C51" s="32" t="s">
        <v>318</v>
      </c>
      <c r="D51" s="30" t="s">
        <v>890</v>
      </c>
      <c r="E51" s="33" t="s">
        <v>1063</v>
      </c>
      <c r="F51" s="34" t="s">
        <v>1064</v>
      </c>
      <c r="G51" s="30"/>
      <c r="H51" s="30">
        <v>7.89</v>
      </c>
      <c r="I51" s="30">
        <v>5.25</v>
      </c>
      <c r="J51" s="30">
        <v>3.31</v>
      </c>
      <c r="K51" s="30">
        <v>1.9</v>
      </c>
      <c r="L51" s="30" t="s">
        <v>998</v>
      </c>
    </row>
    <row r="52" spans="1:12" ht="15.75" thickBot="1" x14ac:dyDescent="0.25">
      <c r="A52" s="30">
        <v>50</v>
      </c>
      <c r="B52" s="31" t="s">
        <v>1065</v>
      </c>
      <c r="C52" s="32" t="s">
        <v>323</v>
      </c>
      <c r="D52" s="30" t="s">
        <v>890</v>
      </c>
      <c r="E52" s="33" t="s">
        <v>1066</v>
      </c>
      <c r="F52" s="34" t="s">
        <v>1067</v>
      </c>
      <c r="G52" s="30"/>
      <c r="H52" s="30">
        <v>11.2</v>
      </c>
      <c r="I52" s="30">
        <v>8.14</v>
      </c>
      <c r="J52" s="30"/>
      <c r="K52" s="30"/>
      <c r="L52" s="30" t="s">
        <v>1068</v>
      </c>
    </row>
    <row r="53" spans="1:12" ht="15.75" thickBot="1" x14ac:dyDescent="0.25">
      <c r="A53" s="30">
        <v>51</v>
      </c>
      <c r="B53" s="31" t="s">
        <v>1069</v>
      </c>
      <c r="C53" s="32" t="s">
        <v>328</v>
      </c>
      <c r="D53" s="30" t="s">
        <v>890</v>
      </c>
      <c r="E53" s="33" t="s">
        <v>1070</v>
      </c>
      <c r="F53" s="34" t="s">
        <v>1071</v>
      </c>
      <c r="G53" s="30"/>
      <c r="H53" s="30">
        <v>11</v>
      </c>
      <c r="I53" s="30">
        <v>9.4</v>
      </c>
      <c r="J53" s="30"/>
      <c r="K53" s="30"/>
      <c r="L53" s="30" t="s">
        <v>917</v>
      </c>
    </row>
    <row r="54" spans="1:12" ht="15.75" thickBot="1" x14ac:dyDescent="0.25">
      <c r="A54" s="30">
        <v>52</v>
      </c>
      <c r="B54" s="31" t="s">
        <v>1072</v>
      </c>
      <c r="C54" s="32" t="s">
        <v>333</v>
      </c>
      <c r="D54" s="30" t="s">
        <v>890</v>
      </c>
      <c r="E54" s="33" t="s">
        <v>1073</v>
      </c>
      <c r="F54" s="34" t="s">
        <v>1074</v>
      </c>
      <c r="G54" s="30"/>
      <c r="H54" s="30">
        <v>8.49</v>
      </c>
      <c r="I54" s="30">
        <v>6.27</v>
      </c>
      <c r="J54" s="30">
        <v>4.55</v>
      </c>
      <c r="K54" s="30">
        <v>3.28</v>
      </c>
      <c r="L54" s="30" t="s">
        <v>1005</v>
      </c>
    </row>
    <row r="55" spans="1:12" ht="15.75" thickBot="1" x14ac:dyDescent="0.25">
      <c r="A55" s="30">
        <v>53</v>
      </c>
      <c r="B55" s="31" t="s">
        <v>1075</v>
      </c>
      <c r="C55" s="32" t="s">
        <v>339</v>
      </c>
      <c r="D55" s="30" t="s">
        <v>890</v>
      </c>
      <c r="E55" s="33" t="s">
        <v>1076</v>
      </c>
      <c r="F55" s="34" t="s">
        <v>1077</v>
      </c>
      <c r="G55" s="30"/>
      <c r="H55" s="30">
        <v>10.4</v>
      </c>
      <c r="I55" s="30">
        <v>7.47</v>
      </c>
      <c r="J55" s="30"/>
      <c r="K55" s="30"/>
      <c r="L55" s="30" t="s">
        <v>139</v>
      </c>
    </row>
    <row r="56" spans="1:12" ht="15.75" thickBot="1" x14ac:dyDescent="0.25">
      <c r="A56" s="30">
        <v>54</v>
      </c>
      <c r="B56" s="31" t="s">
        <v>1078</v>
      </c>
      <c r="C56" s="32" t="s">
        <v>344</v>
      </c>
      <c r="D56" s="30" t="s">
        <v>890</v>
      </c>
      <c r="E56" s="33" t="s">
        <v>1079</v>
      </c>
      <c r="F56" s="34" t="s">
        <v>1080</v>
      </c>
      <c r="G56" s="30"/>
      <c r="H56" s="30">
        <v>9.98</v>
      </c>
      <c r="I56" s="30">
        <v>8.76</v>
      </c>
      <c r="J56" s="30">
        <v>7.65</v>
      </c>
      <c r="K56" s="30"/>
      <c r="L56" s="30" t="s">
        <v>1081</v>
      </c>
    </row>
    <row r="57" spans="1:12" ht="15.75" thickBot="1" x14ac:dyDescent="0.25">
      <c r="A57" s="30">
        <v>55</v>
      </c>
      <c r="B57" s="31" t="s">
        <v>1082</v>
      </c>
      <c r="C57" s="32" t="s">
        <v>349</v>
      </c>
      <c r="D57" s="30" t="s">
        <v>890</v>
      </c>
      <c r="E57" s="33" t="s">
        <v>1083</v>
      </c>
      <c r="F57" s="34" t="s">
        <v>1084</v>
      </c>
      <c r="G57" s="30"/>
      <c r="H57" s="30">
        <v>11.94</v>
      </c>
      <c r="I57" s="30">
        <v>7.5</v>
      </c>
      <c r="J57" s="30"/>
      <c r="K57" s="30"/>
      <c r="L57" s="30" t="s">
        <v>897</v>
      </c>
    </row>
    <row r="58" spans="1:12" ht="15.75" thickBot="1" x14ac:dyDescent="0.25">
      <c r="A58" s="30">
        <v>56</v>
      </c>
      <c r="B58" s="31" t="s">
        <v>1085</v>
      </c>
      <c r="C58" s="32" t="s">
        <v>355</v>
      </c>
      <c r="D58" s="30" t="s">
        <v>890</v>
      </c>
      <c r="E58" s="33" t="s">
        <v>1086</v>
      </c>
      <c r="F58" s="34" t="s">
        <v>1087</v>
      </c>
      <c r="G58" s="30">
        <v>13.44</v>
      </c>
      <c r="H58" s="30">
        <v>8.98</v>
      </c>
      <c r="I58" s="30">
        <v>6.56</v>
      </c>
      <c r="J58" s="30">
        <v>4.8600000000000003</v>
      </c>
      <c r="K58" s="30">
        <v>3.51</v>
      </c>
      <c r="L58" s="30" t="s">
        <v>897</v>
      </c>
    </row>
    <row r="59" spans="1:12" ht="15.75" thickBot="1" x14ac:dyDescent="0.25">
      <c r="A59" s="30">
        <v>57</v>
      </c>
      <c r="B59" s="31" t="s">
        <v>1088</v>
      </c>
      <c r="C59" s="32" t="s">
        <v>360</v>
      </c>
      <c r="D59" s="30" t="s">
        <v>1049</v>
      </c>
      <c r="E59" s="33" t="s">
        <v>1089</v>
      </c>
      <c r="F59" s="34" t="s">
        <v>1090</v>
      </c>
      <c r="G59" s="30"/>
      <c r="H59" s="30">
        <v>9.65</v>
      </c>
      <c r="I59" s="30">
        <v>7.25</v>
      </c>
      <c r="J59" s="30"/>
      <c r="K59" s="30"/>
      <c r="L59" s="30" t="s">
        <v>1091</v>
      </c>
    </row>
    <row r="60" spans="1:12" ht="15.75" thickBot="1" x14ac:dyDescent="0.25">
      <c r="A60" s="30">
        <v>58</v>
      </c>
      <c r="B60" s="31" t="s">
        <v>1092</v>
      </c>
      <c r="C60" s="32" t="s">
        <v>367</v>
      </c>
      <c r="D60" s="30" t="s">
        <v>890</v>
      </c>
      <c r="E60" s="33" t="s">
        <v>1093</v>
      </c>
      <c r="F60" s="34" t="s">
        <v>1094</v>
      </c>
      <c r="G60" s="30"/>
      <c r="H60" s="30"/>
      <c r="I60" s="30">
        <v>11.5</v>
      </c>
      <c r="J60" s="30"/>
      <c r="K60" s="30"/>
      <c r="L60" s="30" t="s">
        <v>1095</v>
      </c>
    </row>
    <row r="61" spans="1:12" ht="15.75" thickBot="1" x14ac:dyDescent="0.25">
      <c r="A61" s="30">
        <v>59</v>
      </c>
      <c r="B61" s="31" t="s">
        <v>1096</v>
      </c>
      <c r="C61" s="32" t="s">
        <v>373</v>
      </c>
      <c r="D61" s="30" t="s">
        <v>1097</v>
      </c>
      <c r="E61" s="33" t="s">
        <v>1098</v>
      </c>
      <c r="F61" s="34" t="s">
        <v>1099</v>
      </c>
      <c r="G61" s="30"/>
      <c r="H61" s="30">
        <v>9.9499999999999993</v>
      </c>
      <c r="I61" s="30">
        <v>8.6</v>
      </c>
      <c r="J61" s="30">
        <v>8.84</v>
      </c>
      <c r="K61" s="30"/>
      <c r="L61" s="30" t="s">
        <v>1100</v>
      </c>
    </row>
    <row r="62" spans="1:12" ht="15.75" thickBot="1" x14ac:dyDescent="0.25">
      <c r="A62" s="30">
        <v>60</v>
      </c>
      <c r="B62" s="31" t="s">
        <v>1101</v>
      </c>
      <c r="C62" s="32" t="s">
        <v>380</v>
      </c>
      <c r="D62" s="30" t="s">
        <v>890</v>
      </c>
      <c r="E62" s="33" t="s">
        <v>1102</v>
      </c>
      <c r="F62" s="34" t="s">
        <v>1103</v>
      </c>
      <c r="G62" s="30"/>
      <c r="H62" s="30">
        <v>11.4</v>
      </c>
      <c r="I62" s="30">
        <v>8.67</v>
      </c>
      <c r="J62" s="30"/>
      <c r="K62" s="30"/>
      <c r="L62" s="30" t="s">
        <v>910</v>
      </c>
    </row>
    <row r="63" spans="1:12" ht="15.75" thickBot="1" x14ac:dyDescent="0.25">
      <c r="A63" s="30">
        <v>61</v>
      </c>
      <c r="B63" s="31" t="s">
        <v>1104</v>
      </c>
      <c r="C63" s="32" t="s">
        <v>385</v>
      </c>
      <c r="D63" s="30" t="s">
        <v>1105</v>
      </c>
      <c r="E63" s="33" t="s">
        <v>1106</v>
      </c>
      <c r="F63" s="34" t="s">
        <v>1107</v>
      </c>
      <c r="G63" s="30"/>
      <c r="H63" s="30">
        <v>10.19</v>
      </c>
      <c r="I63" s="30">
        <v>8.01</v>
      </c>
      <c r="J63" s="30"/>
      <c r="K63" s="30"/>
      <c r="L63" s="30" t="s">
        <v>1108</v>
      </c>
    </row>
    <row r="64" spans="1:12" ht="15.75" thickBot="1" x14ac:dyDescent="0.25">
      <c r="A64" s="30">
        <v>62</v>
      </c>
      <c r="B64" s="31" t="s">
        <v>1109</v>
      </c>
      <c r="C64" s="32" t="s">
        <v>391</v>
      </c>
      <c r="D64" s="30" t="s">
        <v>890</v>
      </c>
      <c r="E64" s="33" t="s">
        <v>1110</v>
      </c>
      <c r="F64" s="34" t="s">
        <v>1111</v>
      </c>
      <c r="G64" s="30">
        <v>14.32</v>
      </c>
      <c r="H64" s="30">
        <v>11.23</v>
      </c>
      <c r="I64" s="30">
        <v>8.7200000000000006</v>
      </c>
      <c r="J64" s="30"/>
      <c r="K64" s="30"/>
      <c r="L64" s="30" t="s">
        <v>100</v>
      </c>
    </row>
    <row r="65" spans="1:12" ht="15.75" thickBot="1" x14ac:dyDescent="0.25">
      <c r="A65" s="30">
        <v>63</v>
      </c>
      <c r="B65" s="31" t="s">
        <v>1112</v>
      </c>
      <c r="C65" s="32" t="s">
        <v>396</v>
      </c>
      <c r="D65" s="30" t="s">
        <v>890</v>
      </c>
      <c r="E65" s="33" t="s">
        <v>1113</v>
      </c>
      <c r="F65" s="34" t="s">
        <v>1114</v>
      </c>
      <c r="G65" s="30">
        <v>14.18</v>
      </c>
      <c r="H65" s="30">
        <v>10.9</v>
      </c>
      <c r="I65" s="30">
        <v>8.52</v>
      </c>
      <c r="J65" s="30"/>
      <c r="K65" s="30"/>
      <c r="L65" s="30" t="s">
        <v>1115</v>
      </c>
    </row>
    <row r="66" spans="1:12" ht="15.75" thickBot="1" x14ac:dyDescent="0.25">
      <c r="A66" s="30">
        <v>64</v>
      </c>
      <c r="B66" s="31" t="s">
        <v>1116</v>
      </c>
      <c r="C66" s="32" t="s">
        <v>401</v>
      </c>
      <c r="D66" s="30" t="s">
        <v>890</v>
      </c>
      <c r="E66" s="33" t="s">
        <v>1117</v>
      </c>
      <c r="F66" s="34" t="s">
        <v>1118</v>
      </c>
      <c r="G66" s="30"/>
      <c r="H66" s="30">
        <v>12.07</v>
      </c>
      <c r="I66" s="30">
        <v>8.4499999999999993</v>
      </c>
      <c r="J66" s="30"/>
      <c r="K66" s="30"/>
      <c r="L66" s="30" t="s">
        <v>1119</v>
      </c>
    </row>
    <row r="67" spans="1:12" ht="15.75" thickBot="1" x14ac:dyDescent="0.25">
      <c r="A67" s="30">
        <v>65</v>
      </c>
      <c r="B67" s="31" t="s">
        <v>1120</v>
      </c>
      <c r="C67" s="32" t="s">
        <v>407</v>
      </c>
      <c r="D67" s="30" t="s">
        <v>890</v>
      </c>
      <c r="E67" s="33" t="s">
        <v>1121</v>
      </c>
      <c r="F67" s="34" t="s">
        <v>1122</v>
      </c>
      <c r="G67" s="30"/>
      <c r="H67" s="30">
        <v>12.51</v>
      </c>
      <c r="I67" s="30">
        <v>9.64</v>
      </c>
      <c r="J67" s="30"/>
      <c r="K67" s="30"/>
      <c r="L67" s="30" t="s">
        <v>1123</v>
      </c>
    </row>
    <row r="68" spans="1:12" ht="15.75" thickBot="1" x14ac:dyDescent="0.25">
      <c r="A68" s="30">
        <v>66</v>
      </c>
      <c r="B68" s="31" t="s">
        <v>1124</v>
      </c>
      <c r="C68" s="32" t="s">
        <v>412</v>
      </c>
      <c r="D68" s="30" t="s">
        <v>890</v>
      </c>
      <c r="E68" s="33" t="s">
        <v>1125</v>
      </c>
      <c r="F68" s="34" t="s">
        <v>1126</v>
      </c>
      <c r="G68" s="30"/>
      <c r="H68" s="30">
        <v>12.91</v>
      </c>
      <c r="I68" s="30">
        <v>12.2</v>
      </c>
      <c r="J68" s="30"/>
      <c r="K68" s="30"/>
      <c r="L68" s="30" t="s">
        <v>917</v>
      </c>
    </row>
    <row r="69" spans="1:12" ht="15.75" thickBot="1" x14ac:dyDescent="0.25">
      <c r="A69" s="30">
        <v>67</v>
      </c>
      <c r="B69" s="31" t="s">
        <v>1127</v>
      </c>
      <c r="C69" s="32" t="s">
        <v>416</v>
      </c>
      <c r="D69" s="30" t="s">
        <v>890</v>
      </c>
      <c r="E69" s="33" t="s">
        <v>1128</v>
      </c>
      <c r="F69" s="34" t="s">
        <v>1129</v>
      </c>
      <c r="G69" s="30"/>
      <c r="H69" s="30">
        <v>11.8</v>
      </c>
      <c r="I69" s="30">
        <v>8.9</v>
      </c>
      <c r="J69" s="30"/>
      <c r="K69" s="30"/>
      <c r="L69" s="30" t="s">
        <v>897</v>
      </c>
    </row>
    <row r="70" spans="1:12" ht="15.75" thickBot="1" x14ac:dyDescent="0.25">
      <c r="A70" s="30">
        <v>68</v>
      </c>
      <c r="B70" s="31" t="s">
        <v>1130</v>
      </c>
      <c r="C70" s="32" t="s">
        <v>422</v>
      </c>
      <c r="D70" s="30" t="s">
        <v>890</v>
      </c>
      <c r="E70" s="33" t="s">
        <v>1131</v>
      </c>
      <c r="F70" s="34" t="s">
        <v>1132</v>
      </c>
      <c r="G70" s="30"/>
      <c r="H70" s="30">
        <v>12.1</v>
      </c>
      <c r="I70" s="30">
        <v>9.4</v>
      </c>
      <c r="J70" s="30"/>
      <c r="K70" s="30"/>
      <c r="L70" s="30" t="s">
        <v>1133</v>
      </c>
    </row>
    <row r="71" spans="1:12" ht="15.75" thickBot="1" x14ac:dyDescent="0.25">
      <c r="A71" s="30">
        <v>69</v>
      </c>
      <c r="B71" s="31" t="s">
        <v>1134</v>
      </c>
      <c r="C71" s="32" t="s">
        <v>428</v>
      </c>
      <c r="D71" s="30" t="s">
        <v>890</v>
      </c>
      <c r="E71" s="33" t="s">
        <v>1135</v>
      </c>
      <c r="F71" s="34" t="s">
        <v>1136</v>
      </c>
      <c r="G71" s="30">
        <v>12.34</v>
      </c>
      <c r="H71" s="30">
        <v>9.02</v>
      </c>
      <c r="I71" s="30">
        <v>7.17</v>
      </c>
      <c r="J71" s="30">
        <v>5.62</v>
      </c>
      <c r="K71" s="30">
        <v>4.32</v>
      </c>
      <c r="L71" s="30" t="s">
        <v>957</v>
      </c>
    </row>
    <row r="72" spans="1:12" ht="15.75" thickBot="1" x14ac:dyDescent="0.25">
      <c r="A72" s="30">
        <v>70</v>
      </c>
      <c r="B72" s="31" t="s">
        <v>1137</v>
      </c>
      <c r="C72" s="32" t="s">
        <v>433</v>
      </c>
      <c r="D72" s="30" t="s">
        <v>890</v>
      </c>
      <c r="E72" s="33" t="s">
        <v>1138</v>
      </c>
      <c r="F72" s="34" t="s">
        <v>1139</v>
      </c>
      <c r="G72" s="30"/>
      <c r="H72" s="30">
        <v>9.6300000000000008</v>
      </c>
      <c r="I72" s="30">
        <v>6.4</v>
      </c>
      <c r="J72" s="30">
        <v>4.29</v>
      </c>
      <c r="K72" s="30">
        <v>2.9</v>
      </c>
      <c r="L72" s="30" t="s">
        <v>1005</v>
      </c>
    </row>
    <row r="73" spans="1:12" ht="15.75" thickBot="1" x14ac:dyDescent="0.25">
      <c r="A73" s="30">
        <v>71</v>
      </c>
      <c r="B73" s="31" t="s">
        <v>1140</v>
      </c>
      <c r="C73" s="32" t="s">
        <v>439</v>
      </c>
      <c r="D73" s="30" t="s">
        <v>890</v>
      </c>
      <c r="E73" s="33" t="s">
        <v>1141</v>
      </c>
      <c r="F73" s="34" t="s">
        <v>1142</v>
      </c>
      <c r="G73" s="30"/>
      <c r="H73" s="30">
        <v>12.07</v>
      </c>
      <c r="I73" s="30">
        <v>7.6</v>
      </c>
      <c r="J73" s="30"/>
      <c r="K73" s="30"/>
      <c r="L73" s="30" t="s">
        <v>897</v>
      </c>
    </row>
    <row r="74" spans="1:12" ht="15.75" thickBot="1" x14ac:dyDescent="0.25">
      <c r="A74" s="30">
        <v>72</v>
      </c>
      <c r="B74" s="31" t="s">
        <v>1143</v>
      </c>
      <c r="C74" s="32" t="s">
        <v>445</v>
      </c>
      <c r="D74" s="30" t="s">
        <v>890</v>
      </c>
      <c r="E74" s="33" t="s">
        <v>1144</v>
      </c>
      <c r="F74" s="34" t="s">
        <v>1145</v>
      </c>
      <c r="G74" s="30"/>
      <c r="H74" s="30">
        <v>12.61</v>
      </c>
      <c r="I74" s="30">
        <v>9.1199999999999992</v>
      </c>
      <c r="J74" s="30"/>
      <c r="K74" s="30"/>
      <c r="L74" s="30" t="s">
        <v>1146</v>
      </c>
    </row>
    <row r="75" spans="1:12" ht="15.75" thickBot="1" x14ac:dyDescent="0.25">
      <c r="A75" s="30">
        <v>73</v>
      </c>
      <c r="B75" s="31" t="s">
        <v>1147</v>
      </c>
      <c r="C75" s="32" t="s">
        <v>449</v>
      </c>
      <c r="D75" s="30" t="s">
        <v>890</v>
      </c>
      <c r="E75" s="33" t="s">
        <v>1148</v>
      </c>
      <c r="F75" s="34" t="s">
        <v>1149</v>
      </c>
      <c r="G75" s="30">
        <v>17.75</v>
      </c>
      <c r="H75" s="30">
        <v>10.45</v>
      </c>
      <c r="I75" s="30">
        <v>6.63</v>
      </c>
      <c r="J75" s="30"/>
      <c r="K75" s="30"/>
      <c r="L75" s="30" t="s">
        <v>1150</v>
      </c>
    </row>
    <row r="76" spans="1:12" ht="15.75" thickBot="1" x14ac:dyDescent="0.25">
      <c r="A76" s="30">
        <v>74</v>
      </c>
      <c r="B76" s="31" t="s">
        <v>1151</v>
      </c>
      <c r="C76" s="32" t="s">
        <v>455</v>
      </c>
      <c r="D76" s="30" t="s">
        <v>890</v>
      </c>
      <c r="E76" s="33" t="s">
        <v>1152</v>
      </c>
      <c r="F76" s="34" t="s">
        <v>1153</v>
      </c>
      <c r="G76" s="30"/>
      <c r="H76" s="30">
        <v>10.29</v>
      </c>
      <c r="I76" s="30">
        <v>10.3</v>
      </c>
      <c r="J76" s="30">
        <v>7.13</v>
      </c>
      <c r="K76" s="30">
        <v>8.8000000000000007</v>
      </c>
      <c r="L76" s="30" t="s">
        <v>1154</v>
      </c>
    </row>
    <row r="77" spans="1:12" ht="15.75" thickBot="1" x14ac:dyDescent="0.25">
      <c r="A77" s="30">
        <v>75</v>
      </c>
      <c r="B77" s="31" t="s">
        <v>1155</v>
      </c>
      <c r="C77" s="32" t="s">
        <v>460</v>
      </c>
      <c r="D77" s="30" t="s">
        <v>890</v>
      </c>
      <c r="E77" s="33" t="s">
        <v>1156</v>
      </c>
      <c r="F77" s="34" t="s">
        <v>1157</v>
      </c>
      <c r="G77" s="30"/>
      <c r="H77" s="30">
        <v>10.6</v>
      </c>
      <c r="I77" s="30">
        <v>10</v>
      </c>
      <c r="J77" s="30"/>
      <c r="K77" s="30"/>
      <c r="L77" s="30" t="s">
        <v>1005</v>
      </c>
    </row>
    <row r="78" spans="1:12" ht="15.75" thickBot="1" x14ac:dyDescent="0.25">
      <c r="A78" s="30">
        <v>76</v>
      </c>
      <c r="B78" s="31" t="s">
        <v>1158</v>
      </c>
      <c r="C78" s="32" t="s">
        <v>464</v>
      </c>
      <c r="D78" s="30" t="s">
        <v>890</v>
      </c>
      <c r="E78" s="33" t="s">
        <v>1159</v>
      </c>
      <c r="F78" s="34" t="s">
        <v>1160</v>
      </c>
      <c r="G78" s="30"/>
      <c r="H78" s="30">
        <v>9.16</v>
      </c>
      <c r="I78" s="30">
        <v>6.74</v>
      </c>
      <c r="J78" s="30"/>
      <c r="K78" s="30"/>
      <c r="L78" s="30" t="s">
        <v>1150</v>
      </c>
    </row>
    <row r="79" spans="1:12" ht="15.75" thickBot="1" x14ac:dyDescent="0.25">
      <c r="A79" s="30">
        <v>77</v>
      </c>
      <c r="B79" s="31" t="s">
        <v>1161</v>
      </c>
      <c r="C79" s="32" t="s">
        <v>469</v>
      </c>
      <c r="D79" s="30" t="s">
        <v>890</v>
      </c>
      <c r="E79" s="33" t="s">
        <v>1162</v>
      </c>
      <c r="F79" s="34" t="s">
        <v>1163</v>
      </c>
      <c r="G79" s="30">
        <v>15.32</v>
      </c>
      <c r="H79" s="30">
        <v>8.2200000000000006</v>
      </c>
      <c r="I79" s="30">
        <v>5.38</v>
      </c>
      <c r="J79" s="30">
        <v>3.18</v>
      </c>
      <c r="K79" s="30">
        <v>1.86</v>
      </c>
      <c r="L79" s="30" t="s">
        <v>1154</v>
      </c>
    </row>
    <row r="80" spans="1:12" ht="15.75" thickBot="1" x14ac:dyDescent="0.25">
      <c r="A80" s="30">
        <v>78</v>
      </c>
      <c r="B80" s="31" t="s">
        <v>1164</v>
      </c>
      <c r="C80" s="32" t="s">
        <v>475</v>
      </c>
      <c r="D80" s="30" t="s">
        <v>890</v>
      </c>
      <c r="E80" s="33" t="s">
        <v>1165</v>
      </c>
      <c r="F80" s="34" t="s">
        <v>1166</v>
      </c>
      <c r="G80" s="30">
        <v>13.29</v>
      </c>
      <c r="H80" s="30">
        <v>7.51</v>
      </c>
      <c r="I80" s="30">
        <v>4.82</v>
      </c>
      <c r="J80" s="30">
        <v>3.05</v>
      </c>
      <c r="K80" s="30">
        <v>1.78</v>
      </c>
      <c r="L80" s="30" t="s">
        <v>897</v>
      </c>
    </row>
    <row r="81" spans="1:12" ht="15.75" thickBot="1" x14ac:dyDescent="0.25">
      <c r="A81" s="30">
        <v>79</v>
      </c>
      <c r="B81" s="31" t="s">
        <v>1167</v>
      </c>
      <c r="C81" s="32" t="s">
        <v>481</v>
      </c>
      <c r="D81" s="30" t="s">
        <v>890</v>
      </c>
      <c r="E81" s="33" t="s">
        <v>1168</v>
      </c>
      <c r="F81" s="34" t="s">
        <v>1169</v>
      </c>
      <c r="G81" s="30">
        <v>12.91</v>
      </c>
      <c r="H81" s="30">
        <v>8.34</v>
      </c>
      <c r="I81" s="30">
        <v>5.95</v>
      </c>
      <c r="J81" s="30">
        <v>4.2</v>
      </c>
      <c r="K81" s="30">
        <v>2.94</v>
      </c>
      <c r="L81" s="30" t="s">
        <v>897</v>
      </c>
    </row>
    <row r="82" spans="1:12" ht="15.75" thickBot="1" x14ac:dyDescent="0.25">
      <c r="A82" s="30">
        <v>80</v>
      </c>
      <c r="B82" s="31" t="s">
        <v>1170</v>
      </c>
      <c r="C82" s="32" t="s">
        <v>486</v>
      </c>
      <c r="D82" s="30" t="s">
        <v>890</v>
      </c>
      <c r="E82" s="33" t="s">
        <v>1171</v>
      </c>
      <c r="F82" s="34" t="s">
        <v>1172</v>
      </c>
      <c r="G82" s="30"/>
      <c r="H82" s="30">
        <v>11.1</v>
      </c>
      <c r="I82" s="30">
        <v>10.199999999999999</v>
      </c>
      <c r="J82" s="30"/>
      <c r="K82" s="30"/>
      <c r="L82" s="30" t="s">
        <v>1173</v>
      </c>
    </row>
    <row r="83" spans="1:12" ht="15.75" thickBot="1" x14ac:dyDescent="0.25">
      <c r="A83" s="30">
        <v>81</v>
      </c>
      <c r="B83" s="31" t="s">
        <v>1174</v>
      </c>
      <c r="C83" s="32" t="s">
        <v>490</v>
      </c>
      <c r="D83" s="30" t="s">
        <v>890</v>
      </c>
      <c r="E83" s="33" t="s">
        <v>1175</v>
      </c>
      <c r="F83" s="34" t="s">
        <v>1176</v>
      </c>
      <c r="G83" s="30"/>
      <c r="H83" s="30">
        <v>12.23</v>
      </c>
      <c r="I83" s="30">
        <v>6.8</v>
      </c>
      <c r="J83" s="30"/>
      <c r="K83" s="30"/>
      <c r="L83" s="30" t="s">
        <v>1177</v>
      </c>
    </row>
    <row r="84" spans="1:12" ht="15.75" thickBot="1" x14ac:dyDescent="0.25">
      <c r="A84" s="30">
        <v>82</v>
      </c>
      <c r="B84" s="31" t="s">
        <v>1178</v>
      </c>
      <c r="C84" s="32" t="s">
        <v>496</v>
      </c>
      <c r="D84" s="30" t="s">
        <v>890</v>
      </c>
      <c r="E84" s="33" t="s">
        <v>1179</v>
      </c>
      <c r="F84" s="34" t="s">
        <v>1180</v>
      </c>
      <c r="G84" s="30">
        <v>13.69</v>
      </c>
      <c r="H84" s="30">
        <v>11.14</v>
      </c>
      <c r="I84" s="30">
        <v>8.89</v>
      </c>
      <c r="J84" s="30"/>
      <c r="K84" s="30"/>
      <c r="L84" s="30" t="s">
        <v>897</v>
      </c>
    </row>
    <row r="85" spans="1:12" ht="15.75" thickBot="1" x14ac:dyDescent="0.25">
      <c r="A85" s="30">
        <v>83</v>
      </c>
      <c r="B85" s="31" t="s">
        <v>1181</v>
      </c>
      <c r="C85" s="32" t="s">
        <v>500</v>
      </c>
      <c r="D85" s="30" t="s">
        <v>890</v>
      </c>
      <c r="E85" s="33" t="s">
        <v>1182</v>
      </c>
      <c r="F85" s="34" t="s">
        <v>1183</v>
      </c>
      <c r="G85" s="30">
        <v>11.92</v>
      </c>
      <c r="H85" s="30">
        <v>9.4499999999999993</v>
      </c>
      <c r="I85" s="30">
        <v>7.6</v>
      </c>
      <c r="J85" s="30"/>
      <c r="K85" s="30"/>
      <c r="L85" s="30" t="s">
        <v>1184</v>
      </c>
    </row>
    <row r="86" spans="1:12" ht="15.75" thickBot="1" x14ac:dyDescent="0.25">
      <c r="A86" s="30">
        <v>84</v>
      </c>
      <c r="B86" s="31" t="s">
        <v>1185</v>
      </c>
      <c r="C86" s="32" t="s">
        <v>504</v>
      </c>
      <c r="D86" s="30" t="s">
        <v>890</v>
      </c>
      <c r="E86" s="33" t="s">
        <v>1186</v>
      </c>
      <c r="F86" s="34" t="s">
        <v>1187</v>
      </c>
      <c r="G86" s="30">
        <v>15.84</v>
      </c>
      <c r="H86" s="30">
        <v>10.79</v>
      </c>
      <c r="I86" s="30">
        <v>6.6</v>
      </c>
      <c r="J86" s="30"/>
      <c r="K86" s="30"/>
      <c r="L86" s="30" t="s">
        <v>1188</v>
      </c>
    </row>
    <row r="87" spans="1:12" ht="15.75" thickBot="1" x14ac:dyDescent="0.25">
      <c r="A87" s="30">
        <v>85</v>
      </c>
      <c r="B87" s="31" t="s">
        <v>1189</v>
      </c>
      <c r="C87" s="32" t="s">
        <v>509</v>
      </c>
      <c r="D87" s="30" t="s">
        <v>890</v>
      </c>
      <c r="E87" s="33" t="s">
        <v>1190</v>
      </c>
      <c r="F87" s="34" t="s">
        <v>1191</v>
      </c>
      <c r="G87" s="30">
        <v>14.03</v>
      </c>
      <c r="H87" s="30">
        <v>7.41</v>
      </c>
      <c r="I87" s="30">
        <v>4.87</v>
      </c>
      <c r="J87" s="30">
        <v>3.12</v>
      </c>
      <c r="K87" s="30">
        <v>1.74</v>
      </c>
      <c r="L87" s="30" t="s">
        <v>897</v>
      </c>
    </row>
    <row r="88" spans="1:12" ht="15.75" thickBot="1" x14ac:dyDescent="0.25">
      <c r="A88" s="30">
        <v>86</v>
      </c>
      <c r="B88" s="31" t="s">
        <v>1192</v>
      </c>
      <c r="C88" s="32" t="s">
        <v>515</v>
      </c>
      <c r="D88" s="30" t="s">
        <v>890</v>
      </c>
      <c r="E88" s="33" t="s">
        <v>1193</v>
      </c>
      <c r="F88" s="34" t="s">
        <v>1194</v>
      </c>
      <c r="G88" s="30"/>
      <c r="H88" s="30">
        <v>14.75</v>
      </c>
      <c r="I88" s="30">
        <v>9</v>
      </c>
      <c r="J88" s="30"/>
      <c r="K88" s="30"/>
      <c r="L88" s="30" t="s">
        <v>520</v>
      </c>
    </row>
    <row r="89" spans="1:12" ht="15.75" thickBot="1" x14ac:dyDescent="0.25">
      <c r="A89" s="30">
        <v>87</v>
      </c>
      <c r="B89" s="31" t="s">
        <v>1195</v>
      </c>
      <c r="C89" s="32" t="s">
        <v>522</v>
      </c>
      <c r="D89" s="30" t="s">
        <v>890</v>
      </c>
      <c r="E89" s="33" t="s">
        <v>1196</v>
      </c>
      <c r="F89" s="34" t="s">
        <v>1197</v>
      </c>
      <c r="G89" s="30"/>
      <c r="H89" s="30">
        <v>14.66</v>
      </c>
      <c r="I89" s="30">
        <v>8.86</v>
      </c>
      <c r="J89" s="30"/>
      <c r="K89" s="30"/>
      <c r="L89" s="30" t="s">
        <v>1198</v>
      </c>
    </row>
    <row r="90" spans="1:12" ht="15.75" thickBot="1" x14ac:dyDescent="0.25">
      <c r="A90" s="30">
        <v>88</v>
      </c>
      <c r="B90" s="31" t="s">
        <v>1199</v>
      </c>
      <c r="C90" s="32" t="s">
        <v>528</v>
      </c>
      <c r="D90" s="30" t="s">
        <v>890</v>
      </c>
      <c r="E90" s="33" t="s">
        <v>1200</v>
      </c>
      <c r="F90" s="34" t="s">
        <v>1201</v>
      </c>
      <c r="G90" s="30">
        <v>15.56</v>
      </c>
      <c r="H90" s="30">
        <v>9.44</v>
      </c>
      <c r="I90" s="30">
        <v>6.34</v>
      </c>
      <c r="J90" s="30">
        <v>4.34</v>
      </c>
      <c r="K90" s="30">
        <v>2.91</v>
      </c>
      <c r="L90" s="30" t="s">
        <v>1202</v>
      </c>
    </row>
    <row r="91" spans="1:12" ht="15.75" thickBot="1" x14ac:dyDescent="0.25">
      <c r="A91" s="30">
        <v>89</v>
      </c>
      <c r="B91" s="31" t="s">
        <v>1203</v>
      </c>
      <c r="C91" s="32" t="s">
        <v>534</v>
      </c>
      <c r="D91" s="30" t="s">
        <v>900</v>
      </c>
      <c r="E91" s="33" t="s">
        <v>1204</v>
      </c>
      <c r="F91" s="34" t="s">
        <v>1205</v>
      </c>
      <c r="G91" s="30">
        <v>12.83</v>
      </c>
      <c r="H91" s="30">
        <v>10.72</v>
      </c>
      <c r="I91" s="30">
        <v>8.91</v>
      </c>
      <c r="J91" s="30">
        <v>7.79</v>
      </c>
      <c r="K91" s="30">
        <v>6.92</v>
      </c>
      <c r="L91" s="30" t="s">
        <v>1206</v>
      </c>
    </row>
    <row r="92" spans="1:12" ht="15.75" thickBot="1" x14ac:dyDescent="0.25">
      <c r="A92" s="30">
        <v>90</v>
      </c>
      <c r="B92" s="31" t="s">
        <v>1207</v>
      </c>
      <c r="C92" s="32" t="s">
        <v>1208</v>
      </c>
      <c r="D92" s="30" t="s">
        <v>890</v>
      </c>
      <c r="E92" s="33" t="s">
        <v>1209</v>
      </c>
      <c r="F92" s="34" t="s">
        <v>1210</v>
      </c>
      <c r="G92" s="30">
        <v>10.72</v>
      </c>
      <c r="H92" s="30">
        <v>9.67</v>
      </c>
      <c r="I92" s="30">
        <v>8.5</v>
      </c>
      <c r="J92" s="30">
        <v>7.76</v>
      </c>
      <c r="K92" s="30">
        <v>7.24</v>
      </c>
      <c r="L92" s="30" t="s">
        <v>1211</v>
      </c>
    </row>
    <row r="93" spans="1:12" ht="15.75" thickBot="1" x14ac:dyDescent="0.25">
      <c r="A93" s="30">
        <v>91</v>
      </c>
      <c r="B93" s="31" t="s">
        <v>1212</v>
      </c>
      <c r="C93" s="32" t="s">
        <v>546</v>
      </c>
      <c r="D93" s="30" t="s">
        <v>890</v>
      </c>
      <c r="E93" s="33" t="s">
        <v>1213</v>
      </c>
      <c r="F93" s="34" t="s">
        <v>1214</v>
      </c>
      <c r="G93" s="30">
        <v>9.56</v>
      </c>
      <c r="H93" s="30">
        <v>8.7100000000000009</v>
      </c>
      <c r="I93" s="30">
        <v>7.54</v>
      </c>
      <c r="J93" s="30">
        <v>6.71</v>
      </c>
      <c r="K93" s="30">
        <v>6.22</v>
      </c>
      <c r="L93" s="30" t="s">
        <v>1215</v>
      </c>
    </row>
    <row r="94" spans="1:12" ht="15.75" thickBot="1" x14ac:dyDescent="0.25">
      <c r="A94" s="30">
        <v>92</v>
      </c>
      <c r="B94" s="31" t="s">
        <v>1216</v>
      </c>
      <c r="C94" s="32" t="s">
        <v>552</v>
      </c>
      <c r="D94" s="30" t="s">
        <v>947</v>
      </c>
      <c r="E94" s="33" t="s">
        <v>1217</v>
      </c>
      <c r="F94" s="34" t="s">
        <v>1218</v>
      </c>
      <c r="G94" s="30">
        <v>6.44</v>
      </c>
      <c r="H94" s="30">
        <v>6.31</v>
      </c>
      <c r="I94" s="30">
        <v>5.71</v>
      </c>
      <c r="J94" s="30">
        <v>5.26</v>
      </c>
      <c r="K94" s="30">
        <v>5.08</v>
      </c>
      <c r="L94" s="30" t="s">
        <v>1219</v>
      </c>
    </row>
    <row r="95" spans="1:12" ht="15.75" thickBot="1" x14ac:dyDescent="0.25">
      <c r="A95" s="30">
        <v>93</v>
      </c>
      <c r="B95" s="31" t="s">
        <v>1220</v>
      </c>
      <c r="C95" s="32" t="s">
        <v>557</v>
      </c>
      <c r="D95" s="30" t="s">
        <v>890</v>
      </c>
      <c r="E95" s="33" t="s">
        <v>1221</v>
      </c>
      <c r="F95" s="34" t="s">
        <v>1222</v>
      </c>
      <c r="G95" s="30"/>
      <c r="H95" s="30"/>
      <c r="I95" s="30">
        <v>6.9</v>
      </c>
      <c r="J95" s="30"/>
      <c r="K95" s="30"/>
      <c r="L95" s="30" t="s">
        <v>1223</v>
      </c>
    </row>
    <row r="96" spans="1:12" ht="15.75" thickBot="1" x14ac:dyDescent="0.25">
      <c r="A96" s="30">
        <v>94</v>
      </c>
      <c r="B96" s="31" t="s">
        <v>1224</v>
      </c>
      <c r="C96" s="32" t="s">
        <v>562</v>
      </c>
      <c r="D96" s="30" t="s">
        <v>890</v>
      </c>
      <c r="E96" s="33" t="s">
        <v>1225</v>
      </c>
      <c r="F96" s="34" t="s">
        <v>1226</v>
      </c>
      <c r="G96" s="30"/>
      <c r="H96" s="30">
        <v>11.32</v>
      </c>
      <c r="I96" s="30">
        <v>8.8000000000000007</v>
      </c>
      <c r="J96" s="30"/>
      <c r="K96" s="30"/>
      <c r="L96" s="30" t="s">
        <v>1227</v>
      </c>
    </row>
    <row r="97" spans="1:12" ht="15.75" thickBot="1" x14ac:dyDescent="0.25">
      <c r="A97" s="30">
        <v>95</v>
      </c>
      <c r="B97" s="31" t="s">
        <v>1228</v>
      </c>
      <c r="C97" s="32" t="s">
        <v>567</v>
      </c>
      <c r="D97" s="30" t="s">
        <v>890</v>
      </c>
      <c r="E97" s="33" t="s">
        <v>1229</v>
      </c>
      <c r="F97" s="34" t="s">
        <v>1230</v>
      </c>
      <c r="G97" s="30"/>
      <c r="H97" s="30">
        <v>12.91</v>
      </c>
      <c r="I97" s="30">
        <v>7.3</v>
      </c>
      <c r="J97" s="30"/>
      <c r="K97" s="30"/>
      <c r="L97" s="30" t="s">
        <v>1231</v>
      </c>
    </row>
    <row r="98" spans="1:12" ht="15.75" thickBot="1" x14ac:dyDescent="0.25">
      <c r="A98" s="30">
        <v>96</v>
      </c>
      <c r="B98" s="31" t="s">
        <v>1232</v>
      </c>
      <c r="C98" s="32" t="s">
        <v>573</v>
      </c>
      <c r="D98" s="30" t="s">
        <v>890</v>
      </c>
      <c r="E98" s="33" t="s">
        <v>1233</v>
      </c>
      <c r="F98" s="34" t="s">
        <v>1234</v>
      </c>
      <c r="G98" s="30"/>
      <c r="H98" s="30">
        <v>13.06</v>
      </c>
      <c r="I98" s="30">
        <v>11.7</v>
      </c>
      <c r="J98" s="30"/>
      <c r="K98" s="30"/>
      <c r="L98" s="30" t="s">
        <v>998</v>
      </c>
    </row>
    <row r="99" spans="1:12" ht="15.75" thickBot="1" x14ac:dyDescent="0.25">
      <c r="A99" s="30">
        <v>97</v>
      </c>
      <c r="B99" s="31" t="s">
        <v>1235</v>
      </c>
      <c r="C99" s="32" t="s">
        <v>577</v>
      </c>
      <c r="D99" s="30" t="s">
        <v>890</v>
      </c>
      <c r="E99" s="33" t="s">
        <v>1236</v>
      </c>
      <c r="F99" s="34" t="s">
        <v>1237</v>
      </c>
      <c r="G99" s="30"/>
      <c r="H99" s="30">
        <v>14.21</v>
      </c>
      <c r="I99" s="30">
        <v>10.02</v>
      </c>
      <c r="J99" s="30">
        <v>10.01</v>
      </c>
      <c r="K99" s="30"/>
      <c r="L99" s="30" t="s">
        <v>1005</v>
      </c>
    </row>
    <row r="100" spans="1:12" ht="15.75" thickBot="1" x14ac:dyDescent="0.25">
      <c r="A100" s="30">
        <v>98</v>
      </c>
      <c r="B100" s="31" t="s">
        <v>1238</v>
      </c>
      <c r="C100" s="32" t="s">
        <v>1239</v>
      </c>
      <c r="D100" s="30" t="s">
        <v>890</v>
      </c>
      <c r="E100" s="33" t="s">
        <v>1240</v>
      </c>
      <c r="F100" s="34" t="s">
        <v>1241</v>
      </c>
      <c r="G100" s="30">
        <v>9.67</v>
      </c>
      <c r="H100" s="30">
        <v>8.75</v>
      </c>
      <c r="I100" s="30">
        <v>7.61</v>
      </c>
      <c r="J100" s="30">
        <v>6.89</v>
      </c>
      <c r="K100" s="30">
        <v>6.42</v>
      </c>
      <c r="L100" s="30" t="s">
        <v>1242</v>
      </c>
    </row>
    <row r="101" spans="1:12" ht="15.75" thickBot="1" x14ac:dyDescent="0.25">
      <c r="A101" s="30">
        <v>99</v>
      </c>
      <c r="B101" s="31" t="s">
        <v>1243</v>
      </c>
      <c r="C101" s="32" t="s">
        <v>590</v>
      </c>
      <c r="D101" s="30" t="s">
        <v>890</v>
      </c>
      <c r="E101" s="33" t="s">
        <v>1244</v>
      </c>
      <c r="F101" s="34" t="s">
        <v>1245</v>
      </c>
      <c r="G101" s="30"/>
      <c r="H101" s="30">
        <v>12.95</v>
      </c>
      <c r="I101" s="30">
        <v>8.7899999999999991</v>
      </c>
      <c r="J101" s="30">
        <v>7.54</v>
      </c>
      <c r="K101" s="30">
        <v>8.6999999999999993</v>
      </c>
      <c r="L101" s="30" t="s">
        <v>897</v>
      </c>
    </row>
    <row r="102" spans="1:12" ht="15.75" thickBot="1" x14ac:dyDescent="0.25">
      <c r="A102" s="30">
        <v>100</v>
      </c>
      <c r="B102" s="31" t="s">
        <v>1246</v>
      </c>
      <c r="C102" s="32" t="s">
        <v>595</v>
      </c>
      <c r="D102" s="30" t="s">
        <v>890</v>
      </c>
      <c r="E102" s="33" t="s">
        <v>1247</v>
      </c>
      <c r="F102" s="34" t="s">
        <v>1248</v>
      </c>
      <c r="G102" s="30"/>
      <c r="H102" s="30">
        <v>10.11</v>
      </c>
      <c r="I102" s="30">
        <v>6.673</v>
      </c>
      <c r="J102" s="30">
        <v>7.14</v>
      </c>
      <c r="K102" s="30">
        <v>8.8800000000000008</v>
      </c>
      <c r="L102" s="30" t="s">
        <v>39</v>
      </c>
    </row>
    <row r="103" spans="1:12" ht="15.75" thickBot="1" x14ac:dyDescent="0.25">
      <c r="A103" s="30">
        <v>101</v>
      </c>
      <c r="B103" s="31" t="s">
        <v>1249</v>
      </c>
      <c r="C103" s="32" t="s">
        <v>600</v>
      </c>
      <c r="D103" s="30" t="s">
        <v>890</v>
      </c>
      <c r="E103" s="33" t="s">
        <v>1250</v>
      </c>
      <c r="F103" s="34" t="s">
        <v>1251</v>
      </c>
      <c r="G103" s="30">
        <v>15.08</v>
      </c>
      <c r="H103" s="30">
        <v>13.36</v>
      </c>
      <c r="I103" s="30">
        <v>11.05</v>
      </c>
      <c r="J103" s="30">
        <v>9.36</v>
      </c>
      <c r="K103" s="30">
        <v>7.9</v>
      </c>
      <c r="L103" s="30" t="s">
        <v>1198</v>
      </c>
    </row>
    <row r="104" spans="1:12" ht="15.75" thickBot="1" x14ac:dyDescent="0.25">
      <c r="A104" s="30">
        <v>102</v>
      </c>
      <c r="B104" s="31" t="s">
        <v>1252</v>
      </c>
      <c r="C104" s="32" t="s">
        <v>606</v>
      </c>
      <c r="D104" s="30" t="s">
        <v>890</v>
      </c>
      <c r="E104" s="33" t="s">
        <v>1253</v>
      </c>
      <c r="F104" s="34" t="s">
        <v>1254</v>
      </c>
      <c r="G104" s="30"/>
      <c r="H104" s="30">
        <v>11.3</v>
      </c>
      <c r="I104" s="30">
        <v>10.5</v>
      </c>
      <c r="J104" s="30"/>
      <c r="K104" s="30"/>
      <c r="L104" s="30" t="s">
        <v>897</v>
      </c>
    </row>
    <row r="105" spans="1:12" ht="15.75" thickBot="1" x14ac:dyDescent="0.25">
      <c r="A105" s="30">
        <v>103</v>
      </c>
      <c r="B105" s="31" t="s">
        <v>1255</v>
      </c>
      <c r="C105" s="32" t="s">
        <v>610</v>
      </c>
      <c r="D105" s="30" t="s">
        <v>890</v>
      </c>
      <c r="E105" s="33" t="s">
        <v>1256</v>
      </c>
      <c r="F105" s="34" t="s">
        <v>1257</v>
      </c>
      <c r="G105" s="30"/>
      <c r="H105" s="30">
        <v>18.079999999999998</v>
      </c>
      <c r="I105" s="30">
        <v>7.2</v>
      </c>
      <c r="J105" s="30"/>
      <c r="K105" s="30"/>
      <c r="L105" s="30" t="s">
        <v>308</v>
      </c>
    </row>
    <row r="106" spans="1:12" ht="15.75" thickBot="1" x14ac:dyDescent="0.25">
      <c r="A106" s="30">
        <v>104</v>
      </c>
      <c r="B106" s="31" t="s">
        <v>1258</v>
      </c>
      <c r="C106" s="32" t="s">
        <v>617</v>
      </c>
      <c r="D106" s="30" t="s">
        <v>890</v>
      </c>
      <c r="E106" s="33" t="s">
        <v>1259</v>
      </c>
      <c r="F106" s="34" t="s">
        <v>1260</v>
      </c>
      <c r="G106" s="30">
        <v>12.55</v>
      </c>
      <c r="H106" s="30">
        <v>10.55</v>
      </c>
      <c r="I106" s="30">
        <v>8.66</v>
      </c>
      <c r="J106" s="30">
        <v>6.96</v>
      </c>
      <c r="K106" s="30">
        <v>5.53</v>
      </c>
      <c r="L106" s="30" t="s">
        <v>1261</v>
      </c>
    </row>
    <row r="107" spans="1:12" ht="15.75" thickBot="1" x14ac:dyDescent="0.25">
      <c r="A107" s="30">
        <v>105</v>
      </c>
      <c r="B107" s="31" t="s">
        <v>1262</v>
      </c>
      <c r="C107" s="32" t="s">
        <v>621</v>
      </c>
      <c r="D107" s="30" t="s">
        <v>1263</v>
      </c>
      <c r="E107" s="33" t="s">
        <v>1264</v>
      </c>
      <c r="F107" s="34" t="s">
        <v>1265</v>
      </c>
      <c r="G107" s="30">
        <v>8</v>
      </c>
      <c r="H107" s="30">
        <v>7.79</v>
      </c>
      <c r="I107" s="30">
        <v>7.01</v>
      </c>
      <c r="J107" s="30"/>
      <c r="K107" s="30"/>
      <c r="L107" s="30" t="s">
        <v>1266</v>
      </c>
    </row>
    <row r="108" spans="1:12" ht="15.75" thickBot="1" x14ac:dyDescent="0.25">
      <c r="A108" s="30">
        <v>106</v>
      </c>
      <c r="B108" s="31" t="s">
        <v>1267</v>
      </c>
      <c r="C108" s="32" t="s">
        <v>628</v>
      </c>
      <c r="D108" s="30" t="s">
        <v>890</v>
      </c>
      <c r="E108" s="33" t="s">
        <v>1268</v>
      </c>
      <c r="F108" s="34" t="s">
        <v>1269</v>
      </c>
      <c r="G108" s="30"/>
      <c r="H108" s="30">
        <v>13.07</v>
      </c>
      <c r="I108" s="30">
        <v>9.4600000000000009</v>
      </c>
      <c r="J108" s="30"/>
      <c r="K108" s="30"/>
      <c r="L108" s="30" t="s">
        <v>998</v>
      </c>
    </row>
    <row r="109" spans="1:12" ht="15.75" thickBot="1" x14ac:dyDescent="0.25">
      <c r="A109" s="30">
        <v>107</v>
      </c>
      <c r="B109" s="31" t="s">
        <v>1270</v>
      </c>
      <c r="C109" s="32" t="s">
        <v>633</v>
      </c>
      <c r="D109" s="30" t="s">
        <v>890</v>
      </c>
      <c r="E109" s="33" t="s">
        <v>1271</v>
      </c>
      <c r="F109" s="34" t="s">
        <v>1272</v>
      </c>
      <c r="G109" s="30"/>
      <c r="H109" s="30">
        <v>12.74</v>
      </c>
      <c r="I109" s="30">
        <v>7.84</v>
      </c>
      <c r="J109" s="30">
        <v>7.3</v>
      </c>
      <c r="K109" s="30"/>
      <c r="L109" s="30" t="s">
        <v>1273</v>
      </c>
    </row>
    <row r="110" spans="1:12" ht="15.75" thickBot="1" x14ac:dyDescent="0.25">
      <c r="A110" s="30">
        <v>108</v>
      </c>
      <c r="B110" s="31" t="s">
        <v>1274</v>
      </c>
      <c r="C110" s="32" t="s">
        <v>640</v>
      </c>
      <c r="D110" s="30" t="s">
        <v>890</v>
      </c>
      <c r="E110" s="33" t="s">
        <v>1275</v>
      </c>
      <c r="F110" s="34" t="s">
        <v>1276</v>
      </c>
      <c r="G110" s="30">
        <v>10.73</v>
      </c>
      <c r="H110" s="30">
        <v>10.73</v>
      </c>
      <c r="I110" s="30">
        <v>7.65</v>
      </c>
      <c r="J110" s="30"/>
      <c r="K110" s="30"/>
      <c r="L110" s="30" t="s">
        <v>897</v>
      </c>
    </row>
    <row r="111" spans="1:12" ht="15.75" thickBot="1" x14ac:dyDescent="0.25">
      <c r="A111" s="30">
        <v>109</v>
      </c>
      <c r="B111" s="31" t="s">
        <v>1277</v>
      </c>
      <c r="C111" s="32" t="s">
        <v>646</v>
      </c>
      <c r="D111" s="30" t="s">
        <v>890</v>
      </c>
      <c r="E111" s="33" t="s">
        <v>1278</v>
      </c>
      <c r="F111" s="34" t="s">
        <v>1279</v>
      </c>
      <c r="G111" s="30"/>
      <c r="H111" s="30">
        <v>12.46</v>
      </c>
      <c r="I111" s="30">
        <v>9.94</v>
      </c>
      <c r="J111" s="30"/>
      <c r="K111" s="30"/>
      <c r="L111" s="30" t="s">
        <v>950</v>
      </c>
    </row>
    <row r="112" spans="1:12" ht="15.75" thickBot="1" x14ac:dyDescent="0.25">
      <c r="A112" s="30">
        <v>110</v>
      </c>
      <c r="B112" s="31" t="s">
        <v>1280</v>
      </c>
      <c r="C112" s="32" t="s">
        <v>650</v>
      </c>
      <c r="D112" s="30" t="s">
        <v>890</v>
      </c>
      <c r="E112" s="33" t="s">
        <v>1281</v>
      </c>
      <c r="F112" s="34" t="s">
        <v>1282</v>
      </c>
      <c r="G112" s="30"/>
      <c r="H112" s="30">
        <v>13.39</v>
      </c>
      <c r="I112" s="30">
        <v>10.4</v>
      </c>
      <c r="J112" s="30"/>
      <c r="K112" s="30"/>
      <c r="L112" s="30" t="s">
        <v>80</v>
      </c>
    </row>
    <row r="113" spans="1:12" ht="15.75" thickBot="1" x14ac:dyDescent="0.25">
      <c r="A113" s="30">
        <v>111</v>
      </c>
      <c r="B113" s="31" t="s">
        <v>1283</v>
      </c>
      <c r="C113" s="32" t="s">
        <v>656</v>
      </c>
      <c r="D113" s="30" t="s">
        <v>890</v>
      </c>
      <c r="E113" s="33" t="s">
        <v>1284</v>
      </c>
      <c r="F113" s="34" t="s">
        <v>1285</v>
      </c>
      <c r="G113" s="30">
        <v>13.93</v>
      </c>
      <c r="H113" s="30">
        <v>9.89</v>
      </c>
      <c r="I113" s="30">
        <v>6.8</v>
      </c>
      <c r="J113" s="30"/>
      <c r="K113" s="30"/>
      <c r="L113" s="30" t="s">
        <v>897</v>
      </c>
    </row>
    <row r="114" spans="1:12" ht="15.75" thickBot="1" x14ac:dyDescent="0.25">
      <c r="A114" s="30">
        <v>112</v>
      </c>
      <c r="B114" s="31" t="s">
        <v>1286</v>
      </c>
      <c r="C114" s="32" t="s">
        <v>661</v>
      </c>
      <c r="D114" s="30" t="s">
        <v>890</v>
      </c>
      <c r="E114" s="33" t="s">
        <v>1287</v>
      </c>
      <c r="F114" s="34" t="s">
        <v>1288</v>
      </c>
      <c r="G114" s="30"/>
      <c r="H114" s="30">
        <v>14.65</v>
      </c>
      <c r="I114" s="30">
        <v>11.1</v>
      </c>
      <c r="J114" s="30">
        <v>9.3000000000000007</v>
      </c>
      <c r="K114" s="30">
        <v>7.83</v>
      </c>
      <c r="L114" s="30" t="s">
        <v>180</v>
      </c>
    </row>
    <row r="115" spans="1:12" ht="15.75" thickBot="1" x14ac:dyDescent="0.25">
      <c r="A115" s="30">
        <v>113</v>
      </c>
      <c r="B115" s="31" t="s">
        <v>1289</v>
      </c>
      <c r="C115" s="32" t="s">
        <v>667</v>
      </c>
      <c r="D115" s="30" t="s">
        <v>890</v>
      </c>
      <c r="E115" s="33" t="s">
        <v>1290</v>
      </c>
      <c r="F115" s="34" t="s">
        <v>1291</v>
      </c>
      <c r="G115" s="30"/>
      <c r="H115" s="30">
        <v>11.09</v>
      </c>
      <c r="I115" s="30">
        <v>6.9</v>
      </c>
      <c r="J115" s="30"/>
      <c r="K115" s="30"/>
      <c r="L115" s="30" t="s">
        <v>897</v>
      </c>
    </row>
    <row r="116" spans="1:12" ht="15.75" thickBot="1" x14ac:dyDescent="0.25">
      <c r="A116" s="30">
        <v>114</v>
      </c>
      <c r="B116" s="31" t="s">
        <v>1292</v>
      </c>
      <c r="C116" s="32" t="s">
        <v>672</v>
      </c>
      <c r="D116" s="30" t="s">
        <v>890</v>
      </c>
      <c r="E116" s="33" t="s">
        <v>1293</v>
      </c>
      <c r="F116" s="34" t="s">
        <v>1294</v>
      </c>
      <c r="G116" s="30">
        <v>13.53</v>
      </c>
      <c r="H116" s="30">
        <v>9.1999999999999993</v>
      </c>
      <c r="I116" s="30">
        <v>6.86</v>
      </c>
      <c r="J116" s="30">
        <v>5.05</v>
      </c>
      <c r="K116" s="30">
        <v>3.67</v>
      </c>
      <c r="L116" s="30" t="s">
        <v>917</v>
      </c>
    </row>
    <row r="117" spans="1:12" ht="15.75" thickBot="1" x14ac:dyDescent="0.25">
      <c r="A117" s="30">
        <v>115</v>
      </c>
      <c r="B117" s="31" t="s">
        <v>1295</v>
      </c>
      <c r="C117" s="32" t="s">
        <v>677</v>
      </c>
      <c r="D117" s="30" t="s">
        <v>890</v>
      </c>
      <c r="E117" s="33" t="s">
        <v>1296</v>
      </c>
      <c r="F117" s="34" t="s">
        <v>1297</v>
      </c>
      <c r="G117" s="30"/>
      <c r="H117" s="30">
        <v>12.93</v>
      </c>
      <c r="I117" s="30">
        <v>8.3000000000000007</v>
      </c>
      <c r="J117" s="30"/>
      <c r="K117" s="30">
        <v>7.6159999999999997</v>
      </c>
      <c r="L117" s="30" t="s">
        <v>1298</v>
      </c>
    </row>
    <row r="118" spans="1:12" ht="15.75" thickBot="1" x14ac:dyDescent="0.25">
      <c r="A118" s="30">
        <v>116</v>
      </c>
      <c r="B118" s="31" t="s">
        <v>1299</v>
      </c>
      <c r="C118" s="32" t="s">
        <v>683</v>
      </c>
      <c r="D118" s="30" t="s">
        <v>890</v>
      </c>
      <c r="E118" s="33" t="s">
        <v>1300</v>
      </c>
      <c r="F118" s="34" t="s">
        <v>1301</v>
      </c>
      <c r="G118" s="30"/>
      <c r="H118" s="30">
        <v>8.81</v>
      </c>
      <c r="I118" s="30">
        <v>5.94</v>
      </c>
      <c r="J118" s="30"/>
      <c r="K118" s="30"/>
      <c r="L118" s="30" t="s">
        <v>897</v>
      </c>
    </row>
    <row r="119" spans="1:12" ht="15.75" thickBot="1" x14ac:dyDescent="0.25">
      <c r="A119" s="30">
        <v>117</v>
      </c>
      <c r="B119" s="31" t="s">
        <v>1302</v>
      </c>
      <c r="C119" s="32" t="s">
        <v>1303</v>
      </c>
      <c r="D119" s="30" t="s">
        <v>900</v>
      </c>
      <c r="E119" s="33" t="s">
        <v>1304</v>
      </c>
      <c r="F119" s="34" t="s">
        <v>1305</v>
      </c>
      <c r="G119" s="30">
        <v>8.77</v>
      </c>
      <c r="H119" s="30">
        <v>8.14</v>
      </c>
      <c r="I119" s="30">
        <v>7.05</v>
      </c>
      <c r="J119" s="30">
        <v>6.25</v>
      </c>
      <c r="K119" s="30">
        <v>5.8</v>
      </c>
      <c r="L119" s="30" t="s">
        <v>1306</v>
      </c>
    </row>
    <row r="120" spans="1:12" ht="15.75" thickBot="1" x14ac:dyDescent="0.25">
      <c r="A120" s="30">
        <v>118</v>
      </c>
      <c r="B120" s="31" t="s">
        <v>1307</v>
      </c>
      <c r="C120" s="32" t="s">
        <v>694</v>
      </c>
      <c r="D120" s="30" t="s">
        <v>890</v>
      </c>
      <c r="E120" s="33" t="s">
        <v>1308</v>
      </c>
      <c r="F120" s="34" t="s">
        <v>1309</v>
      </c>
      <c r="G120" s="30"/>
      <c r="H120" s="30">
        <v>12.07</v>
      </c>
      <c r="I120" s="30">
        <v>11</v>
      </c>
      <c r="J120" s="30"/>
      <c r="K120" s="30"/>
      <c r="L120" s="30" t="s">
        <v>139</v>
      </c>
    </row>
    <row r="121" spans="1:12" ht="15.75" thickBot="1" x14ac:dyDescent="0.25">
      <c r="A121" s="30">
        <v>119</v>
      </c>
      <c r="B121" s="31" t="s">
        <v>1310</v>
      </c>
      <c r="C121" s="32" t="s">
        <v>700</v>
      </c>
      <c r="D121" s="30" t="s">
        <v>890</v>
      </c>
      <c r="E121" s="33" t="s">
        <v>1311</v>
      </c>
      <c r="F121" s="34" t="s">
        <v>1312</v>
      </c>
      <c r="G121" s="30">
        <v>13.85</v>
      </c>
      <c r="H121" s="30">
        <v>9.48</v>
      </c>
      <c r="I121" s="30">
        <v>6.7</v>
      </c>
      <c r="J121" s="30"/>
      <c r="K121" s="30"/>
      <c r="L121" s="30" t="s">
        <v>897</v>
      </c>
    </row>
    <row r="122" spans="1:12" ht="15.75" thickBot="1" x14ac:dyDescent="0.25">
      <c r="A122" s="30">
        <v>120</v>
      </c>
      <c r="B122" s="31" t="s">
        <v>1313</v>
      </c>
      <c r="C122" s="32" t="s">
        <v>705</v>
      </c>
      <c r="D122" s="30" t="s">
        <v>890</v>
      </c>
      <c r="E122" s="33" t="s">
        <v>1314</v>
      </c>
      <c r="F122" s="34" t="s">
        <v>1315</v>
      </c>
      <c r="G122" s="30"/>
      <c r="H122" s="30">
        <v>10.43</v>
      </c>
      <c r="I122" s="30">
        <v>10.199999999999999</v>
      </c>
      <c r="J122" s="30"/>
      <c r="K122" s="30"/>
      <c r="L122" s="30" t="s">
        <v>998</v>
      </c>
    </row>
    <row r="123" spans="1:12" ht="15.75" thickBot="1" x14ac:dyDescent="0.25">
      <c r="A123" s="30">
        <v>121</v>
      </c>
      <c r="B123" s="31" t="s">
        <v>1316</v>
      </c>
      <c r="C123" s="32" t="s">
        <v>711</v>
      </c>
      <c r="D123" s="30" t="s">
        <v>890</v>
      </c>
      <c r="E123" s="33" t="s">
        <v>1317</v>
      </c>
      <c r="F123" s="34" t="s">
        <v>1318</v>
      </c>
      <c r="G123" s="30">
        <v>12.97</v>
      </c>
      <c r="H123" s="30">
        <v>11.28</v>
      </c>
      <c r="I123" s="30">
        <v>7.85</v>
      </c>
      <c r="J123" s="30"/>
      <c r="K123" s="30"/>
      <c r="L123" s="30" t="s">
        <v>998</v>
      </c>
    </row>
    <row r="124" spans="1:12" ht="15.75" thickBot="1" x14ac:dyDescent="0.25">
      <c r="A124" s="30">
        <v>122</v>
      </c>
      <c r="B124" s="31" t="s">
        <v>1319</v>
      </c>
      <c r="C124" s="32" t="s">
        <v>717</v>
      </c>
      <c r="D124" s="30" t="s">
        <v>900</v>
      </c>
      <c r="E124" s="33" t="s">
        <v>1320</v>
      </c>
      <c r="F124" s="34" t="s">
        <v>1321</v>
      </c>
      <c r="G124" s="30">
        <v>12.71</v>
      </c>
      <c r="H124" s="30">
        <v>10.43</v>
      </c>
      <c r="I124" s="30">
        <v>8.3699999999999992</v>
      </c>
      <c r="J124" s="30">
        <v>7.02</v>
      </c>
      <c r="K124" s="30">
        <v>5.96</v>
      </c>
      <c r="L124" s="30" t="s">
        <v>1322</v>
      </c>
    </row>
    <row r="125" spans="1:12" ht="15.75" thickBot="1" x14ac:dyDescent="0.25">
      <c r="A125" s="30">
        <v>123</v>
      </c>
      <c r="B125" s="31" t="s">
        <v>1323</v>
      </c>
      <c r="C125" s="32" t="s">
        <v>722</v>
      </c>
      <c r="D125" s="30" t="s">
        <v>890</v>
      </c>
      <c r="E125" s="33" t="s">
        <v>1324</v>
      </c>
      <c r="F125" s="34" t="s">
        <v>1325</v>
      </c>
      <c r="G125" s="30"/>
      <c r="H125" s="30">
        <v>12.22</v>
      </c>
      <c r="I125" s="30">
        <v>9.15</v>
      </c>
      <c r="J125" s="30"/>
      <c r="K125" s="30"/>
      <c r="L125" s="30" t="s">
        <v>1326</v>
      </c>
    </row>
    <row r="126" spans="1:12" ht="15.75" thickBot="1" x14ac:dyDescent="0.25">
      <c r="A126" s="30">
        <v>124</v>
      </c>
      <c r="B126" s="31" t="s">
        <v>1327</v>
      </c>
      <c r="C126" s="32" t="s">
        <v>728</v>
      </c>
      <c r="D126" s="30" t="s">
        <v>890</v>
      </c>
      <c r="E126" s="33" t="s">
        <v>1328</v>
      </c>
      <c r="F126" s="34" t="s">
        <v>1329</v>
      </c>
      <c r="G126" s="30"/>
      <c r="H126" s="30">
        <v>11.88</v>
      </c>
      <c r="I126" s="30">
        <v>8.5299999999999994</v>
      </c>
      <c r="J126" s="30">
        <v>6.39</v>
      </c>
      <c r="K126" s="30">
        <v>5</v>
      </c>
      <c r="L126" s="30" t="s">
        <v>39</v>
      </c>
    </row>
    <row r="127" spans="1:12" ht="15.75" thickBot="1" x14ac:dyDescent="0.25">
      <c r="A127" s="30">
        <v>125</v>
      </c>
      <c r="B127" s="31" t="s">
        <v>1330</v>
      </c>
      <c r="C127" s="32" t="s">
        <v>734</v>
      </c>
      <c r="D127" s="30" t="s">
        <v>890</v>
      </c>
      <c r="E127" s="33" t="s">
        <v>1331</v>
      </c>
      <c r="F127" s="34" t="s">
        <v>1332</v>
      </c>
      <c r="G127" s="30"/>
      <c r="H127" s="30">
        <v>11.74</v>
      </c>
      <c r="I127" s="30">
        <v>11.67</v>
      </c>
      <c r="J127" s="30"/>
      <c r="K127" s="30"/>
      <c r="L127" s="30" t="s">
        <v>1333</v>
      </c>
    </row>
    <row r="128" spans="1:12" ht="15.75" thickBot="1" x14ac:dyDescent="0.25">
      <c r="A128" s="30">
        <v>126</v>
      </c>
      <c r="B128" s="31" t="s">
        <v>1334</v>
      </c>
      <c r="C128" s="32" t="s">
        <v>738</v>
      </c>
      <c r="D128" s="30" t="s">
        <v>890</v>
      </c>
      <c r="E128" s="33" t="s">
        <v>1335</v>
      </c>
      <c r="F128" s="34" t="s">
        <v>1336</v>
      </c>
      <c r="G128" s="30"/>
      <c r="H128" s="30">
        <v>11.8</v>
      </c>
      <c r="I128" s="30">
        <v>8.5</v>
      </c>
      <c r="J128" s="30"/>
      <c r="K128" s="30"/>
      <c r="L128" s="30" t="s">
        <v>80</v>
      </c>
    </row>
    <row r="129" spans="1:12" ht="15.75" thickBot="1" x14ac:dyDescent="0.25">
      <c r="A129" s="30">
        <v>127</v>
      </c>
      <c r="B129" s="31" t="s">
        <v>1337</v>
      </c>
      <c r="C129" s="32" t="s">
        <v>743</v>
      </c>
      <c r="D129" s="30" t="s">
        <v>890</v>
      </c>
      <c r="E129" s="33" t="s">
        <v>1338</v>
      </c>
      <c r="F129" s="34" t="s">
        <v>1339</v>
      </c>
      <c r="G129" s="30">
        <v>13.26</v>
      </c>
      <c r="H129" s="30">
        <v>9.36</v>
      </c>
      <c r="I129" s="30">
        <v>6.5</v>
      </c>
      <c r="J129" s="30">
        <v>4.38</v>
      </c>
      <c r="K129" s="30">
        <v>2.82</v>
      </c>
      <c r="L129" s="30" t="s">
        <v>1198</v>
      </c>
    </row>
    <row r="130" spans="1:12" ht="15.75" thickBot="1" x14ac:dyDescent="0.25">
      <c r="A130" s="30">
        <v>128</v>
      </c>
      <c r="B130" s="31" t="s">
        <v>1340</v>
      </c>
      <c r="C130" s="32" t="s">
        <v>749</v>
      </c>
      <c r="D130" s="30" t="s">
        <v>890</v>
      </c>
      <c r="E130" s="33" t="s">
        <v>1341</v>
      </c>
      <c r="F130" s="34" t="s">
        <v>1342</v>
      </c>
      <c r="G130" s="30"/>
      <c r="H130" s="30">
        <v>12.92</v>
      </c>
      <c r="I130" s="30">
        <v>8.9</v>
      </c>
      <c r="J130" s="30"/>
      <c r="K130" s="30"/>
      <c r="L130" s="30" t="s">
        <v>39</v>
      </c>
    </row>
    <row r="131" spans="1:12" ht="15.75" thickBot="1" x14ac:dyDescent="0.25">
      <c r="A131" s="30">
        <v>129</v>
      </c>
      <c r="B131" s="31" t="s">
        <v>1343</v>
      </c>
      <c r="C131" s="32" t="s">
        <v>754</v>
      </c>
      <c r="D131" s="30" t="s">
        <v>890</v>
      </c>
      <c r="E131" s="33" t="s">
        <v>1344</v>
      </c>
      <c r="F131" s="34" t="s">
        <v>1345</v>
      </c>
      <c r="G131" s="30"/>
      <c r="H131" s="30">
        <v>12.95</v>
      </c>
      <c r="I131" s="30">
        <v>8.8000000000000007</v>
      </c>
      <c r="J131" s="30"/>
      <c r="K131" s="30"/>
      <c r="L131" s="30" t="s">
        <v>1346</v>
      </c>
    </row>
    <row r="132" spans="1:12" ht="15.75" thickBot="1" x14ac:dyDescent="0.25">
      <c r="A132" s="30">
        <v>130</v>
      </c>
      <c r="B132" s="31" t="s">
        <v>1347</v>
      </c>
      <c r="C132" s="32" t="s">
        <v>760</v>
      </c>
      <c r="D132" s="30" t="s">
        <v>890</v>
      </c>
      <c r="E132" s="33" t="s">
        <v>1348</v>
      </c>
      <c r="F132" s="34" t="s">
        <v>1349</v>
      </c>
      <c r="G132" s="30"/>
      <c r="H132" s="30">
        <v>11.85</v>
      </c>
      <c r="I132" s="30">
        <v>5.9</v>
      </c>
      <c r="J132" s="30"/>
      <c r="K132" s="30"/>
      <c r="L132" s="30" t="s">
        <v>1350</v>
      </c>
    </row>
    <row r="133" spans="1:12" ht="15.75" thickBot="1" x14ac:dyDescent="0.25">
      <c r="A133" s="30">
        <v>131</v>
      </c>
      <c r="B133" s="31" t="s">
        <v>1351</v>
      </c>
      <c r="C133" s="32" t="s">
        <v>765</v>
      </c>
      <c r="D133" s="30" t="s">
        <v>890</v>
      </c>
      <c r="E133" s="33" t="s">
        <v>1352</v>
      </c>
      <c r="F133" s="34" t="s">
        <v>1353</v>
      </c>
      <c r="G133" s="30"/>
      <c r="H133" s="30">
        <v>13.98</v>
      </c>
      <c r="I133" s="30">
        <v>9.86</v>
      </c>
      <c r="J133" s="30">
        <v>10.3</v>
      </c>
      <c r="K133" s="30"/>
      <c r="L133" s="30" t="s">
        <v>1261</v>
      </c>
    </row>
    <row r="134" spans="1:12" ht="15.75" thickBot="1" x14ac:dyDescent="0.25">
      <c r="A134" s="30">
        <v>132</v>
      </c>
      <c r="B134" s="31" t="s">
        <v>1354</v>
      </c>
      <c r="C134" s="32" t="s">
        <v>769</v>
      </c>
      <c r="D134" s="30" t="s">
        <v>890</v>
      </c>
      <c r="E134" s="33" t="s">
        <v>1355</v>
      </c>
      <c r="F134" s="34" t="s">
        <v>1356</v>
      </c>
      <c r="G134" s="30"/>
      <c r="H134" s="30">
        <v>14.21</v>
      </c>
      <c r="I134" s="30">
        <v>10.68</v>
      </c>
      <c r="J134" s="30">
        <v>8.74</v>
      </c>
      <c r="K134" s="30"/>
      <c r="L134" s="30" t="s">
        <v>1357</v>
      </c>
    </row>
    <row r="135" spans="1:12" ht="15.75" thickBot="1" x14ac:dyDescent="0.25">
      <c r="A135" s="30">
        <v>133</v>
      </c>
      <c r="B135" s="31" t="s">
        <v>1358</v>
      </c>
      <c r="C135" s="32" t="s">
        <v>773</v>
      </c>
      <c r="D135" s="30" t="s">
        <v>890</v>
      </c>
      <c r="E135" s="33" t="s">
        <v>1359</v>
      </c>
      <c r="F135" s="34" t="s">
        <v>1360</v>
      </c>
      <c r="G135" s="30"/>
      <c r="H135" s="30">
        <v>14.05</v>
      </c>
      <c r="I135" s="30">
        <v>7.7</v>
      </c>
      <c r="J135" s="30"/>
      <c r="K135" s="30"/>
      <c r="L135" s="30" t="s">
        <v>1361</v>
      </c>
    </row>
    <row r="136" spans="1:12" ht="15.75" thickBot="1" x14ac:dyDescent="0.25">
      <c r="A136" s="30">
        <v>134</v>
      </c>
      <c r="B136" s="31" t="s">
        <v>1362</v>
      </c>
      <c r="C136" s="32" t="s">
        <v>778</v>
      </c>
      <c r="D136" s="30" t="s">
        <v>1049</v>
      </c>
      <c r="E136" s="33" t="s">
        <v>1363</v>
      </c>
      <c r="F136" s="34" t="s">
        <v>1364</v>
      </c>
      <c r="G136" s="30"/>
      <c r="H136" s="30">
        <v>10.82</v>
      </c>
      <c r="I136" s="30">
        <v>11</v>
      </c>
      <c r="J136" s="30"/>
      <c r="K136" s="30"/>
      <c r="L136" s="30" t="s">
        <v>1365</v>
      </c>
    </row>
    <row r="137" spans="1:12" ht="15.75" thickBot="1" x14ac:dyDescent="0.25">
      <c r="A137" s="30">
        <v>135</v>
      </c>
      <c r="B137" s="31" t="s">
        <v>1366</v>
      </c>
      <c r="C137" s="32" t="s">
        <v>1367</v>
      </c>
      <c r="D137" s="30" t="s">
        <v>900</v>
      </c>
      <c r="E137" s="33" t="s">
        <v>1368</v>
      </c>
      <c r="F137" s="34" t="s">
        <v>1369</v>
      </c>
      <c r="G137" s="30"/>
      <c r="H137" s="30">
        <v>9.41</v>
      </c>
      <c r="I137" s="30">
        <v>8.1199999999999992</v>
      </c>
      <c r="J137" s="30"/>
      <c r="K137" s="30"/>
      <c r="L137" s="30" t="s">
        <v>1370</v>
      </c>
    </row>
    <row r="138" spans="1:12" ht="15.75" thickBot="1" x14ac:dyDescent="0.25">
      <c r="A138" s="30">
        <v>136</v>
      </c>
      <c r="B138" s="31" t="s">
        <v>1371</v>
      </c>
      <c r="C138" s="32" t="s">
        <v>1372</v>
      </c>
      <c r="D138" s="30" t="s">
        <v>900</v>
      </c>
      <c r="E138" s="33" t="s">
        <v>1373</v>
      </c>
      <c r="F138" s="34" t="s">
        <v>1374</v>
      </c>
      <c r="G138" s="30">
        <v>9.73</v>
      </c>
      <c r="H138" s="30">
        <v>9.26</v>
      </c>
      <c r="I138" s="30">
        <v>8.16</v>
      </c>
      <c r="J138" s="30">
        <v>7.34</v>
      </c>
      <c r="K138" s="30">
        <v>6.82</v>
      </c>
      <c r="L138" s="30" t="s">
        <v>1375</v>
      </c>
    </row>
    <row r="139" spans="1:12" ht="15.75" thickBot="1" x14ac:dyDescent="0.25">
      <c r="A139" s="30">
        <v>137</v>
      </c>
      <c r="B139" s="31" t="s">
        <v>1376</v>
      </c>
      <c r="C139" s="32" t="s">
        <v>797</v>
      </c>
      <c r="D139" s="30" t="s">
        <v>890</v>
      </c>
      <c r="E139" s="33" t="s">
        <v>1377</v>
      </c>
      <c r="F139" s="34" t="s">
        <v>1378</v>
      </c>
      <c r="G139" s="30"/>
      <c r="H139" s="30">
        <v>12.13</v>
      </c>
      <c r="I139" s="30">
        <v>7.4</v>
      </c>
      <c r="J139" s="30"/>
      <c r="K139" s="30"/>
      <c r="L139" s="30" t="s">
        <v>265</v>
      </c>
    </row>
    <row r="140" spans="1:12" ht="15.75" thickBot="1" x14ac:dyDescent="0.25">
      <c r="A140" s="30">
        <v>138</v>
      </c>
      <c r="B140" s="31" t="s">
        <v>1379</v>
      </c>
      <c r="C140" s="32" t="s">
        <v>803</v>
      </c>
      <c r="D140" s="30" t="s">
        <v>890</v>
      </c>
      <c r="E140" s="33" t="s">
        <v>1380</v>
      </c>
      <c r="F140" s="34" t="s">
        <v>1381</v>
      </c>
      <c r="G140" s="30">
        <v>12.97</v>
      </c>
      <c r="H140" s="30">
        <v>8.32</v>
      </c>
      <c r="I140" s="30">
        <v>5.84</v>
      </c>
      <c r="J140" s="30">
        <v>4.0999999999999996</v>
      </c>
      <c r="K140" s="30">
        <v>2.71</v>
      </c>
      <c r="L140" s="30" t="s">
        <v>897</v>
      </c>
    </row>
    <row r="141" spans="1:12" ht="15.75" thickBot="1" x14ac:dyDescent="0.25">
      <c r="A141" s="30">
        <v>139</v>
      </c>
      <c r="B141" s="31" t="s">
        <v>1382</v>
      </c>
      <c r="C141" s="32" t="s">
        <v>808</v>
      </c>
      <c r="D141" s="30" t="s">
        <v>890</v>
      </c>
      <c r="E141" s="33" t="s">
        <v>1383</v>
      </c>
      <c r="F141" s="34" t="s">
        <v>1384</v>
      </c>
      <c r="G141" s="30"/>
      <c r="H141" s="30">
        <v>12.01</v>
      </c>
      <c r="I141" s="30">
        <v>10.8</v>
      </c>
      <c r="J141" s="30"/>
      <c r="K141" s="30"/>
      <c r="L141" s="30" t="s">
        <v>1385</v>
      </c>
    </row>
    <row r="142" spans="1:12" ht="15.75" thickBot="1" x14ac:dyDescent="0.25">
      <c r="A142" s="30">
        <v>140</v>
      </c>
      <c r="B142" s="31" t="s">
        <v>1386</v>
      </c>
      <c r="C142" s="32" t="s">
        <v>813</v>
      </c>
      <c r="D142" s="30" t="s">
        <v>890</v>
      </c>
      <c r="E142" s="33" t="s">
        <v>1387</v>
      </c>
      <c r="F142" s="34" t="s">
        <v>1388</v>
      </c>
      <c r="G142" s="30"/>
      <c r="H142" s="30">
        <v>13.39</v>
      </c>
      <c r="I142" s="30">
        <v>12.3</v>
      </c>
      <c r="J142" s="30"/>
      <c r="K142" s="30"/>
      <c r="L142" s="30" t="s">
        <v>1389</v>
      </c>
    </row>
    <row r="143" spans="1:12" ht="15.75" thickBot="1" x14ac:dyDescent="0.25">
      <c r="A143" s="30">
        <v>141</v>
      </c>
      <c r="B143" s="31" t="s">
        <v>1390</v>
      </c>
      <c r="C143" s="32" t="s">
        <v>818</v>
      </c>
      <c r="D143" s="30" t="s">
        <v>890</v>
      </c>
      <c r="E143" s="33" t="s">
        <v>1391</v>
      </c>
      <c r="F143" s="34" t="s">
        <v>1392</v>
      </c>
      <c r="G143" s="30"/>
      <c r="H143" s="30">
        <v>11.16</v>
      </c>
      <c r="I143" s="30">
        <v>8.14</v>
      </c>
      <c r="J143" s="30"/>
      <c r="K143" s="30"/>
      <c r="L143" s="30" t="s">
        <v>1393</v>
      </c>
    </row>
    <row r="144" spans="1:12" ht="15.75" thickBot="1" x14ac:dyDescent="0.25">
      <c r="A144" s="30">
        <v>142</v>
      </c>
      <c r="B144" s="31" t="s">
        <v>1394</v>
      </c>
      <c r="C144" s="32" t="s">
        <v>825</v>
      </c>
      <c r="D144" s="30" t="s">
        <v>1395</v>
      </c>
      <c r="E144" s="33" t="s">
        <v>1396</v>
      </c>
      <c r="F144" s="34" t="s">
        <v>1397</v>
      </c>
      <c r="G144" s="30"/>
      <c r="H144" s="30">
        <v>11.4</v>
      </c>
      <c r="I144" s="30">
        <v>7.6</v>
      </c>
      <c r="J144" s="30"/>
      <c r="K144" s="30"/>
      <c r="L144" s="30" t="s">
        <v>1398</v>
      </c>
    </row>
    <row r="145" spans="1:12" ht="15.75" thickBot="1" x14ac:dyDescent="0.25">
      <c r="A145" s="30">
        <v>143</v>
      </c>
      <c r="B145" s="31" t="s">
        <v>1399</v>
      </c>
      <c r="C145" s="32" t="s">
        <v>831</v>
      </c>
      <c r="D145" s="30" t="s">
        <v>890</v>
      </c>
      <c r="E145" s="33" t="s">
        <v>1400</v>
      </c>
      <c r="F145" s="34" t="s">
        <v>1401</v>
      </c>
      <c r="G145" s="30"/>
      <c r="H145" s="30">
        <v>11.6</v>
      </c>
      <c r="I145" s="30">
        <v>11.54</v>
      </c>
      <c r="J145" s="30"/>
      <c r="K145" s="30"/>
      <c r="L145" s="30" t="s">
        <v>203</v>
      </c>
    </row>
    <row r="146" spans="1:12" ht="15.75" thickBot="1" x14ac:dyDescent="0.25">
      <c r="A146" s="30">
        <v>144</v>
      </c>
      <c r="B146" s="31" t="s">
        <v>1402</v>
      </c>
      <c r="C146" s="32" t="s">
        <v>835</v>
      </c>
      <c r="D146" s="30" t="s">
        <v>890</v>
      </c>
      <c r="E146" s="33" t="s">
        <v>1403</v>
      </c>
      <c r="F146" s="34" t="s">
        <v>1404</v>
      </c>
      <c r="G146" s="30"/>
      <c r="H146" s="30">
        <v>12.13</v>
      </c>
      <c r="I146" s="30">
        <v>9.33</v>
      </c>
      <c r="J146" s="30"/>
      <c r="K146" s="30"/>
      <c r="L146" s="30" t="s">
        <v>897</v>
      </c>
    </row>
    <row r="147" spans="1:12" ht="15.75" thickBot="1" x14ac:dyDescent="0.25">
      <c r="A147" s="30">
        <v>145</v>
      </c>
      <c r="B147" s="31" t="s">
        <v>1405</v>
      </c>
      <c r="C147" s="32" t="s">
        <v>839</v>
      </c>
      <c r="D147" s="30" t="s">
        <v>890</v>
      </c>
      <c r="E147" s="33" t="s">
        <v>1406</v>
      </c>
      <c r="F147" s="34" t="s">
        <v>1407</v>
      </c>
      <c r="G147" s="30"/>
      <c r="H147" s="30">
        <v>13.26</v>
      </c>
      <c r="I147" s="30">
        <v>9.6</v>
      </c>
      <c r="J147" s="30"/>
      <c r="K147" s="30"/>
      <c r="L147" s="30" t="s">
        <v>1408</v>
      </c>
    </row>
    <row r="148" spans="1:12" ht="15.75" thickBot="1" x14ac:dyDescent="0.25">
      <c r="A148" s="30">
        <v>146</v>
      </c>
      <c r="B148" s="31" t="s">
        <v>1409</v>
      </c>
      <c r="C148" s="32" t="s">
        <v>844</v>
      </c>
      <c r="D148" s="30" t="s">
        <v>1410</v>
      </c>
      <c r="E148" s="33" t="s">
        <v>1411</v>
      </c>
      <c r="F148" s="34" t="s">
        <v>1412</v>
      </c>
      <c r="G148" s="30"/>
      <c r="H148" s="30">
        <v>10.47</v>
      </c>
      <c r="I148" s="30">
        <v>9.2799999999999994</v>
      </c>
      <c r="J148" s="30"/>
      <c r="K148" s="30"/>
      <c r="L148" s="30" t="s">
        <v>849</v>
      </c>
    </row>
    <row r="149" spans="1:12" ht="15.75" thickBot="1" x14ac:dyDescent="0.25">
      <c r="A149" s="30">
        <v>147</v>
      </c>
      <c r="B149" s="31" t="s">
        <v>1413</v>
      </c>
      <c r="C149" s="32" t="s">
        <v>851</v>
      </c>
      <c r="D149" s="30" t="s">
        <v>890</v>
      </c>
      <c r="E149" s="33" t="s">
        <v>1414</v>
      </c>
      <c r="F149" s="34" t="s">
        <v>1415</v>
      </c>
      <c r="G149" s="30"/>
      <c r="H149" s="30">
        <v>12.14</v>
      </c>
      <c r="I149" s="30">
        <v>10.8</v>
      </c>
      <c r="J149" s="30"/>
      <c r="K149" s="30"/>
      <c r="L149" s="30" t="s">
        <v>258</v>
      </c>
    </row>
    <row r="150" spans="1:12" ht="15.75" thickBot="1" x14ac:dyDescent="0.25">
      <c r="A150" s="30">
        <v>148</v>
      </c>
      <c r="B150" s="31" t="s">
        <v>1416</v>
      </c>
      <c r="C150" s="32" t="s">
        <v>855</v>
      </c>
      <c r="D150" s="30" t="s">
        <v>890</v>
      </c>
      <c r="E150" s="33" t="s">
        <v>1417</v>
      </c>
      <c r="F150" s="34" t="s">
        <v>1418</v>
      </c>
      <c r="G150" s="30"/>
      <c r="H150" s="30">
        <v>13.09</v>
      </c>
      <c r="I150" s="30">
        <v>7.7</v>
      </c>
      <c r="J150" s="30"/>
      <c r="K150" s="30"/>
      <c r="L150" s="30" t="s">
        <v>1419</v>
      </c>
    </row>
    <row r="151" spans="1:12" ht="15.75" thickBot="1" x14ac:dyDescent="0.25">
      <c r="A151" s="30">
        <v>149</v>
      </c>
      <c r="B151" s="31" t="s">
        <v>1420</v>
      </c>
      <c r="C151" s="32" t="s">
        <v>861</v>
      </c>
      <c r="D151" s="30" t="s">
        <v>890</v>
      </c>
      <c r="E151" s="33" t="s">
        <v>1421</v>
      </c>
      <c r="F151" s="34" t="s">
        <v>1422</v>
      </c>
      <c r="G151" s="30">
        <v>10.95</v>
      </c>
      <c r="H151" s="30">
        <v>7.62</v>
      </c>
      <c r="I151" s="30">
        <v>5.0199999999999996</v>
      </c>
      <c r="J151" s="30">
        <v>3.19</v>
      </c>
      <c r="K151" s="30">
        <v>1.82</v>
      </c>
      <c r="L151" s="30" t="s">
        <v>1423</v>
      </c>
    </row>
    <row r="152" spans="1:12" ht="15.75" thickBot="1" x14ac:dyDescent="0.25">
      <c r="A152" s="30">
        <v>150</v>
      </c>
      <c r="B152" s="31" t="s">
        <v>1424</v>
      </c>
      <c r="C152" s="32" t="s">
        <v>1425</v>
      </c>
      <c r="D152" s="30" t="s">
        <v>890</v>
      </c>
      <c r="E152" s="33" t="s">
        <v>1426</v>
      </c>
      <c r="F152" s="34" t="s">
        <v>1427</v>
      </c>
      <c r="G152" s="30"/>
      <c r="H152" s="30">
        <v>9.8699999999999992</v>
      </c>
      <c r="I152" s="30">
        <v>8.5</v>
      </c>
      <c r="J152" s="30"/>
      <c r="K152" s="30"/>
      <c r="L152" s="30" t="s">
        <v>1428</v>
      </c>
    </row>
  </sheetData>
  <sheetProtection selectLockedCells="1" selectUnlockedCells="1"/>
  <mergeCells count="10">
    <mergeCell ref="I1:I2"/>
    <mergeCell ref="J1:J2"/>
    <mergeCell ref="K1:K2"/>
    <mergeCell ref="L1:L2"/>
    <mergeCell ref="A1:A2"/>
    <mergeCell ref="B1:B2"/>
    <mergeCell ref="C1:C2"/>
    <mergeCell ref="D1:D2"/>
    <mergeCell ref="G1:G2"/>
    <mergeCell ref="H1:H2"/>
  </mergeCells>
  <phoneticPr fontId="5" type="noConversion"/>
  <hyperlinks>
    <hyperlink ref="D1" r:id="rId1" display="http://simbad.u-strasbg.fr/simbad/sim-display?data=otypes"/>
    <hyperlink ref="B3" r:id="rId2" display="http://simbad.u-strasbg.fr/simbad/sim-id?Ident=%40129430&amp;Name=V*%20WZ%20Cas&amp;submit=submit"/>
    <hyperlink ref="B4" r:id="rId3" display="http://simbad.u-strasbg.fr/simbad/sim-id?Ident=%401588634&amp;Name=V*%20SU%20And&amp;submit=submit"/>
    <hyperlink ref="B5" r:id="rId4" display="http://simbad.u-strasbg.fr/simbad/sim-id?Ident=%401423061&amp;Name=HD%20%20%20%20%2026&amp;submit=submit"/>
    <hyperlink ref="B6" r:id="rId5" display="http://simbad.u-strasbg.fr/simbad/sim-id?Ident=%4021932&amp;Name=V*%20ST%20Cas&amp;submit=submit"/>
    <hyperlink ref="B7" r:id="rId6" display="http://simbad.u-strasbg.fr/simbad/sim-id?Ident=%4011671284&amp;Name=V*%20VX%20And&amp;submit=submit"/>
    <hyperlink ref="B8" r:id="rId7" display="http://simbad.u-strasbg.fr/simbad/sim-id?Ident=%4081222&amp;Name=V*%20NQ%20Cas&amp;submit=submit"/>
    <hyperlink ref="B9" r:id="rId8" display="http://simbad.u-strasbg.fr/simbad/sim-id?Ident=%401531224&amp;Name=V*%20AQ%20And&amp;submit=submit"/>
    <hyperlink ref="B10" r:id="rId9" display="http://simbad.u-strasbg.fr/simbad/sim-id?Ident=%401484061&amp;Name=HD%20%20%205223&amp;submit=submit"/>
    <hyperlink ref="B11" r:id="rId10" display="http://simbad.u-strasbg.fr/simbad/sim-id?Ident=%40132149&amp;Name=V*%20W%20Cas&amp;submit=submit"/>
    <hyperlink ref="B12" r:id="rId11" display="http://simbad.u-strasbg.fr/simbad/sim-id?Ident=%401494518&amp;Name=V*%20Z%20Psc&amp;submit=submit"/>
    <hyperlink ref="B13" r:id="rId12" display="http://simbad.u-strasbg.fr/simbad/sim-id?Ident=%401212423&amp;Name=V*%20R%20Scl&amp;submit=submit"/>
    <hyperlink ref="B14" r:id="rId13" display="http://simbad.u-strasbg.fr/simbad/sim-id?Ident=%40133984&amp;Name=V*%20WW%20Cas&amp;submit=submit"/>
    <hyperlink ref="B15" r:id="rId14" display="http://simbad.u-strasbg.fr/simbad/sim-id?Ident=%401456285&amp;Name=V*%20V%20Ari&amp;submit=submit"/>
    <hyperlink ref="B16" r:id="rId15" display="http://simbad.u-strasbg.fr/simbad/sim-id?Ident=%4011675624&amp;Name=V*%20R%20For&amp;submit=submit"/>
    <hyperlink ref="B17" r:id="rId16" display="http://simbad.u-strasbg.fr/simbad/sim-id?Ident=%401318786&amp;Name=HD%20%2016115&amp;submit=submit"/>
    <hyperlink ref="B18" r:id="rId17" display="http://simbad.u-strasbg.fr/simbad/sim-id?Ident=%4011684907&amp;Name=V*%20DY%20Per&amp;submit=submit"/>
    <hyperlink ref="B19" r:id="rId18" display="http://simbad.u-strasbg.fr/simbad/sim-id?Ident=%4011066&amp;Name=V*%20UY%20And&amp;submit=submit"/>
    <hyperlink ref="B20" r:id="rId19" display="http://simbad.u-strasbg.fr/simbad/sim-id?Ident=%40211160&amp;Name=HD%20%2019557&amp;submit=submit"/>
    <hyperlink ref="B21" r:id="rId20" display="http://simbad.u-strasbg.fr/simbad/sim-id?Ident=%40113032&amp;Name=V*%20Y%20Per&amp;submit=submit"/>
    <hyperlink ref="B22" r:id="rId21" display="http://simbad.u-strasbg.fr/simbad/sim-id?Ident=%40212721&amp;Name=HD%20232820&amp;submit=submit"/>
    <hyperlink ref="B23" r:id="rId22" display="http://simbad.u-strasbg.fr/simbad/sim-id?Ident=%40256325&amp;Name=V*%20U%20Cam&amp;submit=submit"/>
    <hyperlink ref="B24" r:id="rId23" display="http://simbad.u-strasbg.fr/simbad/sim-id?Ident=%40151791&amp;Name=V*%20AC%20Per&amp;submit=submit"/>
    <hyperlink ref="B25" r:id="rId24" display="http://simbad.u-strasbg.fr/simbad/sim-id?Ident=%40256419&amp;Name=V*%20UV%20Cam&amp;submit=submit"/>
    <hyperlink ref="B26" r:id="rId25" display="http://simbad.u-strasbg.fr/simbad/sim-id?Ident=%40244758&amp;Name=V*%20XX%20Cam&amp;submit=submit"/>
    <hyperlink ref="B27" r:id="rId26" display="http://simbad.u-strasbg.fr/simbad/sim-id?Ident=%40740108&amp;Name=V*%20T%20Cae&amp;submit=submit"/>
    <hyperlink ref="B28" r:id="rId27" display="http://simbad.u-strasbg.fr/simbad/sim-id?Ident=%40293327&amp;Name=V*%20ST%20Cam&amp;submit=submit"/>
    <hyperlink ref="B29" r:id="rId28" display="http://simbad.u-strasbg.fr/simbad/sim-id?Ident=%40732135&amp;Name=V*%20TT%20Tau&amp;submit=submit"/>
    <hyperlink ref="B30" r:id="rId29" display="http://simbad.u-strasbg.fr/simbad/sim-id?Ident=%40741252&amp;Name=HD%20280188&amp;submit=submit"/>
    <hyperlink ref="B31" r:id="rId30" display="http://simbad.u-strasbg.fr/simbad/sim-id?Ident=%40751371&amp;Name=V*%20R%20Lep&amp;submit=submit"/>
    <hyperlink ref="B32" r:id="rId31" display="http://simbad.u-strasbg.fr/simbad/sim-id?Ident=%40271740&amp;Name=HD%20%2032088&amp;submit=submit"/>
    <hyperlink ref="B33" r:id="rId32" display="http://simbad.u-strasbg.fr/simbad/sim-id?Ident=%40769989&amp;Name=V*%20W%20Ori&amp;submit=submit"/>
    <hyperlink ref="B34" r:id="rId33" display="http://simbad.u-strasbg.fr/simbad/sim-id?Ident=%40755174&amp;Name=V*%20TX%20Aur&amp;submit=submit"/>
    <hyperlink ref="B35" r:id="rId34" display="http://simbad.u-strasbg.fr/simbad/sim-id?Ident=%40771409&amp;Name=V*%20SY%20Eri&amp;submit=submit"/>
    <hyperlink ref="B36" r:id="rId35" display="http://simbad.u-strasbg.fr/simbad/sim-id?Ident=%408971962&amp;Name=V*%20UV%20Aur&amp;submit=submit"/>
    <hyperlink ref="B37" r:id="rId36" display="http://simbad.u-strasbg.fr/simbad/sim-id?Ident=%40792701&amp;Name=V*%20S%20Aur&amp;submit=submit"/>
    <hyperlink ref="B38" r:id="rId37" display="http://simbad.u-strasbg.fr/simbad/sim-id?Ident=%40797817&amp;Name=V*%20RT%20Ori&amp;submit=submit"/>
    <hyperlink ref="B39" r:id="rId38" display="http://simbad.u-strasbg.fr/simbad/sim-id?Ident=%40817188&amp;Name=V*%20SZ%20Lep&amp;submit=submit"/>
    <hyperlink ref="B40" r:id="rId39" display="http://simbad.u-strasbg.fr/simbad/sim-id?Ident=%40319951&amp;Name=V*%20S%20Cam&amp;submit=submit"/>
    <hyperlink ref="B41" r:id="rId40" display="http://simbad.u-strasbg.fr/simbad/sim-id?Ident=%40822989&amp;Name=V*%20TU%20Tau&amp;submit=submit"/>
    <hyperlink ref="B42" r:id="rId41" display="http://simbad.u-strasbg.fr/simbad/sim-id?Ident=%40823436&amp;Name=V*%20Y%20Tau&amp;submit=submit"/>
    <hyperlink ref="B43" r:id="rId42" display="http://simbad.u-strasbg.fr/simbad/sim-id?Ident=%40821922&amp;Name=V*%20FU%20Aur&amp;submit=submit"/>
    <hyperlink ref="B44" r:id="rId43" display="http://simbad.u-strasbg.fr/simbad/sim-id?Ident=%40841639&amp;Name=V*%20SU%20Tau&amp;submit=submit"/>
    <hyperlink ref="B45" r:id="rId44" display="http://simbad.u-strasbg.fr/simbad/sim-id?Ident=%40852733&amp;Name=V*%20TU%20Gem&amp;submit=submit"/>
    <hyperlink ref="B46" r:id="rId45" display="http://simbad.u-strasbg.fr/simbad/sim-id?Ident=%40876284&amp;Name=V*%20GK%20Ori&amp;submit=submit"/>
    <hyperlink ref="B47" r:id="rId46" display="http://simbad.u-strasbg.fr/simbad/sim-id?Ident=%40877249&amp;Name=V*%20FU%20Mon&amp;submit=submit"/>
    <hyperlink ref="B48" r:id="rId47" display="http://simbad.u-strasbg.fr/simbad/sim-id?Ident=%40350343&amp;Name=V*%20V%20Aur&amp;submit=submit"/>
    <hyperlink ref="B49" r:id="rId48" display="http://simbad.u-strasbg.fr/simbad/sim-id?Ident=%40887467&amp;Name=V*%20BL%20Ori&amp;submit=submit"/>
    <hyperlink ref="B50" r:id="rId49" display="http://simbad.u-strasbg.fr/simbad/sim-id?Ident=%40898619&amp;Name=V*%20RV%20Aur&amp;submit=submit"/>
    <hyperlink ref="B51" r:id="rId50" display="http://simbad.u-strasbg.fr/simbad/sim-id?Ident=%40899136&amp;Name=V*%20UU%20Aur&amp;submit=submit"/>
    <hyperlink ref="B52" r:id="rId51" display="http://simbad.u-strasbg.fr/simbad/sim-id?Ident=%40899956&amp;Name=V*%20VW%20Gem&amp;submit=submit"/>
    <hyperlink ref="B53" r:id="rId52" display="http://simbad.u-strasbg.fr/simbad/sim-id?Ident=%40927565&amp;Name=V*%20GY%20Mon&amp;submit=submit"/>
    <hyperlink ref="B54" r:id="rId53" display="http://simbad.u-strasbg.fr/simbad/sim-id?Ident=%40934230&amp;Name=V*%20NP%20Pup&amp;submit=submit"/>
    <hyperlink ref="B55" r:id="rId54" display="http://simbad.u-strasbg.fr/simbad/sim-id?Ident=%40938989&amp;Name=V*%20RV%20Mon&amp;submit=submit"/>
    <hyperlink ref="B56" r:id="rId55" display="http://simbad.u-strasbg.fr/simbad/sim-id?Ident=%40942078&amp;Name=HD%20%2052432&amp;submit=submit"/>
    <hyperlink ref="B57" r:id="rId56" display="http://simbad.u-strasbg.fr/simbad/sim-id?Ident=%40943073&amp;Name=V*%20RY%20Mon&amp;submit=submit"/>
    <hyperlink ref="B58" r:id="rId57" display="http://simbad.u-strasbg.fr/simbad/sim-id?Ident=%40959600&amp;Name=V*%20W%20CMa&amp;submit=submit"/>
    <hyperlink ref="B59" r:id="rId58" display="http://simbad.u-strasbg.fr/simbad/sim-id?Ident=%40954870&amp;Name=V*%20R%20CMi&amp;submit=submit"/>
    <hyperlink ref="B60" r:id="rId59" display="http://simbad.u-strasbg.fr/simbad/sim-id?Ident=%40969158&amp;Name=V*%20BM%20Gem&amp;submit=submit"/>
    <hyperlink ref="B61" r:id="rId60" display="http://simbad.u-strasbg.fr/simbad/sim-id?Ident=%40368782&amp;Name=V*%20RU%20Cam&amp;submit=submit"/>
    <hyperlink ref="B62" r:id="rId61" display="http://simbad.u-strasbg.fr/simbad/sim-id?Ident=%40978053&amp;Name=V*%20BE%20CMa&amp;submit=submit"/>
    <hyperlink ref="B63" r:id="rId62" display="http://simbad.u-strasbg.fr/simbad/sim-id?Ident=%40985429&amp;Name=V*%20NQ%20Gem&amp;submit=submit"/>
    <hyperlink ref="B64" r:id="rId63" display="http://simbad.u-strasbg.fr/simbad/sim-id?Ident=%401007023&amp;Name=V*%20W%20CMi&amp;submit=submit"/>
    <hyperlink ref="B65" r:id="rId64" display="http://simbad.u-strasbg.fr/simbad/sim-id?Ident=%401058297&amp;Name=V*%20RT%20Pup&amp;submit=submit"/>
    <hyperlink ref="B66" r:id="rId65" display="http://simbad.u-strasbg.fr/simbad/sim-id?Ident=%401054512&amp;Name=V*%20RU%20Pup&amp;submit=submit"/>
    <hyperlink ref="B67" r:id="rId66" display="http://simbad.u-strasbg.fr/simbad/sim-id?Ident=%401053854&amp;Name=V*%20IR%20Pup&amp;submit=submit"/>
    <hyperlink ref="B68" r:id="rId67" display="http://simbad.u-strasbg.fr/simbad/sim-id?Ident=%401067574&amp;Name=V*%20RY%20Hya&amp;submit=submit"/>
    <hyperlink ref="B69" r:id="rId68" display="http://simbad.u-strasbg.fr/simbad/sim-id?Ident=%401070288&amp;Name=V*%20AC%20Pup&amp;submit=submit"/>
    <hyperlink ref="B70" r:id="rId69" display="http://simbad.u-strasbg.fr/simbad/sim-id?Ident=%401098883&amp;Name=V*%20YY%20Pyx&amp;submit=submit"/>
    <hyperlink ref="B71" r:id="rId70" display="http://simbad.u-strasbg.fr/simbad/sim-id?Ident=%401119997&amp;Name=V*%20UZ%20Pyx&amp;submit=submit"/>
    <hyperlink ref="B72" r:id="rId71" display="http://simbad.u-strasbg.fr/simbad/sim-id?Ident=%401126559&amp;Name=V*%20X%20Cnc&amp;submit=submit"/>
    <hyperlink ref="B73" r:id="rId72" display="http://simbad.u-strasbg.fr/simbad/sim-id?Ident=%401125652&amp;Name=V*%20T%20Cnc&amp;submit=submit"/>
    <hyperlink ref="B74" r:id="rId73" display="http://simbad.u-strasbg.fr/simbad/sim-id?Ident=%40538550&amp;Name=V*%20RT%20UMa&amp;submit=submit"/>
    <hyperlink ref="B75" r:id="rId74" display="http://simbad.u-strasbg.fr/simbad/sim-id?Ident=%401663869&amp;Name=V*%20Y%20Hya&amp;submit=submit"/>
    <hyperlink ref="B76" r:id="rId75" display="http://simbad.u-strasbg.fr/simbad/sim-id?Ident=%403029839&amp;Name=V*%20X%20Vel&amp;submit=submit"/>
    <hyperlink ref="B77" r:id="rId76" display="http://simbad.u-strasbg.fr/simbad/sim-id?Ident=%403173414&amp;Name=V*%20SZ%20Car&amp;submit=submit"/>
    <hyperlink ref="B78" r:id="rId77" display="http://simbad.u-strasbg.fr/simbad/sim-id?Ident=%401704220&amp;Name=V*%20AB%20Ant&amp;submit=submit"/>
    <hyperlink ref="B79" r:id="rId78" display="http://simbad.u-strasbg.fr/simbad/sim-id?Ident=%401741972&amp;Name=V*%20U%20Ant&amp;submit=submit"/>
    <hyperlink ref="B80" r:id="rId79" display="http://simbad.u-strasbg.fr/simbad/sim-id?Ident=%401738353&amp;Name=V*%20U%20Hya&amp;submit=submit"/>
    <hyperlink ref="B81" r:id="rId80" display="http://simbad.u-strasbg.fr/simbad/sim-id?Ident=%40448645&amp;Name=V*%20VY%20UMa&amp;submit=submit"/>
    <hyperlink ref="B82" r:id="rId81" display="http://simbad.u-strasbg.fr/simbad/sim-id?Ident=%403222333&amp;Name=V*%20TZ%20Car&amp;submit=submit"/>
    <hyperlink ref="B83" r:id="rId82" display="http://simbad.u-strasbg.fr/simbad/sim-id?Ident=%401759585&amp;Name=V*%20V%20Hya&amp;submit=submit"/>
    <hyperlink ref="B84" r:id="rId83" display="http://simbad.u-strasbg.fr/simbad/sim-id?Ident=%403216627&amp;Name=V*%20SY%20Car&amp;submit=submit"/>
    <hyperlink ref="B85" r:id="rId84" display="http://simbad.u-strasbg.fr/simbad/sim-id?Ident=%403295005&amp;Name=V*%20S%20Cen&amp;submit=submit"/>
    <hyperlink ref="B86" r:id="rId85" display="http://simbad.u-strasbg.fr/simbad/sim-id?Ident=%401940001&amp;Name=V*%20SS%20Vir&amp;submit=submit"/>
    <hyperlink ref="B87" r:id="rId86" display="http://simbad.u-strasbg.fr/simbad/sim-id?Ident=%40608073&amp;Name=V*%20Y%20CVn&amp;submit=submit"/>
    <hyperlink ref="B88" r:id="rId87" display="http://simbad.u-strasbg.fr/simbad/sim-id?Ident=%401993198&amp;Name=V*%20RU%20Vir&amp;submit=submit"/>
    <hyperlink ref="B89" r:id="rId88" display="http://simbad.u-strasbg.fr/simbad/sim-id?Ident=%403312684&amp;Name=V*%20DY%20Cru&amp;submit=submit"/>
    <hyperlink ref="B90" r:id="rId89" display="http://simbad.u-strasbg.fr/simbad/sim-id?Ident=%40461463&amp;Name=V*%20RY%20Dra&amp;submit=submit"/>
    <hyperlink ref="B91" r:id="rId90" display="http://simbad.u-strasbg.fr/simbad/sim-id?Ident=%402006918&amp;Name=HD%20112869&amp;submit=submit"/>
    <hyperlink ref="B92" r:id="rId91" display="http://simbad.u-strasbg.fr/simbad/sim-id?Ident=%402059543&amp;Name=HD%20113801&amp;submit=submit"/>
    <hyperlink ref="B93" r:id="rId92" display="http://simbad.u-strasbg.fr/simbad/sim-id?Ident=%402399414&amp;Name=HD%20137613&amp;submit=submit"/>
    <hyperlink ref="B94" r:id="rId93" display="http://simbad.u-strasbg.fr/simbad/sim-id?Ident=%402831935&amp;Name=V*%20R%20CrB&amp;submit=submit"/>
    <hyperlink ref="B95" r:id="rId94" display="http://simbad.u-strasbg.fr/simbad/sim-id?Ident=%402939300&amp;Name=V*%20V%20CrB&amp;submit=submit"/>
    <hyperlink ref="B96" r:id="rId95" display="http://simbad.u-strasbg.fr/simbad/sim-id?Ident=%40442080&amp;Name=V*%20RR%20Her&amp;submit=submit"/>
    <hyperlink ref="B97" r:id="rId96" display="http://simbad.u-strasbg.fr/simbad/sim-id?Ident=%402579561&amp;Name=V*%20V%20Oph&amp;submit=submit"/>
    <hyperlink ref="B98" r:id="rId97" display="http://simbad.u-strasbg.fr/simbad/sim-id?Ident=%402359335&amp;Name=V*%20SU%20Sco&amp;submit=submit"/>
    <hyperlink ref="B99" r:id="rId98" display="http://simbad.u-strasbg.fr/simbad/sim-id?Ident=%402379703&amp;Name=MSB%2058&amp;submit=submit"/>
    <hyperlink ref="B100" r:id="rId99" display="http://simbad.u-strasbg.fr/simbad/sim-id?Ident=%402944733&amp;Name=HD%20156074&amp;submit=submit"/>
    <hyperlink ref="B101" r:id="rId100" display="http://simbad.u-strasbg.fr/simbad/sim-id?Ident=%402547373&amp;Name=V*%20TW%20Oph&amp;submit=submit"/>
    <hyperlink ref="B102" r:id="rId101" display="http://simbad.u-strasbg.fr/simbad/sim-id?Ident=%403464613&amp;Name=V*%20V%20Pav&amp;submit=submit"/>
    <hyperlink ref="B103" r:id="rId102" display="http://simbad.u-strasbg.fr/simbad/sim-id?Ident=%402547866&amp;Name=V*%20SZ%20Sgr&amp;submit=submit"/>
    <hyperlink ref="B104" r:id="rId103" display="http://simbad.u-strasbg.fr/simbad/sim-id?Ident=%402365350&amp;Name=V*%20SX%20Sco&amp;submit=submit"/>
    <hyperlink ref="B105" r:id="rId104" display="http://simbad.u-strasbg.fr/simbad/sim-id?Ident=%40323755&amp;Name=V*%20T%20Dra&amp;submit=submit"/>
    <hyperlink ref="B106" r:id="rId105" display="http://simbad.u-strasbg.fr/simbad/sim-id?Ident=%402564082&amp;Name=V*%20FO%20Ser&amp;submit=submit"/>
    <hyperlink ref="B107" r:id="rId106" display="http://simbad.u-strasbg.fr/simbad/sim-id?Ident=%402766868&amp;Name=V*%20AC%20Her&amp;submit=submit"/>
    <hyperlink ref="B108" r:id="rId107" display="http://simbad.u-strasbg.fr/simbad/sim-id?Ident=%402552581&amp;Name=V*%20SS%20Sgr&amp;submit=submit"/>
    <hyperlink ref="B109" r:id="rId108" display="http://simbad.u-strasbg.fr/simbad/sim-id?Ident=%402899696&amp;Name=V*%20T%20Lyr&amp;submit=submit"/>
    <hyperlink ref="B110" r:id="rId109" display="http://simbad.u-strasbg.fr/simbad/sim-id?Ident=%402900046&amp;Name=V*%20HK%20Lyr&amp;submit=submit"/>
    <hyperlink ref="B111" r:id="rId110" display="http://simbad.u-strasbg.fr/simbad/sim-id?Ident=%402587798&amp;Name=V*%20RV%20Sct&amp;submit=submit"/>
    <hyperlink ref="B112" r:id="rId111" display="http://simbad.u-strasbg.fr/simbad/sim-id?Ident=%402672217&amp;Name=V*%20DR%20Ser&amp;submit=submit"/>
    <hyperlink ref="B113" r:id="rId112" display="http://simbad.u-strasbg.fr/simbad/sim-id?Ident=%402613624&amp;Name=V*%20S%20Sct&amp;submit=submit"/>
    <hyperlink ref="B114" r:id="rId113" display="http://simbad.u-strasbg.fr/simbad/sim-id?Ident=%402735526&amp;Name=V*%20UV%20Aql&amp;submit=submit"/>
    <hyperlink ref="B115" r:id="rId114" display="http://simbad.u-strasbg.fr/simbad/sim-id?Ident=%402616325&amp;Name=V*%20V%20Aql&amp;submit=submit"/>
    <hyperlink ref="B116" r:id="rId115" display="http://simbad.u-strasbg.fr/simbad/sim-id?Ident=%402569535&amp;Name=V*%20V1942%20Sgr&amp;submit=submit"/>
    <hyperlink ref="B117" r:id="rId116" display="http://simbad.u-strasbg.fr/simbad/sim-id?Ident=%402925299&amp;Name=V*%20U%20Lyr&amp;submit=submit"/>
    <hyperlink ref="B118" r:id="rId117" display="http://simbad.u-strasbg.fr/simbad/sim-id?Ident=%40301183&amp;Name=V*%20UX%20Dra&amp;submit=submit"/>
    <hyperlink ref="B119" r:id="rId118" display="http://simbad.u-strasbg.fr/simbad/sim-id?Ident=%402589762&amp;Name=HD%20182040&amp;submit=submit"/>
    <hyperlink ref="B120" r:id="rId119" display="http://simbad.u-strasbg.fr/simbad/sim-id?Ident=%40215132&amp;Name=V*%20AW%20Cyg&amp;submit=submit"/>
    <hyperlink ref="B121" r:id="rId120" display="http://simbad.u-strasbg.fr/simbad/sim-id?Ident=%402555937&amp;Name=V*%20AQ%20Sgr&amp;submit=submit"/>
    <hyperlink ref="B122" r:id="rId121" display="http://simbad.u-strasbg.fr/simbad/sim-id?Ident=%402870749&amp;Name=V*%20TT%20Cyg&amp;submit=submit"/>
    <hyperlink ref="B123" r:id="rId122" display="http://simbad.u-strasbg.fr/simbad/sim-id?Ident=%40152891&amp;Name=V*%20AX%20Cyg&amp;submit=submit"/>
    <hyperlink ref="B124" r:id="rId123" display="http://simbad.u-strasbg.fr/simbad/sim-id?Ident=%402708688&amp;Name=HD%20189711&amp;submit=submit"/>
    <hyperlink ref="B125" r:id="rId124" display="http://simbad.u-strasbg.fr/simbad/sim-id?Ident=%402791098&amp;Name=V*%20BF%20Sge&amp;submit=submit"/>
    <hyperlink ref="B126" r:id="rId125" display="http://simbad.u-strasbg.fr/simbad/sim-id?Ident=%402791579&amp;Name=V*%20X%20Sge&amp;submit=submit"/>
    <hyperlink ref="B127" r:id="rId126" display="http://simbad.u-strasbg.fr/simbad/sim-id?Ident=%40153404&amp;Name=V*%20SV%20Cyg&amp;submit=submit"/>
    <hyperlink ref="B128" r:id="rId127" display="http://simbad.u-strasbg.fr/simbad/sim-id?Ident=%402929511&amp;Name=V*%20RY%20Cyg&amp;submit=submit"/>
    <hyperlink ref="B129" r:id="rId128" display="http://simbad.u-strasbg.fr/simbad/sim-id?Ident=%402952803&amp;Name=V*%20RS%20Cyg&amp;submit=submit"/>
    <hyperlink ref="B130" r:id="rId129" display="http://simbad.u-strasbg.fr/simbad/sim-id?Ident=%402526747&amp;Name=V*%20RT%20Cap&amp;submit=submit"/>
    <hyperlink ref="B131" r:id="rId130" display="http://simbad.u-strasbg.fr/simbad/sim-id?Ident=%402954303&amp;Name=V*%20WX%20Cyg&amp;submit=submit"/>
    <hyperlink ref="B132" r:id="rId131" display="http://simbad.u-strasbg.fr/simbad/sim-id?Ident=%40154213&amp;Name=V*%20U%20Cyg&amp;submit=submit"/>
    <hyperlink ref="B133" r:id="rId132" display="http://simbad.u-strasbg.fr/simbad/sim-id?Ident=%40217847&amp;Name=MSB%2038&amp;submit=submit"/>
    <hyperlink ref="B134" r:id="rId133" display="http://simbad.u-strasbg.fr/simbad/sim-id?Ident=%402852327&amp;Name=V*%20BD%20Vul&amp;submit=submit"/>
    <hyperlink ref="B135" r:id="rId134" display="http://simbad.u-strasbg.fr/simbad/sim-id?Ident=%40116378&amp;Name=V*%20V%20Cyg&amp;submit=submit"/>
    <hyperlink ref="B136" r:id="rId135" display="http://simbad.u-strasbg.fr/simbad/sim-id?Ident=%4093201&amp;Name=V*%20CY%20Cyg&amp;submit=submit"/>
    <hyperlink ref="B137" r:id="rId136" display="http://simbad.u-strasbg.fr/simbad/sim-id?Ident=%402793271&amp;Name=HD%20198269&amp;submit=submit"/>
    <hyperlink ref="B138" r:id="rId137" display="http://simbad.u-strasbg.fr/simbad/sim-id?Ident=%401524404&amp;Name=HD%20201626&amp;submit=submit"/>
    <hyperlink ref="B139" r:id="rId138" display="http://simbad.u-strasbg.fr/simbad/sim-id?Ident=%40278007&amp;Name=V*%20S%20Cep&amp;submit=submit"/>
    <hyperlink ref="B140" r:id="rId139" display="http://simbad.u-strasbg.fr/simbad/sim-id?Ident=%401550849&amp;Name=V*%20V460%20Cyg&amp;submit=submit"/>
    <hyperlink ref="B141" r:id="rId140" display="http://simbad.u-strasbg.fr/simbad/sim-id?Ident=%401583618&amp;Name=V*%20RV%20Cyg&amp;submit=submit"/>
    <hyperlink ref="B142" r:id="rId141" display="http://simbad.u-strasbg.fr/simbad/sim-id?Ident=%4073221&amp;Name=V*%20LW%20Cyg&amp;submit=submit"/>
    <hyperlink ref="B143" r:id="rId142" display="http://simbad.u-strasbg.fr/simbad/sim-id?Ident=%401488049&amp;Name=V*%20RX%20Peg&amp;submit=submit"/>
    <hyperlink ref="B144" r:id="rId143" display="http://simbad.u-strasbg.fr/simbad/sim-id?Ident=%401540691&amp;Name=V*%20RZ%20Peg&amp;submit=submit"/>
    <hyperlink ref="B145" r:id="rId144" display="http://simbad.u-strasbg.fr/simbad/sim-id?Ident=%40159830&amp;Name=V*%20DG%20Cep&amp;submit=submit"/>
    <hyperlink ref="B146" r:id="rId145" display="http://simbad.u-strasbg.fr/simbad/sim-id?Ident=%4078675&amp;Name=V*%20TV%20Lac&amp;submit=submit"/>
    <hyperlink ref="B147" r:id="rId146" display="http://simbad.u-strasbg.fr/simbad/sim-id?Ident=%405256&amp;Name=V*%20VY%20And&amp;submit=submit"/>
    <hyperlink ref="B148" r:id="rId147" display="http://simbad.u-strasbg.fr/simbad/sim-id?Ident=%401294266&amp;Name=V*%20RU%20Aqr&amp;submit=submit"/>
    <hyperlink ref="B149" r:id="rId148" display="http://simbad.u-strasbg.fr/simbad/sim-id?Ident=%4020348&amp;Name=V*%20EW%20And&amp;submit=submit"/>
    <hyperlink ref="B150" r:id="rId149" display="http://simbad.u-strasbg.fr/simbad/sim-id?Ident=%401529987&amp;Name=V*%20ST%20And&amp;submit=submit"/>
    <hyperlink ref="B151" r:id="rId150" display="http://simbad.u-strasbg.fr/simbad/sim-id?Ident=%401402860&amp;Name=*%20%2019%20Psc&amp;submit=submit"/>
    <hyperlink ref="B152" r:id="rId151" display="http://simbad.u-strasbg.fr/simbad/sim-id?Ident=%401413205&amp;Name=HD%20223392&amp;submit=submit"/>
  </hyperlinks>
  <printOptions gridLines="1"/>
  <pageMargins left="0.19652777777777777" right="0.19652777777777777" top="0.46180555555555558" bottom="0.43402777777777779" header="0.19652777777777777" footer="0.19652777777777777"/>
  <pageSetup fitToHeight="5" orientation="portrait" horizontalDpi="300" verticalDpi="300" r:id="rId152"/>
  <headerFooter alignWithMargins="0">
    <oddHeader>&amp;C&amp;"Arial,Bold"&amp;12Carbon Star Hunter List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51"/>
  <sheetViews>
    <sheetView zoomScale="115" zoomScaleNormal="115" workbookViewId="0">
      <pane xSplit="2" ySplit="1" topLeftCell="C2" activePane="bottomRight" state="frozen"/>
      <selection pane="topRight" activeCell="J1" sqref="J1"/>
      <selection pane="bottomLeft" activeCell="A2" sqref="A2"/>
      <selection pane="bottomRight" activeCell="C1" sqref="C1:D13"/>
    </sheetView>
  </sheetViews>
  <sheetFormatPr defaultColWidth="11.5703125" defaultRowHeight="13.5" x14ac:dyDescent="0.2"/>
  <cols>
    <col min="1" max="1" width="10.28515625" style="5" customWidth="1"/>
    <col min="2" max="3" width="20" style="5" customWidth="1"/>
    <col min="4" max="4" width="20" style="36" customWidth="1"/>
    <col min="5" max="5" width="20" style="5" customWidth="1"/>
    <col min="6" max="6" width="13.28515625" style="5" customWidth="1"/>
    <col min="7" max="10" width="10.85546875" style="5" customWidth="1"/>
    <col min="11" max="12" width="11.7109375" style="1" customWidth="1"/>
    <col min="13" max="13" width="17.85546875" style="6" customWidth="1"/>
    <col min="14" max="15" width="17.85546875" style="14" customWidth="1"/>
    <col min="16" max="16" width="13.140625" style="14" customWidth="1"/>
    <col min="17" max="17" width="13.7109375" style="6" customWidth="1"/>
    <col min="18" max="18" width="10.7109375" style="7" customWidth="1"/>
    <col min="19" max="19" width="8.42578125" style="6" customWidth="1"/>
    <col min="20" max="20" width="12" style="6" customWidth="1"/>
    <col min="21" max="21" width="9.5703125" style="8" customWidth="1"/>
    <col min="22" max="22" width="22" style="1" customWidth="1"/>
    <col min="23" max="16384" width="11.5703125" style="10"/>
  </cols>
  <sheetData>
    <row r="1" spans="1:23" s="19" customFormat="1" x14ac:dyDescent="0.2">
      <c r="A1" s="1">
        <v>1</v>
      </c>
      <c r="B1" s="5" t="s">
        <v>23</v>
      </c>
      <c r="C1" s="5" t="s">
        <v>23</v>
      </c>
      <c r="D1" s="36" t="str">
        <f t="shared" ref="D1:D32" si="0">"R"&amp;A1&amp;W1</f>
        <v>R1B</v>
      </c>
      <c r="E1" s="36" t="str">
        <f t="shared" ref="E1:E32" si="1">"R"&amp;N1&amp;W1</f>
        <v>R6.9B</v>
      </c>
      <c r="F1" s="36" t="e">
        <f>OR((E1=E2),(E1=#REF!))</f>
        <v>#REF!</v>
      </c>
      <c r="G1" s="1">
        <f>VLOOKUP(C1,SIMBAD!C:I,7,0)</f>
        <v>9.4</v>
      </c>
      <c r="H1" s="1"/>
      <c r="I1" s="41">
        <v>6.9</v>
      </c>
      <c r="J1" s="1" t="b">
        <f t="shared" ref="J1:J32" si="2">G1&lt;Q1</f>
        <v>1</v>
      </c>
      <c r="K1" s="1" t="s">
        <v>24</v>
      </c>
      <c r="L1" s="1" t="s">
        <v>25</v>
      </c>
      <c r="M1" s="6" t="s">
        <v>26</v>
      </c>
      <c r="N1" s="14">
        <v>6.9</v>
      </c>
      <c r="O1" s="35">
        <v>6.9</v>
      </c>
      <c r="P1" s="35">
        <v>16</v>
      </c>
      <c r="Q1" s="6">
        <v>11</v>
      </c>
      <c r="R1" s="7">
        <v>3.12</v>
      </c>
      <c r="S1" s="6">
        <v>2.8</v>
      </c>
      <c r="T1" s="6">
        <v>2.8</v>
      </c>
      <c r="U1" s="8">
        <v>99</v>
      </c>
      <c r="V1" s="1" t="s">
        <v>29</v>
      </c>
      <c r="W1" s="10" t="s">
        <v>1434</v>
      </c>
    </row>
    <row r="2" spans="1:23" ht="15" customHeight="1" x14ac:dyDescent="0.2">
      <c r="A2" s="1">
        <v>2</v>
      </c>
      <c r="B2" s="5" t="s">
        <v>33</v>
      </c>
      <c r="C2" s="5" t="s">
        <v>33</v>
      </c>
      <c r="D2" s="36" t="str">
        <f t="shared" si="0"/>
        <v>R2C</v>
      </c>
      <c r="E2" s="36" t="str">
        <f t="shared" si="1"/>
        <v>R8C</v>
      </c>
      <c r="F2" s="36" t="b">
        <f t="shared" ref="F2:F33" si="3">OR((E2=E3),(E2=E1))</f>
        <v>0</v>
      </c>
      <c r="G2" s="1">
        <f>VLOOKUP(C2,SIMBAD!C:I,7,0)</f>
        <v>8</v>
      </c>
      <c r="H2" s="1"/>
      <c r="I2" s="42">
        <v>8</v>
      </c>
      <c r="J2" s="1" t="b">
        <f t="shared" si="2"/>
        <v>1</v>
      </c>
      <c r="K2" s="1" t="s">
        <v>34</v>
      </c>
      <c r="L2" s="1" t="s">
        <v>35</v>
      </c>
      <c r="M2" s="6" t="s">
        <v>36</v>
      </c>
      <c r="N2" s="14">
        <v>8</v>
      </c>
      <c r="O2" s="35">
        <v>8</v>
      </c>
      <c r="P2" s="35">
        <v>26</v>
      </c>
      <c r="Q2" s="6">
        <v>8.5</v>
      </c>
      <c r="R2" s="7">
        <v>2.81</v>
      </c>
      <c r="S2" s="6">
        <v>2.5</v>
      </c>
      <c r="T2" s="6">
        <v>2.5</v>
      </c>
      <c r="U2" s="8">
        <v>363</v>
      </c>
      <c r="V2" s="1" t="s">
        <v>39</v>
      </c>
      <c r="W2" s="10" t="s">
        <v>1435</v>
      </c>
    </row>
    <row r="3" spans="1:23" ht="13.35" customHeight="1" x14ac:dyDescent="0.2">
      <c r="A3" s="1">
        <v>3</v>
      </c>
      <c r="B3" s="5" t="s">
        <v>41</v>
      </c>
      <c r="C3" s="5" t="s">
        <v>899</v>
      </c>
      <c r="D3" s="36" t="str">
        <f t="shared" si="0"/>
        <v>R3D</v>
      </c>
      <c r="E3" s="36" t="str">
        <f t="shared" si="1"/>
        <v>R8.2D</v>
      </c>
      <c r="F3" s="36" t="b">
        <f t="shared" si="3"/>
        <v>0</v>
      </c>
      <c r="G3" s="1">
        <f>VLOOKUP(C3,SIMBAD!C:I,7,0)</f>
        <v>8.25</v>
      </c>
      <c r="H3" s="38">
        <f>G3-N3</f>
        <v>5.0000000000000711E-2</v>
      </c>
      <c r="I3" s="42">
        <v>8.1999999999999993</v>
      </c>
      <c r="J3" s="1" t="b">
        <f t="shared" si="2"/>
        <v>1</v>
      </c>
      <c r="K3" s="1" t="s">
        <v>42</v>
      </c>
      <c r="L3" s="1" t="s">
        <v>43</v>
      </c>
      <c r="M3" s="6" t="s">
        <v>44</v>
      </c>
      <c r="N3" s="14">
        <v>8.1999999999999993</v>
      </c>
      <c r="O3" s="35">
        <v>8.1999999999999993</v>
      </c>
      <c r="P3" s="35">
        <v>38</v>
      </c>
      <c r="Q3" s="6">
        <v>8.3000000000000007</v>
      </c>
      <c r="R3" s="7" t="s">
        <v>45</v>
      </c>
      <c r="S3" s="6">
        <v>1.1000000000000001</v>
      </c>
      <c r="T3" s="6">
        <v>1.1000000000000001</v>
      </c>
      <c r="U3" s="8">
        <v>447</v>
      </c>
      <c r="V3" s="1" t="s">
        <v>49</v>
      </c>
      <c r="W3" s="10" t="s">
        <v>1436</v>
      </c>
    </row>
    <row r="4" spans="1:23" x14ac:dyDescent="0.2">
      <c r="A4" s="1">
        <v>4</v>
      </c>
      <c r="B4" s="1" t="s">
        <v>53</v>
      </c>
      <c r="C4" s="1" t="s">
        <v>53</v>
      </c>
      <c r="D4" s="36" t="str">
        <f t="shared" si="0"/>
        <v>R4C</v>
      </c>
      <c r="E4" s="36" t="str">
        <f t="shared" si="1"/>
        <v>R7.5C</v>
      </c>
      <c r="F4" s="36" t="b">
        <f t="shared" si="3"/>
        <v>0</v>
      </c>
      <c r="G4" s="1">
        <f>VLOOKUP(C4,SIMBAD!C:I,7,0)</f>
        <v>11.6</v>
      </c>
      <c r="H4" s="1"/>
      <c r="I4" s="42">
        <v>7.5</v>
      </c>
      <c r="J4" s="1" t="b">
        <f t="shared" si="2"/>
        <v>0</v>
      </c>
      <c r="K4" s="1" t="s">
        <v>54</v>
      </c>
      <c r="L4" s="1" t="s">
        <v>55</v>
      </c>
      <c r="M4" s="6">
        <v>7.5</v>
      </c>
      <c r="N4" s="14">
        <v>7.5</v>
      </c>
      <c r="O4" s="35">
        <v>7.5</v>
      </c>
      <c r="P4" s="35">
        <v>5</v>
      </c>
      <c r="Q4" s="6">
        <v>7.5</v>
      </c>
      <c r="R4" s="7">
        <v>2.48</v>
      </c>
      <c r="S4" s="6" t="s">
        <v>45</v>
      </c>
      <c r="T4" s="7">
        <v>2.48</v>
      </c>
      <c r="U4" s="8">
        <v>1401</v>
      </c>
      <c r="V4" s="1" t="s">
        <v>58</v>
      </c>
      <c r="W4" s="10" t="s">
        <v>1435</v>
      </c>
    </row>
    <row r="5" spans="1:23" x14ac:dyDescent="0.2">
      <c r="A5" s="1">
        <v>5</v>
      </c>
      <c r="B5" s="20" t="s">
        <v>60</v>
      </c>
      <c r="C5" s="20" t="s">
        <v>60</v>
      </c>
      <c r="D5" s="36" t="str">
        <f t="shared" si="0"/>
        <v>R5S</v>
      </c>
      <c r="E5" s="36" t="str">
        <f t="shared" si="1"/>
        <v>R7.8S</v>
      </c>
      <c r="F5" s="36" t="b">
        <f t="shared" si="3"/>
        <v>0</v>
      </c>
      <c r="G5" s="1">
        <f>VLOOKUP(C5,SIMBAD!C:I,7,0)</f>
        <v>7.8</v>
      </c>
      <c r="H5" s="1"/>
      <c r="I5" s="41">
        <v>7.8</v>
      </c>
      <c r="J5" s="1" t="b">
        <f t="shared" si="2"/>
        <v>1</v>
      </c>
      <c r="K5" s="1" t="s">
        <v>61</v>
      </c>
      <c r="L5" s="1" t="s">
        <v>62</v>
      </c>
      <c r="M5" s="6" t="s">
        <v>63</v>
      </c>
      <c r="N5" s="14">
        <v>7.8</v>
      </c>
      <c r="O5" s="35">
        <v>7.8</v>
      </c>
      <c r="P5" s="35">
        <v>15</v>
      </c>
      <c r="Q5" s="6">
        <v>9.3000000000000007</v>
      </c>
      <c r="R5" s="15">
        <v>5.59</v>
      </c>
      <c r="S5" s="14">
        <v>4.4000000000000004</v>
      </c>
      <c r="T5" s="14">
        <v>4.4000000000000004</v>
      </c>
      <c r="U5" s="8">
        <v>1593</v>
      </c>
      <c r="V5" s="1" t="s">
        <v>66</v>
      </c>
      <c r="W5" s="10" t="s">
        <v>1432</v>
      </c>
    </row>
    <row r="6" spans="1:23" x14ac:dyDescent="0.2">
      <c r="A6" s="1">
        <v>6</v>
      </c>
      <c r="B6" s="1" t="s">
        <v>68</v>
      </c>
      <c r="C6" s="1" t="s">
        <v>68</v>
      </c>
      <c r="D6" s="36" t="str">
        <f t="shared" si="0"/>
        <v>R6D</v>
      </c>
      <c r="E6" s="36" t="str">
        <f t="shared" si="1"/>
        <v>R9.5D</v>
      </c>
      <c r="F6" s="36" t="b">
        <f t="shared" si="3"/>
        <v>0</v>
      </c>
      <c r="G6" s="1">
        <f>VLOOKUP(C6,SIMBAD!C:I,7,0)</f>
        <v>9.2899999999999991</v>
      </c>
      <c r="H6" s="1"/>
      <c r="I6" s="41">
        <v>9.5</v>
      </c>
      <c r="J6" s="1" t="b">
        <f t="shared" si="2"/>
        <v>1</v>
      </c>
      <c r="K6" s="1" t="s">
        <v>69</v>
      </c>
      <c r="L6" s="1" t="s">
        <v>70</v>
      </c>
      <c r="M6" s="6">
        <v>9.5</v>
      </c>
      <c r="N6" s="14">
        <v>9.5</v>
      </c>
      <c r="O6" s="35">
        <v>9.5</v>
      </c>
      <c r="P6" s="35">
        <v>3</v>
      </c>
      <c r="Q6" s="6">
        <v>9.5</v>
      </c>
      <c r="R6" s="7">
        <v>1.83</v>
      </c>
      <c r="S6" s="6">
        <v>1.8</v>
      </c>
      <c r="T6" s="6">
        <v>1.8</v>
      </c>
      <c r="U6" s="8">
        <v>1945</v>
      </c>
      <c r="V6" s="1" t="s">
        <v>66</v>
      </c>
      <c r="W6" s="10" t="s">
        <v>1436</v>
      </c>
    </row>
    <row r="7" spans="1:23" x14ac:dyDescent="0.2">
      <c r="A7" s="1">
        <v>7</v>
      </c>
      <c r="B7" s="20" t="s">
        <v>74</v>
      </c>
      <c r="C7" s="20" t="s">
        <v>74</v>
      </c>
      <c r="D7" s="36" t="str">
        <f t="shared" si="0"/>
        <v>R7S</v>
      </c>
      <c r="E7" s="37" t="str">
        <f t="shared" si="1"/>
        <v>R6.9S</v>
      </c>
      <c r="F7" s="36" t="b">
        <f t="shared" si="3"/>
        <v>0</v>
      </c>
      <c r="G7" s="1">
        <f>VLOOKUP(C7,SIMBAD!C:I,7,0)</f>
        <v>9.9</v>
      </c>
      <c r="H7" s="39">
        <f>G7-N7</f>
        <v>3</v>
      </c>
      <c r="I7" s="42">
        <v>6.93</v>
      </c>
      <c r="J7" s="1" t="b">
        <f t="shared" si="2"/>
        <v>0</v>
      </c>
      <c r="K7" s="1" t="s">
        <v>75</v>
      </c>
      <c r="L7" s="1" t="s">
        <v>76</v>
      </c>
      <c r="M7" s="6" t="s">
        <v>77</v>
      </c>
      <c r="N7" s="14">
        <v>6.9</v>
      </c>
      <c r="O7" s="35">
        <v>6.9</v>
      </c>
      <c r="P7" s="35">
        <v>14</v>
      </c>
      <c r="Q7" s="6">
        <v>8.6</v>
      </c>
      <c r="R7" s="7">
        <v>3.65</v>
      </c>
      <c r="S7" s="14">
        <v>3.8</v>
      </c>
      <c r="T7" s="14">
        <v>3.8</v>
      </c>
      <c r="U7" s="8">
        <v>2180</v>
      </c>
      <c r="V7" s="1" t="s">
        <v>80</v>
      </c>
      <c r="W7" s="10" t="s">
        <v>1432</v>
      </c>
    </row>
    <row r="8" spans="1:23" x14ac:dyDescent="0.2">
      <c r="A8" s="1">
        <v>8</v>
      </c>
      <c r="B8" s="5" t="s">
        <v>81</v>
      </c>
      <c r="C8" s="5" t="s">
        <v>86</v>
      </c>
      <c r="D8" s="36" t="str">
        <f t="shared" si="0"/>
        <v>R8D</v>
      </c>
      <c r="E8" s="36" t="str">
        <f t="shared" si="1"/>
        <v>R8.3D</v>
      </c>
      <c r="F8" s="36" t="b">
        <f t="shared" si="3"/>
        <v>0</v>
      </c>
      <c r="G8" s="1">
        <f>VLOOKUP(C8,SIMBAD!C:I,7,0)</f>
        <v>8.4700000000000006</v>
      </c>
      <c r="H8" s="1"/>
      <c r="I8" s="41">
        <v>8.3000000000000007</v>
      </c>
      <c r="J8" s="1" t="b">
        <f t="shared" si="2"/>
        <v>1</v>
      </c>
      <c r="K8" s="1" t="s">
        <v>82</v>
      </c>
      <c r="L8" s="1" t="s">
        <v>83</v>
      </c>
      <c r="M8" s="6" t="s">
        <v>84</v>
      </c>
      <c r="N8" s="14">
        <v>8.3000000000000007</v>
      </c>
      <c r="O8" s="35">
        <v>8.3000000000000007</v>
      </c>
      <c r="P8" s="35">
        <v>46</v>
      </c>
      <c r="Q8" s="6">
        <v>8.6999999999999993</v>
      </c>
      <c r="R8" s="7" t="s">
        <v>45</v>
      </c>
      <c r="S8" s="6">
        <v>1.4</v>
      </c>
      <c r="T8" s="6">
        <v>1.4</v>
      </c>
      <c r="U8" s="8">
        <v>4252</v>
      </c>
      <c r="V8" s="1" t="s">
        <v>87</v>
      </c>
      <c r="W8" s="10" t="s">
        <v>1436</v>
      </c>
    </row>
    <row r="9" spans="1:23" x14ac:dyDescent="0.2">
      <c r="A9" s="1">
        <v>9</v>
      </c>
      <c r="B9" s="5" t="s">
        <v>89</v>
      </c>
      <c r="C9" s="5" t="s">
        <v>89</v>
      </c>
      <c r="D9" s="36" t="str">
        <f t="shared" si="0"/>
        <v>R9C</v>
      </c>
      <c r="E9" s="36" t="str">
        <f t="shared" si="1"/>
        <v>R7.8C</v>
      </c>
      <c r="F9" s="36" t="b">
        <f t="shared" si="3"/>
        <v>0</v>
      </c>
      <c r="G9" s="1">
        <f>VLOOKUP(C9,SIMBAD!C:I,7,0)</f>
        <v>7.8</v>
      </c>
      <c r="H9" s="1"/>
      <c r="I9" s="41">
        <v>7.8</v>
      </c>
      <c r="J9" s="1" t="b">
        <f t="shared" si="2"/>
        <v>1</v>
      </c>
      <c r="K9" s="1" t="s">
        <v>90</v>
      </c>
      <c r="L9" s="1" t="s">
        <v>91</v>
      </c>
      <c r="M9" s="6" t="s">
        <v>92</v>
      </c>
      <c r="N9" s="14">
        <v>7.8</v>
      </c>
      <c r="O9" s="35">
        <v>7.8</v>
      </c>
      <c r="P9" s="35">
        <v>18</v>
      </c>
      <c r="Q9" s="6">
        <v>12.5</v>
      </c>
      <c r="R9" s="7">
        <v>2.1</v>
      </c>
      <c r="S9" s="6" t="s">
        <v>45</v>
      </c>
      <c r="T9" s="7">
        <v>2.1</v>
      </c>
      <c r="U9" s="8">
        <v>4284</v>
      </c>
      <c r="V9" s="1" t="s">
        <v>94</v>
      </c>
      <c r="W9" s="10" t="s">
        <v>1435</v>
      </c>
    </row>
    <row r="10" spans="1:23" x14ac:dyDescent="0.2">
      <c r="A10" s="1">
        <v>10</v>
      </c>
      <c r="B10" s="5" t="s">
        <v>95</v>
      </c>
      <c r="C10" s="5" t="s">
        <v>95</v>
      </c>
      <c r="D10" s="36" t="str">
        <f t="shared" si="0"/>
        <v>R10B</v>
      </c>
      <c r="E10" s="36" t="str">
        <f t="shared" si="1"/>
        <v>R6.5B</v>
      </c>
      <c r="F10" s="36" t="b">
        <f t="shared" si="3"/>
        <v>0</v>
      </c>
      <c r="G10" s="1">
        <f>VLOOKUP(C10,SIMBAD!C:I,7,0)</f>
        <v>6.84</v>
      </c>
      <c r="H10" s="1"/>
      <c r="I10" s="41">
        <v>6.5</v>
      </c>
      <c r="J10" s="1" t="b">
        <f t="shared" si="2"/>
        <v>1</v>
      </c>
      <c r="K10" s="1" t="s">
        <v>96</v>
      </c>
      <c r="L10" s="1" t="s">
        <v>97</v>
      </c>
      <c r="M10" s="6" t="s">
        <v>98</v>
      </c>
      <c r="N10" s="14">
        <v>6.5</v>
      </c>
      <c r="O10" s="35">
        <v>6.5</v>
      </c>
      <c r="P10" s="35">
        <v>6</v>
      </c>
      <c r="Q10" s="6">
        <v>7.9</v>
      </c>
      <c r="R10" s="7">
        <v>3.6</v>
      </c>
      <c r="S10" s="6">
        <v>2.6</v>
      </c>
      <c r="T10" s="6">
        <v>2.6</v>
      </c>
      <c r="U10" s="8">
        <v>5914</v>
      </c>
      <c r="V10" s="1" t="s">
        <v>100</v>
      </c>
      <c r="W10" s="10" t="s">
        <v>1434</v>
      </c>
    </row>
    <row r="11" spans="1:23" x14ac:dyDescent="0.2">
      <c r="A11" s="1">
        <v>11</v>
      </c>
      <c r="B11" s="13" t="s">
        <v>101</v>
      </c>
      <c r="C11" s="13" t="s">
        <v>101</v>
      </c>
      <c r="D11" s="36" t="str">
        <f t="shared" si="0"/>
        <v>R11S</v>
      </c>
      <c r="E11" s="36" t="str">
        <f t="shared" si="1"/>
        <v>R5.7S</v>
      </c>
      <c r="F11" s="36" t="b">
        <f t="shared" si="3"/>
        <v>0</v>
      </c>
      <c r="G11" s="1">
        <f>VLOOKUP(C11,SIMBAD!C:I,7,0)</f>
        <v>5.72</v>
      </c>
      <c r="H11" s="1"/>
      <c r="I11" s="41">
        <v>5.7</v>
      </c>
      <c r="J11" s="1" t="b">
        <f t="shared" si="2"/>
        <v>1</v>
      </c>
      <c r="K11" s="1" t="s">
        <v>102</v>
      </c>
      <c r="L11" s="1" t="s">
        <v>103</v>
      </c>
      <c r="M11" s="6" t="s">
        <v>104</v>
      </c>
      <c r="N11" s="14">
        <v>5.7</v>
      </c>
      <c r="O11" s="35">
        <v>5.7</v>
      </c>
      <c r="P11" s="35">
        <v>4</v>
      </c>
      <c r="Q11" s="6">
        <v>8.1</v>
      </c>
      <c r="R11" s="15">
        <v>4.4000000000000004</v>
      </c>
      <c r="S11" s="14">
        <v>4</v>
      </c>
      <c r="T11" s="14">
        <v>4</v>
      </c>
      <c r="U11" s="8">
        <v>6759</v>
      </c>
      <c r="V11" s="1" t="s">
        <v>106</v>
      </c>
      <c r="W11" s="10" t="s">
        <v>1432</v>
      </c>
    </row>
    <row r="12" spans="1:23" x14ac:dyDescent="0.2">
      <c r="A12" s="1">
        <v>12</v>
      </c>
      <c r="B12" s="1" t="s">
        <v>107</v>
      </c>
      <c r="C12" s="1" t="s">
        <v>107</v>
      </c>
      <c r="D12" s="36" t="str">
        <f t="shared" si="0"/>
        <v>R12C</v>
      </c>
      <c r="E12" s="36" t="str">
        <f t="shared" si="1"/>
        <v>R9.1C</v>
      </c>
      <c r="F12" s="36" t="b">
        <f t="shared" si="3"/>
        <v>0</v>
      </c>
      <c r="G12" s="1">
        <f>VLOOKUP(C12,SIMBAD!C:I,7,0)</f>
        <v>9.1</v>
      </c>
      <c r="H12" s="1"/>
      <c r="I12" s="41">
        <v>9.1</v>
      </c>
      <c r="J12" s="1" t="b">
        <f t="shared" si="2"/>
        <v>1</v>
      </c>
      <c r="K12" s="1" t="s">
        <v>108</v>
      </c>
      <c r="L12" s="1" t="s">
        <v>109</v>
      </c>
      <c r="M12" s="6" t="s">
        <v>110</v>
      </c>
      <c r="N12" s="14">
        <v>9.1</v>
      </c>
      <c r="O12" s="35">
        <v>9.1</v>
      </c>
      <c r="P12" s="35">
        <v>21</v>
      </c>
      <c r="Q12" s="6">
        <v>11.7</v>
      </c>
      <c r="R12" s="7">
        <v>2.1</v>
      </c>
      <c r="S12" s="6" t="s">
        <v>45</v>
      </c>
      <c r="T12" s="7">
        <v>2.1</v>
      </c>
      <c r="U12" s="8" t="s">
        <v>111</v>
      </c>
      <c r="V12" s="1" t="s">
        <v>112</v>
      </c>
      <c r="W12" s="10" t="s">
        <v>1435</v>
      </c>
    </row>
    <row r="13" spans="1:23" x14ac:dyDescent="0.2">
      <c r="A13" s="1">
        <v>13</v>
      </c>
      <c r="B13" s="5" t="s">
        <v>114</v>
      </c>
      <c r="C13" s="5" t="s">
        <v>114</v>
      </c>
      <c r="D13" s="36" t="str">
        <f t="shared" si="0"/>
        <v>R13C</v>
      </c>
      <c r="E13" s="36" t="str">
        <f t="shared" si="1"/>
        <v>R8.3C</v>
      </c>
      <c r="F13" s="36" t="b">
        <f t="shared" si="3"/>
        <v>0</v>
      </c>
      <c r="G13" s="1">
        <f>VLOOKUP(C13,SIMBAD!C:I,7,0)</f>
        <v>9.8000000000000007</v>
      </c>
      <c r="H13" s="1"/>
      <c r="I13" s="41">
        <v>8.3000000000000007</v>
      </c>
      <c r="J13" s="1" t="b">
        <f t="shared" si="2"/>
        <v>1</v>
      </c>
      <c r="K13" s="1" t="s">
        <v>115</v>
      </c>
      <c r="L13" s="1" t="s">
        <v>116</v>
      </c>
      <c r="M13" s="6" t="s">
        <v>117</v>
      </c>
      <c r="N13" s="14">
        <v>8.3000000000000007</v>
      </c>
      <c r="O13" s="35">
        <v>8.3000000000000007</v>
      </c>
      <c r="P13" s="35">
        <v>45</v>
      </c>
      <c r="Q13" s="6">
        <v>10.8</v>
      </c>
      <c r="R13" s="7">
        <v>2.15</v>
      </c>
      <c r="S13" s="6">
        <v>2.1</v>
      </c>
      <c r="T13" s="6">
        <v>2.1</v>
      </c>
      <c r="U13" s="8">
        <v>10472</v>
      </c>
      <c r="V13" s="1" t="s">
        <v>119</v>
      </c>
      <c r="W13" s="10" t="s">
        <v>1435</v>
      </c>
    </row>
    <row r="14" spans="1:23" x14ac:dyDescent="0.2">
      <c r="A14" s="1">
        <v>14</v>
      </c>
      <c r="B14" s="13" t="s">
        <v>120</v>
      </c>
      <c r="C14" s="13" t="s">
        <v>120</v>
      </c>
      <c r="D14" s="36" t="str">
        <f t="shared" si="0"/>
        <v>R14SS</v>
      </c>
      <c r="E14" s="36" t="str">
        <f t="shared" si="1"/>
        <v>R7.5SS</v>
      </c>
      <c r="F14" s="36" t="b">
        <f t="shared" si="3"/>
        <v>0</v>
      </c>
      <c r="G14" s="1">
        <f>VLOOKUP(C14,SIMBAD!C:I,7,0)</f>
        <v>7.5</v>
      </c>
      <c r="H14" s="38">
        <f>G14-N14</f>
        <v>0</v>
      </c>
      <c r="I14" s="42">
        <v>7.5</v>
      </c>
      <c r="J14" s="1" t="b">
        <f t="shared" si="2"/>
        <v>1</v>
      </c>
      <c r="K14" s="1" t="s">
        <v>121</v>
      </c>
      <c r="L14" s="1" t="s">
        <v>122</v>
      </c>
      <c r="M14" s="6" t="s">
        <v>123</v>
      </c>
      <c r="N14" s="14">
        <v>7.5</v>
      </c>
      <c r="O14" s="35">
        <v>7.5</v>
      </c>
      <c r="P14" s="35">
        <v>2</v>
      </c>
      <c r="Q14" s="6">
        <v>13</v>
      </c>
      <c r="R14" s="7">
        <v>2.21</v>
      </c>
      <c r="S14" s="18">
        <v>5.4</v>
      </c>
      <c r="T14" s="18">
        <v>5.4</v>
      </c>
      <c r="U14" s="8">
        <v>11582</v>
      </c>
      <c r="V14" s="1" t="s">
        <v>126</v>
      </c>
      <c r="W14" s="10" t="s">
        <v>1431</v>
      </c>
    </row>
    <row r="15" spans="1:23" x14ac:dyDescent="0.2">
      <c r="A15" s="1">
        <v>15</v>
      </c>
      <c r="B15" s="5" t="s">
        <v>127</v>
      </c>
      <c r="C15" s="5" t="s">
        <v>942</v>
      </c>
      <c r="D15" s="36" t="str">
        <f t="shared" si="0"/>
        <v>R15D</v>
      </c>
      <c r="E15" s="36" t="str">
        <f t="shared" si="1"/>
        <v>R8.2D</v>
      </c>
      <c r="F15" s="36" t="b">
        <f t="shared" si="3"/>
        <v>0</v>
      </c>
      <c r="G15" s="1">
        <f>VLOOKUP(C15,SIMBAD!C:I,7,0)</f>
        <v>8.15</v>
      </c>
      <c r="H15" s="38">
        <f>G15-N15</f>
        <v>-4.9999999999998934E-2</v>
      </c>
      <c r="I15" s="42">
        <v>8.1999999999999993</v>
      </c>
      <c r="J15" s="1" t="b">
        <f t="shared" si="2"/>
        <v>1</v>
      </c>
      <c r="K15" s="1" t="s">
        <v>128</v>
      </c>
      <c r="L15" s="1" t="s">
        <v>129</v>
      </c>
      <c r="M15" s="6" t="s">
        <v>130</v>
      </c>
      <c r="N15" s="14">
        <v>8.1999999999999993</v>
      </c>
      <c r="O15" s="35">
        <v>8.1999999999999993</v>
      </c>
      <c r="P15" s="35">
        <v>37</v>
      </c>
      <c r="Q15" s="6">
        <v>8.5</v>
      </c>
      <c r="R15" s="7">
        <v>1.23</v>
      </c>
      <c r="S15" s="6">
        <v>1.2</v>
      </c>
      <c r="T15" s="6">
        <v>1.2</v>
      </c>
      <c r="U15" s="8">
        <v>12028</v>
      </c>
      <c r="V15" s="1" t="s">
        <v>132</v>
      </c>
      <c r="W15" s="10" t="s">
        <v>1436</v>
      </c>
    </row>
    <row r="16" spans="1:23" x14ac:dyDescent="0.2">
      <c r="A16" s="1">
        <v>16</v>
      </c>
      <c r="B16" s="1" t="s">
        <v>134</v>
      </c>
      <c r="C16" s="1" t="s">
        <v>1439</v>
      </c>
      <c r="D16" s="36" t="str">
        <f t="shared" si="0"/>
        <v>R16</v>
      </c>
      <c r="E16" s="36" t="str">
        <f t="shared" si="1"/>
        <v>R10.6</v>
      </c>
      <c r="F16" s="36" t="b">
        <f t="shared" si="3"/>
        <v>0</v>
      </c>
      <c r="G16" s="1">
        <f>VLOOKUP(C16,SIMBAD!C:I,7,0)</f>
        <v>11.09</v>
      </c>
      <c r="H16" s="1"/>
      <c r="I16" s="41">
        <v>10.6</v>
      </c>
      <c r="J16" s="1" t="b">
        <f t="shared" si="2"/>
        <v>1</v>
      </c>
      <c r="K16" s="1" t="s">
        <v>135</v>
      </c>
      <c r="L16" s="1" t="s">
        <v>136</v>
      </c>
      <c r="M16" s="6" t="s">
        <v>137</v>
      </c>
      <c r="N16" s="14">
        <v>10.6</v>
      </c>
      <c r="O16" s="35">
        <v>10.6</v>
      </c>
      <c r="P16" s="35">
        <v>1</v>
      </c>
      <c r="Q16" s="6">
        <v>13.2</v>
      </c>
      <c r="R16" s="7" t="s">
        <v>45</v>
      </c>
      <c r="S16" s="6" t="s">
        <v>45</v>
      </c>
      <c r="T16" s="7" t="s">
        <v>45</v>
      </c>
      <c r="U16" s="8" t="s">
        <v>45</v>
      </c>
      <c r="V16" s="1" t="s">
        <v>139</v>
      </c>
    </row>
    <row r="17" spans="1:23" x14ac:dyDescent="0.2">
      <c r="A17" s="1">
        <v>17</v>
      </c>
      <c r="B17" s="5" t="s">
        <v>140</v>
      </c>
      <c r="C17" s="5" t="s">
        <v>140</v>
      </c>
      <c r="D17" s="36" t="str">
        <f t="shared" si="0"/>
        <v>R17</v>
      </c>
      <c r="E17" s="36" t="str">
        <f t="shared" si="1"/>
        <v>R7.4</v>
      </c>
      <c r="F17" s="36" t="b">
        <f t="shared" si="3"/>
        <v>0</v>
      </c>
      <c r="G17" s="1">
        <f>VLOOKUP(C17,SIMBAD!C:I,7,0)</f>
        <v>10</v>
      </c>
      <c r="H17" s="1"/>
      <c r="I17" s="41">
        <v>7.4</v>
      </c>
      <c r="J17" s="1" t="b">
        <f t="shared" si="2"/>
        <v>1</v>
      </c>
      <c r="K17" s="1" t="s">
        <v>141</v>
      </c>
      <c r="L17" s="1" t="s">
        <v>142</v>
      </c>
      <c r="M17" s="6" t="s">
        <v>143</v>
      </c>
      <c r="N17" s="14">
        <v>7.4</v>
      </c>
      <c r="O17" s="35">
        <v>7.4</v>
      </c>
      <c r="P17" s="35">
        <v>39</v>
      </c>
      <c r="Q17" s="6">
        <v>12.3</v>
      </c>
      <c r="R17" s="7" t="s">
        <v>45</v>
      </c>
      <c r="S17" s="6" t="s">
        <v>45</v>
      </c>
      <c r="T17" s="7" t="s">
        <v>45</v>
      </c>
      <c r="U17" s="8">
        <v>12298</v>
      </c>
      <c r="V17" s="1" t="s">
        <v>145</v>
      </c>
    </row>
    <row r="18" spans="1:23" x14ac:dyDescent="0.2">
      <c r="A18" s="1">
        <v>18</v>
      </c>
      <c r="B18" s="5" t="s">
        <v>147</v>
      </c>
      <c r="C18" s="5" t="s">
        <v>147</v>
      </c>
      <c r="D18" s="36" t="str">
        <f t="shared" si="0"/>
        <v>R18C</v>
      </c>
      <c r="E18" s="36" t="str">
        <f t="shared" si="1"/>
        <v>R7.3C</v>
      </c>
      <c r="F18" s="36" t="b">
        <f t="shared" si="3"/>
        <v>0</v>
      </c>
      <c r="G18" s="1">
        <f>VLOOKUP(C18,SIMBAD!C:I,7,0)</f>
        <v>8.59</v>
      </c>
      <c r="H18" s="1"/>
      <c r="I18" s="41">
        <v>7.3</v>
      </c>
      <c r="J18" s="1" t="b">
        <f t="shared" si="2"/>
        <v>0</v>
      </c>
      <c r="K18" s="1" t="s">
        <v>148</v>
      </c>
      <c r="L18" s="1" t="s">
        <v>149</v>
      </c>
      <c r="M18" s="6" t="s">
        <v>150</v>
      </c>
      <c r="N18" s="14">
        <v>7.3</v>
      </c>
      <c r="O18" s="35">
        <v>7.3</v>
      </c>
      <c r="P18" s="35">
        <v>37</v>
      </c>
      <c r="Q18" s="6">
        <v>8.1</v>
      </c>
      <c r="R18" s="7">
        <v>2.2999999999999998</v>
      </c>
      <c r="S18" s="6">
        <v>2.1</v>
      </c>
      <c r="T18" s="6">
        <v>2.1</v>
      </c>
      <c r="U18" s="8">
        <v>14827</v>
      </c>
      <c r="V18" s="1" t="s">
        <v>66</v>
      </c>
      <c r="W18" s="10" t="s">
        <v>1435</v>
      </c>
    </row>
    <row r="19" spans="1:23" x14ac:dyDescent="0.2">
      <c r="A19" s="1">
        <v>19</v>
      </c>
      <c r="B19" s="5" t="s">
        <v>153</v>
      </c>
      <c r="C19" s="5" t="s">
        <v>153</v>
      </c>
      <c r="D19" s="36" t="str">
        <f t="shared" si="0"/>
        <v>R19B</v>
      </c>
      <c r="E19" s="36" t="str">
        <f t="shared" si="1"/>
        <v>R8.1B</v>
      </c>
      <c r="F19" s="36" t="b">
        <f t="shared" si="3"/>
        <v>0</v>
      </c>
      <c r="G19" s="1">
        <f>VLOOKUP(C19,SIMBAD!C:I,7,0)</f>
        <v>9.19</v>
      </c>
      <c r="H19" s="1"/>
      <c r="I19" s="41">
        <v>8.1</v>
      </c>
      <c r="J19" s="1" t="b">
        <f t="shared" si="2"/>
        <v>1</v>
      </c>
      <c r="K19" s="1" t="s">
        <v>154</v>
      </c>
      <c r="L19" s="1" t="s">
        <v>155</v>
      </c>
      <c r="M19" s="6" t="s">
        <v>156</v>
      </c>
      <c r="N19" s="14">
        <v>8.1</v>
      </c>
      <c r="O19" s="35">
        <v>8.1</v>
      </c>
      <c r="P19" s="35">
        <v>29</v>
      </c>
      <c r="Q19" s="6">
        <v>11.3</v>
      </c>
      <c r="R19" s="7">
        <v>2.52</v>
      </c>
      <c r="S19" s="6">
        <v>2.9</v>
      </c>
      <c r="T19" s="6">
        <v>2.9</v>
      </c>
      <c r="U19" s="8">
        <v>16126</v>
      </c>
      <c r="V19" s="1" t="s">
        <v>126</v>
      </c>
      <c r="W19" s="10" t="s">
        <v>1434</v>
      </c>
    </row>
    <row r="20" spans="1:23" x14ac:dyDescent="0.2">
      <c r="A20" s="1">
        <v>20</v>
      </c>
      <c r="B20" s="20" t="s">
        <v>158</v>
      </c>
      <c r="C20" s="20" t="s">
        <v>158</v>
      </c>
      <c r="D20" s="36" t="str">
        <f t="shared" si="0"/>
        <v>R20S</v>
      </c>
      <c r="E20" s="36" t="str">
        <f t="shared" si="1"/>
        <v>R8.4S</v>
      </c>
      <c r="F20" s="36" t="b">
        <f t="shared" si="3"/>
        <v>0</v>
      </c>
      <c r="G20" s="1">
        <f>VLOOKUP(C20,SIMBAD!C:I,7,0)</f>
        <v>8.14</v>
      </c>
      <c r="H20" s="1"/>
      <c r="I20" s="41">
        <v>8.4</v>
      </c>
      <c r="J20" s="1" t="b">
        <f t="shared" si="2"/>
        <v>1</v>
      </c>
      <c r="K20" s="1" t="s">
        <v>159</v>
      </c>
      <c r="L20" s="1" t="s">
        <v>160</v>
      </c>
      <c r="M20" s="6" t="s">
        <v>161</v>
      </c>
      <c r="N20" s="14">
        <v>8.4</v>
      </c>
      <c r="O20" s="35">
        <v>8.4</v>
      </c>
      <c r="P20" s="35">
        <v>48</v>
      </c>
      <c r="Q20" s="6">
        <v>8.9</v>
      </c>
      <c r="R20" s="15">
        <v>4.25</v>
      </c>
      <c r="S20" s="6" t="s">
        <v>45</v>
      </c>
      <c r="T20" s="15">
        <v>4.25</v>
      </c>
      <c r="U20" s="8" t="s">
        <v>45</v>
      </c>
      <c r="V20" s="1" t="s">
        <v>112</v>
      </c>
      <c r="W20" s="10" t="s">
        <v>1432</v>
      </c>
    </row>
    <row r="21" spans="1:23" x14ac:dyDescent="0.2">
      <c r="A21" s="1">
        <v>21</v>
      </c>
      <c r="B21" s="20" t="s">
        <v>163</v>
      </c>
      <c r="C21" s="20" t="s">
        <v>163</v>
      </c>
      <c r="D21" s="36" t="str">
        <f t="shared" si="0"/>
        <v>R21S</v>
      </c>
      <c r="E21" s="37" t="str">
        <f t="shared" si="1"/>
        <v>R6.9S</v>
      </c>
      <c r="F21" s="36" t="b">
        <f t="shared" si="3"/>
        <v>0</v>
      </c>
      <c r="G21" s="1">
        <f>VLOOKUP(C21,SIMBAD!C:I,7,0)</f>
        <v>11</v>
      </c>
      <c r="H21" s="39">
        <f>G21-N21</f>
        <v>4.0999999999999996</v>
      </c>
      <c r="I21" s="42">
        <v>6.94</v>
      </c>
      <c r="J21" s="1" t="b">
        <f t="shared" si="2"/>
        <v>0</v>
      </c>
      <c r="K21" s="1" t="s">
        <v>164</v>
      </c>
      <c r="L21" s="1" t="s">
        <v>165</v>
      </c>
      <c r="M21" s="6" t="s">
        <v>166</v>
      </c>
      <c r="N21" s="14">
        <v>6.9</v>
      </c>
      <c r="O21" s="35">
        <v>6.9</v>
      </c>
      <c r="P21" s="35">
        <v>13</v>
      </c>
      <c r="Q21" s="6">
        <v>7.6</v>
      </c>
      <c r="R21" s="15">
        <v>3.95</v>
      </c>
      <c r="S21" s="14">
        <v>4.3</v>
      </c>
      <c r="T21" s="14">
        <v>4.3</v>
      </c>
      <c r="U21" s="8" t="s">
        <v>168</v>
      </c>
      <c r="V21" s="1" t="s">
        <v>169</v>
      </c>
      <c r="W21" s="10" t="s">
        <v>1432</v>
      </c>
    </row>
    <row r="22" spans="1:23" x14ac:dyDescent="0.2">
      <c r="A22" s="1">
        <v>22</v>
      </c>
      <c r="B22" s="1" t="s">
        <v>170</v>
      </c>
      <c r="C22" s="1" t="s">
        <v>170</v>
      </c>
      <c r="D22" s="36" t="str">
        <f t="shared" si="0"/>
        <v>R22A</v>
      </c>
      <c r="E22" s="36" t="str">
        <f t="shared" si="1"/>
        <v>R9.7A</v>
      </c>
      <c r="F22" s="36" t="b">
        <f t="shared" si="3"/>
        <v>0</v>
      </c>
      <c r="G22" s="1">
        <f>VLOOKUP(C22,SIMBAD!C:I,7,0)</f>
        <v>11.8</v>
      </c>
      <c r="H22" s="1"/>
      <c r="I22" s="41">
        <v>9.6999999999999993</v>
      </c>
      <c r="J22" s="1" t="b">
        <f t="shared" si="2"/>
        <v>0</v>
      </c>
      <c r="K22" s="1" t="s">
        <v>171</v>
      </c>
      <c r="L22" s="1" t="s">
        <v>172</v>
      </c>
      <c r="M22" s="6">
        <v>9.6999999999999993</v>
      </c>
      <c r="N22" s="14">
        <v>9.6999999999999993</v>
      </c>
      <c r="O22" s="35">
        <v>9.6999999999999993</v>
      </c>
      <c r="P22" s="35">
        <v>5</v>
      </c>
      <c r="Q22" s="6">
        <v>9.6999999999999993</v>
      </c>
      <c r="R22" s="7">
        <v>3.09</v>
      </c>
      <c r="S22" s="6" t="s">
        <v>45</v>
      </c>
      <c r="T22" s="7">
        <v>3.09</v>
      </c>
      <c r="U22" s="8" t="s">
        <v>45</v>
      </c>
      <c r="V22" s="1" t="s">
        <v>174</v>
      </c>
      <c r="W22" s="10" t="s">
        <v>1433</v>
      </c>
    </row>
    <row r="23" spans="1:23" x14ac:dyDescent="0.2">
      <c r="A23" s="1">
        <v>23</v>
      </c>
      <c r="B23" s="5" t="s">
        <v>175</v>
      </c>
      <c r="C23" s="5" t="s">
        <v>175</v>
      </c>
      <c r="D23" s="36" t="str">
        <f t="shared" si="0"/>
        <v>R23C</v>
      </c>
      <c r="E23" s="36" t="str">
        <f t="shared" si="1"/>
        <v>R7.5C</v>
      </c>
      <c r="F23" s="36" t="b">
        <f t="shared" si="3"/>
        <v>0</v>
      </c>
      <c r="G23" s="1">
        <f>VLOOKUP(C23,SIMBAD!C:I,7,0)</f>
        <v>7.6</v>
      </c>
      <c r="H23" s="38">
        <f>G23-N23</f>
        <v>9.9999999999999645E-2</v>
      </c>
      <c r="I23" s="42">
        <v>7.5</v>
      </c>
      <c r="J23" s="1" t="b">
        <f t="shared" si="2"/>
        <v>1</v>
      </c>
      <c r="K23" s="1" t="s">
        <v>176</v>
      </c>
      <c r="L23" s="1" t="s">
        <v>177</v>
      </c>
      <c r="M23" s="6" t="s">
        <v>178</v>
      </c>
      <c r="N23" s="14">
        <v>7.5</v>
      </c>
      <c r="O23" s="35">
        <v>7.5</v>
      </c>
      <c r="P23" s="35">
        <v>6</v>
      </c>
      <c r="Q23" s="6">
        <v>8.1</v>
      </c>
      <c r="R23" s="7">
        <v>2.2599999999999998</v>
      </c>
      <c r="S23" s="6">
        <v>2.2999999999999998</v>
      </c>
      <c r="T23" s="6">
        <v>2.2999999999999998</v>
      </c>
      <c r="U23" s="8">
        <v>19115</v>
      </c>
      <c r="V23" s="1" t="s">
        <v>180</v>
      </c>
      <c r="W23" s="10" t="s">
        <v>1435</v>
      </c>
    </row>
    <row r="24" spans="1:23" x14ac:dyDescent="0.2">
      <c r="A24" s="1">
        <v>24</v>
      </c>
      <c r="B24" s="5" t="s">
        <v>181</v>
      </c>
      <c r="C24" s="5" t="s">
        <v>181</v>
      </c>
      <c r="D24" s="36" t="str">
        <f t="shared" si="0"/>
        <v>R24D</v>
      </c>
      <c r="E24" s="36" t="str">
        <f t="shared" si="1"/>
        <v>R7.1D</v>
      </c>
      <c r="F24" s="36" t="b">
        <f t="shared" si="3"/>
        <v>0</v>
      </c>
      <c r="G24" s="1">
        <f>VLOOKUP(C24,SIMBAD!C:I,7,0)</f>
        <v>7.27</v>
      </c>
      <c r="H24" s="1"/>
      <c r="I24" s="41">
        <v>7.1</v>
      </c>
      <c r="J24" s="1" t="b">
        <f t="shared" si="2"/>
        <v>1</v>
      </c>
      <c r="K24" s="1" t="s">
        <v>182</v>
      </c>
      <c r="L24" s="1" t="s">
        <v>183</v>
      </c>
      <c r="M24" s="6" t="s">
        <v>184</v>
      </c>
      <c r="N24" s="14">
        <v>7.1</v>
      </c>
      <c r="O24" s="35">
        <v>7.1</v>
      </c>
      <c r="P24" s="35">
        <v>33</v>
      </c>
      <c r="Q24" s="6">
        <v>10</v>
      </c>
      <c r="R24" s="7" t="s">
        <v>45</v>
      </c>
      <c r="S24" s="6">
        <v>0.8</v>
      </c>
      <c r="T24" s="6">
        <v>0.8</v>
      </c>
      <c r="U24" s="8">
        <v>19340</v>
      </c>
      <c r="V24" s="1" t="s">
        <v>187</v>
      </c>
      <c r="W24" s="10" t="s">
        <v>1436</v>
      </c>
    </row>
    <row r="25" spans="1:23" x14ac:dyDescent="0.2">
      <c r="A25" s="1">
        <v>25</v>
      </c>
      <c r="B25" s="1" t="s">
        <v>189</v>
      </c>
      <c r="C25" s="1" t="s">
        <v>189</v>
      </c>
      <c r="D25" s="36" t="str">
        <f t="shared" si="0"/>
        <v>R25C</v>
      </c>
      <c r="E25" s="36" t="str">
        <f t="shared" si="1"/>
        <v>R7.5C</v>
      </c>
      <c r="F25" s="36" t="b">
        <f t="shared" si="3"/>
        <v>0</v>
      </c>
      <c r="G25" s="1">
        <f>VLOOKUP(C25,SIMBAD!C:I,7,0)</f>
        <v>7.73</v>
      </c>
      <c r="H25" s="38">
        <f>G25-N25</f>
        <v>0.23000000000000043</v>
      </c>
      <c r="I25" s="42">
        <v>7.5</v>
      </c>
      <c r="J25" s="1" t="b">
        <f t="shared" si="2"/>
        <v>0</v>
      </c>
      <c r="K25" s="1" t="s">
        <v>190</v>
      </c>
      <c r="L25" s="1" t="s">
        <v>191</v>
      </c>
      <c r="M25" s="6">
        <v>7.5</v>
      </c>
      <c r="N25" s="14">
        <v>7.5</v>
      </c>
      <c r="O25" s="35">
        <v>7.5</v>
      </c>
      <c r="P25" s="35">
        <v>7</v>
      </c>
      <c r="Q25" s="6">
        <v>7.5</v>
      </c>
      <c r="R25" s="7">
        <v>2.59</v>
      </c>
      <c r="S25" s="6">
        <v>2.2999999999999998</v>
      </c>
      <c r="T25" s="6">
        <v>2.2999999999999998</v>
      </c>
      <c r="U25" s="8">
        <v>22247</v>
      </c>
      <c r="V25" s="1" t="s">
        <v>39</v>
      </c>
      <c r="W25" s="10" t="s">
        <v>1435</v>
      </c>
    </row>
    <row r="26" spans="1:23" x14ac:dyDescent="0.2">
      <c r="A26" s="1">
        <v>26</v>
      </c>
      <c r="B26" s="5" t="s">
        <v>193</v>
      </c>
      <c r="C26" s="5" t="s">
        <v>193</v>
      </c>
      <c r="D26" s="36" t="str">
        <f t="shared" si="0"/>
        <v>R26A</v>
      </c>
      <c r="E26" s="36" t="str">
        <f t="shared" si="1"/>
        <v>R6.7A</v>
      </c>
      <c r="F26" s="36" t="b">
        <f t="shared" si="3"/>
        <v>0</v>
      </c>
      <c r="G26" s="1">
        <f>VLOOKUP(C26,SIMBAD!C:I,7,0)</f>
        <v>9.1999999999999993</v>
      </c>
      <c r="H26" s="1"/>
      <c r="I26" s="41">
        <v>6.7</v>
      </c>
      <c r="J26" s="1" t="b">
        <f t="shared" si="2"/>
        <v>0</v>
      </c>
      <c r="K26" s="1" t="s">
        <v>194</v>
      </c>
      <c r="L26" s="1" t="s">
        <v>195</v>
      </c>
      <c r="M26" s="6" t="s">
        <v>196</v>
      </c>
      <c r="N26" s="14">
        <v>6.7</v>
      </c>
      <c r="O26" s="35">
        <v>6.7</v>
      </c>
      <c r="P26" s="35">
        <v>9</v>
      </c>
      <c r="Q26" s="6">
        <v>8.4</v>
      </c>
      <c r="R26" s="7">
        <v>3.38</v>
      </c>
      <c r="S26" s="6" t="s">
        <v>45</v>
      </c>
      <c r="T26" s="7">
        <v>3.38</v>
      </c>
      <c r="U26" s="8">
        <v>22552</v>
      </c>
      <c r="V26" s="1" t="s">
        <v>80</v>
      </c>
      <c r="W26" s="10" t="s">
        <v>1433</v>
      </c>
    </row>
    <row r="27" spans="1:23" x14ac:dyDescent="0.2">
      <c r="A27" s="1">
        <v>27</v>
      </c>
      <c r="B27" s="5" t="s">
        <v>198</v>
      </c>
      <c r="C27" s="5" t="s">
        <v>198</v>
      </c>
      <c r="D27" s="36" t="str">
        <f t="shared" si="0"/>
        <v>R27B</v>
      </c>
      <c r="E27" s="36" t="str">
        <f t="shared" si="1"/>
        <v>R7.7B</v>
      </c>
      <c r="F27" s="36" t="b">
        <f t="shared" si="3"/>
        <v>0</v>
      </c>
      <c r="G27" s="1">
        <f>VLOOKUP(C27,SIMBAD!C:I,7,0)</f>
        <v>10.199999999999999</v>
      </c>
      <c r="H27" s="1"/>
      <c r="I27" s="41">
        <v>7.7</v>
      </c>
      <c r="J27" s="1" t="b">
        <f t="shared" si="2"/>
        <v>0</v>
      </c>
      <c r="K27" s="1" t="s">
        <v>199</v>
      </c>
      <c r="L27" s="1" t="s">
        <v>200</v>
      </c>
      <c r="M27" s="6" t="s">
        <v>201</v>
      </c>
      <c r="N27" s="14">
        <v>7.7</v>
      </c>
      <c r="O27" s="35">
        <v>7.7</v>
      </c>
      <c r="P27" s="35">
        <v>13</v>
      </c>
      <c r="Q27" s="6">
        <v>10</v>
      </c>
      <c r="R27" s="7">
        <v>3.22</v>
      </c>
      <c r="S27" s="6">
        <v>2.9</v>
      </c>
      <c r="T27" s="6">
        <v>2.9</v>
      </c>
      <c r="U27" s="8">
        <v>22578</v>
      </c>
      <c r="V27" s="1" t="s">
        <v>203</v>
      </c>
      <c r="W27" s="10" t="s">
        <v>1434</v>
      </c>
    </row>
    <row r="28" spans="1:23" x14ac:dyDescent="0.2">
      <c r="A28" s="1">
        <v>28</v>
      </c>
      <c r="B28" s="1" t="s">
        <v>204</v>
      </c>
      <c r="C28" s="1" t="s">
        <v>204</v>
      </c>
      <c r="D28" s="36" t="str">
        <f t="shared" si="0"/>
        <v>R28B</v>
      </c>
      <c r="E28" s="36" t="str">
        <f t="shared" si="1"/>
        <v>R8.8B</v>
      </c>
      <c r="F28" s="36" t="b">
        <f t="shared" si="3"/>
        <v>0</v>
      </c>
      <c r="G28" s="1">
        <f>VLOOKUP(C28,SIMBAD!C:I,7,0)</f>
        <v>8.64</v>
      </c>
      <c r="H28" s="1"/>
      <c r="I28" s="41">
        <v>8.8000000000000007</v>
      </c>
      <c r="J28" s="1" t="b">
        <f t="shared" si="2"/>
        <v>1</v>
      </c>
      <c r="K28" s="1" t="s">
        <v>205</v>
      </c>
      <c r="L28" s="1" t="s">
        <v>206</v>
      </c>
      <c r="M28" s="6">
        <v>8.8000000000000007</v>
      </c>
      <c r="N28" s="14">
        <v>8.8000000000000007</v>
      </c>
      <c r="O28" s="35">
        <v>8.8000000000000007</v>
      </c>
      <c r="P28" s="35">
        <v>16</v>
      </c>
      <c r="Q28" s="6">
        <v>8.8000000000000007</v>
      </c>
      <c r="R28" s="7">
        <v>3.56</v>
      </c>
      <c r="S28" s="6">
        <v>2.9</v>
      </c>
      <c r="T28" s="6">
        <v>2.9</v>
      </c>
      <c r="U28" s="8">
        <v>22670</v>
      </c>
      <c r="V28" s="1" t="s">
        <v>208</v>
      </c>
      <c r="W28" s="10" t="s">
        <v>1434</v>
      </c>
    </row>
    <row r="29" spans="1:23" x14ac:dyDescent="0.2">
      <c r="A29" s="1">
        <v>29</v>
      </c>
      <c r="B29" s="13" t="s">
        <v>209</v>
      </c>
      <c r="C29" s="13" t="s">
        <v>209</v>
      </c>
      <c r="D29" s="36" t="str">
        <f t="shared" si="0"/>
        <v>R29SS</v>
      </c>
      <c r="E29" s="36" t="str">
        <f t="shared" si="1"/>
        <v>R5.5SS</v>
      </c>
      <c r="F29" s="36" t="b">
        <f t="shared" si="3"/>
        <v>0</v>
      </c>
      <c r="G29" s="1">
        <f>VLOOKUP(C29,SIMBAD!C:I,7,0)</f>
        <v>7.76</v>
      </c>
      <c r="H29" s="1"/>
      <c r="I29" s="41">
        <v>5.5</v>
      </c>
      <c r="J29" s="1" t="b">
        <f t="shared" si="2"/>
        <v>1</v>
      </c>
      <c r="K29" s="1" t="s">
        <v>210</v>
      </c>
      <c r="L29" s="1" t="s">
        <v>211</v>
      </c>
      <c r="M29" s="6" t="s">
        <v>212</v>
      </c>
      <c r="N29" s="14">
        <v>5.5</v>
      </c>
      <c r="O29" s="35">
        <v>5.5</v>
      </c>
      <c r="P29" s="35">
        <v>1</v>
      </c>
      <c r="Q29" s="6">
        <v>11.7</v>
      </c>
      <c r="R29" s="15">
        <v>4.93</v>
      </c>
      <c r="S29" s="18">
        <v>5.5</v>
      </c>
      <c r="T29" s="18">
        <v>5.5</v>
      </c>
      <c r="U29" s="8">
        <v>23203</v>
      </c>
      <c r="V29" s="1" t="s">
        <v>214</v>
      </c>
      <c r="W29" s="10" t="s">
        <v>1431</v>
      </c>
    </row>
    <row r="30" spans="1:23" x14ac:dyDescent="0.2">
      <c r="A30" s="1">
        <v>30</v>
      </c>
      <c r="B30" s="5" t="s">
        <v>216</v>
      </c>
      <c r="C30" s="5" t="s">
        <v>216</v>
      </c>
      <c r="D30" s="36" t="str">
        <f t="shared" si="0"/>
        <v>R30A</v>
      </c>
      <c r="E30" s="36" t="str">
        <f t="shared" si="1"/>
        <v>R8.5A</v>
      </c>
      <c r="F30" s="36" t="b">
        <f t="shared" si="3"/>
        <v>0</v>
      </c>
      <c r="G30" s="1">
        <f>VLOOKUP(C30,SIMBAD!C:I,7,0)</f>
        <v>8.57</v>
      </c>
      <c r="H30" s="1"/>
      <c r="I30" s="42">
        <v>8.5</v>
      </c>
      <c r="J30" s="1" t="b">
        <f t="shared" si="2"/>
        <v>1</v>
      </c>
      <c r="K30" s="1" t="s">
        <v>217</v>
      </c>
      <c r="L30" s="1" t="s">
        <v>218</v>
      </c>
      <c r="M30" s="6" t="s">
        <v>219</v>
      </c>
      <c r="N30" s="14">
        <v>8.5</v>
      </c>
      <c r="O30" s="35">
        <v>8.5</v>
      </c>
      <c r="P30" s="35">
        <v>3</v>
      </c>
      <c r="Q30" s="6">
        <v>8.6999999999999993</v>
      </c>
      <c r="R30" s="7">
        <v>3.77</v>
      </c>
      <c r="S30" s="6" t="s">
        <v>45</v>
      </c>
      <c r="T30" s="7">
        <v>3.77</v>
      </c>
      <c r="U30" s="8">
        <v>23520</v>
      </c>
      <c r="V30" s="1" t="s">
        <v>80</v>
      </c>
      <c r="W30" s="10" t="s">
        <v>1433</v>
      </c>
    </row>
    <row r="31" spans="1:23" x14ac:dyDescent="0.2">
      <c r="A31" s="1">
        <v>31</v>
      </c>
      <c r="B31" s="5" t="s">
        <v>221</v>
      </c>
      <c r="C31" s="5" t="s">
        <v>221</v>
      </c>
      <c r="D31" s="36" t="str">
        <f t="shared" si="0"/>
        <v>R31A</v>
      </c>
      <c r="E31" s="36" t="str">
        <f t="shared" si="1"/>
        <v>R5.8A</v>
      </c>
      <c r="F31" s="36" t="b">
        <f t="shared" si="3"/>
        <v>0</v>
      </c>
      <c r="G31" s="1">
        <f>VLOOKUP(C31,SIMBAD!C:I,7,0)</f>
        <v>6.1</v>
      </c>
      <c r="H31" s="1"/>
      <c r="I31" s="41">
        <v>5.8</v>
      </c>
      <c r="J31" s="1" t="b">
        <f t="shared" si="2"/>
        <v>1</v>
      </c>
      <c r="K31" s="1" t="s">
        <v>222</v>
      </c>
      <c r="L31" s="1" t="s">
        <v>223</v>
      </c>
      <c r="M31" s="6" t="s">
        <v>224</v>
      </c>
      <c r="N31" s="14">
        <v>5.8</v>
      </c>
      <c r="O31" s="35">
        <v>5.8</v>
      </c>
      <c r="P31" s="35">
        <v>6</v>
      </c>
      <c r="Q31" s="6">
        <v>10</v>
      </c>
      <c r="R31" s="15">
        <v>3.81</v>
      </c>
      <c r="S31" s="6">
        <v>3.5</v>
      </c>
      <c r="T31" s="6">
        <v>3.5</v>
      </c>
      <c r="U31" s="8">
        <v>23680</v>
      </c>
      <c r="V31" s="1" t="s">
        <v>80</v>
      </c>
      <c r="W31" s="10" t="s">
        <v>1433</v>
      </c>
    </row>
    <row r="32" spans="1:23" x14ac:dyDescent="0.2">
      <c r="A32" s="1">
        <v>32</v>
      </c>
      <c r="B32" s="5" t="s">
        <v>226</v>
      </c>
      <c r="C32" s="5" t="s">
        <v>226</v>
      </c>
      <c r="D32" s="36" t="str">
        <f t="shared" si="0"/>
        <v>R32A</v>
      </c>
      <c r="E32" s="36" t="str">
        <f t="shared" si="1"/>
        <v>R8.5A</v>
      </c>
      <c r="F32" s="36" t="b">
        <f t="shared" si="3"/>
        <v>0</v>
      </c>
      <c r="G32" s="1">
        <f>VLOOKUP(C32,SIMBAD!C:I,7,0)</f>
        <v>9.09</v>
      </c>
      <c r="H32" s="38">
        <f>G32-N32</f>
        <v>0.58999999999999986</v>
      </c>
      <c r="I32" s="42">
        <v>8.5</v>
      </c>
      <c r="J32" s="1" t="b">
        <f t="shared" si="2"/>
        <v>1</v>
      </c>
      <c r="K32" s="1" t="s">
        <v>227</v>
      </c>
      <c r="L32" s="1" t="s">
        <v>228</v>
      </c>
      <c r="M32" s="6" t="s">
        <v>229</v>
      </c>
      <c r="N32" s="14">
        <v>8.5</v>
      </c>
      <c r="O32" s="35">
        <v>8.5</v>
      </c>
      <c r="P32" s="35">
        <v>6</v>
      </c>
      <c r="Q32" s="6">
        <v>9.1999999999999993</v>
      </c>
      <c r="R32" s="7">
        <v>3.71</v>
      </c>
      <c r="S32" s="6">
        <v>3.2</v>
      </c>
      <c r="T32" s="6">
        <v>3.2</v>
      </c>
      <c r="U32" s="8">
        <v>23965</v>
      </c>
      <c r="V32" s="1" t="s">
        <v>80</v>
      </c>
      <c r="W32" s="10" t="s">
        <v>1433</v>
      </c>
    </row>
    <row r="33" spans="1:23" x14ac:dyDescent="0.2">
      <c r="A33" s="1">
        <v>33</v>
      </c>
      <c r="B33" s="5" t="s">
        <v>231</v>
      </c>
      <c r="C33" s="5" t="s">
        <v>231</v>
      </c>
      <c r="D33" s="36" t="str">
        <f t="shared" ref="D33:D64" si="4">"R"&amp;A33&amp;W33</f>
        <v>R33B</v>
      </c>
      <c r="E33" s="36" t="str">
        <f t="shared" ref="E33:E64" si="5">"R"&amp;N33&amp;W33</f>
        <v>R8.3B</v>
      </c>
      <c r="F33" s="36" t="b">
        <f t="shared" si="3"/>
        <v>0</v>
      </c>
      <c r="G33" s="1">
        <f>VLOOKUP(C33,SIMBAD!C:I,7,0)</f>
        <v>8.39</v>
      </c>
      <c r="H33" s="38">
        <f>G33-N33</f>
        <v>8.9999999999999858E-2</v>
      </c>
      <c r="I33" s="42">
        <v>8.3000000000000007</v>
      </c>
      <c r="J33" s="1" t="b">
        <f t="shared" ref="J33:J64" si="6">G33&lt;Q33</f>
        <v>1</v>
      </c>
      <c r="K33" s="1" t="s">
        <v>232</v>
      </c>
      <c r="L33" s="1" t="s">
        <v>233</v>
      </c>
      <c r="M33" s="6" t="s">
        <v>234</v>
      </c>
      <c r="N33" s="14">
        <v>8.3000000000000007</v>
      </c>
      <c r="O33" s="35">
        <v>8.3000000000000007</v>
      </c>
      <c r="P33" s="35">
        <v>44</v>
      </c>
      <c r="Q33" s="6">
        <v>10</v>
      </c>
      <c r="R33" s="7">
        <v>2.62</v>
      </c>
      <c r="S33" s="6">
        <v>2.6</v>
      </c>
      <c r="T33" s="6">
        <v>2.6</v>
      </c>
      <c r="U33" s="8">
        <v>24025</v>
      </c>
      <c r="V33" s="1" t="s">
        <v>174</v>
      </c>
      <c r="W33" s="10" t="s">
        <v>1434</v>
      </c>
    </row>
    <row r="34" spans="1:23" x14ac:dyDescent="0.2">
      <c r="A34" s="1">
        <v>34</v>
      </c>
      <c r="B34" s="5" t="s">
        <v>236</v>
      </c>
      <c r="C34" s="5" t="s">
        <v>236</v>
      </c>
      <c r="D34" s="36" t="str">
        <f t="shared" si="4"/>
        <v>R34D</v>
      </c>
      <c r="E34" s="37" t="str">
        <f t="shared" si="5"/>
        <v>R7.4D</v>
      </c>
      <c r="F34" s="36" t="b">
        <f t="shared" ref="F34:F65" si="7">OR((E34=E35),(E34=E33))</f>
        <v>0</v>
      </c>
      <c r="G34" s="1">
        <f>VLOOKUP(C34,SIMBAD!C:I,7,0)</f>
        <v>10.41</v>
      </c>
      <c r="H34" s="1"/>
      <c r="I34" s="42" t="s">
        <v>1457</v>
      </c>
      <c r="J34" s="1" t="b">
        <f t="shared" si="6"/>
        <v>1</v>
      </c>
      <c r="K34" s="1" t="s">
        <v>237</v>
      </c>
      <c r="L34" s="1" t="s">
        <v>238</v>
      </c>
      <c r="M34" s="6" t="s">
        <v>239</v>
      </c>
      <c r="N34" s="14">
        <v>7.4</v>
      </c>
      <c r="O34" s="35">
        <v>7.4</v>
      </c>
      <c r="P34" s="35">
        <v>44</v>
      </c>
      <c r="Q34" s="6">
        <v>10.6</v>
      </c>
      <c r="R34" s="7">
        <v>2.1</v>
      </c>
      <c r="S34" s="6">
        <v>1.4</v>
      </c>
      <c r="T34" s="6">
        <v>1.4</v>
      </c>
      <c r="U34" s="8">
        <v>25050</v>
      </c>
      <c r="V34" s="1" t="s">
        <v>241</v>
      </c>
      <c r="W34" s="10" t="s">
        <v>1436</v>
      </c>
    </row>
    <row r="35" spans="1:23" x14ac:dyDescent="0.2">
      <c r="A35" s="1">
        <v>35</v>
      </c>
      <c r="B35" s="5" t="s">
        <v>242</v>
      </c>
      <c r="C35" s="5" t="s">
        <v>242</v>
      </c>
      <c r="D35" s="36" t="str">
        <f t="shared" si="4"/>
        <v>R35D</v>
      </c>
      <c r="E35" s="36" t="str">
        <f t="shared" si="5"/>
        <v>R8.2D</v>
      </c>
      <c r="F35" s="36" t="b">
        <f t="shared" si="7"/>
        <v>0</v>
      </c>
      <c r="G35" s="1">
        <f>VLOOKUP(C35,SIMBAD!C:I,7,0)</f>
        <v>8.1999999999999993</v>
      </c>
      <c r="H35" s="1"/>
      <c r="I35" s="42">
        <v>8.1999999999999993</v>
      </c>
      <c r="J35" s="1" t="b">
        <f t="shared" si="6"/>
        <v>1</v>
      </c>
      <c r="K35" s="1" t="s">
        <v>243</v>
      </c>
      <c r="L35" s="1" t="s">
        <v>244</v>
      </c>
      <c r="M35" s="6" t="s">
        <v>245</v>
      </c>
      <c r="N35" s="14">
        <v>8.1999999999999993</v>
      </c>
      <c r="O35" s="35">
        <v>8.1999999999999993</v>
      </c>
      <c r="P35" s="35">
        <v>36</v>
      </c>
      <c r="Q35" s="6">
        <v>13.3</v>
      </c>
      <c r="R35" s="7">
        <v>1.81</v>
      </c>
      <c r="S35" s="6" t="s">
        <v>45</v>
      </c>
      <c r="T35" s="7">
        <v>1.81</v>
      </c>
      <c r="U35" s="8" t="s">
        <v>45</v>
      </c>
      <c r="V35" s="1" t="s">
        <v>247</v>
      </c>
      <c r="W35" s="10" t="s">
        <v>1436</v>
      </c>
    </row>
    <row r="36" spans="1:23" x14ac:dyDescent="0.2">
      <c r="A36" s="1">
        <v>36</v>
      </c>
      <c r="B36" s="5" t="s">
        <v>248</v>
      </c>
      <c r="C36" s="5" t="s">
        <v>248</v>
      </c>
      <c r="D36" s="36" t="str">
        <f t="shared" si="4"/>
        <v>R36B</v>
      </c>
      <c r="E36" s="36" t="str">
        <f t="shared" si="5"/>
        <v>R8B</v>
      </c>
      <c r="F36" s="36" t="b">
        <f t="shared" si="7"/>
        <v>0</v>
      </c>
      <c r="G36" s="1">
        <f>VLOOKUP(C36,SIMBAD!C:I,7,0)</f>
        <v>9.6999999999999993</v>
      </c>
      <c r="H36" s="1"/>
      <c r="I36" s="41">
        <v>8</v>
      </c>
      <c r="J36" s="1" t="b">
        <f t="shared" si="6"/>
        <v>0</v>
      </c>
      <c r="K36" s="1" t="s">
        <v>249</v>
      </c>
      <c r="L36" s="1" t="s">
        <v>250</v>
      </c>
      <c r="M36" s="6" t="s">
        <v>251</v>
      </c>
      <c r="N36" s="14">
        <v>8</v>
      </c>
      <c r="O36" s="35">
        <v>8</v>
      </c>
      <c r="P36" s="35">
        <v>25</v>
      </c>
      <c r="Q36" s="6">
        <v>8.9</v>
      </c>
      <c r="R36" s="7">
        <v>2.97</v>
      </c>
      <c r="S36" s="6">
        <v>2.9</v>
      </c>
      <c r="T36" s="6">
        <v>2.9</v>
      </c>
      <c r="U36" s="8">
        <v>26032</v>
      </c>
      <c r="V36" s="1" t="s">
        <v>39</v>
      </c>
      <c r="W36" s="10" t="s">
        <v>1434</v>
      </c>
    </row>
    <row r="37" spans="1:23" x14ac:dyDescent="0.2">
      <c r="A37" s="1">
        <v>37</v>
      </c>
      <c r="B37" s="1" t="s">
        <v>253</v>
      </c>
      <c r="C37" s="1" t="s">
        <v>253</v>
      </c>
      <c r="D37" s="36" t="str">
        <f t="shared" si="4"/>
        <v>R37C</v>
      </c>
      <c r="E37" s="36" t="str">
        <f t="shared" si="5"/>
        <v>R7.4C</v>
      </c>
      <c r="F37" s="36" t="b">
        <f t="shared" si="7"/>
        <v>0</v>
      </c>
      <c r="G37" s="1">
        <f>VLOOKUP(C37,SIMBAD!C:I,7,0)</f>
        <v>7.59</v>
      </c>
      <c r="H37" s="38">
        <f>G37-N37</f>
        <v>0.1899999999999995</v>
      </c>
      <c r="I37" s="42" t="s">
        <v>1458</v>
      </c>
      <c r="J37" s="1" t="b">
        <f t="shared" si="6"/>
        <v>1</v>
      </c>
      <c r="K37" s="1" t="s">
        <v>254</v>
      </c>
      <c r="L37" s="1" t="s">
        <v>255</v>
      </c>
      <c r="M37" s="6" t="s">
        <v>256</v>
      </c>
      <c r="N37" s="14">
        <v>7.4</v>
      </c>
      <c r="O37" s="35">
        <v>7.4</v>
      </c>
      <c r="P37" s="35">
        <v>43</v>
      </c>
      <c r="Q37" s="6">
        <v>7.9</v>
      </c>
      <c r="R37" s="7">
        <v>2.4</v>
      </c>
      <c r="S37" s="6">
        <v>2.1</v>
      </c>
      <c r="T37" s="6">
        <v>2.1</v>
      </c>
      <c r="U37" s="8">
        <v>26824</v>
      </c>
      <c r="V37" s="1" t="s">
        <v>258</v>
      </c>
      <c r="W37" s="10" t="s">
        <v>1435</v>
      </c>
    </row>
    <row r="38" spans="1:23" x14ac:dyDescent="0.2">
      <c r="A38" s="1">
        <v>38</v>
      </c>
      <c r="B38" s="5" t="s">
        <v>259</v>
      </c>
      <c r="C38" s="5" t="s">
        <v>259</v>
      </c>
      <c r="D38" s="36" t="str">
        <f t="shared" si="4"/>
        <v>R38C</v>
      </c>
      <c r="E38" s="36" t="str">
        <f t="shared" si="5"/>
        <v>R7.7C</v>
      </c>
      <c r="F38" s="36" t="b">
        <f t="shared" si="7"/>
        <v>0</v>
      </c>
      <c r="G38" s="1">
        <f>VLOOKUP(C38,SIMBAD!C:I,7,0)</f>
        <v>8.18</v>
      </c>
      <c r="H38" s="1"/>
      <c r="I38" s="41">
        <v>7.7</v>
      </c>
      <c r="J38" s="1" t="b">
        <f t="shared" si="6"/>
        <v>1</v>
      </c>
      <c r="K38" s="1" t="s">
        <v>260</v>
      </c>
      <c r="L38" s="1" t="s">
        <v>261</v>
      </c>
      <c r="M38" s="6" t="s">
        <v>262</v>
      </c>
      <c r="N38" s="14">
        <v>7.7</v>
      </c>
      <c r="O38" s="35">
        <v>7.7</v>
      </c>
      <c r="P38" s="35">
        <v>14</v>
      </c>
      <c r="Q38" s="6">
        <v>11.6</v>
      </c>
      <c r="R38" s="7">
        <v>2.95</v>
      </c>
      <c r="S38" s="6">
        <v>2.5</v>
      </c>
      <c r="T38" s="6">
        <v>2.5</v>
      </c>
      <c r="U38" s="8">
        <v>26753</v>
      </c>
      <c r="V38" s="1" t="s">
        <v>265</v>
      </c>
      <c r="W38" s="10" t="s">
        <v>1435</v>
      </c>
    </row>
    <row r="39" spans="1:23" x14ac:dyDescent="0.2">
      <c r="A39" s="1">
        <v>39</v>
      </c>
      <c r="B39" s="5" t="s">
        <v>266</v>
      </c>
      <c r="C39" s="5" t="s">
        <v>266</v>
      </c>
      <c r="D39" s="36" t="str">
        <f t="shared" si="4"/>
        <v>R39B</v>
      </c>
      <c r="E39" s="36" t="str">
        <f t="shared" si="5"/>
        <v>R5.9B</v>
      </c>
      <c r="F39" s="36" t="b">
        <f t="shared" si="7"/>
        <v>0</v>
      </c>
      <c r="G39" s="1">
        <f>VLOOKUP(C39,SIMBAD!C:I,7,0)</f>
        <v>8.4600000000000009</v>
      </c>
      <c r="H39" s="1"/>
      <c r="I39" s="42">
        <v>5.92</v>
      </c>
      <c r="J39" s="1" t="b">
        <f t="shared" si="6"/>
        <v>1</v>
      </c>
      <c r="K39" s="1" t="s">
        <v>267</v>
      </c>
      <c r="L39" s="1" t="s">
        <v>268</v>
      </c>
      <c r="M39" s="6" t="s">
        <v>269</v>
      </c>
      <c r="N39" s="14">
        <v>5.9</v>
      </c>
      <c r="O39" s="35">
        <v>5.9</v>
      </c>
      <c r="P39" s="35">
        <v>8</v>
      </c>
      <c r="Q39" s="6">
        <v>9.1999999999999993</v>
      </c>
      <c r="R39" s="7">
        <v>2.75</v>
      </c>
      <c r="S39" s="6">
        <v>2.9</v>
      </c>
      <c r="T39" s="6">
        <v>2.9</v>
      </c>
      <c r="U39" s="8">
        <v>27135</v>
      </c>
      <c r="V39" s="1" t="s">
        <v>80</v>
      </c>
      <c r="W39" s="10" t="s">
        <v>1434</v>
      </c>
    </row>
    <row r="40" spans="1:23" x14ac:dyDescent="0.2">
      <c r="A40" s="1">
        <v>40</v>
      </c>
      <c r="B40" s="5" t="s">
        <v>271</v>
      </c>
      <c r="C40" s="5" t="s">
        <v>271</v>
      </c>
      <c r="D40" s="36" t="str">
        <f t="shared" si="4"/>
        <v>R40A</v>
      </c>
      <c r="E40" s="36" t="str">
        <f t="shared" si="5"/>
        <v>R6.5A</v>
      </c>
      <c r="F40" s="36" t="b">
        <f t="shared" si="7"/>
        <v>0</v>
      </c>
      <c r="G40" s="1">
        <f>VLOOKUP(C40,SIMBAD!C:I,7,0)</f>
        <v>6.9</v>
      </c>
      <c r="H40" s="1"/>
      <c r="I40" s="42">
        <v>6.52</v>
      </c>
      <c r="J40" s="1" t="b">
        <f t="shared" si="6"/>
        <v>1</v>
      </c>
      <c r="K40" s="1" t="s">
        <v>272</v>
      </c>
      <c r="L40" s="1" t="s">
        <v>273</v>
      </c>
      <c r="M40" s="6" t="s">
        <v>274</v>
      </c>
      <c r="N40" s="14">
        <v>6.5</v>
      </c>
      <c r="O40" s="35">
        <v>6.5</v>
      </c>
      <c r="P40" s="35">
        <v>4</v>
      </c>
      <c r="Q40" s="6">
        <v>9.1999999999999993</v>
      </c>
      <c r="R40" s="7">
        <v>3.44</v>
      </c>
      <c r="S40" s="6">
        <v>3</v>
      </c>
      <c r="T40" s="6">
        <v>3</v>
      </c>
      <c r="U40" s="8">
        <v>27181</v>
      </c>
      <c r="V40" s="1" t="s">
        <v>276</v>
      </c>
      <c r="W40" s="10" t="s">
        <v>1433</v>
      </c>
    </row>
    <row r="41" spans="1:23" x14ac:dyDescent="0.2">
      <c r="A41" s="1">
        <v>41</v>
      </c>
      <c r="B41" s="5" t="s">
        <v>277</v>
      </c>
      <c r="C41" s="5" t="s">
        <v>277</v>
      </c>
      <c r="D41" s="36" t="str">
        <f t="shared" si="4"/>
        <v>R41B</v>
      </c>
      <c r="E41" s="36" t="str">
        <f t="shared" si="5"/>
        <v>R8.3B</v>
      </c>
      <c r="F41" s="36" t="b">
        <f t="shared" si="7"/>
        <v>0</v>
      </c>
      <c r="G41" s="1">
        <f>VLOOKUP(C41,SIMBAD!C:I,7,0)</f>
        <v>8.31</v>
      </c>
      <c r="H41" s="38">
        <f>G41-N41</f>
        <v>9.9999999999997868E-3</v>
      </c>
      <c r="I41" s="42">
        <v>8.3000000000000007</v>
      </c>
      <c r="J41" s="1" t="b">
        <f t="shared" si="6"/>
        <v>1</v>
      </c>
      <c r="K41" s="1" t="s">
        <v>278</v>
      </c>
      <c r="L41" s="1" t="s">
        <v>279</v>
      </c>
      <c r="M41" s="6" t="s">
        <v>280</v>
      </c>
      <c r="N41" s="14">
        <v>8.3000000000000007</v>
      </c>
      <c r="O41" s="35">
        <v>8.3000000000000007</v>
      </c>
      <c r="P41" s="35">
        <v>42</v>
      </c>
      <c r="Q41" s="6">
        <v>8.5</v>
      </c>
      <c r="R41" s="7">
        <v>2.77</v>
      </c>
      <c r="S41" s="6">
        <v>2.7</v>
      </c>
      <c r="T41" s="6">
        <v>2.7</v>
      </c>
      <c r="U41" s="8">
        <v>27398</v>
      </c>
      <c r="V41" s="1" t="s">
        <v>100</v>
      </c>
      <c r="W41" s="10" t="s">
        <v>1434</v>
      </c>
    </row>
    <row r="42" spans="1:23" x14ac:dyDescent="0.2">
      <c r="A42" s="1">
        <v>42</v>
      </c>
      <c r="B42" s="5" t="s">
        <v>283</v>
      </c>
      <c r="C42" s="5" t="s">
        <v>283</v>
      </c>
      <c r="D42" s="36" t="str">
        <f t="shared" si="4"/>
        <v>R42D</v>
      </c>
      <c r="E42" s="36" t="str">
        <f t="shared" si="5"/>
        <v>R9.1D</v>
      </c>
      <c r="F42" s="36" t="b">
        <f t="shared" si="7"/>
        <v>0</v>
      </c>
      <c r="G42" s="1">
        <f>VLOOKUP(C42,SIMBAD!C:I,7,0)</f>
        <v>9.1</v>
      </c>
      <c r="H42" s="1"/>
      <c r="I42" s="41">
        <v>9.1</v>
      </c>
      <c r="J42" s="1" t="b">
        <f t="shared" si="6"/>
        <v>1</v>
      </c>
      <c r="K42" s="1" t="s">
        <v>284</v>
      </c>
      <c r="L42" s="1" t="s">
        <v>285</v>
      </c>
      <c r="M42" s="6" t="s">
        <v>286</v>
      </c>
      <c r="N42" s="14">
        <v>9.1</v>
      </c>
      <c r="O42" s="35">
        <v>9.1</v>
      </c>
      <c r="P42" s="35">
        <v>22</v>
      </c>
      <c r="Q42" s="6">
        <v>18</v>
      </c>
      <c r="R42" s="7">
        <v>1.1000000000000001</v>
      </c>
      <c r="T42" s="7">
        <v>1.1000000000000001</v>
      </c>
      <c r="V42" s="1" t="s">
        <v>287</v>
      </c>
      <c r="W42" s="10" t="s">
        <v>1436</v>
      </c>
    </row>
    <row r="43" spans="1:23" x14ac:dyDescent="0.2">
      <c r="A43" s="1">
        <v>43</v>
      </c>
      <c r="B43" s="5" t="s">
        <v>288</v>
      </c>
      <c r="C43" s="5" t="s">
        <v>288</v>
      </c>
      <c r="D43" s="36" t="str">
        <f t="shared" si="4"/>
        <v>R43B</v>
      </c>
      <c r="E43" s="36" t="str">
        <f t="shared" si="5"/>
        <v>R7.4B</v>
      </c>
      <c r="F43" s="36" t="b">
        <f t="shared" si="7"/>
        <v>0</v>
      </c>
      <c r="G43" s="1">
        <f>VLOOKUP(C43,SIMBAD!C:I,7,0)</f>
        <v>9.4</v>
      </c>
      <c r="H43" s="1"/>
      <c r="I43" s="41">
        <v>7.4</v>
      </c>
      <c r="J43" s="1" t="b">
        <f t="shared" si="6"/>
        <v>0</v>
      </c>
      <c r="K43" s="1" t="s">
        <v>289</v>
      </c>
      <c r="L43" s="1" t="s">
        <v>290</v>
      </c>
      <c r="M43" s="6" t="s">
        <v>291</v>
      </c>
      <c r="N43" s="14">
        <v>7.4</v>
      </c>
      <c r="O43" s="35">
        <v>7.4</v>
      </c>
      <c r="P43" s="35">
        <v>41</v>
      </c>
      <c r="Q43" s="6">
        <v>8.4</v>
      </c>
      <c r="R43" s="7">
        <v>3.36</v>
      </c>
      <c r="S43" s="6">
        <v>2.8</v>
      </c>
      <c r="T43" s="6">
        <v>2.8</v>
      </c>
      <c r="U43" s="8" t="s">
        <v>45</v>
      </c>
      <c r="V43" s="1" t="s">
        <v>39</v>
      </c>
      <c r="W43" s="10" t="s">
        <v>1434</v>
      </c>
    </row>
    <row r="44" spans="1:23" x14ac:dyDescent="0.2">
      <c r="A44" s="1">
        <v>44</v>
      </c>
      <c r="B44" s="1" t="s">
        <v>293</v>
      </c>
      <c r="C44" s="1" t="s">
        <v>293</v>
      </c>
      <c r="D44" s="36" t="str">
        <f t="shared" si="4"/>
        <v>R44C</v>
      </c>
      <c r="E44" s="36" t="str">
        <f t="shared" si="5"/>
        <v>R9.5C</v>
      </c>
      <c r="F44" s="36" t="b">
        <f t="shared" si="7"/>
        <v>0</v>
      </c>
      <c r="G44" s="1">
        <f>VLOOKUP(C44,SIMBAD!C:I,7,0)</f>
        <v>9.5</v>
      </c>
      <c r="H44" s="1"/>
      <c r="I44" s="41">
        <v>9.5</v>
      </c>
      <c r="J44" s="1" t="b">
        <f t="shared" si="6"/>
        <v>1</v>
      </c>
      <c r="K44" s="1" t="s">
        <v>294</v>
      </c>
      <c r="L44" s="1" t="s">
        <v>295</v>
      </c>
      <c r="M44" s="6" t="s">
        <v>296</v>
      </c>
      <c r="N44" s="14">
        <v>9.5</v>
      </c>
      <c r="O44" s="35">
        <v>9.5</v>
      </c>
      <c r="P44" s="35">
        <v>2</v>
      </c>
      <c r="Q44" s="6">
        <v>11</v>
      </c>
      <c r="R44" s="7">
        <v>2</v>
      </c>
      <c r="S44" s="6" t="s">
        <v>45</v>
      </c>
      <c r="T44" s="7">
        <v>2</v>
      </c>
      <c r="U44" s="8">
        <v>29896</v>
      </c>
      <c r="V44" s="1" t="s">
        <v>247</v>
      </c>
      <c r="W44" s="10" t="s">
        <v>1435</v>
      </c>
    </row>
    <row r="45" spans="1:23" x14ac:dyDescent="0.2">
      <c r="A45" s="1">
        <v>45</v>
      </c>
      <c r="B45" s="5" t="s">
        <v>297</v>
      </c>
      <c r="C45" s="5" t="s">
        <v>297</v>
      </c>
      <c r="D45" s="36" t="str">
        <f t="shared" si="4"/>
        <v>R45A</v>
      </c>
      <c r="E45" s="36" t="str">
        <f t="shared" si="5"/>
        <v>R8.5A</v>
      </c>
      <c r="F45" s="36" t="b">
        <f t="shared" si="7"/>
        <v>0</v>
      </c>
      <c r="G45" s="1">
        <f>VLOOKUP(C45,SIMBAD!C:I,7,0)</f>
        <v>9.06</v>
      </c>
      <c r="H45" s="38">
        <f>G45-N45</f>
        <v>0.5600000000000005</v>
      </c>
      <c r="I45" s="42">
        <v>8.5</v>
      </c>
      <c r="J45" s="1" t="b">
        <f t="shared" si="6"/>
        <v>1</v>
      </c>
      <c r="K45" s="1" t="s">
        <v>298</v>
      </c>
      <c r="L45" s="1" t="s">
        <v>299</v>
      </c>
      <c r="M45" s="6" t="s">
        <v>300</v>
      </c>
      <c r="N45" s="14">
        <v>8.5</v>
      </c>
      <c r="O45" s="35">
        <v>8.5</v>
      </c>
      <c r="P45" s="35">
        <v>4</v>
      </c>
      <c r="Q45" s="6">
        <v>9.8000000000000007</v>
      </c>
      <c r="R45" s="7" t="s">
        <v>45</v>
      </c>
      <c r="S45" s="6">
        <v>3.3</v>
      </c>
      <c r="T45" s="6">
        <v>3.3</v>
      </c>
      <c r="U45" s="8">
        <v>30301</v>
      </c>
      <c r="V45" s="1" t="s">
        <v>302</v>
      </c>
      <c r="W45" s="10" t="s">
        <v>1433</v>
      </c>
    </row>
    <row r="46" spans="1:23" x14ac:dyDescent="0.2">
      <c r="A46" s="1">
        <v>46</v>
      </c>
      <c r="B46" s="5" t="s">
        <v>303</v>
      </c>
      <c r="C46" s="5" t="s">
        <v>303</v>
      </c>
      <c r="D46" s="36" t="str">
        <f t="shared" si="4"/>
        <v>R46S</v>
      </c>
      <c r="E46" s="36" t="str">
        <f t="shared" si="5"/>
        <v>R8.5S</v>
      </c>
      <c r="F46" s="36" t="b">
        <f t="shared" si="7"/>
        <v>0</v>
      </c>
      <c r="G46" s="1">
        <f>VLOOKUP(C46,SIMBAD!C:I,7,0)</f>
        <v>8.5</v>
      </c>
      <c r="H46" s="1"/>
      <c r="I46" s="41">
        <v>8.5</v>
      </c>
      <c r="J46" s="1" t="b">
        <f t="shared" si="6"/>
        <v>1</v>
      </c>
      <c r="K46" s="1" t="s">
        <v>304</v>
      </c>
      <c r="L46" s="1" t="s">
        <v>305</v>
      </c>
      <c r="M46" s="6" t="s">
        <v>306</v>
      </c>
      <c r="N46" s="14">
        <v>8.5</v>
      </c>
      <c r="O46" s="35">
        <v>8.5</v>
      </c>
      <c r="P46" s="35">
        <v>2</v>
      </c>
      <c r="Q46" s="6">
        <v>13</v>
      </c>
      <c r="R46" s="15">
        <v>3.87</v>
      </c>
      <c r="S46" s="6" t="s">
        <v>45</v>
      </c>
      <c r="T46" s="15">
        <v>3.87</v>
      </c>
      <c r="U46" s="8">
        <v>30449</v>
      </c>
      <c r="V46" s="1" t="s">
        <v>308</v>
      </c>
      <c r="W46" s="10" t="s">
        <v>1432</v>
      </c>
    </row>
    <row r="47" spans="1:23" x14ac:dyDescent="0.2">
      <c r="A47" s="1">
        <v>47</v>
      </c>
      <c r="B47" s="5" t="s">
        <v>309</v>
      </c>
      <c r="C47" s="5" t="s">
        <v>309</v>
      </c>
      <c r="D47" s="36" t="str">
        <f t="shared" si="4"/>
        <v>R47C</v>
      </c>
      <c r="E47" s="36" t="str">
        <f t="shared" si="5"/>
        <v>R6C</v>
      </c>
      <c r="F47" s="36" t="b">
        <f t="shared" si="7"/>
        <v>0</v>
      </c>
      <c r="G47" s="1">
        <f>VLOOKUP(C47,SIMBAD!C:I,7,0)</f>
        <v>6</v>
      </c>
      <c r="H47" s="1"/>
      <c r="I47" s="41">
        <v>6</v>
      </c>
      <c r="J47" s="1" t="b">
        <f t="shared" si="6"/>
        <v>1</v>
      </c>
      <c r="K47" s="1" t="s">
        <v>310</v>
      </c>
      <c r="L47" s="1" t="s">
        <v>311</v>
      </c>
      <c r="M47" s="6" t="s">
        <v>312</v>
      </c>
      <c r="N47" s="14">
        <v>6</v>
      </c>
      <c r="O47" s="35">
        <v>6</v>
      </c>
      <c r="P47" s="35">
        <v>14</v>
      </c>
      <c r="Q47" s="6">
        <v>7</v>
      </c>
      <c r="R47" s="7">
        <v>2.5499999999999998</v>
      </c>
      <c r="S47" s="6">
        <v>2.2999999999999998</v>
      </c>
      <c r="T47" s="6">
        <v>2.2999999999999998</v>
      </c>
      <c r="U47" s="8">
        <v>30564</v>
      </c>
      <c r="V47" s="1" t="s">
        <v>174</v>
      </c>
      <c r="W47" s="10" t="s">
        <v>1435</v>
      </c>
    </row>
    <row r="48" spans="1:23" x14ac:dyDescent="0.2">
      <c r="A48" s="1">
        <v>48</v>
      </c>
      <c r="B48" s="1" t="s">
        <v>314</v>
      </c>
      <c r="C48" s="1" t="s">
        <v>314</v>
      </c>
      <c r="D48" s="36" t="str">
        <f t="shared" si="4"/>
        <v>R48A</v>
      </c>
      <c r="E48" s="36" t="str">
        <f t="shared" si="5"/>
        <v>R8.4A</v>
      </c>
      <c r="F48" s="36" t="b">
        <f t="shared" si="7"/>
        <v>0</v>
      </c>
      <c r="G48" s="1">
        <f>VLOOKUP(C48,SIMBAD!C:I,7,0)</f>
        <v>8.9700000000000006</v>
      </c>
      <c r="H48" s="1"/>
      <c r="I48" s="41">
        <v>8.4</v>
      </c>
      <c r="J48" s="1" t="b">
        <f t="shared" si="6"/>
        <v>0</v>
      </c>
      <c r="K48" s="1" t="s">
        <v>315</v>
      </c>
      <c r="L48" s="1" t="s">
        <v>316</v>
      </c>
      <c r="M48" s="6">
        <v>8.4</v>
      </c>
      <c r="N48" s="14">
        <v>8.4</v>
      </c>
      <c r="O48" s="35">
        <v>8.4</v>
      </c>
      <c r="P48" s="35">
        <v>49</v>
      </c>
      <c r="Q48" s="6">
        <v>8.4</v>
      </c>
      <c r="R48" s="7">
        <v>3.47</v>
      </c>
      <c r="S48" s="6" t="s">
        <v>45</v>
      </c>
      <c r="T48" s="7">
        <v>3.47</v>
      </c>
      <c r="U48" s="8">
        <v>31379</v>
      </c>
      <c r="V48" s="1" t="s">
        <v>139</v>
      </c>
      <c r="W48" s="10" t="s">
        <v>1433</v>
      </c>
    </row>
    <row r="49" spans="1:23" x14ac:dyDescent="0.2">
      <c r="A49" s="1">
        <v>49</v>
      </c>
      <c r="B49" s="5" t="s">
        <v>318</v>
      </c>
      <c r="C49" s="5" t="s">
        <v>318</v>
      </c>
      <c r="D49" s="36" t="str">
        <f t="shared" si="4"/>
        <v>R49B</v>
      </c>
      <c r="E49" s="36" t="str">
        <f t="shared" si="5"/>
        <v>R5.1B</v>
      </c>
      <c r="F49" s="36" t="b">
        <f t="shared" si="7"/>
        <v>0</v>
      </c>
      <c r="G49" s="1">
        <f>VLOOKUP(C49,SIMBAD!C:I,7,0)</f>
        <v>5.25</v>
      </c>
      <c r="H49" s="1"/>
      <c r="I49" s="41">
        <v>5.0999999999999996</v>
      </c>
      <c r="J49" s="1" t="b">
        <f t="shared" si="6"/>
        <v>1</v>
      </c>
      <c r="K49" s="1" t="s">
        <v>319</v>
      </c>
      <c r="L49" s="1" t="s">
        <v>320</v>
      </c>
      <c r="M49" s="6" t="s">
        <v>321</v>
      </c>
      <c r="N49" s="14">
        <v>5.0999999999999996</v>
      </c>
      <c r="O49" s="35">
        <v>5.0999999999999996</v>
      </c>
      <c r="P49" s="35">
        <v>4</v>
      </c>
      <c r="Q49" s="6">
        <v>7</v>
      </c>
      <c r="R49" s="7">
        <v>3.1</v>
      </c>
      <c r="S49" s="6">
        <v>2.6</v>
      </c>
      <c r="T49" s="6">
        <v>2.6</v>
      </c>
      <c r="U49" s="8">
        <v>31579</v>
      </c>
      <c r="V49" s="1" t="s">
        <v>174</v>
      </c>
      <c r="W49" s="10" t="s">
        <v>1434</v>
      </c>
    </row>
    <row r="50" spans="1:23" x14ac:dyDescent="0.2">
      <c r="A50" s="1">
        <v>50</v>
      </c>
      <c r="B50" s="5" t="s">
        <v>323</v>
      </c>
      <c r="C50" s="5" t="s">
        <v>323</v>
      </c>
      <c r="D50" s="36" t="str">
        <f t="shared" si="4"/>
        <v>R50C</v>
      </c>
      <c r="E50" s="36" t="str">
        <f t="shared" si="5"/>
        <v>R8.1C</v>
      </c>
      <c r="F50" s="36" t="b">
        <f t="shared" si="7"/>
        <v>1</v>
      </c>
      <c r="G50" s="1">
        <f>VLOOKUP(C50,SIMBAD!C:I,7,0)</f>
        <v>8.14</v>
      </c>
      <c r="H50" s="1"/>
      <c r="I50" s="42">
        <v>8.1</v>
      </c>
      <c r="J50" s="1" t="b">
        <f t="shared" si="6"/>
        <v>1</v>
      </c>
      <c r="K50" s="1" t="s">
        <v>324</v>
      </c>
      <c r="L50" s="1" t="s">
        <v>325</v>
      </c>
      <c r="M50" s="6" t="s">
        <v>326</v>
      </c>
      <c r="N50" s="14">
        <v>8.1</v>
      </c>
      <c r="O50" s="35">
        <v>8.1</v>
      </c>
      <c r="P50" s="35">
        <v>30</v>
      </c>
      <c r="Q50" s="6">
        <v>8.5</v>
      </c>
      <c r="R50" s="7">
        <v>2.68</v>
      </c>
      <c r="S50" s="6">
        <v>2.4</v>
      </c>
      <c r="T50" s="6">
        <v>2.4</v>
      </c>
      <c r="U50" s="8">
        <v>32083</v>
      </c>
      <c r="V50" s="1" t="s">
        <v>80</v>
      </c>
      <c r="W50" s="10" t="s">
        <v>1435</v>
      </c>
    </row>
    <row r="51" spans="1:23" x14ac:dyDescent="0.2">
      <c r="A51" s="1">
        <v>51</v>
      </c>
      <c r="B51" s="5" t="s">
        <v>328</v>
      </c>
      <c r="C51" s="5" t="s">
        <v>328</v>
      </c>
      <c r="D51" s="36" t="str">
        <f t="shared" si="4"/>
        <v>R51C</v>
      </c>
      <c r="E51" s="36" t="str">
        <f t="shared" si="5"/>
        <v>R8.1C</v>
      </c>
      <c r="F51" s="36" t="b">
        <f t="shared" si="7"/>
        <v>1</v>
      </c>
      <c r="G51" s="1">
        <f>VLOOKUP(C51,SIMBAD!C:I,7,0)</f>
        <v>9.4</v>
      </c>
      <c r="H51" s="38">
        <f>G51-N51</f>
        <v>1.3000000000000007</v>
      </c>
      <c r="I51" s="42">
        <v>8.1</v>
      </c>
      <c r="J51" s="1" t="b">
        <f t="shared" si="6"/>
        <v>0</v>
      </c>
      <c r="K51" s="1" t="s">
        <v>329</v>
      </c>
      <c r="L51" s="1" t="s">
        <v>330</v>
      </c>
      <c r="M51" s="6" t="s">
        <v>331</v>
      </c>
      <c r="N51" s="14">
        <v>8.1</v>
      </c>
      <c r="O51" s="35">
        <v>8.1</v>
      </c>
      <c r="P51" s="35">
        <v>31</v>
      </c>
      <c r="Q51" s="6">
        <v>9</v>
      </c>
      <c r="R51" s="7">
        <v>2.64</v>
      </c>
      <c r="S51" s="6">
        <v>2.4</v>
      </c>
      <c r="T51" s="6">
        <v>2.4</v>
      </c>
      <c r="U51" s="8">
        <v>33059</v>
      </c>
      <c r="V51" s="1" t="s">
        <v>174</v>
      </c>
      <c r="W51" s="10" t="s">
        <v>1435</v>
      </c>
    </row>
    <row r="52" spans="1:23" x14ac:dyDescent="0.2">
      <c r="A52" s="1">
        <v>52</v>
      </c>
      <c r="B52" s="1" t="s">
        <v>333</v>
      </c>
      <c r="C52" s="1" t="s">
        <v>333</v>
      </c>
      <c r="D52" s="36" t="str">
        <f t="shared" si="4"/>
        <v>R52C</v>
      </c>
      <c r="E52" s="36" t="str">
        <f t="shared" si="5"/>
        <v>R6.2C</v>
      </c>
      <c r="F52" s="36" t="b">
        <f t="shared" si="7"/>
        <v>0</v>
      </c>
      <c r="G52" s="1">
        <f>VLOOKUP(C52,SIMBAD!C:I,7,0)</f>
        <v>6.27</v>
      </c>
      <c r="H52" s="1"/>
      <c r="I52" s="41">
        <v>6.2</v>
      </c>
      <c r="J52" s="1" t="b">
        <f t="shared" si="6"/>
        <v>1</v>
      </c>
      <c r="K52" s="1" t="s">
        <v>334</v>
      </c>
      <c r="L52" s="1" t="s">
        <v>335</v>
      </c>
      <c r="M52" s="6" t="s">
        <v>336</v>
      </c>
      <c r="N52" s="14">
        <v>6.2</v>
      </c>
      <c r="O52" s="35">
        <v>6.2</v>
      </c>
      <c r="P52" s="35">
        <v>15</v>
      </c>
      <c r="Q52" s="6">
        <v>6.5</v>
      </c>
      <c r="R52" s="7">
        <v>2.5</v>
      </c>
      <c r="S52" s="6">
        <v>2.2000000000000002</v>
      </c>
      <c r="T52" s="6">
        <v>2.2000000000000002</v>
      </c>
      <c r="U52" s="8">
        <v>33189</v>
      </c>
      <c r="V52" s="1" t="s">
        <v>338</v>
      </c>
      <c r="W52" s="10" t="s">
        <v>1435</v>
      </c>
    </row>
    <row r="53" spans="1:23" x14ac:dyDescent="0.2">
      <c r="A53" s="1">
        <v>53</v>
      </c>
      <c r="B53" s="5" t="s">
        <v>339</v>
      </c>
      <c r="C53" s="5" t="s">
        <v>339</v>
      </c>
      <c r="D53" s="36" t="str">
        <f t="shared" si="4"/>
        <v>R53B</v>
      </c>
      <c r="E53" s="36" t="str">
        <f t="shared" si="5"/>
        <v>R7B</v>
      </c>
      <c r="F53" s="36" t="b">
        <f t="shared" si="7"/>
        <v>0</v>
      </c>
      <c r="G53" s="1">
        <f>VLOOKUP(C53,SIMBAD!C:I,7,0)</f>
        <v>7.47</v>
      </c>
      <c r="H53" s="38">
        <f>G53-N53</f>
        <v>0.46999999999999975</v>
      </c>
      <c r="I53" s="42" t="s">
        <v>1449</v>
      </c>
      <c r="J53" s="1" t="b">
        <f t="shared" si="6"/>
        <v>1</v>
      </c>
      <c r="K53" s="1" t="s">
        <v>340</v>
      </c>
      <c r="L53" s="1" t="s">
        <v>341</v>
      </c>
      <c r="M53" s="6" t="s">
        <v>342</v>
      </c>
      <c r="N53" s="14">
        <v>7</v>
      </c>
      <c r="O53" s="35">
        <v>7</v>
      </c>
      <c r="P53" s="35">
        <v>25</v>
      </c>
      <c r="Q53" s="6">
        <v>8.9</v>
      </c>
      <c r="R53" s="7">
        <v>3.2</v>
      </c>
      <c r="S53" s="6">
        <v>2.7</v>
      </c>
      <c r="T53" s="6">
        <v>2.7</v>
      </c>
      <c r="U53" s="8">
        <v>33550</v>
      </c>
      <c r="V53" s="1" t="s">
        <v>180</v>
      </c>
      <c r="W53" s="10" t="s">
        <v>1434</v>
      </c>
    </row>
    <row r="54" spans="1:23" x14ac:dyDescent="0.2">
      <c r="A54" s="1">
        <v>54</v>
      </c>
      <c r="B54" s="5" t="s">
        <v>344</v>
      </c>
      <c r="C54" s="5" t="s">
        <v>344</v>
      </c>
      <c r="D54" s="36" t="str">
        <f t="shared" si="4"/>
        <v>R54D</v>
      </c>
      <c r="E54" s="37" t="str">
        <f t="shared" si="5"/>
        <v>R7D</v>
      </c>
      <c r="F54" s="36" t="b">
        <f t="shared" si="7"/>
        <v>0</v>
      </c>
      <c r="G54" s="1">
        <f>VLOOKUP(C54,SIMBAD!C:I,7,0)</f>
        <v>8.76</v>
      </c>
      <c r="H54" s="38">
        <f>G54-N54</f>
        <v>1.7599999999999998</v>
      </c>
      <c r="I54" s="42" t="s">
        <v>1452</v>
      </c>
      <c r="J54" s="1" t="b">
        <f t="shared" si="6"/>
        <v>0</v>
      </c>
      <c r="K54" s="1" t="s">
        <v>345</v>
      </c>
      <c r="L54" s="1" t="s">
        <v>346</v>
      </c>
      <c r="M54" s="6" t="s">
        <v>347</v>
      </c>
      <c r="N54" s="14">
        <v>7</v>
      </c>
      <c r="O54" s="35">
        <v>7</v>
      </c>
      <c r="P54" s="35">
        <v>29</v>
      </c>
      <c r="Q54" s="6">
        <v>7.4</v>
      </c>
      <c r="R54" s="7">
        <v>1.96</v>
      </c>
      <c r="S54" s="6">
        <v>1.7000000000000002</v>
      </c>
      <c r="T54" s="6">
        <v>1.7000000000000002</v>
      </c>
      <c r="U54" s="8">
        <v>33794</v>
      </c>
      <c r="V54" s="1" t="s">
        <v>66</v>
      </c>
      <c r="W54" s="10" t="s">
        <v>1436</v>
      </c>
    </row>
    <row r="55" spans="1:23" x14ac:dyDescent="0.2">
      <c r="A55" s="1">
        <v>55</v>
      </c>
      <c r="B55" s="20" t="s">
        <v>349</v>
      </c>
      <c r="C55" s="20" t="s">
        <v>349</v>
      </c>
      <c r="D55" s="36" t="str">
        <f t="shared" si="4"/>
        <v>R55S</v>
      </c>
      <c r="E55" s="36" t="str">
        <f t="shared" si="5"/>
        <v>R7.5S</v>
      </c>
      <c r="F55" s="36" t="b">
        <f t="shared" si="7"/>
        <v>0</v>
      </c>
      <c r="G55" s="1">
        <f>VLOOKUP(C55,SIMBAD!C:I,7,0)</f>
        <v>7.5</v>
      </c>
      <c r="H55" s="1"/>
      <c r="I55" s="41">
        <v>7.5</v>
      </c>
      <c r="J55" s="1" t="b">
        <f t="shared" si="6"/>
        <v>1</v>
      </c>
      <c r="K55" s="1" t="s">
        <v>350</v>
      </c>
      <c r="L55" s="1" t="s">
        <v>351</v>
      </c>
      <c r="M55" s="6" t="s">
        <v>352</v>
      </c>
      <c r="N55" s="14">
        <v>7.5</v>
      </c>
      <c r="O55" s="35">
        <v>7.5</v>
      </c>
      <c r="P55" s="35">
        <v>3</v>
      </c>
      <c r="Q55" s="6">
        <v>9.1999999999999993</v>
      </c>
      <c r="R55" s="15">
        <v>4.38</v>
      </c>
      <c r="S55" s="14">
        <v>4</v>
      </c>
      <c r="T55" s="14">
        <v>4</v>
      </c>
      <c r="U55" s="8">
        <v>34326</v>
      </c>
      <c r="V55" s="23" t="s">
        <v>354</v>
      </c>
      <c r="W55" s="10" t="s">
        <v>1432</v>
      </c>
    </row>
    <row r="56" spans="1:23" x14ac:dyDescent="0.2">
      <c r="A56" s="1">
        <v>56</v>
      </c>
      <c r="B56" s="5" t="s">
        <v>355</v>
      </c>
      <c r="C56" s="5" t="s">
        <v>355</v>
      </c>
      <c r="D56" s="36" t="str">
        <f t="shared" si="4"/>
        <v>R56C</v>
      </c>
      <c r="E56" s="36" t="str">
        <f t="shared" si="5"/>
        <v>R6.4C</v>
      </c>
      <c r="F56" s="36" t="b">
        <f t="shared" si="7"/>
        <v>0</v>
      </c>
      <c r="G56" s="1">
        <f>VLOOKUP(C56,SIMBAD!C:I,7,0)</f>
        <v>6.56</v>
      </c>
      <c r="H56" s="1"/>
      <c r="I56" s="41">
        <v>6.4</v>
      </c>
      <c r="J56" s="1" t="b">
        <f t="shared" si="6"/>
        <v>1</v>
      </c>
      <c r="K56" s="1" t="s">
        <v>356</v>
      </c>
      <c r="L56" s="1" t="s">
        <v>357</v>
      </c>
      <c r="M56" s="6" t="s">
        <v>358</v>
      </c>
      <c r="N56" s="14">
        <v>6.4</v>
      </c>
      <c r="O56" s="35">
        <v>6.4</v>
      </c>
      <c r="P56" s="35">
        <v>17</v>
      </c>
      <c r="Q56" s="6">
        <v>7.9</v>
      </c>
      <c r="R56" s="7">
        <v>2.66</v>
      </c>
      <c r="S56" s="6">
        <v>2.4</v>
      </c>
      <c r="T56" s="6">
        <v>2.4</v>
      </c>
      <c r="U56" s="8">
        <v>34413</v>
      </c>
      <c r="V56" s="1" t="s">
        <v>174</v>
      </c>
      <c r="W56" s="10" t="s">
        <v>1435</v>
      </c>
    </row>
    <row r="57" spans="1:23" x14ac:dyDescent="0.2">
      <c r="A57" s="1">
        <v>57</v>
      </c>
      <c r="B57" s="5" t="s">
        <v>360</v>
      </c>
      <c r="C57" s="5" t="s">
        <v>360</v>
      </c>
      <c r="D57" s="36" t="str">
        <f t="shared" si="4"/>
        <v>R57A</v>
      </c>
      <c r="E57" s="36" t="str">
        <f t="shared" si="5"/>
        <v>R7.3A</v>
      </c>
      <c r="F57" s="36" t="b">
        <f t="shared" si="7"/>
        <v>0</v>
      </c>
      <c r="G57" s="1">
        <f>VLOOKUP(C57,SIMBAD!C:I,7,0)</f>
        <v>7.25</v>
      </c>
      <c r="H57" s="1"/>
      <c r="I57" s="41">
        <v>7.3</v>
      </c>
      <c r="J57" s="1" t="b">
        <f t="shared" si="6"/>
        <v>1</v>
      </c>
      <c r="K57" s="1" t="s">
        <v>361</v>
      </c>
      <c r="L57" s="1" t="s">
        <v>362</v>
      </c>
      <c r="M57" s="6" t="s">
        <v>363</v>
      </c>
      <c r="N57" s="14">
        <v>7.3</v>
      </c>
      <c r="O57" s="35">
        <v>7.3</v>
      </c>
      <c r="P57" s="35">
        <v>36</v>
      </c>
      <c r="Q57" s="6">
        <v>11.6</v>
      </c>
      <c r="R57" s="7">
        <v>2.5499999999999998</v>
      </c>
      <c r="S57" s="6">
        <v>3.2</v>
      </c>
      <c r="T57" s="6">
        <v>3.2</v>
      </c>
      <c r="U57" s="8">
        <v>34474</v>
      </c>
      <c r="V57" s="1" t="s">
        <v>366</v>
      </c>
      <c r="W57" s="10" t="s">
        <v>1433</v>
      </c>
    </row>
    <row r="58" spans="1:23" x14ac:dyDescent="0.2">
      <c r="A58" s="1">
        <v>58</v>
      </c>
      <c r="B58" s="5" t="s">
        <v>367</v>
      </c>
      <c r="C58" s="5" t="s">
        <v>367</v>
      </c>
      <c r="D58" s="36" t="str">
        <f t="shared" si="4"/>
        <v>R58B</v>
      </c>
      <c r="E58" s="36" t="str">
        <f t="shared" si="5"/>
        <v>R8.3B</v>
      </c>
      <c r="F58" s="36" t="b">
        <f t="shared" si="7"/>
        <v>0</v>
      </c>
      <c r="G58" s="1">
        <f>VLOOKUP(C58,SIMBAD!C:I,7,0)</f>
        <v>11.5</v>
      </c>
      <c r="H58" s="1"/>
      <c r="I58" s="42">
        <v>8.3000000000000007</v>
      </c>
      <c r="J58" s="1" t="b">
        <f t="shared" si="6"/>
        <v>0</v>
      </c>
      <c r="K58" s="1" t="s">
        <v>368</v>
      </c>
      <c r="L58" s="1" t="s">
        <v>369</v>
      </c>
      <c r="M58" s="6" t="s">
        <v>370</v>
      </c>
      <c r="N58" s="14">
        <v>8.3000000000000007</v>
      </c>
      <c r="O58" s="35">
        <v>8.3000000000000007</v>
      </c>
      <c r="P58" s="35">
        <v>41</v>
      </c>
      <c r="Q58" s="6">
        <v>9.1999999999999993</v>
      </c>
      <c r="R58" s="7">
        <v>2.8</v>
      </c>
      <c r="S58" s="6" t="s">
        <v>45</v>
      </c>
      <c r="T58" s="7">
        <v>2.8</v>
      </c>
      <c r="U58" s="8">
        <v>35617</v>
      </c>
      <c r="V58" s="1" t="s">
        <v>372</v>
      </c>
      <c r="W58" s="10" t="s">
        <v>1434</v>
      </c>
    </row>
    <row r="59" spans="1:23" x14ac:dyDescent="0.2">
      <c r="A59" s="1">
        <v>59</v>
      </c>
      <c r="B59" s="5" t="s">
        <v>373</v>
      </c>
      <c r="C59" s="5" t="s">
        <v>373</v>
      </c>
      <c r="D59" s="36" t="str">
        <f t="shared" si="4"/>
        <v>R59D</v>
      </c>
      <c r="E59" s="36" t="str">
        <f t="shared" si="5"/>
        <v>R8.1D</v>
      </c>
      <c r="F59" s="36" t="b">
        <f t="shared" si="7"/>
        <v>0</v>
      </c>
      <c r="G59" s="1">
        <f>VLOOKUP(C59,SIMBAD!C:I,7,0)</f>
        <v>8.6</v>
      </c>
      <c r="H59" s="1"/>
      <c r="I59" s="42">
        <v>8.1</v>
      </c>
      <c r="J59" s="1" t="b">
        <f t="shared" si="6"/>
        <v>1</v>
      </c>
      <c r="K59" s="1" t="s">
        <v>374</v>
      </c>
      <c r="L59" s="1" t="s">
        <v>375</v>
      </c>
      <c r="M59" s="6" t="s">
        <v>376</v>
      </c>
      <c r="N59" s="14">
        <v>8.1</v>
      </c>
      <c r="O59" s="35">
        <v>8.1</v>
      </c>
      <c r="P59" s="35">
        <v>32</v>
      </c>
      <c r="Q59" s="6">
        <v>9.8000000000000007</v>
      </c>
      <c r="R59" s="7">
        <v>1.1599999999999999</v>
      </c>
      <c r="S59" s="6">
        <v>1.5</v>
      </c>
      <c r="T59" s="6">
        <v>1.5</v>
      </c>
      <c r="U59" s="8">
        <v>35681</v>
      </c>
      <c r="V59" s="1" t="s">
        <v>378</v>
      </c>
      <c r="W59" s="10" t="s">
        <v>1436</v>
      </c>
    </row>
    <row r="60" spans="1:23" x14ac:dyDescent="0.2">
      <c r="A60" s="1">
        <v>60</v>
      </c>
      <c r="B60" s="1" t="s">
        <v>380</v>
      </c>
      <c r="C60" s="1" t="s">
        <v>380</v>
      </c>
      <c r="D60" s="36" t="str">
        <f t="shared" si="4"/>
        <v>R60B</v>
      </c>
      <c r="E60" s="36" t="str">
        <f t="shared" si="5"/>
        <v>R7B</v>
      </c>
      <c r="F60" s="36" t="b">
        <f t="shared" si="7"/>
        <v>0</v>
      </c>
      <c r="G60" s="1">
        <f>VLOOKUP(C60,SIMBAD!C:I,7,0)</f>
        <v>8.67</v>
      </c>
      <c r="H60" s="1"/>
      <c r="I60" s="42" t="s">
        <v>1455</v>
      </c>
      <c r="J60" s="1" t="b">
        <f t="shared" si="6"/>
        <v>0</v>
      </c>
      <c r="K60" s="1" t="s">
        <v>381</v>
      </c>
      <c r="L60" s="1" t="s">
        <v>382</v>
      </c>
      <c r="M60" s="6">
        <v>7</v>
      </c>
      <c r="N60" s="14">
        <v>7</v>
      </c>
      <c r="O60" s="35">
        <v>7</v>
      </c>
      <c r="P60" s="35">
        <v>23</v>
      </c>
      <c r="Q60" s="6">
        <v>7</v>
      </c>
      <c r="R60" s="7">
        <v>2.46</v>
      </c>
      <c r="S60" s="6">
        <v>2.9</v>
      </c>
      <c r="T60" s="6">
        <v>2.9</v>
      </c>
      <c r="U60" s="8">
        <v>35865</v>
      </c>
      <c r="V60" s="1" t="s">
        <v>384</v>
      </c>
      <c r="W60" s="10" t="s">
        <v>1434</v>
      </c>
    </row>
    <row r="61" spans="1:23" x14ac:dyDescent="0.2">
      <c r="A61" s="1">
        <v>61</v>
      </c>
      <c r="B61" s="5" t="s">
        <v>385</v>
      </c>
      <c r="C61" s="5" t="s">
        <v>385</v>
      </c>
      <c r="D61" s="36" t="str">
        <f t="shared" si="4"/>
        <v>R61C</v>
      </c>
      <c r="E61" s="36" t="str">
        <f t="shared" si="5"/>
        <v>R7.4C</v>
      </c>
      <c r="F61" s="36" t="b">
        <f t="shared" si="7"/>
        <v>0</v>
      </c>
      <c r="G61" s="1">
        <f>VLOOKUP(C61,SIMBAD!C:I,7,0)</f>
        <v>8.01</v>
      </c>
      <c r="H61" s="1"/>
      <c r="I61" s="42" t="s">
        <v>1457</v>
      </c>
      <c r="J61" s="1" t="b">
        <f t="shared" si="6"/>
        <v>0</v>
      </c>
      <c r="K61" s="1" t="s">
        <v>386</v>
      </c>
      <c r="L61" s="1" t="s">
        <v>387</v>
      </c>
      <c r="M61" s="6" t="s">
        <v>388</v>
      </c>
      <c r="N61" s="14">
        <v>7.4</v>
      </c>
      <c r="O61" s="35">
        <v>7.4</v>
      </c>
      <c r="P61" s="35">
        <v>42</v>
      </c>
      <c r="Q61" s="6">
        <v>8</v>
      </c>
      <c r="R61" s="7">
        <v>2.27</v>
      </c>
      <c r="S61" s="6">
        <v>2.2000000000000002</v>
      </c>
      <c r="T61" s="6">
        <v>2.2000000000000002</v>
      </c>
      <c r="U61" s="8">
        <v>36623</v>
      </c>
      <c r="V61" s="1" t="s">
        <v>308</v>
      </c>
      <c r="W61" s="10" t="s">
        <v>1435</v>
      </c>
    </row>
    <row r="62" spans="1:23" x14ac:dyDescent="0.2">
      <c r="A62" s="1">
        <v>62</v>
      </c>
      <c r="B62" s="1" t="s">
        <v>391</v>
      </c>
      <c r="C62" s="1" t="s">
        <v>391</v>
      </c>
      <c r="D62" s="36" t="str">
        <f t="shared" si="4"/>
        <v>R62C</v>
      </c>
      <c r="E62" s="36" t="str">
        <f t="shared" si="5"/>
        <v>R8.7C</v>
      </c>
      <c r="F62" s="36" t="b">
        <f t="shared" si="7"/>
        <v>0</v>
      </c>
      <c r="G62" s="1">
        <f>VLOOKUP(C62,SIMBAD!C:I,7,0)</f>
        <v>8.7200000000000006</v>
      </c>
      <c r="H62" s="1"/>
      <c r="I62" s="41">
        <v>8.6999999999999993</v>
      </c>
      <c r="J62" s="1" t="b">
        <f t="shared" si="6"/>
        <v>1</v>
      </c>
      <c r="K62" s="1" t="s">
        <v>392</v>
      </c>
      <c r="L62" s="1" t="s">
        <v>393</v>
      </c>
      <c r="M62" s="6" t="s">
        <v>394</v>
      </c>
      <c r="N62" s="14">
        <v>8.6999999999999993</v>
      </c>
      <c r="O62" s="35">
        <v>8.6999999999999993</v>
      </c>
      <c r="P62" s="35">
        <v>15</v>
      </c>
      <c r="Q62" s="6">
        <v>9</v>
      </c>
      <c r="R62" s="7">
        <v>3.23</v>
      </c>
      <c r="S62" s="6">
        <v>2.5</v>
      </c>
      <c r="T62" s="6">
        <v>2.5</v>
      </c>
      <c r="U62" s="8">
        <v>38124</v>
      </c>
      <c r="V62" s="1" t="s">
        <v>100</v>
      </c>
      <c r="W62" s="10" t="s">
        <v>1435</v>
      </c>
    </row>
    <row r="63" spans="1:23" x14ac:dyDescent="0.2">
      <c r="A63" s="1">
        <v>63</v>
      </c>
      <c r="B63" s="1" t="s">
        <v>396</v>
      </c>
      <c r="C63" s="1" t="s">
        <v>396</v>
      </c>
      <c r="D63" s="36" t="str">
        <f t="shared" si="4"/>
        <v>R63C</v>
      </c>
      <c r="E63" s="36" t="str">
        <f t="shared" si="5"/>
        <v>R7C</v>
      </c>
      <c r="F63" s="36" t="b">
        <f t="shared" si="7"/>
        <v>0</v>
      </c>
      <c r="G63" s="1">
        <f>VLOOKUP(C63,SIMBAD!C:I,7,0)</f>
        <v>8.52</v>
      </c>
      <c r="H63" s="1"/>
      <c r="I63" s="41">
        <v>7</v>
      </c>
      <c r="J63" s="1" t="b">
        <f t="shared" si="6"/>
        <v>0</v>
      </c>
      <c r="K63" s="1" t="s">
        <v>397</v>
      </c>
      <c r="L63" s="1" t="s">
        <v>398</v>
      </c>
      <c r="M63" s="6">
        <v>7</v>
      </c>
      <c r="N63" s="14">
        <v>7</v>
      </c>
      <c r="O63" s="35">
        <v>7</v>
      </c>
      <c r="P63" s="35">
        <v>26</v>
      </c>
      <c r="Q63" s="6">
        <v>7</v>
      </c>
      <c r="R63" s="7">
        <v>2.4300000000000002</v>
      </c>
      <c r="S63" s="6">
        <v>2.4</v>
      </c>
      <c r="T63" s="6">
        <v>2.4</v>
      </c>
      <c r="U63" s="8">
        <v>39583</v>
      </c>
      <c r="V63" s="1" t="s">
        <v>400</v>
      </c>
      <c r="W63" s="10" t="s">
        <v>1435</v>
      </c>
    </row>
    <row r="64" spans="1:23" x14ac:dyDescent="0.2">
      <c r="A64" s="1">
        <v>64</v>
      </c>
      <c r="B64" s="5" t="s">
        <v>401</v>
      </c>
      <c r="C64" s="5" t="s">
        <v>401</v>
      </c>
      <c r="D64" s="36" t="str">
        <f t="shared" si="4"/>
        <v>R64A</v>
      </c>
      <c r="E64" s="36" t="str">
        <f t="shared" si="5"/>
        <v>R8.1A</v>
      </c>
      <c r="F64" s="36" t="b">
        <f t="shared" si="7"/>
        <v>0</v>
      </c>
      <c r="G64" s="1">
        <f>VLOOKUP(C64,SIMBAD!C:I,7,0)</f>
        <v>8.4499999999999993</v>
      </c>
      <c r="H64" s="1"/>
      <c r="I64" s="41">
        <v>8.1</v>
      </c>
      <c r="J64" s="1" t="b">
        <f t="shared" si="6"/>
        <v>1</v>
      </c>
      <c r="K64" s="1" t="s">
        <v>402</v>
      </c>
      <c r="L64" s="1" t="s">
        <v>403</v>
      </c>
      <c r="M64" s="6" t="s">
        <v>404</v>
      </c>
      <c r="N64" s="14">
        <v>8.1</v>
      </c>
      <c r="O64" s="35">
        <v>8.1</v>
      </c>
      <c r="P64" s="35">
        <v>28</v>
      </c>
      <c r="Q64" s="6">
        <v>11.1</v>
      </c>
      <c r="R64" s="7">
        <v>3.61</v>
      </c>
      <c r="S64" s="6">
        <v>3.6</v>
      </c>
      <c r="T64" s="6">
        <v>3.6</v>
      </c>
      <c r="U64" s="8">
        <v>39751</v>
      </c>
      <c r="V64" s="1" t="s">
        <v>80</v>
      </c>
      <c r="W64" s="10" t="s">
        <v>1433</v>
      </c>
    </row>
    <row r="65" spans="1:23" x14ac:dyDescent="0.2">
      <c r="A65" s="1">
        <v>65</v>
      </c>
      <c r="B65" s="13" t="s">
        <v>407</v>
      </c>
      <c r="C65" s="13" t="s">
        <v>407</v>
      </c>
      <c r="D65" s="36" t="str">
        <f t="shared" ref="D65:D96" si="8">"R"&amp;A65&amp;W65</f>
        <v>R65S</v>
      </c>
      <c r="E65" s="36" t="str">
        <f t="shared" ref="E65:E96" si="9">"R"&amp;N65&amp;W65</f>
        <v>R8.2S</v>
      </c>
      <c r="F65" s="36" t="b">
        <f t="shared" si="7"/>
        <v>0</v>
      </c>
      <c r="G65" s="1">
        <f>VLOOKUP(C65,SIMBAD!C:I,7,0)</f>
        <v>9.64</v>
      </c>
      <c r="H65" s="1"/>
      <c r="I65" s="41">
        <v>8.1999999999999993</v>
      </c>
      <c r="J65" s="1" t="b">
        <f t="shared" ref="J65:J96" si="10">G65&lt;Q65</f>
        <v>0</v>
      </c>
      <c r="K65" s="1" t="s">
        <v>408</v>
      </c>
      <c r="L65" s="1" t="s">
        <v>409</v>
      </c>
      <c r="M65" s="6">
        <v>8.1999999999999993</v>
      </c>
      <c r="N65" s="14">
        <v>8.1999999999999993</v>
      </c>
      <c r="O65" s="35">
        <v>8.1999999999999993</v>
      </c>
      <c r="P65" s="35">
        <v>34</v>
      </c>
      <c r="Q65" s="6">
        <v>8.1999999999999993</v>
      </c>
      <c r="R65" s="7" t="s">
        <v>45</v>
      </c>
      <c r="S65" s="14">
        <v>3.8</v>
      </c>
      <c r="T65" s="14">
        <v>3.8</v>
      </c>
      <c r="U65" s="8" t="s">
        <v>45</v>
      </c>
      <c r="V65" s="1" t="s">
        <v>411</v>
      </c>
      <c r="W65" s="10" t="s">
        <v>1432</v>
      </c>
    </row>
    <row r="66" spans="1:23" x14ac:dyDescent="0.2">
      <c r="A66" s="1">
        <v>66</v>
      </c>
      <c r="B66" s="13" t="s">
        <v>412</v>
      </c>
      <c r="C66" s="13" t="s">
        <v>412</v>
      </c>
      <c r="D66" s="36" t="str">
        <f t="shared" si="8"/>
        <v>R66S</v>
      </c>
      <c r="E66" s="36" t="str">
        <f t="shared" si="9"/>
        <v>R8.3S</v>
      </c>
      <c r="F66" s="36" t="b">
        <f t="shared" ref="F66:F97" si="11">OR((E66=E67),(E66=E65))</f>
        <v>0</v>
      </c>
      <c r="G66" s="1">
        <f>VLOOKUP(C66,SIMBAD!C:I,7,0)</f>
        <v>12.2</v>
      </c>
      <c r="H66" s="1"/>
      <c r="I66" s="41">
        <v>8.3000000000000007</v>
      </c>
      <c r="J66" s="1" t="b">
        <f t="shared" si="10"/>
        <v>0</v>
      </c>
      <c r="K66" s="1" t="s">
        <v>413</v>
      </c>
      <c r="L66" s="1" t="s">
        <v>414</v>
      </c>
      <c r="M66" s="6">
        <v>8.3000000000000007</v>
      </c>
      <c r="N66" s="14">
        <v>8.3000000000000007</v>
      </c>
      <c r="O66" s="35">
        <v>8.3000000000000007</v>
      </c>
      <c r="P66" s="35">
        <v>40</v>
      </c>
      <c r="Q66" s="6">
        <v>8.3000000000000007</v>
      </c>
      <c r="R66" s="15">
        <v>3.77</v>
      </c>
      <c r="S66" s="14">
        <v>4.0999999999999996</v>
      </c>
      <c r="T66" s="14">
        <v>4.0999999999999996</v>
      </c>
      <c r="U66" s="8" t="s">
        <v>45</v>
      </c>
      <c r="V66" s="1" t="s">
        <v>415</v>
      </c>
      <c r="W66" s="10" t="s">
        <v>1432</v>
      </c>
    </row>
    <row r="67" spans="1:23" x14ac:dyDescent="0.2">
      <c r="A67" s="1">
        <v>67</v>
      </c>
      <c r="B67" s="1" t="s">
        <v>416</v>
      </c>
      <c r="C67" s="1" t="s">
        <v>416</v>
      </c>
      <c r="D67" s="36" t="str">
        <f t="shared" si="8"/>
        <v>R67A</v>
      </c>
      <c r="E67" s="36" t="str">
        <f t="shared" si="9"/>
        <v>R8.9A</v>
      </c>
      <c r="F67" s="36" t="b">
        <f t="shared" si="11"/>
        <v>0</v>
      </c>
      <c r="G67" s="1">
        <f>VLOOKUP(C67,SIMBAD!C:I,7,0)</f>
        <v>8.9</v>
      </c>
      <c r="H67" s="1"/>
      <c r="I67" s="41">
        <v>8.9</v>
      </c>
      <c r="J67" s="1" t="b">
        <f t="shared" si="10"/>
        <v>1</v>
      </c>
      <c r="K67" s="1" t="s">
        <v>417</v>
      </c>
      <c r="L67" s="1" t="s">
        <v>418</v>
      </c>
      <c r="M67" s="6" t="s">
        <v>419</v>
      </c>
      <c r="N67" s="14">
        <v>8.9</v>
      </c>
      <c r="O67" s="35">
        <v>8.9</v>
      </c>
      <c r="P67" s="35">
        <v>18</v>
      </c>
      <c r="Q67" s="6">
        <v>10.1</v>
      </c>
      <c r="R67" s="7">
        <v>3.04</v>
      </c>
      <c r="S67" s="6">
        <v>3.5</v>
      </c>
      <c r="T67" s="6">
        <v>3.5</v>
      </c>
      <c r="U67" s="8" t="s">
        <v>421</v>
      </c>
      <c r="V67" s="1" t="s">
        <v>80</v>
      </c>
      <c r="W67" s="10" t="s">
        <v>1433</v>
      </c>
    </row>
    <row r="68" spans="1:23" x14ac:dyDescent="0.2">
      <c r="A68" s="1">
        <v>68</v>
      </c>
      <c r="B68" s="13" t="s">
        <v>422</v>
      </c>
      <c r="C68" s="13" t="s">
        <v>422</v>
      </c>
      <c r="D68" s="36" t="str">
        <f t="shared" si="8"/>
        <v>R68A</v>
      </c>
      <c r="E68" s="36" t="str">
        <f t="shared" si="9"/>
        <v>R8.5A</v>
      </c>
      <c r="F68" s="36" t="b">
        <f t="shared" si="11"/>
        <v>0</v>
      </c>
      <c r="G68" s="1">
        <f>VLOOKUP(C68,SIMBAD!C:I,7,0)</f>
        <v>9.4</v>
      </c>
      <c r="H68" s="38">
        <f>G68-N68</f>
        <v>0.90000000000000036</v>
      </c>
      <c r="I68" s="42">
        <v>8.5</v>
      </c>
      <c r="J68" s="1" t="b">
        <f t="shared" si="10"/>
        <v>0</v>
      </c>
      <c r="K68" s="1" t="s">
        <v>423</v>
      </c>
      <c r="L68" s="1" t="s">
        <v>424</v>
      </c>
      <c r="M68" s="6">
        <v>8.5</v>
      </c>
      <c r="N68" s="14">
        <v>8.5</v>
      </c>
      <c r="O68" s="35">
        <v>8.5</v>
      </c>
      <c r="P68" s="35">
        <v>7</v>
      </c>
      <c r="Q68" s="6">
        <v>8.5</v>
      </c>
      <c r="R68" s="15">
        <v>4.5199999999999996</v>
      </c>
      <c r="S68" s="6">
        <v>3</v>
      </c>
      <c r="T68" s="6">
        <v>3</v>
      </c>
      <c r="U68" s="8">
        <v>41535</v>
      </c>
      <c r="V68" s="1" t="s">
        <v>426</v>
      </c>
      <c r="W68" s="10" t="s">
        <v>1433</v>
      </c>
    </row>
    <row r="69" spans="1:23" x14ac:dyDescent="0.2">
      <c r="A69" s="1">
        <v>69</v>
      </c>
      <c r="B69" s="1" t="s">
        <v>428</v>
      </c>
      <c r="C69" s="1" t="s">
        <v>428</v>
      </c>
      <c r="D69" s="36" t="str">
        <f t="shared" si="8"/>
        <v>R69D</v>
      </c>
      <c r="E69" s="37" t="str">
        <f t="shared" si="9"/>
        <v>R7D</v>
      </c>
      <c r="F69" s="36" t="b">
        <f t="shared" si="11"/>
        <v>0</v>
      </c>
      <c r="G69" s="1">
        <f>VLOOKUP(C69,SIMBAD!C:I,7,0)</f>
        <v>7.17</v>
      </c>
      <c r="H69" s="1"/>
      <c r="I69" s="42" t="s">
        <v>1456</v>
      </c>
      <c r="J69" s="1" t="b">
        <f t="shared" si="10"/>
        <v>1</v>
      </c>
      <c r="K69" s="1" t="s">
        <v>429</v>
      </c>
      <c r="L69" s="1" t="s">
        <v>430</v>
      </c>
      <c r="M69" s="6" t="s">
        <v>431</v>
      </c>
      <c r="N69" s="14">
        <v>7</v>
      </c>
      <c r="O69" s="35">
        <v>7</v>
      </c>
      <c r="P69" s="35">
        <v>27</v>
      </c>
      <c r="Q69" s="6">
        <v>7.5</v>
      </c>
      <c r="R69" s="7">
        <v>2.39</v>
      </c>
      <c r="S69" s="6">
        <v>1.9</v>
      </c>
      <c r="T69" s="6">
        <v>1.9</v>
      </c>
      <c r="U69" s="8">
        <v>43093</v>
      </c>
      <c r="V69" s="1" t="s">
        <v>384</v>
      </c>
      <c r="W69" s="10" t="s">
        <v>1436</v>
      </c>
    </row>
    <row r="70" spans="1:23" x14ac:dyDescent="0.2">
      <c r="A70" s="1">
        <v>70</v>
      </c>
      <c r="B70" s="5" t="s">
        <v>433</v>
      </c>
      <c r="C70" s="5" t="s">
        <v>433</v>
      </c>
      <c r="D70" s="36" t="str">
        <f t="shared" si="8"/>
        <v>R70A</v>
      </c>
      <c r="E70" s="36" t="str">
        <f t="shared" si="9"/>
        <v>R5.6A</v>
      </c>
      <c r="F70" s="36" t="b">
        <f t="shared" si="11"/>
        <v>0</v>
      </c>
      <c r="G70" s="1">
        <f>VLOOKUP(C70,SIMBAD!C:I,7,0)</f>
        <v>6.4</v>
      </c>
      <c r="H70" s="1"/>
      <c r="I70" s="41">
        <v>5.6</v>
      </c>
      <c r="J70" s="1" t="b">
        <f t="shared" si="10"/>
        <v>1</v>
      </c>
      <c r="K70" s="1" t="s">
        <v>434</v>
      </c>
      <c r="L70" s="1" t="s">
        <v>435</v>
      </c>
      <c r="M70" s="6" t="s">
        <v>436</v>
      </c>
      <c r="N70" s="14">
        <v>5.6</v>
      </c>
      <c r="O70" s="35">
        <v>5.6</v>
      </c>
      <c r="P70" s="35">
        <v>2</v>
      </c>
      <c r="Q70" s="6">
        <v>7.5</v>
      </c>
      <c r="R70" s="7">
        <v>3.37</v>
      </c>
      <c r="S70" s="6">
        <v>3.4</v>
      </c>
      <c r="T70" s="6">
        <v>3.4</v>
      </c>
      <c r="U70" s="8">
        <v>43811</v>
      </c>
      <c r="V70" s="1" t="s">
        <v>80</v>
      </c>
      <c r="W70" s="10" t="s">
        <v>1433</v>
      </c>
    </row>
    <row r="71" spans="1:23" x14ac:dyDescent="0.2">
      <c r="A71" s="1">
        <v>71</v>
      </c>
      <c r="B71" s="20" t="s">
        <v>439</v>
      </c>
      <c r="C71" s="20" t="s">
        <v>439</v>
      </c>
      <c r="D71" s="36" t="str">
        <f t="shared" si="8"/>
        <v>R71SS</v>
      </c>
      <c r="E71" s="36" t="str">
        <f t="shared" si="9"/>
        <v>R7.6SS</v>
      </c>
      <c r="F71" s="36" t="b">
        <f t="shared" si="11"/>
        <v>0</v>
      </c>
      <c r="G71" s="1">
        <f>VLOOKUP(C71,SIMBAD!C:I,7,0)</f>
        <v>7.6</v>
      </c>
      <c r="H71" s="1"/>
      <c r="I71" s="41">
        <v>7.6</v>
      </c>
      <c r="J71" s="1" t="b">
        <f t="shared" si="10"/>
        <v>1</v>
      </c>
      <c r="K71" s="1" t="s">
        <v>440</v>
      </c>
      <c r="L71" s="1" t="s">
        <v>441</v>
      </c>
      <c r="M71" s="6" t="s">
        <v>442</v>
      </c>
      <c r="N71" s="14">
        <v>7.6</v>
      </c>
      <c r="O71" s="35">
        <v>7.6</v>
      </c>
      <c r="P71" s="35">
        <v>8</v>
      </c>
      <c r="Q71" s="6">
        <v>10.5</v>
      </c>
      <c r="R71" s="15">
        <v>4.32</v>
      </c>
      <c r="S71" s="14">
        <v>4.8</v>
      </c>
      <c r="T71" s="14">
        <v>4.8</v>
      </c>
      <c r="U71" s="8">
        <v>43905</v>
      </c>
      <c r="V71" s="1" t="s">
        <v>444</v>
      </c>
      <c r="W71" s="10" t="s">
        <v>1431</v>
      </c>
    </row>
    <row r="72" spans="1:23" x14ac:dyDescent="0.2">
      <c r="A72" s="1">
        <v>72</v>
      </c>
      <c r="B72" s="1" t="s">
        <v>445</v>
      </c>
      <c r="C72" s="1" t="s">
        <v>445</v>
      </c>
      <c r="D72" s="36" t="str">
        <f t="shared" si="8"/>
        <v>R72A</v>
      </c>
      <c r="E72" s="36" t="str">
        <f t="shared" si="9"/>
        <v>R8.6A</v>
      </c>
      <c r="F72" s="36" t="b">
        <f t="shared" si="11"/>
        <v>0</v>
      </c>
      <c r="G72" s="1">
        <f>VLOOKUP(C72,SIMBAD!C:I,7,0)</f>
        <v>9.1199999999999992</v>
      </c>
      <c r="H72" s="1"/>
      <c r="I72" s="41">
        <v>8.6</v>
      </c>
      <c r="J72" s="1" t="b">
        <f t="shared" si="10"/>
        <v>1</v>
      </c>
      <c r="K72" s="1" t="s">
        <v>446</v>
      </c>
      <c r="L72" s="1" t="s">
        <v>447</v>
      </c>
      <c r="M72" s="6" t="s">
        <v>448</v>
      </c>
      <c r="N72" s="14">
        <v>8.6</v>
      </c>
      <c r="O72" s="35">
        <v>8.6</v>
      </c>
      <c r="P72" s="35">
        <v>13</v>
      </c>
      <c r="Q72" s="6">
        <v>9.6</v>
      </c>
      <c r="R72" s="7">
        <v>3.69</v>
      </c>
      <c r="S72" s="6" t="s">
        <v>45</v>
      </c>
      <c r="T72" s="7">
        <v>3.69</v>
      </c>
      <c r="U72" s="8" t="s">
        <v>45</v>
      </c>
      <c r="V72" s="1" t="s">
        <v>58</v>
      </c>
      <c r="W72" s="10" t="s">
        <v>1433</v>
      </c>
    </row>
    <row r="73" spans="1:23" x14ac:dyDescent="0.2">
      <c r="A73" s="1">
        <v>73</v>
      </c>
      <c r="B73" s="20" t="s">
        <v>449</v>
      </c>
      <c r="C73" s="20" t="s">
        <v>449</v>
      </c>
      <c r="D73" s="36" t="str">
        <f t="shared" si="8"/>
        <v>R73S</v>
      </c>
      <c r="E73" s="36" t="str">
        <f t="shared" si="9"/>
        <v>R6.5S</v>
      </c>
      <c r="F73" s="36" t="b">
        <f t="shared" si="11"/>
        <v>1</v>
      </c>
      <c r="G73" s="1">
        <f>VLOOKUP(C73,SIMBAD!C:I,7,0)</f>
        <v>6.63</v>
      </c>
      <c r="H73" s="38">
        <f>G73-N73</f>
        <v>0.12999999999999989</v>
      </c>
      <c r="I73" s="42">
        <v>6.51</v>
      </c>
      <c r="J73" s="1" t="b">
        <f t="shared" si="10"/>
        <v>1</v>
      </c>
      <c r="K73" s="1" t="s">
        <v>450</v>
      </c>
      <c r="L73" s="1" t="s">
        <v>451</v>
      </c>
      <c r="M73" s="6" t="s">
        <v>452</v>
      </c>
      <c r="N73" s="14">
        <v>6.5</v>
      </c>
      <c r="O73" s="35">
        <v>6.5</v>
      </c>
      <c r="P73" s="35">
        <v>3</v>
      </c>
      <c r="Q73" s="6">
        <v>9</v>
      </c>
      <c r="R73" s="15">
        <v>4.17</v>
      </c>
      <c r="S73" s="14">
        <v>3.8</v>
      </c>
      <c r="T73" s="14">
        <v>3.8</v>
      </c>
      <c r="U73" s="8">
        <v>48327</v>
      </c>
      <c r="V73" s="1" t="s">
        <v>80</v>
      </c>
      <c r="W73" s="10" t="s">
        <v>1432</v>
      </c>
    </row>
    <row r="74" spans="1:23" x14ac:dyDescent="0.2">
      <c r="A74" s="1">
        <v>74</v>
      </c>
      <c r="B74" s="13" t="s">
        <v>455</v>
      </c>
      <c r="C74" s="13" t="s">
        <v>455</v>
      </c>
      <c r="D74" s="36" t="str">
        <f t="shared" si="8"/>
        <v>R74S</v>
      </c>
      <c r="E74" s="36" t="str">
        <f t="shared" si="9"/>
        <v>R6.5S</v>
      </c>
      <c r="F74" s="36" t="b">
        <f t="shared" si="11"/>
        <v>1</v>
      </c>
      <c r="G74" s="1">
        <f>VLOOKUP(C74,SIMBAD!C:I,7,0)</f>
        <v>10.3</v>
      </c>
      <c r="H74" s="1"/>
      <c r="I74" s="42">
        <v>6.52</v>
      </c>
      <c r="J74" s="1" t="b">
        <f t="shared" si="10"/>
        <v>0</v>
      </c>
      <c r="K74" s="1" t="s">
        <v>456</v>
      </c>
      <c r="L74" s="1" t="s">
        <v>457</v>
      </c>
      <c r="M74" s="6">
        <v>6.5</v>
      </c>
      <c r="N74" s="14">
        <v>6.5</v>
      </c>
      <c r="O74" s="35">
        <v>6.5</v>
      </c>
      <c r="P74" s="35">
        <v>2</v>
      </c>
      <c r="Q74" s="6">
        <v>6.5</v>
      </c>
      <c r="R74" s="7" t="s">
        <v>45</v>
      </c>
      <c r="S74" s="14">
        <v>4.3</v>
      </c>
      <c r="T74" s="14">
        <v>4.3</v>
      </c>
      <c r="U74" s="8">
        <v>48662</v>
      </c>
      <c r="V74" s="1" t="s">
        <v>459</v>
      </c>
      <c r="W74" s="10" t="s">
        <v>1432</v>
      </c>
    </row>
    <row r="75" spans="1:23" x14ac:dyDescent="0.2">
      <c r="A75" s="1">
        <v>75</v>
      </c>
      <c r="B75" s="1" t="s">
        <v>460</v>
      </c>
      <c r="C75" s="1" t="s">
        <v>460</v>
      </c>
      <c r="D75" s="36" t="str">
        <f t="shared" si="8"/>
        <v>R75B</v>
      </c>
      <c r="E75" s="36" t="str">
        <f t="shared" si="9"/>
        <v>R7.5B</v>
      </c>
      <c r="F75" s="36" t="b">
        <f t="shared" si="11"/>
        <v>0</v>
      </c>
      <c r="G75" s="1">
        <f>VLOOKUP(C75,SIMBAD!C:I,7,0)</f>
        <v>10</v>
      </c>
      <c r="H75" s="1"/>
      <c r="I75" s="41">
        <v>7.5</v>
      </c>
      <c r="J75" s="1" t="b">
        <f t="shared" si="10"/>
        <v>0</v>
      </c>
      <c r="K75" s="1" t="s">
        <v>461</v>
      </c>
      <c r="L75" s="1" t="s">
        <v>462</v>
      </c>
      <c r="M75" s="6">
        <v>7.5</v>
      </c>
      <c r="N75" s="14">
        <v>7.5</v>
      </c>
      <c r="O75" s="35">
        <v>7.5</v>
      </c>
      <c r="P75" s="35">
        <v>4</v>
      </c>
      <c r="Q75" s="6">
        <v>7.5</v>
      </c>
      <c r="R75" s="7">
        <v>2.81</v>
      </c>
      <c r="S75" s="6">
        <v>2.9</v>
      </c>
      <c r="T75" s="6">
        <v>2.9</v>
      </c>
      <c r="U75" s="8" t="s">
        <v>45</v>
      </c>
      <c r="V75" s="1" t="s">
        <v>426</v>
      </c>
      <c r="W75" s="10" t="s">
        <v>1434</v>
      </c>
    </row>
    <row r="76" spans="1:23" x14ac:dyDescent="0.2">
      <c r="A76" s="1">
        <v>76</v>
      </c>
      <c r="B76" s="1" t="s">
        <v>464</v>
      </c>
      <c r="C76" s="1" t="s">
        <v>464</v>
      </c>
      <c r="D76" s="36" t="str">
        <f t="shared" si="8"/>
        <v>R76C</v>
      </c>
      <c r="E76" s="36" t="str">
        <f t="shared" si="9"/>
        <v>R6.8C</v>
      </c>
      <c r="F76" s="36" t="b">
        <f t="shared" si="11"/>
        <v>0</v>
      </c>
      <c r="G76" s="1">
        <f>VLOOKUP(C76,SIMBAD!C:I,7,0)</f>
        <v>6.74</v>
      </c>
      <c r="H76" s="1"/>
      <c r="I76" s="41">
        <v>6.8</v>
      </c>
      <c r="J76" s="1" t="b">
        <f t="shared" si="10"/>
        <v>1</v>
      </c>
      <c r="K76" s="1" t="s">
        <v>465</v>
      </c>
      <c r="L76" s="1" t="s">
        <v>466</v>
      </c>
      <c r="M76" s="6" t="s">
        <v>467</v>
      </c>
      <c r="N76" s="14">
        <v>6.8</v>
      </c>
      <c r="O76" s="35">
        <v>6.8</v>
      </c>
      <c r="P76" s="35">
        <v>11</v>
      </c>
      <c r="Q76" s="6">
        <v>6.9</v>
      </c>
      <c r="R76" s="7">
        <v>2.4700000000000002</v>
      </c>
      <c r="S76" s="6">
        <v>2.2999999999999998</v>
      </c>
      <c r="T76" s="6">
        <v>2.2999999999999998</v>
      </c>
      <c r="U76" s="8">
        <v>49950</v>
      </c>
      <c r="V76" s="1" t="s">
        <v>174</v>
      </c>
      <c r="W76" s="10" t="s">
        <v>1435</v>
      </c>
    </row>
    <row r="77" spans="1:23" x14ac:dyDescent="0.2">
      <c r="A77" s="1">
        <v>77</v>
      </c>
      <c r="B77" s="1" t="s">
        <v>469</v>
      </c>
      <c r="C77" s="1" t="s">
        <v>469</v>
      </c>
      <c r="D77" s="36" t="str">
        <f t="shared" si="8"/>
        <v>R77B</v>
      </c>
      <c r="E77" s="36" t="str">
        <f t="shared" si="9"/>
        <v>R6B</v>
      </c>
      <c r="F77" s="36" t="b">
        <f t="shared" si="11"/>
        <v>0</v>
      </c>
      <c r="G77" s="1">
        <f>VLOOKUP(C77,SIMBAD!C:I,7,0)</f>
        <v>5.38</v>
      </c>
      <c r="H77" s="1"/>
      <c r="I77" s="41">
        <v>6</v>
      </c>
      <c r="J77" s="1" t="b">
        <f t="shared" si="10"/>
        <v>1</v>
      </c>
      <c r="K77" s="1" t="s">
        <v>470</v>
      </c>
      <c r="L77" s="1" t="s">
        <v>471</v>
      </c>
      <c r="M77" s="6">
        <v>6</v>
      </c>
      <c r="N77" s="14">
        <v>6</v>
      </c>
      <c r="O77" s="35">
        <v>6</v>
      </c>
      <c r="P77" s="35">
        <v>13</v>
      </c>
      <c r="Q77" s="6">
        <v>6</v>
      </c>
      <c r="R77" s="7" t="s">
        <v>45</v>
      </c>
      <c r="S77" s="6">
        <v>2.9</v>
      </c>
      <c r="T77" s="6">
        <v>2.9</v>
      </c>
      <c r="U77" s="8">
        <v>51821</v>
      </c>
      <c r="V77" s="1" t="s">
        <v>473</v>
      </c>
      <c r="W77" s="10" t="s">
        <v>1434</v>
      </c>
    </row>
    <row r="78" spans="1:23" x14ac:dyDescent="0.2">
      <c r="A78" s="1">
        <v>78</v>
      </c>
      <c r="B78" s="5" t="s">
        <v>475</v>
      </c>
      <c r="C78" s="5" t="s">
        <v>1445</v>
      </c>
      <c r="D78" s="36" t="str">
        <f t="shared" si="8"/>
        <v>R78B</v>
      </c>
      <c r="E78" s="36" t="str">
        <f t="shared" si="9"/>
        <v>R4.5B</v>
      </c>
      <c r="F78" s="36" t="b">
        <f t="shared" si="11"/>
        <v>0</v>
      </c>
      <c r="G78" s="1">
        <f>VLOOKUP(C78,SIMBAD!C:I,7,0)</f>
        <v>4.82</v>
      </c>
      <c r="H78" s="1"/>
      <c r="I78" s="41">
        <v>4.5</v>
      </c>
      <c r="J78" s="1" t="b">
        <f t="shared" si="10"/>
        <v>1</v>
      </c>
      <c r="K78" s="1" t="s">
        <v>476</v>
      </c>
      <c r="L78" s="1" t="s">
        <v>477</v>
      </c>
      <c r="M78" s="6" t="s">
        <v>478</v>
      </c>
      <c r="N78" s="14">
        <v>4.5</v>
      </c>
      <c r="O78" s="35">
        <v>4.5</v>
      </c>
      <c r="P78" s="35">
        <v>1</v>
      </c>
      <c r="Q78" s="6">
        <v>6.2</v>
      </c>
      <c r="R78" s="7">
        <v>2.8</v>
      </c>
      <c r="S78" s="6">
        <v>2.6</v>
      </c>
      <c r="T78" s="6">
        <v>2.6</v>
      </c>
      <c r="U78" s="8">
        <v>52009</v>
      </c>
      <c r="V78" s="1" t="s">
        <v>480</v>
      </c>
      <c r="W78" s="10" t="s">
        <v>1434</v>
      </c>
    </row>
    <row r="79" spans="1:23" x14ac:dyDescent="0.2">
      <c r="A79" s="1">
        <v>79</v>
      </c>
      <c r="B79" s="5" t="s">
        <v>481</v>
      </c>
      <c r="C79" s="5" t="s">
        <v>481</v>
      </c>
      <c r="D79" s="36" t="str">
        <f t="shared" si="8"/>
        <v>R79C</v>
      </c>
      <c r="E79" s="36" t="str">
        <f t="shared" si="9"/>
        <v>R5.9C</v>
      </c>
      <c r="F79" s="36" t="b">
        <f t="shared" si="11"/>
        <v>0</v>
      </c>
      <c r="G79" s="1">
        <f>VLOOKUP(C79,SIMBAD!C:I,7,0)</f>
        <v>5.95</v>
      </c>
      <c r="H79" s="1"/>
      <c r="I79" s="41">
        <v>5.9</v>
      </c>
      <c r="J79" s="1" t="b">
        <f t="shared" si="10"/>
        <v>1</v>
      </c>
      <c r="K79" s="1" t="s">
        <v>482</v>
      </c>
      <c r="L79" s="1" t="s">
        <v>483</v>
      </c>
      <c r="M79" s="6" t="s">
        <v>484</v>
      </c>
      <c r="N79" s="14">
        <v>5.9</v>
      </c>
      <c r="O79" s="35">
        <v>5.9</v>
      </c>
      <c r="P79" s="35">
        <v>10</v>
      </c>
      <c r="Q79" s="6">
        <v>7</v>
      </c>
      <c r="R79" s="7">
        <v>2.59</v>
      </c>
      <c r="S79" s="6">
        <v>2.4</v>
      </c>
      <c r="T79" s="6">
        <v>2.4</v>
      </c>
      <c r="U79" s="8">
        <v>52577</v>
      </c>
      <c r="V79" s="1" t="s">
        <v>174</v>
      </c>
      <c r="W79" s="10" t="s">
        <v>1435</v>
      </c>
    </row>
    <row r="80" spans="1:23" x14ac:dyDescent="0.2">
      <c r="A80" s="1">
        <v>80</v>
      </c>
      <c r="B80" s="1" t="s">
        <v>486</v>
      </c>
      <c r="C80" s="1" t="s">
        <v>486</v>
      </c>
      <c r="D80" s="36" t="str">
        <f t="shared" si="8"/>
        <v>R80C</v>
      </c>
      <c r="E80" s="36" t="str">
        <f t="shared" si="9"/>
        <v>R8C</v>
      </c>
      <c r="F80" s="36" t="b">
        <f t="shared" si="11"/>
        <v>0</v>
      </c>
      <c r="G80" s="1">
        <f>VLOOKUP(C80,SIMBAD!C:I,7,0)</f>
        <v>10.199999999999999</v>
      </c>
      <c r="H80" s="38">
        <f>G80-N80</f>
        <v>2.1999999999999993</v>
      </c>
      <c r="I80" s="42">
        <v>8</v>
      </c>
      <c r="J80" s="1" t="b">
        <f t="shared" si="10"/>
        <v>0</v>
      </c>
      <c r="K80" s="1" t="s">
        <v>487</v>
      </c>
      <c r="L80" s="1" t="s">
        <v>488</v>
      </c>
      <c r="M80" s="6">
        <v>8</v>
      </c>
      <c r="N80" s="14">
        <v>8</v>
      </c>
      <c r="O80" s="35">
        <v>8</v>
      </c>
      <c r="P80" s="35">
        <v>27</v>
      </c>
      <c r="Q80" s="6">
        <v>8</v>
      </c>
      <c r="R80" s="7">
        <v>2.4300000000000002</v>
      </c>
      <c r="S80" s="6">
        <v>2.2000000000000002</v>
      </c>
      <c r="T80" s="6">
        <v>2.2000000000000002</v>
      </c>
      <c r="U80" s="8">
        <v>52656</v>
      </c>
      <c r="V80" s="1" t="s">
        <v>426</v>
      </c>
      <c r="W80" s="10" t="s">
        <v>1435</v>
      </c>
    </row>
    <row r="81" spans="1:23" x14ac:dyDescent="0.2">
      <c r="A81" s="1">
        <v>81</v>
      </c>
      <c r="B81" s="13" t="s">
        <v>490</v>
      </c>
      <c r="C81" s="13" t="s">
        <v>490</v>
      </c>
      <c r="D81" s="36" t="str">
        <f t="shared" si="8"/>
        <v>R81SS</v>
      </c>
      <c r="E81" s="36" t="str">
        <f t="shared" si="9"/>
        <v>R6.5SS</v>
      </c>
      <c r="F81" s="36" t="b">
        <f t="shared" si="11"/>
        <v>0</v>
      </c>
      <c r="G81" s="1">
        <f>VLOOKUP(C81,SIMBAD!C:I,7,0)</f>
        <v>6.8</v>
      </c>
      <c r="H81" s="1"/>
      <c r="I81" s="41">
        <v>6.5</v>
      </c>
      <c r="J81" s="1" t="b">
        <f t="shared" si="10"/>
        <v>1</v>
      </c>
      <c r="K81" s="1" t="s">
        <v>491</v>
      </c>
      <c r="L81" s="1" t="s">
        <v>492</v>
      </c>
      <c r="M81" s="6" t="s">
        <v>493</v>
      </c>
      <c r="N81" s="14">
        <v>6.5</v>
      </c>
      <c r="O81" s="35">
        <v>6.5</v>
      </c>
      <c r="P81" s="35">
        <v>1</v>
      </c>
      <c r="Q81" s="6">
        <v>12</v>
      </c>
      <c r="R81" s="15">
        <v>5.55</v>
      </c>
      <c r="S81" s="18">
        <v>5.5</v>
      </c>
      <c r="T81" s="18">
        <v>5.5</v>
      </c>
      <c r="U81" s="8">
        <v>53085</v>
      </c>
      <c r="V81" s="1" t="s">
        <v>495</v>
      </c>
      <c r="W81" s="10" t="s">
        <v>1431</v>
      </c>
    </row>
    <row r="82" spans="1:23" x14ac:dyDescent="0.2">
      <c r="A82" s="1">
        <v>82</v>
      </c>
      <c r="B82" s="1" t="s">
        <v>496</v>
      </c>
      <c r="C82" s="1" t="s">
        <v>496</v>
      </c>
      <c r="D82" s="36" t="str">
        <f t="shared" si="8"/>
        <v>R82C</v>
      </c>
      <c r="E82" s="36" t="str">
        <f t="shared" si="9"/>
        <v>R9.3C</v>
      </c>
      <c r="F82" s="36" t="b">
        <f t="shared" si="11"/>
        <v>0</v>
      </c>
      <c r="G82" s="1">
        <f>VLOOKUP(C82,SIMBAD!C:I,7,0)</f>
        <v>8.89</v>
      </c>
      <c r="H82" s="1"/>
      <c r="I82" s="41">
        <v>9.3000000000000007</v>
      </c>
      <c r="J82" s="1" t="b">
        <f t="shared" si="10"/>
        <v>1</v>
      </c>
      <c r="K82" s="1" t="s">
        <v>497</v>
      </c>
      <c r="L82" s="1" t="s">
        <v>498</v>
      </c>
      <c r="M82" s="6">
        <v>9.3000000000000007</v>
      </c>
      <c r="N82" s="14">
        <v>9.3000000000000007</v>
      </c>
      <c r="O82" s="35">
        <v>9.3000000000000007</v>
      </c>
      <c r="P82" s="35">
        <v>25</v>
      </c>
      <c r="Q82" s="6">
        <v>9.3000000000000007</v>
      </c>
      <c r="R82" s="7">
        <v>2.48</v>
      </c>
      <c r="S82" s="6">
        <v>2.2999999999999998</v>
      </c>
      <c r="T82" s="6">
        <v>2.2999999999999998</v>
      </c>
      <c r="U82" s="8" t="s">
        <v>45</v>
      </c>
      <c r="V82" s="1" t="s">
        <v>426</v>
      </c>
      <c r="W82" s="10" t="s">
        <v>1435</v>
      </c>
    </row>
    <row r="83" spans="1:23" x14ac:dyDescent="0.2">
      <c r="A83" s="1">
        <v>83</v>
      </c>
      <c r="B83" s="1" t="s">
        <v>500</v>
      </c>
      <c r="C83" s="1" t="s">
        <v>500</v>
      </c>
      <c r="D83" s="36" t="str">
        <f t="shared" si="8"/>
        <v>R83D</v>
      </c>
      <c r="E83" s="37" t="str">
        <f t="shared" si="9"/>
        <v>R7D</v>
      </c>
      <c r="F83" s="36" t="b">
        <f t="shared" si="11"/>
        <v>0</v>
      </c>
      <c r="G83" s="1">
        <f>VLOOKUP(C83,SIMBAD!C:I,7,0)</f>
        <v>7.6</v>
      </c>
      <c r="H83" s="38">
        <f>G83-N83</f>
        <v>0.59999999999999964</v>
      </c>
      <c r="I83" s="42" t="s">
        <v>1451</v>
      </c>
      <c r="J83" s="1" t="b">
        <f t="shared" si="10"/>
        <v>0</v>
      </c>
      <c r="K83" s="1" t="s">
        <v>501</v>
      </c>
      <c r="L83" s="1" t="s">
        <v>502</v>
      </c>
      <c r="M83" s="6">
        <v>7</v>
      </c>
      <c r="N83" s="14">
        <v>7</v>
      </c>
      <c r="O83" s="35">
        <v>7</v>
      </c>
      <c r="P83" s="35">
        <v>28</v>
      </c>
      <c r="Q83" s="6">
        <v>7</v>
      </c>
      <c r="R83" s="7">
        <v>2.04</v>
      </c>
      <c r="S83" s="6">
        <v>1.8</v>
      </c>
      <c r="T83" s="6">
        <v>1.8</v>
      </c>
      <c r="U83" s="8">
        <v>60534</v>
      </c>
      <c r="V83" s="1" t="s">
        <v>139</v>
      </c>
      <c r="W83" s="10" t="s">
        <v>1436</v>
      </c>
    </row>
    <row r="84" spans="1:23" x14ac:dyDescent="0.2">
      <c r="A84" s="1">
        <v>84</v>
      </c>
      <c r="B84" s="20" t="s">
        <v>504</v>
      </c>
      <c r="C84" s="20" t="s">
        <v>504</v>
      </c>
      <c r="D84" s="36" t="str">
        <f t="shared" si="8"/>
        <v>R84S</v>
      </c>
      <c r="E84" s="36" t="str">
        <f t="shared" si="9"/>
        <v>R6S</v>
      </c>
      <c r="F84" s="36" t="b">
        <f t="shared" si="11"/>
        <v>0</v>
      </c>
      <c r="G84" s="1">
        <f>VLOOKUP(C84,SIMBAD!C:I,7,0)</f>
        <v>6.6</v>
      </c>
      <c r="H84" s="1"/>
      <c r="I84" s="41">
        <v>6</v>
      </c>
      <c r="J84" s="1" t="b">
        <f t="shared" si="10"/>
        <v>1</v>
      </c>
      <c r="K84" s="1" t="s">
        <v>505</v>
      </c>
      <c r="L84" s="1" t="s">
        <v>506</v>
      </c>
      <c r="M84" s="6" t="s">
        <v>507</v>
      </c>
      <c r="N84" s="14">
        <v>6</v>
      </c>
      <c r="O84" s="35">
        <v>6</v>
      </c>
      <c r="P84" s="35">
        <v>11</v>
      </c>
      <c r="Q84" s="6">
        <v>9.6</v>
      </c>
      <c r="R84" s="15">
        <v>4.2</v>
      </c>
      <c r="S84" s="14">
        <v>4.2</v>
      </c>
      <c r="T84" s="14">
        <v>4.2</v>
      </c>
      <c r="U84" s="8">
        <v>120212</v>
      </c>
      <c r="V84" s="1" t="s">
        <v>495</v>
      </c>
      <c r="W84" s="10" t="s">
        <v>1432</v>
      </c>
    </row>
    <row r="85" spans="1:23" x14ac:dyDescent="0.2">
      <c r="A85" s="1">
        <v>85</v>
      </c>
      <c r="B85" s="5" t="s">
        <v>509</v>
      </c>
      <c r="C85" s="5" t="s">
        <v>509</v>
      </c>
      <c r="D85" s="36" t="str">
        <f t="shared" si="8"/>
        <v>R85C</v>
      </c>
      <c r="E85" s="36" t="str">
        <f t="shared" si="9"/>
        <v>R4.8C</v>
      </c>
      <c r="F85" s="36" t="b">
        <f t="shared" si="11"/>
        <v>0</v>
      </c>
      <c r="G85" s="1">
        <f>VLOOKUP(C85,SIMBAD!C:I,7,0)</f>
        <v>4.87</v>
      </c>
      <c r="H85" s="1"/>
      <c r="I85" s="42">
        <v>4.8099999999999996</v>
      </c>
      <c r="J85" s="1" t="b">
        <f t="shared" si="10"/>
        <v>1</v>
      </c>
      <c r="K85" s="1" t="s">
        <v>510</v>
      </c>
      <c r="L85" s="1" t="s">
        <v>511</v>
      </c>
      <c r="M85" s="6" t="s">
        <v>512</v>
      </c>
      <c r="N85" s="14">
        <v>4.8</v>
      </c>
      <c r="O85" s="35">
        <v>4.8</v>
      </c>
      <c r="P85" s="35">
        <v>2</v>
      </c>
      <c r="Q85" s="6">
        <v>6.4</v>
      </c>
      <c r="R85" s="7">
        <v>3.4</v>
      </c>
      <c r="S85" s="6">
        <v>2.5</v>
      </c>
      <c r="T85" s="6">
        <v>2.5</v>
      </c>
      <c r="U85" s="8">
        <v>62223</v>
      </c>
      <c r="V85" s="1" t="s">
        <v>372</v>
      </c>
      <c r="W85" s="10" t="s">
        <v>1435</v>
      </c>
    </row>
    <row r="86" spans="1:23" x14ac:dyDescent="0.2">
      <c r="A86" s="1">
        <v>86</v>
      </c>
      <c r="B86" s="13" t="s">
        <v>515</v>
      </c>
      <c r="C86" s="13" t="s">
        <v>515</v>
      </c>
      <c r="D86" s="36" t="str">
        <f t="shared" si="8"/>
        <v>R86SS</v>
      </c>
      <c r="E86" s="36" t="str">
        <f t="shared" si="9"/>
        <v>R7.9SS</v>
      </c>
      <c r="F86" s="36" t="b">
        <f t="shared" si="11"/>
        <v>0</v>
      </c>
      <c r="G86" s="1">
        <f>VLOOKUP(C86,SIMBAD!C:I,7,0)</f>
        <v>9</v>
      </c>
      <c r="H86" s="1"/>
      <c r="I86" s="41">
        <v>7.9</v>
      </c>
      <c r="J86" s="1" t="b">
        <f t="shared" si="10"/>
        <v>1</v>
      </c>
      <c r="K86" s="1" t="s">
        <v>516</v>
      </c>
      <c r="L86" s="1" t="s">
        <v>517</v>
      </c>
      <c r="M86" s="6" t="s">
        <v>518</v>
      </c>
      <c r="N86" s="14">
        <v>7.9</v>
      </c>
      <c r="O86" s="35">
        <v>7.9</v>
      </c>
      <c r="P86" s="35">
        <v>20</v>
      </c>
      <c r="Q86" s="6">
        <v>14.2</v>
      </c>
      <c r="R86" s="15">
        <v>4.5</v>
      </c>
      <c r="S86" s="6" t="s">
        <v>45</v>
      </c>
      <c r="T86" s="15">
        <v>4.5</v>
      </c>
      <c r="U86" s="8">
        <v>62401</v>
      </c>
      <c r="V86" s="1" t="s">
        <v>520</v>
      </c>
      <c r="W86" s="10" t="s">
        <v>1431</v>
      </c>
    </row>
    <row r="87" spans="1:23" x14ac:dyDescent="0.2">
      <c r="A87" s="1">
        <v>87</v>
      </c>
      <c r="B87" s="13" t="s">
        <v>522</v>
      </c>
      <c r="C87" s="13" t="s">
        <v>522</v>
      </c>
      <c r="D87" s="36" t="str">
        <f t="shared" si="8"/>
        <v>R87SS</v>
      </c>
      <c r="E87" s="36" t="str">
        <f t="shared" si="9"/>
        <v>R8.4SS</v>
      </c>
      <c r="F87" s="36" t="b">
        <f t="shared" si="11"/>
        <v>0</v>
      </c>
      <c r="G87" s="1">
        <f>VLOOKUP(C87,SIMBAD!C:I,7,0)</f>
        <v>8.86</v>
      </c>
      <c r="H87" s="1"/>
      <c r="I87" s="41">
        <v>8.4</v>
      </c>
      <c r="J87" s="1" t="b">
        <f t="shared" si="10"/>
        <v>1</v>
      </c>
      <c r="K87" s="1" t="s">
        <v>523</v>
      </c>
      <c r="L87" s="1" t="s">
        <v>524</v>
      </c>
      <c r="M87" s="6" t="s">
        <v>525</v>
      </c>
      <c r="N87" s="14">
        <v>8.4</v>
      </c>
      <c r="O87" s="35">
        <v>8.4</v>
      </c>
      <c r="P87" s="35">
        <v>47</v>
      </c>
      <c r="Q87" s="6">
        <v>9.9</v>
      </c>
      <c r="R87" s="7" t="s">
        <v>45</v>
      </c>
      <c r="S87" s="18">
        <v>5.8</v>
      </c>
      <c r="T87" s="18">
        <v>5.8</v>
      </c>
      <c r="U87" s="8" t="s">
        <v>45</v>
      </c>
      <c r="V87" s="1" t="s">
        <v>426</v>
      </c>
      <c r="W87" s="10" t="s">
        <v>1431</v>
      </c>
    </row>
    <row r="88" spans="1:23" x14ac:dyDescent="0.2">
      <c r="A88" s="1">
        <v>88</v>
      </c>
      <c r="B88" s="5" t="s">
        <v>528</v>
      </c>
      <c r="C88" s="5" t="s">
        <v>528</v>
      </c>
      <c r="D88" s="36" t="str">
        <f t="shared" si="8"/>
        <v>R88A</v>
      </c>
      <c r="E88" s="36" t="str">
        <f t="shared" si="9"/>
        <v>R6A</v>
      </c>
      <c r="F88" s="36" t="b">
        <f t="shared" si="11"/>
        <v>0</v>
      </c>
      <c r="G88" s="1">
        <f>VLOOKUP(C88,SIMBAD!C:I,7,0)</f>
        <v>6.34</v>
      </c>
      <c r="H88" s="1"/>
      <c r="I88" s="41">
        <v>6</v>
      </c>
      <c r="J88" s="1" t="b">
        <f t="shared" si="10"/>
        <v>1</v>
      </c>
      <c r="K88" s="1" t="s">
        <v>529</v>
      </c>
      <c r="L88" s="1" t="s">
        <v>530</v>
      </c>
      <c r="M88" s="6" t="s">
        <v>531</v>
      </c>
      <c r="N88" s="14">
        <v>6</v>
      </c>
      <c r="O88" s="35">
        <v>6</v>
      </c>
      <c r="P88" s="35">
        <v>12</v>
      </c>
      <c r="Q88" s="6">
        <v>8</v>
      </c>
      <c r="R88" s="7">
        <v>3.7</v>
      </c>
      <c r="S88" s="6">
        <v>3.3</v>
      </c>
      <c r="T88" s="6">
        <v>3.3</v>
      </c>
      <c r="U88" s="8">
        <v>63152</v>
      </c>
      <c r="V88" s="1" t="s">
        <v>66</v>
      </c>
      <c r="W88" s="10" t="s">
        <v>1433</v>
      </c>
    </row>
    <row r="89" spans="1:23" x14ac:dyDescent="0.2">
      <c r="A89" s="1">
        <v>89</v>
      </c>
      <c r="B89" s="1" t="s">
        <v>534</v>
      </c>
      <c r="C89" s="1" t="s">
        <v>534</v>
      </c>
      <c r="D89" s="36" t="str">
        <f t="shared" si="8"/>
        <v>R89D</v>
      </c>
      <c r="E89" s="36" t="str">
        <f t="shared" si="9"/>
        <v>R9.2D</v>
      </c>
      <c r="F89" s="36" t="b">
        <f t="shared" si="11"/>
        <v>0</v>
      </c>
      <c r="G89" s="1">
        <f>VLOOKUP(C89,SIMBAD!C:I,7,0)</f>
        <v>8.91</v>
      </c>
      <c r="H89" s="1"/>
      <c r="I89" s="41">
        <v>9.1999999999999993</v>
      </c>
      <c r="J89" s="1" t="b">
        <f t="shared" si="10"/>
        <v>1</v>
      </c>
      <c r="K89" s="1" t="s">
        <v>535</v>
      </c>
      <c r="L89" s="1" t="s">
        <v>536</v>
      </c>
      <c r="M89" s="6">
        <v>9.1999999999999993</v>
      </c>
      <c r="N89" s="14">
        <v>9.1999999999999993</v>
      </c>
      <c r="O89" s="35">
        <v>9.1999999999999993</v>
      </c>
      <c r="P89" s="35">
        <v>23</v>
      </c>
      <c r="Q89" s="6">
        <v>9.1999999999999993</v>
      </c>
      <c r="R89" s="7">
        <v>1.99</v>
      </c>
      <c r="S89" s="6">
        <v>1.9</v>
      </c>
      <c r="T89" s="6">
        <v>1.9</v>
      </c>
      <c r="U89" s="8">
        <v>63389</v>
      </c>
      <c r="V89" s="1" t="s">
        <v>538</v>
      </c>
      <c r="W89" s="10" t="s">
        <v>1436</v>
      </c>
    </row>
    <row r="90" spans="1:23" x14ac:dyDescent="0.2">
      <c r="A90" s="1">
        <v>90</v>
      </c>
      <c r="B90" s="5" t="s">
        <v>539</v>
      </c>
      <c r="C90" s="5" t="s">
        <v>1208</v>
      </c>
      <c r="D90" s="36" t="str">
        <f t="shared" si="8"/>
        <v>R90D</v>
      </c>
      <c r="E90" s="36" t="str">
        <f t="shared" si="9"/>
        <v>R8.5D</v>
      </c>
      <c r="F90" s="36" t="b">
        <f t="shared" si="11"/>
        <v>0</v>
      </c>
      <c r="G90" s="1">
        <f>VLOOKUP(C90,SIMBAD!C:I,7,0)</f>
        <v>8.5</v>
      </c>
      <c r="H90" s="38">
        <f>G90-N90</f>
        <v>0</v>
      </c>
      <c r="I90" s="42">
        <v>8.5</v>
      </c>
      <c r="J90" s="1" t="b">
        <f t="shared" si="10"/>
        <v>0</v>
      </c>
      <c r="K90" s="1" t="s">
        <v>540</v>
      </c>
      <c r="L90" s="1" t="s">
        <v>541</v>
      </c>
      <c r="M90" s="6" t="s">
        <v>542</v>
      </c>
      <c r="N90" s="14">
        <v>8.5</v>
      </c>
      <c r="O90" s="35">
        <v>8.5</v>
      </c>
      <c r="P90" s="35">
        <v>12</v>
      </c>
      <c r="Q90" s="6">
        <v>8.5</v>
      </c>
      <c r="R90" s="7" t="s">
        <v>45</v>
      </c>
      <c r="S90" s="6">
        <v>1.2</v>
      </c>
      <c r="T90" s="6">
        <v>1.2</v>
      </c>
      <c r="U90" s="8">
        <v>63955</v>
      </c>
      <c r="V90" s="1" t="s">
        <v>544</v>
      </c>
      <c r="W90" s="10" t="s">
        <v>1436</v>
      </c>
    </row>
    <row r="91" spans="1:23" x14ac:dyDescent="0.2">
      <c r="A91" s="1">
        <v>91</v>
      </c>
      <c r="B91" s="1" t="s">
        <v>546</v>
      </c>
      <c r="C91" s="1" t="s">
        <v>546</v>
      </c>
      <c r="D91" s="36" t="str">
        <f t="shared" si="8"/>
        <v>R91D</v>
      </c>
      <c r="E91" s="37" t="str">
        <f t="shared" si="9"/>
        <v>R7.4D</v>
      </c>
      <c r="F91" s="36" t="b">
        <f t="shared" si="11"/>
        <v>0</v>
      </c>
      <c r="G91" s="1">
        <f>VLOOKUP(C91,SIMBAD!C:I,7,0)</f>
        <v>7.54</v>
      </c>
      <c r="H91" s="38">
        <f>G91-N91</f>
        <v>0.13999999999999968</v>
      </c>
      <c r="I91" s="42" t="s">
        <v>1458</v>
      </c>
      <c r="J91" s="1" t="b">
        <f t="shared" si="10"/>
        <v>1</v>
      </c>
      <c r="K91" s="1" t="s">
        <v>547</v>
      </c>
      <c r="L91" s="1" t="s">
        <v>548</v>
      </c>
      <c r="M91" s="6" t="s">
        <v>549</v>
      </c>
      <c r="N91" s="14">
        <v>7.4</v>
      </c>
      <c r="O91" s="35">
        <v>7.4</v>
      </c>
      <c r="P91" s="35">
        <v>45</v>
      </c>
      <c r="Q91" s="6">
        <v>7.6</v>
      </c>
      <c r="R91" s="7" t="s">
        <v>45</v>
      </c>
      <c r="S91" s="6">
        <v>1.2</v>
      </c>
      <c r="T91" s="6">
        <v>1.2</v>
      </c>
      <c r="U91" s="8">
        <v>75694</v>
      </c>
      <c r="V91" s="1" t="s">
        <v>551</v>
      </c>
      <c r="W91" s="10" t="s">
        <v>1436</v>
      </c>
    </row>
    <row r="92" spans="1:23" x14ac:dyDescent="0.2">
      <c r="A92" s="1">
        <v>92</v>
      </c>
      <c r="B92" s="1" t="s">
        <v>552</v>
      </c>
      <c r="C92" s="1" t="s">
        <v>552</v>
      </c>
      <c r="D92" s="36" t="str">
        <f t="shared" si="8"/>
        <v>R92D</v>
      </c>
      <c r="E92" s="36" t="str">
        <f t="shared" si="9"/>
        <v>R5.7D</v>
      </c>
      <c r="F92" s="36" t="b">
        <f t="shared" si="11"/>
        <v>0</v>
      </c>
      <c r="G92" s="1">
        <f>VLOOKUP(C92,SIMBAD!C:I,7,0)</f>
        <v>5.71</v>
      </c>
      <c r="H92" s="1"/>
      <c r="I92" s="41">
        <v>5.7</v>
      </c>
      <c r="J92" s="1" t="b">
        <f t="shared" si="10"/>
        <v>1</v>
      </c>
      <c r="K92" s="1" t="s">
        <v>553</v>
      </c>
      <c r="L92" s="1" t="s">
        <v>554</v>
      </c>
      <c r="M92" s="6" t="s">
        <v>555</v>
      </c>
      <c r="N92" s="14">
        <v>5.7</v>
      </c>
      <c r="O92" s="35">
        <v>5.7</v>
      </c>
      <c r="P92" s="35">
        <v>5</v>
      </c>
      <c r="Q92" s="6">
        <v>15.2</v>
      </c>
      <c r="R92" s="7">
        <v>1.9</v>
      </c>
      <c r="T92" s="7">
        <v>1.9</v>
      </c>
      <c r="V92" s="1" t="s">
        <v>556</v>
      </c>
      <c r="W92" s="10" t="s">
        <v>1436</v>
      </c>
    </row>
    <row r="93" spans="1:23" x14ac:dyDescent="0.2">
      <c r="A93" s="1">
        <v>93</v>
      </c>
      <c r="B93" s="20" t="s">
        <v>557</v>
      </c>
      <c r="C93" s="20" t="s">
        <v>557</v>
      </c>
      <c r="D93" s="36" t="str">
        <f t="shared" si="8"/>
        <v>R93S</v>
      </c>
      <c r="E93" s="37" t="str">
        <f t="shared" si="9"/>
        <v>R6.9S</v>
      </c>
      <c r="F93" s="36" t="b">
        <f t="shared" si="11"/>
        <v>0</v>
      </c>
      <c r="G93" s="1">
        <f>VLOOKUP(C93,SIMBAD!C:I,7,0)</f>
        <v>6.9</v>
      </c>
      <c r="H93" s="1"/>
      <c r="I93" s="42">
        <v>6.91</v>
      </c>
      <c r="J93" s="1" t="b">
        <f t="shared" si="10"/>
        <v>1</v>
      </c>
      <c r="K93" s="1" t="s">
        <v>558</v>
      </c>
      <c r="L93" s="1" t="s">
        <v>559</v>
      </c>
      <c r="M93" s="6" t="s">
        <v>560</v>
      </c>
      <c r="N93" s="14">
        <v>6.9</v>
      </c>
      <c r="O93" s="35">
        <v>6.9</v>
      </c>
      <c r="P93" s="35">
        <v>12</v>
      </c>
      <c r="Q93" s="6">
        <v>12.6</v>
      </c>
      <c r="R93" s="7">
        <v>3.12</v>
      </c>
      <c r="S93" s="14">
        <v>4.4000000000000004</v>
      </c>
      <c r="T93" s="14">
        <v>4.4000000000000004</v>
      </c>
      <c r="U93" s="8">
        <v>77501</v>
      </c>
      <c r="V93" s="1" t="s">
        <v>308</v>
      </c>
      <c r="W93" s="10" t="s">
        <v>1432</v>
      </c>
    </row>
    <row r="94" spans="1:23" x14ac:dyDescent="0.2">
      <c r="A94" s="1">
        <v>94</v>
      </c>
      <c r="B94" s="5" t="s">
        <v>562</v>
      </c>
      <c r="C94" s="5" t="s">
        <v>562</v>
      </c>
      <c r="D94" s="36" t="str">
        <f t="shared" si="8"/>
        <v>R94A</v>
      </c>
      <c r="E94" s="36" t="str">
        <f t="shared" si="9"/>
        <v>R7.8A</v>
      </c>
      <c r="F94" s="36" t="b">
        <f t="shared" si="11"/>
        <v>0</v>
      </c>
      <c r="G94" s="1">
        <f>VLOOKUP(C94,SIMBAD!C:I,7,0)</f>
        <v>8.8000000000000007</v>
      </c>
      <c r="H94" s="38">
        <f>G94-N94</f>
        <v>1.0000000000000009</v>
      </c>
      <c r="I94" s="42">
        <v>7.8</v>
      </c>
      <c r="J94" s="1" t="b">
        <f t="shared" si="10"/>
        <v>1</v>
      </c>
      <c r="K94" s="1" t="s">
        <v>563</v>
      </c>
      <c r="L94" s="1" t="s">
        <v>564</v>
      </c>
      <c r="M94" s="6" t="s">
        <v>92</v>
      </c>
      <c r="N94" s="14">
        <v>7.8</v>
      </c>
      <c r="O94" s="35">
        <v>7.8</v>
      </c>
      <c r="P94" s="35">
        <v>17</v>
      </c>
      <c r="Q94" s="6">
        <v>12.5</v>
      </c>
      <c r="R94" s="7">
        <v>3</v>
      </c>
      <c r="S94" s="6" t="s">
        <v>45</v>
      </c>
      <c r="T94" s="7">
        <v>3</v>
      </c>
      <c r="U94" s="8">
        <v>78721</v>
      </c>
      <c r="V94" s="1" t="s">
        <v>566</v>
      </c>
      <c r="W94" s="10" t="s">
        <v>1433</v>
      </c>
    </row>
    <row r="95" spans="1:23" x14ac:dyDescent="0.2">
      <c r="A95" s="1">
        <v>95</v>
      </c>
      <c r="B95" s="20" t="s">
        <v>567</v>
      </c>
      <c r="C95" s="20" t="s">
        <v>567</v>
      </c>
      <c r="D95" s="36" t="str">
        <f t="shared" si="8"/>
        <v>R95S</v>
      </c>
      <c r="E95" s="36" t="str">
        <f t="shared" si="9"/>
        <v>R7.3S</v>
      </c>
      <c r="F95" s="36" t="b">
        <f t="shared" si="11"/>
        <v>0</v>
      </c>
      <c r="G95" s="1">
        <f>VLOOKUP(C95,SIMBAD!C:I,7,0)</f>
        <v>7.3</v>
      </c>
      <c r="H95" s="1"/>
      <c r="I95" s="41">
        <v>7.3</v>
      </c>
      <c r="J95" s="1" t="b">
        <f t="shared" si="10"/>
        <v>1</v>
      </c>
      <c r="K95" s="1" t="s">
        <v>568</v>
      </c>
      <c r="L95" s="1" t="s">
        <v>569</v>
      </c>
      <c r="M95" s="6" t="s">
        <v>363</v>
      </c>
      <c r="N95" s="14">
        <v>7.3</v>
      </c>
      <c r="O95" s="35">
        <v>7.3</v>
      </c>
      <c r="P95" s="35">
        <v>35</v>
      </c>
      <c r="Q95" s="6">
        <v>11.6</v>
      </c>
      <c r="R95" s="15">
        <v>4.38</v>
      </c>
      <c r="S95" s="14">
        <v>4</v>
      </c>
      <c r="T95" s="14">
        <v>4</v>
      </c>
      <c r="U95" s="8" t="s">
        <v>572</v>
      </c>
      <c r="V95" s="1" t="s">
        <v>495</v>
      </c>
      <c r="W95" s="10" t="s">
        <v>1432</v>
      </c>
    </row>
    <row r="96" spans="1:23" x14ac:dyDescent="0.2">
      <c r="A96" s="1">
        <v>96</v>
      </c>
      <c r="B96" s="13" t="s">
        <v>573</v>
      </c>
      <c r="C96" s="13" t="s">
        <v>573</v>
      </c>
      <c r="D96" s="36" t="str">
        <f t="shared" si="8"/>
        <v>R96S</v>
      </c>
      <c r="E96" s="36" t="str">
        <f t="shared" si="9"/>
        <v>R7S</v>
      </c>
      <c r="F96" s="36" t="b">
        <f t="shared" si="11"/>
        <v>0</v>
      </c>
      <c r="G96" s="1">
        <f>VLOOKUP(C96,SIMBAD!C:I,7,0)</f>
        <v>11.7</v>
      </c>
      <c r="H96" s="1"/>
      <c r="I96" s="42" t="s">
        <v>1452</v>
      </c>
      <c r="J96" s="1" t="b">
        <f t="shared" si="10"/>
        <v>0</v>
      </c>
      <c r="K96" s="1" t="s">
        <v>574</v>
      </c>
      <c r="L96" s="1" t="s">
        <v>575</v>
      </c>
      <c r="M96" s="6">
        <v>7</v>
      </c>
      <c r="N96" s="14">
        <v>7</v>
      </c>
      <c r="O96" s="35">
        <v>7</v>
      </c>
      <c r="P96" s="35">
        <v>17</v>
      </c>
      <c r="Q96" s="6">
        <v>7</v>
      </c>
      <c r="R96" s="7">
        <v>3.36</v>
      </c>
      <c r="S96" s="14">
        <v>4.4000000000000004</v>
      </c>
      <c r="T96" s="14">
        <v>4.4000000000000004</v>
      </c>
      <c r="U96" s="8" t="s">
        <v>45</v>
      </c>
      <c r="V96" s="1" t="s">
        <v>112</v>
      </c>
      <c r="W96" s="10" t="s">
        <v>1432</v>
      </c>
    </row>
    <row r="97" spans="1:23" x14ac:dyDescent="0.2">
      <c r="A97" s="1">
        <v>97</v>
      </c>
      <c r="B97" s="13" t="s">
        <v>577</v>
      </c>
      <c r="C97" s="13" t="s">
        <v>577</v>
      </c>
      <c r="D97" s="36" t="str">
        <f t="shared" ref="D97:D128" si="12">"R"&amp;A97&amp;W97</f>
        <v>R97SS</v>
      </c>
      <c r="E97" s="36" t="str">
        <f t="shared" ref="E97:E128" si="13">"R"&amp;N97&amp;W97</f>
        <v>R8SS</v>
      </c>
      <c r="F97" s="36" t="b">
        <f t="shared" si="11"/>
        <v>0</v>
      </c>
      <c r="G97" s="1">
        <f>VLOOKUP(C97,SIMBAD!C:I,7,0)</f>
        <v>10.02</v>
      </c>
      <c r="H97" s="1"/>
      <c r="I97" s="41">
        <v>8</v>
      </c>
      <c r="J97" s="1" t="b">
        <f t="shared" ref="J97:J128" si="14">G97&lt;Q97</f>
        <v>0</v>
      </c>
      <c r="K97" s="1" t="s">
        <v>578</v>
      </c>
      <c r="L97" s="1" t="s">
        <v>579</v>
      </c>
      <c r="M97" s="6">
        <v>8</v>
      </c>
      <c r="N97" s="14">
        <v>8</v>
      </c>
      <c r="O97" s="35">
        <v>8</v>
      </c>
      <c r="P97" s="35">
        <v>23</v>
      </c>
      <c r="Q97" s="6">
        <v>8</v>
      </c>
      <c r="R97" s="7" t="s">
        <v>45</v>
      </c>
      <c r="S97" s="14">
        <v>4.5</v>
      </c>
      <c r="T97" s="14">
        <v>4.5</v>
      </c>
      <c r="U97" s="8" t="s">
        <v>45</v>
      </c>
      <c r="V97" s="1" t="s">
        <v>581</v>
      </c>
      <c r="W97" s="10" t="s">
        <v>1431</v>
      </c>
    </row>
    <row r="98" spans="1:23" x14ac:dyDescent="0.2">
      <c r="A98" s="1">
        <v>98</v>
      </c>
      <c r="B98" s="5" t="s">
        <v>584</v>
      </c>
      <c r="C98" s="5" t="s">
        <v>1239</v>
      </c>
      <c r="D98" s="36" t="str">
        <f t="shared" si="12"/>
        <v>R98D</v>
      </c>
      <c r="E98" s="36" t="str">
        <f t="shared" si="13"/>
        <v>R7.3D</v>
      </c>
      <c r="F98" s="36" t="b">
        <f t="shared" ref="F98:F129" si="15">OR((E98=E99),(E98=E97))</f>
        <v>0</v>
      </c>
      <c r="G98" s="1">
        <f>VLOOKUP(C98,SIMBAD!C:I,7,0)</f>
        <v>7.61</v>
      </c>
      <c r="H98" s="1"/>
      <c r="I98" s="41">
        <v>7.3</v>
      </c>
      <c r="J98" s="1" t="b">
        <f t="shared" si="14"/>
        <v>1</v>
      </c>
      <c r="K98" s="1" t="s">
        <v>585</v>
      </c>
      <c r="L98" s="1" t="s">
        <v>586</v>
      </c>
      <c r="M98" s="6" t="s">
        <v>587</v>
      </c>
      <c r="N98" s="14">
        <v>7.3</v>
      </c>
      <c r="O98" s="35">
        <v>7.3</v>
      </c>
      <c r="P98" s="35">
        <v>38</v>
      </c>
      <c r="Q98" s="6">
        <v>7.7</v>
      </c>
      <c r="R98" s="7" t="s">
        <v>45</v>
      </c>
      <c r="S98" s="6">
        <v>1.2</v>
      </c>
      <c r="T98" s="6">
        <v>1.2</v>
      </c>
      <c r="U98" s="8">
        <v>84266</v>
      </c>
      <c r="V98" s="1" t="s">
        <v>589</v>
      </c>
      <c r="W98" s="10" t="s">
        <v>1436</v>
      </c>
    </row>
    <row r="99" spans="1:23" x14ac:dyDescent="0.2">
      <c r="A99" s="1">
        <v>99</v>
      </c>
      <c r="B99" s="20" t="s">
        <v>590</v>
      </c>
      <c r="C99" s="20" t="s">
        <v>590</v>
      </c>
      <c r="D99" s="36" t="str">
        <f t="shared" si="12"/>
        <v>R99S</v>
      </c>
      <c r="E99" s="36" t="str">
        <f t="shared" si="13"/>
        <v>R7S</v>
      </c>
      <c r="F99" s="36" t="b">
        <f t="shared" si="15"/>
        <v>1</v>
      </c>
      <c r="G99" s="1">
        <f>VLOOKUP(C99,SIMBAD!C:I,7,0)</f>
        <v>8.7899999999999991</v>
      </c>
      <c r="H99" s="39">
        <f>G99-N99</f>
        <v>1.7899999999999991</v>
      </c>
      <c r="I99" s="42" t="s">
        <v>1450</v>
      </c>
      <c r="J99" s="1" t="b">
        <f t="shared" si="14"/>
        <v>1</v>
      </c>
      <c r="K99" s="1" t="s">
        <v>591</v>
      </c>
      <c r="L99" s="1" t="s">
        <v>592</v>
      </c>
      <c r="M99" s="6" t="s">
        <v>593</v>
      </c>
      <c r="N99" s="14">
        <v>7</v>
      </c>
      <c r="O99" s="35">
        <v>7</v>
      </c>
      <c r="P99" s="35">
        <v>18</v>
      </c>
      <c r="Q99" s="6">
        <v>9</v>
      </c>
      <c r="R99" s="15">
        <v>4.34</v>
      </c>
      <c r="S99" s="14">
        <v>4.3</v>
      </c>
      <c r="T99" s="14">
        <v>4.3</v>
      </c>
      <c r="U99" s="8">
        <v>85617</v>
      </c>
      <c r="V99" s="1" t="s">
        <v>112</v>
      </c>
      <c r="W99" s="10" t="s">
        <v>1432</v>
      </c>
    </row>
    <row r="100" spans="1:23" x14ac:dyDescent="0.2">
      <c r="A100" s="1">
        <v>100</v>
      </c>
      <c r="B100" s="13" t="s">
        <v>595</v>
      </c>
      <c r="C100" s="13" t="s">
        <v>595</v>
      </c>
      <c r="D100" s="36" t="str">
        <f t="shared" si="12"/>
        <v>R100S</v>
      </c>
      <c r="E100" s="36" t="str">
        <f t="shared" si="13"/>
        <v>R7S</v>
      </c>
      <c r="F100" s="36" t="b">
        <f t="shared" si="15"/>
        <v>1</v>
      </c>
      <c r="G100" s="1">
        <f>VLOOKUP(C100,SIMBAD!C:I,7,0)</f>
        <v>6.673</v>
      </c>
      <c r="H100" s="38">
        <f>G100-N100</f>
        <v>-0.32699999999999996</v>
      </c>
      <c r="I100" s="42" t="s">
        <v>1449</v>
      </c>
      <c r="J100" s="1" t="b">
        <f t="shared" si="14"/>
        <v>1</v>
      </c>
      <c r="K100" s="1" t="s">
        <v>596</v>
      </c>
      <c r="L100" s="1" t="s">
        <v>597</v>
      </c>
      <c r="M100" s="6">
        <v>7</v>
      </c>
      <c r="N100" s="14">
        <v>7</v>
      </c>
      <c r="O100" s="35">
        <v>7</v>
      </c>
      <c r="P100" s="35">
        <v>19</v>
      </c>
      <c r="Q100" s="6">
        <v>7</v>
      </c>
      <c r="R100" s="7" t="s">
        <v>45</v>
      </c>
      <c r="S100" s="14">
        <v>4</v>
      </c>
      <c r="T100" s="14">
        <v>4</v>
      </c>
      <c r="U100" s="8">
        <v>86728</v>
      </c>
      <c r="V100" s="1" t="s">
        <v>599</v>
      </c>
      <c r="W100" s="10" t="s">
        <v>1432</v>
      </c>
    </row>
    <row r="101" spans="1:23" x14ac:dyDescent="0.2">
      <c r="A101" s="1">
        <v>101</v>
      </c>
      <c r="B101" s="5" t="s">
        <v>600</v>
      </c>
      <c r="C101" s="5" t="s">
        <v>600</v>
      </c>
      <c r="D101" s="36" t="str">
        <f t="shared" si="12"/>
        <v>R101C</v>
      </c>
      <c r="E101" s="36" t="str">
        <f t="shared" si="13"/>
        <v>R8.2C</v>
      </c>
      <c r="F101" s="36" t="b">
        <f t="shared" si="15"/>
        <v>0</v>
      </c>
      <c r="G101" s="1">
        <f>VLOOKUP(C101,SIMBAD!C:I,7,0)</f>
        <v>11.05</v>
      </c>
      <c r="H101" s="1"/>
      <c r="I101" s="41">
        <v>8.1999999999999993</v>
      </c>
      <c r="J101" s="1" t="b">
        <f t="shared" si="14"/>
        <v>0</v>
      </c>
      <c r="K101" s="1" t="s">
        <v>601</v>
      </c>
      <c r="L101" s="1" t="s">
        <v>602</v>
      </c>
      <c r="M101" s="6" t="s">
        <v>603</v>
      </c>
      <c r="N101" s="14">
        <v>8.1999999999999993</v>
      </c>
      <c r="O101" s="35">
        <v>8.1999999999999993</v>
      </c>
      <c r="P101" s="35">
        <v>35</v>
      </c>
      <c r="Q101" s="6">
        <v>9.1999999999999993</v>
      </c>
      <c r="R101" s="7">
        <v>2.89</v>
      </c>
      <c r="S101" s="6">
        <v>2.2999999999999998</v>
      </c>
      <c r="T101" s="6">
        <v>2.2999999999999998</v>
      </c>
      <c r="U101" s="8" t="s">
        <v>605</v>
      </c>
      <c r="V101" s="1" t="s">
        <v>258</v>
      </c>
      <c r="W101" s="10" t="s">
        <v>1435</v>
      </c>
    </row>
    <row r="102" spans="1:23" x14ac:dyDescent="0.2">
      <c r="A102" s="1">
        <v>102</v>
      </c>
      <c r="B102" s="13" t="s">
        <v>606</v>
      </c>
      <c r="C102" s="13" t="s">
        <v>606</v>
      </c>
      <c r="D102" s="36" t="str">
        <f t="shared" si="12"/>
        <v>R102B</v>
      </c>
      <c r="E102" s="36" t="str">
        <f t="shared" si="13"/>
        <v>R7B</v>
      </c>
      <c r="F102" s="36" t="b">
        <f t="shared" si="15"/>
        <v>0</v>
      </c>
      <c r="G102" s="1">
        <f>VLOOKUP(C102,SIMBAD!C:I,7,0)</f>
        <v>10.5</v>
      </c>
      <c r="H102" s="38">
        <f>G102-N102</f>
        <v>3.5</v>
      </c>
      <c r="I102" s="42" t="s">
        <v>1454</v>
      </c>
      <c r="J102" s="1" t="b">
        <f t="shared" si="14"/>
        <v>0</v>
      </c>
      <c r="K102" s="1" t="s">
        <v>607</v>
      </c>
      <c r="L102" s="1" t="s">
        <v>608</v>
      </c>
      <c r="M102" s="6">
        <v>7</v>
      </c>
      <c r="N102" s="14">
        <v>7</v>
      </c>
      <c r="O102" s="35">
        <v>7</v>
      </c>
      <c r="P102" s="35">
        <v>24</v>
      </c>
      <c r="Q102" s="6">
        <v>7</v>
      </c>
      <c r="R102" s="15">
        <v>3.82</v>
      </c>
      <c r="S102" s="6">
        <v>2.8</v>
      </c>
      <c r="T102" s="6">
        <v>2.8</v>
      </c>
      <c r="U102" s="8">
        <v>87063</v>
      </c>
      <c r="V102" s="1" t="s">
        <v>80</v>
      </c>
      <c r="W102" s="10" t="s">
        <v>1434</v>
      </c>
    </row>
    <row r="103" spans="1:23" x14ac:dyDescent="0.2">
      <c r="A103" s="1">
        <v>103</v>
      </c>
      <c r="B103" s="13" t="s">
        <v>610</v>
      </c>
      <c r="C103" s="13" t="s">
        <v>610</v>
      </c>
      <c r="D103" s="36" t="str">
        <f t="shared" si="12"/>
        <v>R103SS</v>
      </c>
      <c r="E103" s="36" t="str">
        <f t="shared" si="13"/>
        <v>R7.2SS</v>
      </c>
      <c r="F103" s="36" t="b">
        <f t="shared" si="15"/>
        <v>0</v>
      </c>
      <c r="G103" s="1">
        <f>VLOOKUP(C103,SIMBAD!C:I,7,0)</f>
        <v>7.2</v>
      </c>
      <c r="H103" s="1"/>
      <c r="I103" s="41">
        <v>7.2</v>
      </c>
      <c r="J103" s="1" t="b">
        <f t="shared" si="14"/>
        <v>1</v>
      </c>
      <c r="K103" s="1" t="s">
        <v>611</v>
      </c>
      <c r="L103" s="1" t="s">
        <v>612</v>
      </c>
      <c r="M103" s="6" t="s">
        <v>613</v>
      </c>
      <c r="N103" s="14">
        <v>7.2</v>
      </c>
      <c r="O103" s="35">
        <v>7.2</v>
      </c>
      <c r="P103" s="35">
        <v>34</v>
      </c>
      <c r="Q103" s="6">
        <v>13.5</v>
      </c>
      <c r="R103" s="7">
        <v>2.7</v>
      </c>
      <c r="S103" s="18">
        <v>5.6</v>
      </c>
      <c r="T103" s="18">
        <v>5.6</v>
      </c>
      <c r="U103" s="8">
        <v>87820</v>
      </c>
      <c r="V103" s="1" t="s">
        <v>615</v>
      </c>
      <c r="W103" s="10" t="s">
        <v>1431</v>
      </c>
    </row>
    <row r="104" spans="1:23" x14ac:dyDescent="0.2">
      <c r="A104" s="1">
        <v>104</v>
      </c>
      <c r="B104" s="5" t="s">
        <v>617</v>
      </c>
      <c r="C104" s="5" t="s">
        <v>617</v>
      </c>
      <c r="D104" s="36" t="str">
        <f t="shared" si="12"/>
        <v>R104D</v>
      </c>
      <c r="E104" s="36" t="str">
        <f t="shared" si="13"/>
        <v>R8.5D</v>
      </c>
      <c r="F104" s="36" t="b">
        <f t="shared" si="15"/>
        <v>0</v>
      </c>
      <c r="G104" s="1">
        <f>VLOOKUP(C104,SIMBAD!C:I,7,0)</f>
        <v>8.66</v>
      </c>
      <c r="H104" s="1"/>
      <c r="I104" s="42">
        <v>8.5</v>
      </c>
      <c r="J104" s="1" t="b">
        <f t="shared" si="14"/>
        <v>1</v>
      </c>
      <c r="K104" s="1" t="s">
        <v>618</v>
      </c>
      <c r="L104" s="1" t="s">
        <v>619</v>
      </c>
      <c r="M104" s="6" t="s">
        <v>219</v>
      </c>
      <c r="N104" s="14">
        <v>8.5</v>
      </c>
      <c r="O104" s="35">
        <v>8.5</v>
      </c>
      <c r="P104" s="35">
        <v>9</v>
      </c>
      <c r="Q104" s="6">
        <v>8.6999999999999993</v>
      </c>
      <c r="R104" s="7">
        <v>2.0299999999999998</v>
      </c>
      <c r="S104" s="6">
        <v>1.8</v>
      </c>
      <c r="T104" s="6">
        <v>1.8</v>
      </c>
      <c r="U104" s="8">
        <v>89783</v>
      </c>
      <c r="V104" s="1" t="s">
        <v>139</v>
      </c>
      <c r="W104" s="10" t="s">
        <v>1436</v>
      </c>
    </row>
    <row r="105" spans="1:23" x14ac:dyDescent="0.2">
      <c r="A105" s="1">
        <v>105</v>
      </c>
      <c r="B105" s="20" t="s">
        <v>621</v>
      </c>
      <c r="C105" s="20" t="s">
        <v>621</v>
      </c>
      <c r="D105" s="36" t="str">
        <f t="shared" si="12"/>
        <v>R105S</v>
      </c>
      <c r="E105" s="37" t="str">
        <f t="shared" si="13"/>
        <v>R6.9S</v>
      </c>
      <c r="F105" s="36" t="b">
        <f t="shared" si="15"/>
        <v>0</v>
      </c>
      <c r="G105" s="1">
        <f>VLOOKUP(C105,SIMBAD!C:I,7,0)</f>
        <v>7.01</v>
      </c>
      <c r="H105" s="38">
        <f>G105-N105</f>
        <v>0.10999999999999943</v>
      </c>
      <c r="I105" s="42">
        <v>6.92</v>
      </c>
      <c r="J105" s="1" t="b">
        <f t="shared" si="14"/>
        <v>1</v>
      </c>
      <c r="K105" s="1" t="s">
        <v>622</v>
      </c>
      <c r="L105" s="1" t="s">
        <v>623</v>
      </c>
      <c r="M105" s="6" t="s">
        <v>624</v>
      </c>
      <c r="N105" s="14">
        <v>6.9</v>
      </c>
      <c r="O105" s="35">
        <v>6.9</v>
      </c>
      <c r="P105" s="35">
        <v>15</v>
      </c>
      <c r="Q105" s="6">
        <v>9</v>
      </c>
      <c r="R105" s="7" t="s">
        <v>45</v>
      </c>
      <c r="S105" s="14">
        <v>3.8</v>
      </c>
      <c r="T105" s="14">
        <v>3.8</v>
      </c>
      <c r="U105" s="8">
        <v>90697</v>
      </c>
      <c r="V105" s="1" t="s">
        <v>626</v>
      </c>
      <c r="W105" s="10" t="s">
        <v>1432</v>
      </c>
    </row>
    <row r="106" spans="1:23" x14ac:dyDescent="0.2">
      <c r="A106" s="1">
        <v>106</v>
      </c>
      <c r="B106" s="1" t="s">
        <v>628</v>
      </c>
      <c r="C106" s="1" t="s">
        <v>628</v>
      </c>
      <c r="D106" s="36" t="str">
        <f t="shared" si="12"/>
        <v>R106S</v>
      </c>
      <c r="E106" s="36" t="str">
        <f t="shared" si="13"/>
        <v>R9S</v>
      </c>
      <c r="F106" s="36" t="b">
        <f t="shared" si="15"/>
        <v>0</v>
      </c>
      <c r="G106" s="1">
        <f>VLOOKUP(C106,SIMBAD!C:I,7,0)</f>
        <v>9.4600000000000009</v>
      </c>
      <c r="H106" s="1"/>
      <c r="I106" s="41">
        <v>9</v>
      </c>
      <c r="J106" s="1" t="b">
        <f t="shared" si="14"/>
        <v>0</v>
      </c>
      <c r="K106" s="1" t="s">
        <v>629</v>
      </c>
      <c r="L106" s="1" t="s">
        <v>630</v>
      </c>
      <c r="M106" s="6">
        <v>9</v>
      </c>
      <c r="N106" s="14">
        <v>9</v>
      </c>
      <c r="O106" s="35">
        <v>9</v>
      </c>
      <c r="P106" s="35">
        <v>19</v>
      </c>
      <c r="Q106" s="6">
        <v>9</v>
      </c>
      <c r="R106" s="15">
        <v>3.82</v>
      </c>
      <c r="S106" s="6" t="s">
        <v>45</v>
      </c>
      <c r="T106" s="15">
        <v>3.82</v>
      </c>
      <c r="U106" s="8">
        <v>90709</v>
      </c>
      <c r="V106" s="1" t="s">
        <v>632</v>
      </c>
      <c r="W106" s="10" t="s">
        <v>1432</v>
      </c>
    </row>
    <row r="107" spans="1:23" x14ac:dyDescent="0.2">
      <c r="A107" s="1">
        <v>107</v>
      </c>
      <c r="B107" s="13" t="s">
        <v>633</v>
      </c>
      <c r="C107" s="13" t="s">
        <v>633</v>
      </c>
      <c r="D107" s="36" t="str">
        <f t="shared" si="12"/>
        <v>R107SS</v>
      </c>
      <c r="E107" s="36" t="str">
        <f t="shared" si="13"/>
        <v>R7.5SS</v>
      </c>
      <c r="F107" s="36" t="b">
        <f t="shared" si="15"/>
        <v>0</v>
      </c>
      <c r="G107" s="1">
        <f>VLOOKUP(C107,SIMBAD!C:I,7,0)</f>
        <v>7.84</v>
      </c>
      <c r="H107" s="1"/>
      <c r="I107" s="42" t="s">
        <v>1459</v>
      </c>
      <c r="J107" s="1" t="b">
        <f t="shared" si="14"/>
        <v>1</v>
      </c>
      <c r="K107" s="1" t="s">
        <v>634</v>
      </c>
      <c r="L107" s="1" t="s">
        <v>635</v>
      </c>
      <c r="M107" s="6" t="s">
        <v>636</v>
      </c>
      <c r="N107" s="14">
        <v>7.5</v>
      </c>
      <c r="O107" s="35">
        <v>7.5</v>
      </c>
      <c r="P107" s="35">
        <v>1</v>
      </c>
      <c r="Q107" s="6">
        <v>9.3000000000000007</v>
      </c>
      <c r="R107" s="15">
        <v>5.46</v>
      </c>
      <c r="S107" s="18">
        <v>5.5</v>
      </c>
      <c r="T107" s="18">
        <v>5.5</v>
      </c>
      <c r="U107" s="8">
        <v>90883</v>
      </c>
      <c r="V107" s="1" t="s">
        <v>638</v>
      </c>
      <c r="W107" s="10" t="s">
        <v>1431</v>
      </c>
    </row>
    <row r="108" spans="1:23" x14ac:dyDescent="0.2">
      <c r="A108" s="1">
        <v>108</v>
      </c>
      <c r="B108" s="5" t="s">
        <v>640</v>
      </c>
      <c r="C108" s="5" t="s">
        <v>640</v>
      </c>
      <c r="D108" s="36" t="str">
        <f t="shared" si="12"/>
        <v>R108A</v>
      </c>
      <c r="E108" s="36" t="str">
        <f t="shared" si="13"/>
        <v>R7.8A</v>
      </c>
      <c r="F108" s="36" t="b">
        <f t="shared" si="15"/>
        <v>0</v>
      </c>
      <c r="G108" s="1">
        <f>VLOOKUP(C108,SIMBAD!C:I,7,0)</f>
        <v>7.65</v>
      </c>
      <c r="H108" s="1"/>
      <c r="I108" s="42">
        <v>7.8</v>
      </c>
      <c r="J108" s="1" t="b">
        <f t="shared" si="14"/>
        <v>1</v>
      </c>
      <c r="K108" s="1" t="s">
        <v>641</v>
      </c>
      <c r="L108" s="1" t="s">
        <v>642</v>
      </c>
      <c r="M108" s="6" t="s">
        <v>643</v>
      </c>
      <c r="N108" s="14">
        <v>7.8</v>
      </c>
      <c r="O108" s="35">
        <v>7.8</v>
      </c>
      <c r="P108" s="35">
        <v>16</v>
      </c>
      <c r="Q108" s="6">
        <v>9.6</v>
      </c>
      <c r="R108" s="7">
        <v>3.5</v>
      </c>
      <c r="S108" s="6">
        <v>3.1</v>
      </c>
      <c r="T108" s="6">
        <v>3.1</v>
      </c>
      <c r="U108" s="8">
        <v>91774</v>
      </c>
      <c r="V108" s="1" t="s">
        <v>203</v>
      </c>
      <c r="W108" s="10" t="s">
        <v>1433</v>
      </c>
    </row>
    <row r="109" spans="1:23" x14ac:dyDescent="0.2">
      <c r="A109" s="1">
        <v>109</v>
      </c>
      <c r="B109" s="1" t="s">
        <v>646</v>
      </c>
      <c r="C109" s="1" t="s">
        <v>646</v>
      </c>
      <c r="D109" s="36" t="str">
        <f t="shared" si="12"/>
        <v>R109B</v>
      </c>
      <c r="E109" s="36" t="str">
        <f t="shared" si="13"/>
        <v>R8.7B</v>
      </c>
      <c r="F109" s="36" t="b">
        <f t="shared" si="15"/>
        <v>0</v>
      </c>
      <c r="G109" s="1">
        <f>VLOOKUP(C109,SIMBAD!C:I,7,0)</f>
        <v>9.94</v>
      </c>
      <c r="H109" s="1"/>
      <c r="I109" s="41">
        <v>8.6999999999999993</v>
      </c>
      <c r="J109" s="1" t="b">
        <f t="shared" si="14"/>
        <v>0</v>
      </c>
      <c r="K109" s="1" t="s">
        <v>647</v>
      </c>
      <c r="L109" s="1" t="s">
        <v>648</v>
      </c>
      <c r="M109" s="6" t="s">
        <v>394</v>
      </c>
      <c r="N109" s="14">
        <v>8.6999999999999993</v>
      </c>
      <c r="O109" s="35">
        <v>8.6999999999999993</v>
      </c>
      <c r="P109" s="35">
        <v>14</v>
      </c>
      <c r="Q109" s="6">
        <v>9</v>
      </c>
      <c r="R109" s="7">
        <v>2.63</v>
      </c>
      <c r="S109" s="6" t="s">
        <v>45</v>
      </c>
      <c r="T109" s="7">
        <v>2.63</v>
      </c>
      <c r="U109" s="8">
        <v>91929</v>
      </c>
      <c r="V109" s="1" t="s">
        <v>58</v>
      </c>
      <c r="W109" s="10" t="s">
        <v>1434</v>
      </c>
    </row>
    <row r="110" spans="1:23" x14ac:dyDescent="0.2">
      <c r="A110" s="1">
        <v>110</v>
      </c>
      <c r="B110" s="13" t="s">
        <v>650</v>
      </c>
      <c r="C110" s="13" t="s">
        <v>650</v>
      </c>
      <c r="D110" s="36" t="str">
        <f t="shared" si="12"/>
        <v>R110S</v>
      </c>
      <c r="E110" s="36" t="str">
        <f t="shared" si="13"/>
        <v>R9.5S</v>
      </c>
      <c r="F110" s="36" t="b">
        <f t="shared" si="15"/>
        <v>0</v>
      </c>
      <c r="G110" s="1">
        <f>VLOOKUP(C110,SIMBAD!C:I,7,0)</f>
        <v>10.4</v>
      </c>
      <c r="H110" s="1"/>
      <c r="I110" s="41">
        <v>9.5</v>
      </c>
      <c r="J110" s="1" t="b">
        <f t="shared" si="14"/>
        <v>0</v>
      </c>
      <c r="K110" s="1" t="s">
        <v>651</v>
      </c>
      <c r="L110" s="1" t="s">
        <v>652</v>
      </c>
      <c r="M110" s="6">
        <v>9.5</v>
      </c>
      <c r="N110" s="14">
        <v>9.5</v>
      </c>
      <c r="O110" s="35">
        <v>9.5</v>
      </c>
      <c r="P110" s="35">
        <v>1</v>
      </c>
      <c r="Q110" s="6">
        <v>9.5</v>
      </c>
      <c r="R110" s="7" t="s">
        <v>45</v>
      </c>
      <c r="S110" s="14">
        <v>3.8</v>
      </c>
      <c r="T110" s="14">
        <v>3.8</v>
      </c>
      <c r="U110" s="8">
        <v>92194</v>
      </c>
      <c r="V110" s="1" t="s">
        <v>655</v>
      </c>
      <c r="W110" s="10" t="s">
        <v>1432</v>
      </c>
    </row>
    <row r="111" spans="1:23" x14ac:dyDescent="0.2">
      <c r="A111" s="1">
        <v>111</v>
      </c>
      <c r="B111" s="5" t="s">
        <v>656</v>
      </c>
      <c r="C111" s="5" t="s">
        <v>656</v>
      </c>
      <c r="D111" s="36" t="str">
        <f t="shared" si="12"/>
        <v>R111A</v>
      </c>
      <c r="E111" s="36" t="str">
        <f t="shared" si="13"/>
        <v>R6.3A</v>
      </c>
      <c r="F111" s="36" t="b">
        <f t="shared" si="15"/>
        <v>0</v>
      </c>
      <c r="G111" s="1">
        <f>VLOOKUP(C111,SIMBAD!C:I,7,0)</f>
        <v>6.8</v>
      </c>
      <c r="H111" s="1"/>
      <c r="I111" s="41">
        <v>6.3</v>
      </c>
      <c r="J111" s="1" t="b">
        <f t="shared" si="14"/>
        <v>1</v>
      </c>
      <c r="K111" s="1" t="s">
        <v>657</v>
      </c>
      <c r="L111" s="1" t="s">
        <v>658</v>
      </c>
      <c r="M111" s="6" t="s">
        <v>659</v>
      </c>
      <c r="N111" s="14">
        <v>6.3</v>
      </c>
      <c r="O111" s="35">
        <v>6.3</v>
      </c>
      <c r="P111" s="35">
        <v>16</v>
      </c>
      <c r="Q111" s="6">
        <v>9</v>
      </c>
      <c r="R111" s="7">
        <v>3.32</v>
      </c>
      <c r="S111" s="6">
        <v>3.1</v>
      </c>
      <c r="T111" s="6">
        <v>3.1</v>
      </c>
      <c r="U111" s="8">
        <v>92442</v>
      </c>
      <c r="V111" s="1" t="s">
        <v>39</v>
      </c>
      <c r="W111" s="10" t="s">
        <v>1433</v>
      </c>
    </row>
    <row r="112" spans="1:23" x14ac:dyDescent="0.2">
      <c r="A112" s="1">
        <v>112</v>
      </c>
      <c r="B112" s="20" t="s">
        <v>661</v>
      </c>
      <c r="C112" s="20" t="s">
        <v>661</v>
      </c>
      <c r="D112" s="36" t="str">
        <f t="shared" si="12"/>
        <v>R112A</v>
      </c>
      <c r="E112" s="36" t="str">
        <f t="shared" si="13"/>
        <v>R8A</v>
      </c>
      <c r="F112" s="36" t="b">
        <f t="shared" si="15"/>
        <v>0</v>
      </c>
      <c r="G112" s="1">
        <f>VLOOKUP(C112,SIMBAD!C:I,7,0)</f>
        <v>11.1</v>
      </c>
      <c r="H112" s="1"/>
      <c r="I112" s="41">
        <v>8</v>
      </c>
      <c r="J112" s="1" t="b">
        <f t="shared" si="14"/>
        <v>0</v>
      </c>
      <c r="K112" s="1" t="s">
        <v>662</v>
      </c>
      <c r="L112" s="1" t="s">
        <v>663</v>
      </c>
      <c r="M112" s="6" t="s">
        <v>664</v>
      </c>
      <c r="N112" s="14">
        <v>8</v>
      </c>
      <c r="O112" s="35">
        <v>8</v>
      </c>
      <c r="P112" s="35">
        <v>24</v>
      </c>
      <c r="Q112" s="6">
        <v>9.6</v>
      </c>
      <c r="R112" s="15">
        <v>4.3899999999999997</v>
      </c>
      <c r="S112" s="6">
        <v>3.6</v>
      </c>
      <c r="T112" s="6">
        <v>3.6</v>
      </c>
      <c r="U112" s="8">
        <v>93158</v>
      </c>
      <c r="V112" s="1" t="s">
        <v>666</v>
      </c>
      <c r="W112" s="10" t="s">
        <v>1433</v>
      </c>
    </row>
    <row r="113" spans="1:23" x14ac:dyDescent="0.2">
      <c r="A113" s="1">
        <v>113</v>
      </c>
      <c r="B113" s="20" t="s">
        <v>667</v>
      </c>
      <c r="C113" s="20" t="s">
        <v>667</v>
      </c>
      <c r="D113" s="36" t="str">
        <f t="shared" si="12"/>
        <v>R113S</v>
      </c>
      <c r="E113" s="36" t="str">
        <f t="shared" si="13"/>
        <v>R6.6S</v>
      </c>
      <c r="F113" s="36" t="b">
        <f t="shared" si="15"/>
        <v>0</v>
      </c>
      <c r="G113" s="1">
        <f>VLOOKUP(C113,SIMBAD!C:I,7,0)</f>
        <v>6.9</v>
      </c>
      <c r="H113" s="1"/>
      <c r="I113" s="41">
        <v>6.6</v>
      </c>
      <c r="J113" s="1" t="b">
        <f t="shared" si="14"/>
        <v>1</v>
      </c>
      <c r="K113" s="1" t="s">
        <v>668</v>
      </c>
      <c r="L113" s="1" t="s">
        <v>669</v>
      </c>
      <c r="M113" s="6" t="s">
        <v>670</v>
      </c>
      <c r="N113" s="14">
        <v>6.6</v>
      </c>
      <c r="O113" s="35">
        <v>6.6</v>
      </c>
      <c r="P113" s="35">
        <v>7</v>
      </c>
      <c r="Q113" s="6">
        <v>8.4</v>
      </c>
      <c r="R113" s="15">
        <v>4</v>
      </c>
      <c r="S113" s="14">
        <v>4.2</v>
      </c>
      <c r="T113" s="14">
        <v>4.2</v>
      </c>
      <c r="U113" s="8">
        <v>93666</v>
      </c>
      <c r="V113" s="1" t="s">
        <v>80</v>
      </c>
      <c r="W113" s="10" t="s">
        <v>1432</v>
      </c>
    </row>
    <row r="114" spans="1:23" x14ac:dyDescent="0.2">
      <c r="A114" s="1">
        <v>114</v>
      </c>
      <c r="B114" s="5" t="s">
        <v>672</v>
      </c>
      <c r="C114" s="5" t="s">
        <v>672</v>
      </c>
      <c r="D114" s="36" t="str">
        <f t="shared" si="12"/>
        <v>R114C</v>
      </c>
      <c r="E114" s="36" t="str">
        <f t="shared" si="13"/>
        <v>R6.7C</v>
      </c>
      <c r="F114" s="36" t="b">
        <f t="shared" si="15"/>
        <v>0</v>
      </c>
      <c r="G114" s="1">
        <f>VLOOKUP(C114,SIMBAD!C:I,7,0)</f>
        <v>6.86</v>
      </c>
      <c r="H114" s="1"/>
      <c r="I114" s="41">
        <v>6.7</v>
      </c>
      <c r="J114" s="1" t="b">
        <f t="shared" si="14"/>
        <v>1</v>
      </c>
      <c r="K114" s="1" t="s">
        <v>673</v>
      </c>
      <c r="L114" s="1" t="s">
        <v>674</v>
      </c>
      <c r="M114" s="6" t="s">
        <v>675</v>
      </c>
      <c r="N114" s="14">
        <v>6.7</v>
      </c>
      <c r="O114" s="35">
        <v>6.7</v>
      </c>
      <c r="P114" s="35">
        <v>10</v>
      </c>
      <c r="Q114" s="6">
        <v>7</v>
      </c>
      <c r="R114" s="7">
        <v>2.73</v>
      </c>
      <c r="S114" s="6">
        <v>2.5</v>
      </c>
      <c r="T114" s="6">
        <v>2.5</v>
      </c>
      <c r="U114" s="8">
        <v>94940</v>
      </c>
      <c r="V114" s="1" t="s">
        <v>39</v>
      </c>
      <c r="W114" s="10" t="s">
        <v>1435</v>
      </c>
    </row>
    <row r="115" spans="1:23" x14ac:dyDescent="0.2">
      <c r="A115" s="1">
        <v>115</v>
      </c>
      <c r="B115" s="5" t="s">
        <v>677</v>
      </c>
      <c r="C115" s="5" t="s">
        <v>677</v>
      </c>
      <c r="D115" s="36" t="str">
        <f t="shared" si="12"/>
        <v>R115</v>
      </c>
      <c r="E115" s="36" t="str">
        <f t="shared" si="13"/>
        <v>R8.3</v>
      </c>
      <c r="F115" s="36" t="b">
        <f t="shared" si="15"/>
        <v>0</v>
      </c>
      <c r="G115" s="1">
        <f>VLOOKUP(C115,SIMBAD!C:I,7,0)</f>
        <v>8.3000000000000007</v>
      </c>
      <c r="H115" s="1"/>
      <c r="I115" s="41">
        <v>8.3000000000000007</v>
      </c>
      <c r="J115" s="1" t="b">
        <f t="shared" si="14"/>
        <v>1</v>
      </c>
      <c r="K115" s="1" t="s">
        <v>678</v>
      </c>
      <c r="L115" s="1" t="s">
        <v>679</v>
      </c>
      <c r="M115" s="6" t="s">
        <v>680</v>
      </c>
      <c r="N115" s="14">
        <v>8.3000000000000007</v>
      </c>
      <c r="O115" s="35">
        <v>8.3000000000000007</v>
      </c>
      <c r="P115" s="35">
        <v>39</v>
      </c>
      <c r="Q115" s="6">
        <v>13.5</v>
      </c>
      <c r="R115" s="7" t="s">
        <v>45</v>
      </c>
      <c r="S115" s="6" t="s">
        <v>45</v>
      </c>
      <c r="T115" s="7" t="s">
        <v>45</v>
      </c>
      <c r="U115" s="8">
        <v>95024</v>
      </c>
      <c r="V115" s="1" t="s">
        <v>682</v>
      </c>
    </row>
    <row r="116" spans="1:23" x14ac:dyDescent="0.2">
      <c r="A116" s="1">
        <v>116</v>
      </c>
      <c r="B116" s="5" t="s">
        <v>683</v>
      </c>
      <c r="C116" s="5" t="s">
        <v>683</v>
      </c>
      <c r="D116" s="36" t="str">
        <f t="shared" si="12"/>
        <v>R116B</v>
      </c>
      <c r="E116" s="36" t="str">
        <f t="shared" si="13"/>
        <v>R5.9B</v>
      </c>
      <c r="F116" s="36" t="b">
        <f t="shared" si="15"/>
        <v>0</v>
      </c>
      <c r="G116" s="1">
        <f>VLOOKUP(C116,SIMBAD!C:I,7,0)</f>
        <v>5.94</v>
      </c>
      <c r="H116" s="38">
        <f>G116-N116</f>
        <v>4.0000000000000036E-2</v>
      </c>
      <c r="I116" s="42">
        <v>5.91</v>
      </c>
      <c r="J116" s="1" t="b">
        <f t="shared" si="14"/>
        <v>1</v>
      </c>
      <c r="K116" s="1" t="s">
        <v>684</v>
      </c>
      <c r="L116" s="1" t="s">
        <v>685</v>
      </c>
      <c r="M116" s="6" t="s">
        <v>686</v>
      </c>
      <c r="N116" s="14">
        <v>5.9</v>
      </c>
      <c r="O116" s="35">
        <v>5.9</v>
      </c>
      <c r="P116" s="35">
        <v>9</v>
      </c>
      <c r="Q116" s="6">
        <v>7.1</v>
      </c>
      <c r="R116" s="7">
        <v>2.91</v>
      </c>
      <c r="S116" s="6">
        <v>2.9</v>
      </c>
      <c r="T116" s="6">
        <v>2.9</v>
      </c>
      <c r="U116" s="8">
        <v>95154</v>
      </c>
      <c r="V116" s="1" t="s">
        <v>258</v>
      </c>
      <c r="W116" s="10" t="s">
        <v>1434</v>
      </c>
    </row>
    <row r="117" spans="1:23" x14ac:dyDescent="0.2">
      <c r="A117" s="1">
        <v>117</v>
      </c>
      <c r="B117" s="5" t="s">
        <v>688</v>
      </c>
      <c r="C117" s="5" t="s">
        <v>1303</v>
      </c>
      <c r="D117" s="36" t="str">
        <f t="shared" si="12"/>
        <v>R117D</v>
      </c>
      <c r="E117" s="37" t="str">
        <f t="shared" si="13"/>
        <v>R7D</v>
      </c>
      <c r="F117" s="36" t="b">
        <f t="shared" si="15"/>
        <v>0</v>
      </c>
      <c r="G117" s="1">
        <f>VLOOKUP(C117,SIMBAD!C:I,7,0)</f>
        <v>7.05</v>
      </c>
      <c r="H117" s="38">
        <f>G117-N117</f>
        <v>4.9999999999999822E-2</v>
      </c>
      <c r="I117" s="42" t="s">
        <v>1449</v>
      </c>
      <c r="J117" s="1" t="b">
        <f t="shared" si="14"/>
        <v>1</v>
      </c>
      <c r="K117" s="1" t="s">
        <v>689</v>
      </c>
      <c r="L117" s="1" t="s">
        <v>690</v>
      </c>
      <c r="M117" s="6" t="s">
        <v>691</v>
      </c>
      <c r="N117" s="14">
        <v>7</v>
      </c>
      <c r="O117" s="35">
        <v>7</v>
      </c>
      <c r="P117" s="35">
        <v>30</v>
      </c>
      <c r="Q117" s="6">
        <v>7.1</v>
      </c>
      <c r="R117" s="7" t="s">
        <v>45</v>
      </c>
      <c r="S117" s="6">
        <v>1.1000000000000001</v>
      </c>
      <c r="T117" s="6">
        <v>1.1000000000000001</v>
      </c>
      <c r="U117" s="8">
        <v>95289</v>
      </c>
      <c r="V117" s="1" t="s">
        <v>693</v>
      </c>
      <c r="W117" s="10" t="s">
        <v>1436</v>
      </c>
    </row>
    <row r="118" spans="1:23" x14ac:dyDescent="0.2">
      <c r="A118" s="1">
        <v>118</v>
      </c>
      <c r="B118" s="20" t="s">
        <v>694</v>
      </c>
      <c r="C118" s="20" t="s">
        <v>694</v>
      </c>
      <c r="D118" s="36" t="str">
        <f t="shared" si="12"/>
        <v>R118S</v>
      </c>
      <c r="E118" s="36" t="str">
        <f t="shared" si="13"/>
        <v>R7.1S</v>
      </c>
      <c r="F118" s="36" t="b">
        <f t="shared" si="15"/>
        <v>0</v>
      </c>
      <c r="G118" s="1">
        <f>VLOOKUP(C118,SIMBAD!C:I,7,0)</f>
        <v>11</v>
      </c>
      <c r="H118" s="1"/>
      <c r="I118" s="41">
        <v>7.1</v>
      </c>
      <c r="J118" s="1" t="b">
        <f t="shared" si="14"/>
        <v>0</v>
      </c>
      <c r="K118" s="1" t="s">
        <v>695</v>
      </c>
      <c r="L118" s="1" t="s">
        <v>696</v>
      </c>
      <c r="M118" s="6" t="s">
        <v>697</v>
      </c>
      <c r="N118" s="14">
        <v>7.1</v>
      </c>
      <c r="O118" s="35">
        <v>7.1</v>
      </c>
      <c r="P118" s="35">
        <v>32</v>
      </c>
      <c r="Q118" s="6">
        <v>8.5</v>
      </c>
      <c r="R118" s="15">
        <v>3.87</v>
      </c>
      <c r="S118" s="6" t="s">
        <v>45</v>
      </c>
      <c r="T118" s="15">
        <v>3.87</v>
      </c>
      <c r="U118" s="8" t="s">
        <v>699</v>
      </c>
      <c r="V118" s="1" t="s">
        <v>139</v>
      </c>
      <c r="W118" s="10" t="s">
        <v>1432</v>
      </c>
    </row>
    <row r="119" spans="1:23" x14ac:dyDescent="0.2">
      <c r="A119" s="1">
        <v>119</v>
      </c>
      <c r="B119" s="5" t="s">
        <v>700</v>
      </c>
      <c r="C119" s="5" t="s">
        <v>700</v>
      </c>
      <c r="D119" s="36" t="str">
        <f t="shared" si="12"/>
        <v>R119A</v>
      </c>
      <c r="E119" s="36" t="str">
        <f t="shared" si="13"/>
        <v>R6.6A</v>
      </c>
      <c r="F119" s="36" t="b">
        <f t="shared" si="15"/>
        <v>0</v>
      </c>
      <c r="G119" s="1">
        <f>VLOOKUP(C119,SIMBAD!C:I,7,0)</f>
        <v>6.7</v>
      </c>
      <c r="H119" s="1"/>
      <c r="I119" s="41">
        <v>6.6</v>
      </c>
      <c r="J119" s="1" t="b">
        <f t="shared" si="14"/>
        <v>1</v>
      </c>
      <c r="K119" s="1" t="s">
        <v>701</v>
      </c>
      <c r="L119" s="1" t="s">
        <v>702</v>
      </c>
      <c r="M119" s="6" t="s">
        <v>703</v>
      </c>
      <c r="N119" s="14">
        <v>6.6</v>
      </c>
      <c r="O119" s="35">
        <v>6.6</v>
      </c>
      <c r="P119" s="35">
        <v>8</v>
      </c>
      <c r="Q119" s="6">
        <v>8.5</v>
      </c>
      <c r="R119" s="7">
        <v>3.26</v>
      </c>
      <c r="S119" s="6">
        <v>3.4</v>
      </c>
      <c r="T119" s="6">
        <v>3.4</v>
      </c>
      <c r="U119" s="8">
        <v>96255</v>
      </c>
      <c r="V119" s="1" t="s">
        <v>203</v>
      </c>
      <c r="W119" s="10" t="s">
        <v>1433</v>
      </c>
    </row>
    <row r="120" spans="1:23" x14ac:dyDescent="0.2">
      <c r="A120" s="1">
        <v>120</v>
      </c>
      <c r="B120" s="5" t="s">
        <v>705</v>
      </c>
      <c r="C120" s="5" t="s">
        <v>705</v>
      </c>
      <c r="D120" s="36" t="str">
        <f t="shared" si="12"/>
        <v>R120A</v>
      </c>
      <c r="E120" s="37" t="str">
        <f t="shared" si="13"/>
        <v>R7A</v>
      </c>
      <c r="F120" s="36" t="b">
        <f t="shared" si="15"/>
        <v>0</v>
      </c>
      <c r="G120" s="1">
        <f>VLOOKUP(C120,SIMBAD!C:I,7,0)</f>
        <v>10.199999999999999</v>
      </c>
      <c r="H120" s="38">
        <f>G120-N120</f>
        <v>3.1999999999999993</v>
      </c>
      <c r="I120" s="42" t="s">
        <v>1450</v>
      </c>
      <c r="J120" s="1" t="b">
        <f t="shared" si="14"/>
        <v>0</v>
      </c>
      <c r="K120" s="1" t="s">
        <v>706</v>
      </c>
      <c r="L120" s="1" t="s">
        <v>707</v>
      </c>
      <c r="M120" s="6" t="s">
        <v>708</v>
      </c>
      <c r="N120" s="14">
        <v>7</v>
      </c>
      <c r="O120" s="35">
        <v>7</v>
      </c>
      <c r="P120" s="35">
        <v>22</v>
      </c>
      <c r="Q120" s="6">
        <v>9.1</v>
      </c>
      <c r="R120" s="7">
        <v>3.15</v>
      </c>
      <c r="S120" s="6" t="s">
        <v>45</v>
      </c>
      <c r="T120" s="7">
        <v>3.15</v>
      </c>
      <c r="U120" s="8">
        <v>96836</v>
      </c>
      <c r="V120" s="1" t="s">
        <v>710</v>
      </c>
      <c r="W120" s="10" t="s">
        <v>1433</v>
      </c>
    </row>
    <row r="121" spans="1:23" x14ac:dyDescent="0.2">
      <c r="A121" s="1">
        <v>121</v>
      </c>
      <c r="B121" s="20" t="s">
        <v>711</v>
      </c>
      <c r="C121" s="20" t="s">
        <v>711</v>
      </c>
      <c r="D121" s="36" t="str">
        <f t="shared" si="12"/>
        <v>R121A</v>
      </c>
      <c r="E121" s="36" t="str">
        <f t="shared" si="13"/>
        <v>R7.9A</v>
      </c>
      <c r="F121" s="36" t="b">
        <f t="shared" si="15"/>
        <v>0</v>
      </c>
      <c r="G121" s="1">
        <f>VLOOKUP(C121,SIMBAD!C:I,7,0)</f>
        <v>7.85</v>
      </c>
      <c r="H121" s="1"/>
      <c r="I121" s="41">
        <v>7.9</v>
      </c>
      <c r="J121" s="1" t="b">
        <f t="shared" si="14"/>
        <v>1</v>
      </c>
      <c r="K121" s="1" t="s">
        <v>712</v>
      </c>
      <c r="L121" s="1" t="s">
        <v>713</v>
      </c>
      <c r="M121" s="6" t="s">
        <v>714</v>
      </c>
      <c r="N121" s="14">
        <v>7.9</v>
      </c>
      <c r="O121" s="35">
        <v>7.9</v>
      </c>
      <c r="P121" s="35">
        <v>21</v>
      </c>
      <c r="Q121" s="6">
        <v>8.8000000000000007</v>
      </c>
      <c r="R121" s="15">
        <v>4.4000000000000004</v>
      </c>
      <c r="S121" s="6">
        <v>3.4</v>
      </c>
      <c r="T121" s="6">
        <v>3.4</v>
      </c>
      <c r="U121" s="8">
        <v>98190</v>
      </c>
      <c r="V121" s="1" t="s">
        <v>139</v>
      </c>
      <c r="W121" s="10" t="s">
        <v>1433</v>
      </c>
    </row>
    <row r="122" spans="1:23" x14ac:dyDescent="0.2">
      <c r="A122" s="1">
        <v>122</v>
      </c>
      <c r="B122" s="5" t="s">
        <v>717</v>
      </c>
      <c r="C122" s="5" t="s">
        <v>717</v>
      </c>
      <c r="D122" s="36" t="str">
        <f t="shared" si="12"/>
        <v>R122C</v>
      </c>
      <c r="E122" s="36" t="str">
        <f t="shared" si="13"/>
        <v>R8.4C</v>
      </c>
      <c r="F122" s="36" t="b">
        <f t="shared" si="15"/>
        <v>0</v>
      </c>
      <c r="G122" s="1">
        <f>VLOOKUP(C122,SIMBAD!C:I,7,0)</f>
        <v>8.3699999999999992</v>
      </c>
      <c r="H122" s="1"/>
      <c r="I122" s="41">
        <v>8.4</v>
      </c>
      <c r="J122" s="1" t="b">
        <f t="shared" si="14"/>
        <v>1</v>
      </c>
      <c r="K122" s="1" t="s">
        <v>718</v>
      </c>
      <c r="L122" s="1" t="s">
        <v>719</v>
      </c>
      <c r="M122" s="6" t="s">
        <v>720</v>
      </c>
      <c r="N122" s="14">
        <v>8.4</v>
      </c>
      <c r="O122" s="35">
        <v>8.4</v>
      </c>
      <c r="P122" s="35">
        <v>50</v>
      </c>
      <c r="Q122" s="6">
        <v>8.6999999999999993</v>
      </c>
      <c r="R122" s="7">
        <v>2.04</v>
      </c>
      <c r="S122" s="6">
        <v>2.1</v>
      </c>
      <c r="T122" s="6">
        <v>2.1</v>
      </c>
      <c r="U122" s="8">
        <v>98538</v>
      </c>
      <c r="V122" s="1" t="s">
        <v>426</v>
      </c>
      <c r="W122" s="10" t="s">
        <v>1435</v>
      </c>
    </row>
    <row r="123" spans="1:23" x14ac:dyDescent="0.2">
      <c r="A123" s="1">
        <v>123</v>
      </c>
      <c r="B123" s="5" t="s">
        <v>722</v>
      </c>
      <c r="C123" s="5" t="s">
        <v>722</v>
      </c>
      <c r="D123" s="36" t="str">
        <f t="shared" si="12"/>
        <v>R123</v>
      </c>
      <c r="E123" s="36" t="str">
        <f t="shared" si="13"/>
        <v>R8.5</v>
      </c>
      <c r="F123" s="36" t="b">
        <f t="shared" si="15"/>
        <v>0</v>
      </c>
      <c r="G123" s="1">
        <f>VLOOKUP(C123,SIMBAD!C:I,7,0)</f>
        <v>9.15</v>
      </c>
      <c r="H123" s="1"/>
      <c r="I123" s="41">
        <v>8.5</v>
      </c>
      <c r="J123" s="1" t="b">
        <f t="shared" si="14"/>
        <v>1</v>
      </c>
      <c r="K123" s="1" t="s">
        <v>723</v>
      </c>
      <c r="L123" s="1" t="s">
        <v>724</v>
      </c>
      <c r="M123" s="6" t="s">
        <v>725</v>
      </c>
      <c r="N123" s="14">
        <v>8.5</v>
      </c>
      <c r="O123" s="35">
        <v>8.5</v>
      </c>
      <c r="P123" s="35">
        <v>1</v>
      </c>
      <c r="Q123" s="6">
        <v>10</v>
      </c>
      <c r="R123" s="7" t="s">
        <v>45</v>
      </c>
      <c r="S123" s="6" t="s">
        <v>45</v>
      </c>
      <c r="T123" s="7" t="s">
        <v>45</v>
      </c>
      <c r="U123" s="8">
        <v>98662</v>
      </c>
      <c r="V123" s="1" t="s">
        <v>727</v>
      </c>
    </row>
    <row r="124" spans="1:23" x14ac:dyDescent="0.2">
      <c r="A124" s="1">
        <v>124</v>
      </c>
      <c r="B124" s="5" t="s">
        <v>728</v>
      </c>
      <c r="C124" s="5" t="s">
        <v>728</v>
      </c>
      <c r="D124" s="36" t="str">
        <f t="shared" si="12"/>
        <v>R124A</v>
      </c>
      <c r="E124" s="37" t="str">
        <f t="shared" si="13"/>
        <v>R7A</v>
      </c>
      <c r="F124" s="36" t="b">
        <f t="shared" si="15"/>
        <v>0</v>
      </c>
      <c r="G124" s="1">
        <f>VLOOKUP(C124,SIMBAD!C:I,7,0)</f>
        <v>8.5299999999999994</v>
      </c>
      <c r="H124" s="1"/>
      <c r="I124" s="42" t="s">
        <v>1453</v>
      </c>
      <c r="J124" s="1" t="b">
        <f t="shared" si="14"/>
        <v>1</v>
      </c>
      <c r="K124" s="1" t="s">
        <v>729</v>
      </c>
      <c r="L124" s="1" t="s">
        <v>730</v>
      </c>
      <c r="M124" s="6" t="s">
        <v>731</v>
      </c>
      <c r="N124" s="14">
        <v>7</v>
      </c>
      <c r="O124" s="35">
        <v>7</v>
      </c>
      <c r="P124" s="35">
        <v>21</v>
      </c>
      <c r="Q124" s="6">
        <v>9.6999999999999993</v>
      </c>
      <c r="R124" s="7" t="s">
        <v>45</v>
      </c>
      <c r="S124" s="6">
        <v>3.3</v>
      </c>
      <c r="T124" s="6">
        <v>3.3</v>
      </c>
      <c r="U124" s="8">
        <v>98909</v>
      </c>
      <c r="V124" s="1" t="s">
        <v>733</v>
      </c>
      <c r="W124" s="10" t="s">
        <v>1433</v>
      </c>
    </row>
    <row r="125" spans="1:23" x14ac:dyDescent="0.2">
      <c r="A125" s="1">
        <v>125</v>
      </c>
      <c r="B125" s="5" t="s">
        <v>734</v>
      </c>
      <c r="C125" s="5" t="s">
        <v>734</v>
      </c>
      <c r="D125" s="36" t="str">
        <f t="shared" si="12"/>
        <v>R125A</v>
      </c>
      <c r="E125" s="36" t="str">
        <f t="shared" si="13"/>
        <v>R8.5A</v>
      </c>
      <c r="F125" s="36" t="b">
        <f t="shared" si="15"/>
        <v>0</v>
      </c>
      <c r="G125" s="1">
        <f>VLOOKUP(C125,SIMBAD!C:I,7,0)</f>
        <v>11.67</v>
      </c>
      <c r="H125" s="38">
        <f>G125-N125</f>
        <v>3.17</v>
      </c>
      <c r="I125" s="42">
        <v>8.5</v>
      </c>
      <c r="J125" s="1" t="b">
        <f t="shared" si="14"/>
        <v>0</v>
      </c>
      <c r="K125" s="1" t="s">
        <v>735</v>
      </c>
      <c r="L125" s="1" t="s">
        <v>736</v>
      </c>
      <c r="M125" s="6" t="s">
        <v>219</v>
      </c>
      <c r="N125" s="14">
        <v>8.5</v>
      </c>
      <c r="O125" s="35">
        <v>8.5</v>
      </c>
      <c r="P125" s="35">
        <v>5</v>
      </c>
      <c r="Q125" s="6">
        <v>8.6999999999999993</v>
      </c>
      <c r="R125" s="7">
        <v>3.15</v>
      </c>
      <c r="S125" s="6">
        <v>3.3</v>
      </c>
      <c r="T125" s="6">
        <v>3.3</v>
      </c>
      <c r="U125" s="8">
        <v>99310</v>
      </c>
      <c r="V125" s="1" t="s">
        <v>203</v>
      </c>
      <c r="W125" s="10" t="s">
        <v>1433</v>
      </c>
    </row>
    <row r="126" spans="1:23" x14ac:dyDescent="0.2">
      <c r="A126" s="1">
        <v>126</v>
      </c>
      <c r="B126" s="5" t="s">
        <v>738</v>
      </c>
      <c r="C126" s="5" t="s">
        <v>738</v>
      </c>
      <c r="D126" s="36" t="str">
        <f t="shared" si="12"/>
        <v>R126B</v>
      </c>
      <c r="E126" s="36" t="str">
        <f t="shared" si="13"/>
        <v>R8.5B</v>
      </c>
      <c r="F126" s="36" t="b">
        <f t="shared" si="15"/>
        <v>0</v>
      </c>
      <c r="G126" s="1">
        <f>VLOOKUP(C126,SIMBAD!C:I,7,0)</f>
        <v>8.5</v>
      </c>
      <c r="H126" s="1"/>
      <c r="I126" s="41">
        <v>8.5</v>
      </c>
      <c r="J126" s="1" t="b">
        <f t="shared" si="14"/>
        <v>1</v>
      </c>
      <c r="K126" s="1" t="s">
        <v>739</v>
      </c>
      <c r="L126" s="1" t="s">
        <v>740</v>
      </c>
      <c r="M126" s="6" t="s">
        <v>741</v>
      </c>
      <c r="N126" s="14">
        <v>8.5</v>
      </c>
      <c r="O126" s="35">
        <v>8.5</v>
      </c>
      <c r="P126" s="35">
        <v>8</v>
      </c>
      <c r="Q126" s="6">
        <v>10.3</v>
      </c>
      <c r="R126" s="7">
        <v>2.82</v>
      </c>
      <c r="S126" s="6" t="s">
        <v>45</v>
      </c>
      <c r="T126" s="7">
        <v>2.82</v>
      </c>
      <c r="U126" s="8" t="s">
        <v>45</v>
      </c>
      <c r="V126" s="1" t="s">
        <v>112</v>
      </c>
      <c r="W126" s="10" t="s">
        <v>1434</v>
      </c>
    </row>
    <row r="127" spans="1:23" x14ac:dyDescent="0.2">
      <c r="A127" s="1">
        <v>127</v>
      </c>
      <c r="B127" s="5" t="s">
        <v>743</v>
      </c>
      <c r="C127" s="5" t="s">
        <v>743</v>
      </c>
      <c r="D127" s="36" t="str">
        <f t="shared" si="12"/>
        <v>R127A</v>
      </c>
      <c r="E127" s="36" t="str">
        <f t="shared" si="13"/>
        <v>R6.5A</v>
      </c>
      <c r="F127" s="36" t="b">
        <f t="shared" si="15"/>
        <v>0</v>
      </c>
      <c r="G127" s="1">
        <f>VLOOKUP(C127,SIMBAD!C:I,7,0)</f>
        <v>6.5</v>
      </c>
      <c r="H127" s="38">
        <f>G127-N127</f>
        <v>0</v>
      </c>
      <c r="I127" s="42">
        <v>6.51</v>
      </c>
      <c r="J127" s="1" t="b">
        <f t="shared" si="14"/>
        <v>1</v>
      </c>
      <c r="K127" s="1" t="s">
        <v>744</v>
      </c>
      <c r="L127" s="1" t="s">
        <v>745</v>
      </c>
      <c r="M127" s="6" t="s">
        <v>746</v>
      </c>
      <c r="N127" s="14">
        <v>6.5</v>
      </c>
      <c r="O127" s="35">
        <v>6.5</v>
      </c>
      <c r="P127" s="35">
        <v>5</v>
      </c>
      <c r="Q127" s="6">
        <v>9.5</v>
      </c>
      <c r="R127" s="7">
        <v>2.8</v>
      </c>
      <c r="S127" s="6">
        <v>3</v>
      </c>
      <c r="T127" s="6">
        <v>3</v>
      </c>
      <c r="U127" s="8">
        <v>99653</v>
      </c>
      <c r="V127" s="1" t="s">
        <v>748</v>
      </c>
      <c r="W127" s="10" t="s">
        <v>1433</v>
      </c>
    </row>
    <row r="128" spans="1:23" x14ac:dyDescent="0.2">
      <c r="A128" s="1">
        <v>128</v>
      </c>
      <c r="B128" s="20" t="s">
        <v>749</v>
      </c>
      <c r="C128" s="20" t="s">
        <v>749</v>
      </c>
      <c r="D128" s="36" t="str">
        <f t="shared" si="12"/>
        <v>R128S</v>
      </c>
      <c r="E128" s="36" t="str">
        <f t="shared" si="13"/>
        <v>R7S</v>
      </c>
      <c r="F128" s="36" t="b">
        <f t="shared" si="15"/>
        <v>0</v>
      </c>
      <c r="G128" s="1">
        <f>VLOOKUP(C128,SIMBAD!C:I,7,0)</f>
        <v>8.9</v>
      </c>
      <c r="H128" s="38">
        <f>G128-N128</f>
        <v>1.9000000000000004</v>
      </c>
      <c r="I128" s="42" t="s">
        <v>1451</v>
      </c>
      <c r="J128" s="1" t="b">
        <f t="shared" si="14"/>
        <v>0</v>
      </c>
      <c r="K128" s="1" t="s">
        <v>750</v>
      </c>
      <c r="L128" s="1" t="s">
        <v>751</v>
      </c>
      <c r="M128" s="6" t="s">
        <v>752</v>
      </c>
      <c r="N128" s="14">
        <v>7</v>
      </c>
      <c r="O128" s="35">
        <v>7</v>
      </c>
      <c r="P128" s="35">
        <v>20</v>
      </c>
      <c r="Q128" s="6">
        <v>8.1</v>
      </c>
      <c r="R128" s="15">
        <v>4.42</v>
      </c>
      <c r="S128" s="14">
        <v>4</v>
      </c>
      <c r="T128" s="14">
        <v>4</v>
      </c>
      <c r="U128" s="8">
        <v>99990</v>
      </c>
      <c r="V128" s="1" t="s">
        <v>39</v>
      </c>
      <c r="W128" s="10" t="s">
        <v>1432</v>
      </c>
    </row>
    <row r="129" spans="1:23" x14ac:dyDescent="0.2">
      <c r="A129" s="1">
        <v>129</v>
      </c>
      <c r="B129" s="1" t="s">
        <v>754</v>
      </c>
      <c r="C129" s="1" t="s">
        <v>754</v>
      </c>
      <c r="D129" s="36" t="str">
        <f t="shared" ref="D129:D150" si="16">"R"&amp;A129&amp;W129</f>
        <v>R129C</v>
      </c>
      <c r="E129" s="36" t="str">
        <f t="shared" ref="E129:E150" si="17">"R"&amp;N129&amp;W129</f>
        <v>R8.8C</v>
      </c>
      <c r="F129" s="36" t="b">
        <f t="shared" si="15"/>
        <v>0</v>
      </c>
      <c r="G129" s="1">
        <f>VLOOKUP(C129,SIMBAD!C:I,7,0)</f>
        <v>8.8000000000000007</v>
      </c>
      <c r="H129" s="1"/>
      <c r="I129" s="41">
        <v>8.8000000000000007</v>
      </c>
      <c r="J129" s="1" t="b">
        <f t="shared" ref="J129:J150" si="18">G129&lt;Q129</f>
        <v>1</v>
      </c>
      <c r="K129" s="1" t="s">
        <v>755</v>
      </c>
      <c r="L129" s="1" t="s">
        <v>756</v>
      </c>
      <c r="M129" s="6" t="s">
        <v>757</v>
      </c>
      <c r="N129" s="14">
        <v>8.8000000000000007</v>
      </c>
      <c r="O129" s="35">
        <v>8.8000000000000007</v>
      </c>
      <c r="P129" s="35">
        <v>17</v>
      </c>
      <c r="Q129" s="6">
        <v>13.2</v>
      </c>
      <c r="R129" s="7">
        <v>2.59</v>
      </c>
      <c r="S129" s="6" t="s">
        <v>45</v>
      </c>
      <c r="T129" s="7">
        <v>2.59</v>
      </c>
      <c r="U129" s="8">
        <v>100113</v>
      </c>
      <c r="V129" s="1" t="s">
        <v>759</v>
      </c>
      <c r="W129" s="10" t="s">
        <v>1435</v>
      </c>
    </row>
    <row r="130" spans="1:23" x14ac:dyDescent="0.2">
      <c r="A130" s="1">
        <v>130</v>
      </c>
      <c r="B130" s="5" t="s">
        <v>760</v>
      </c>
      <c r="C130" s="5" t="s">
        <v>760</v>
      </c>
      <c r="D130" s="36" t="str">
        <f t="shared" si="16"/>
        <v>R130A</v>
      </c>
      <c r="E130" s="36" t="str">
        <f t="shared" si="17"/>
        <v>R5.9A</v>
      </c>
      <c r="F130" s="36" t="b">
        <f t="shared" ref="F130:F161" si="19">OR((E130=E131),(E130=E129))</f>
        <v>0</v>
      </c>
      <c r="G130" s="1">
        <f>VLOOKUP(C130,SIMBAD!C:I,7,0)</f>
        <v>5.9</v>
      </c>
      <c r="H130" s="1"/>
      <c r="I130" s="41">
        <v>5.9</v>
      </c>
      <c r="J130" s="1" t="b">
        <f t="shared" si="18"/>
        <v>1</v>
      </c>
      <c r="K130" s="1" t="s">
        <v>761</v>
      </c>
      <c r="L130" s="1" t="s">
        <v>762</v>
      </c>
      <c r="M130" s="6" t="s">
        <v>763</v>
      </c>
      <c r="N130" s="14">
        <v>5.9</v>
      </c>
      <c r="O130" s="35">
        <v>5.9</v>
      </c>
      <c r="P130" s="35">
        <v>7</v>
      </c>
      <c r="Q130" s="6">
        <v>12.1</v>
      </c>
      <c r="R130" s="7">
        <v>2.81</v>
      </c>
      <c r="S130" s="6">
        <v>3.3</v>
      </c>
      <c r="T130" s="6">
        <v>3.3</v>
      </c>
      <c r="U130" s="8">
        <v>100219</v>
      </c>
      <c r="V130" s="1" t="s">
        <v>748</v>
      </c>
      <c r="W130" s="10" t="s">
        <v>1433</v>
      </c>
    </row>
    <row r="131" spans="1:23" x14ac:dyDescent="0.2">
      <c r="A131" s="1">
        <v>131</v>
      </c>
      <c r="B131" s="1" t="s">
        <v>765</v>
      </c>
      <c r="C131" s="1" t="s">
        <v>765</v>
      </c>
      <c r="D131" s="36" t="str">
        <f t="shared" si="16"/>
        <v>R131</v>
      </c>
      <c r="E131" s="36" t="str">
        <f t="shared" si="17"/>
        <v>R11</v>
      </c>
      <c r="F131" s="36" t="b">
        <f t="shared" si="19"/>
        <v>0</v>
      </c>
      <c r="G131" s="1">
        <f>VLOOKUP(C131,SIMBAD!C:I,7,0)</f>
        <v>9.86</v>
      </c>
      <c r="H131" s="1"/>
      <c r="I131" s="41">
        <v>11</v>
      </c>
      <c r="J131" s="1" t="b">
        <f t="shared" si="18"/>
        <v>1</v>
      </c>
      <c r="K131" s="1" t="s">
        <v>766</v>
      </c>
      <c r="L131" s="1" t="s">
        <v>767</v>
      </c>
      <c r="M131" s="6">
        <v>11</v>
      </c>
      <c r="N131" s="14">
        <v>11</v>
      </c>
      <c r="O131" s="35">
        <v>11</v>
      </c>
      <c r="P131" s="35">
        <v>2</v>
      </c>
      <c r="Q131" s="6">
        <v>11</v>
      </c>
      <c r="R131" s="7" t="s">
        <v>45</v>
      </c>
      <c r="S131" s="6" t="s">
        <v>45</v>
      </c>
      <c r="T131" s="7" t="s">
        <v>45</v>
      </c>
      <c r="U131" s="8" t="s">
        <v>45</v>
      </c>
      <c r="V131" s="1" t="s">
        <v>66</v>
      </c>
    </row>
    <row r="132" spans="1:23" x14ac:dyDescent="0.2">
      <c r="A132" s="1">
        <v>132</v>
      </c>
      <c r="B132" s="1" t="s">
        <v>769</v>
      </c>
      <c r="C132" s="1" t="s">
        <v>769</v>
      </c>
      <c r="D132" s="36" t="str">
        <f t="shared" si="16"/>
        <v>R132A</v>
      </c>
      <c r="E132" s="36" t="str">
        <f t="shared" si="17"/>
        <v>R9.3A</v>
      </c>
      <c r="F132" s="36" t="b">
        <f t="shared" si="19"/>
        <v>0</v>
      </c>
      <c r="G132" s="1">
        <f>VLOOKUP(C132,SIMBAD!C:I,7,0)</f>
        <v>10.68</v>
      </c>
      <c r="H132" s="1"/>
      <c r="I132" s="41">
        <v>9.3000000000000007</v>
      </c>
      <c r="J132" s="1" t="b">
        <f t="shared" si="18"/>
        <v>1</v>
      </c>
      <c r="K132" s="1" t="s">
        <v>770</v>
      </c>
      <c r="L132" s="1" t="s">
        <v>771</v>
      </c>
      <c r="M132" s="6" t="s">
        <v>772</v>
      </c>
      <c r="N132" s="14">
        <v>9.3000000000000007</v>
      </c>
      <c r="O132" s="35">
        <v>9.3000000000000007</v>
      </c>
      <c r="P132" s="35">
        <v>24</v>
      </c>
      <c r="Q132" s="6">
        <v>12.7</v>
      </c>
      <c r="R132" s="7">
        <v>3.74</v>
      </c>
      <c r="S132" s="6" t="s">
        <v>45</v>
      </c>
      <c r="T132" s="7">
        <v>3.74</v>
      </c>
      <c r="U132" s="8" t="s">
        <v>45</v>
      </c>
      <c r="V132" s="1" t="s">
        <v>265</v>
      </c>
      <c r="W132" s="10" t="s">
        <v>1433</v>
      </c>
    </row>
    <row r="133" spans="1:23" x14ac:dyDescent="0.2">
      <c r="A133" s="1">
        <v>133</v>
      </c>
      <c r="B133" s="20" t="s">
        <v>773</v>
      </c>
      <c r="C133" s="20" t="s">
        <v>773</v>
      </c>
      <c r="D133" s="36" t="str">
        <f t="shared" si="16"/>
        <v>R133S</v>
      </c>
      <c r="E133" s="36" t="str">
        <f t="shared" si="17"/>
        <v>R7.7S</v>
      </c>
      <c r="F133" s="36" t="b">
        <f t="shared" si="19"/>
        <v>0</v>
      </c>
      <c r="G133" s="1">
        <f>VLOOKUP(C133,SIMBAD!C:I,7,0)</f>
        <v>7.7</v>
      </c>
      <c r="H133" s="1"/>
      <c r="I133" s="41">
        <v>7.7</v>
      </c>
      <c r="J133" s="1" t="b">
        <f t="shared" si="18"/>
        <v>1</v>
      </c>
      <c r="K133" s="1" t="s">
        <v>774</v>
      </c>
      <c r="L133" s="1" t="s">
        <v>775</v>
      </c>
      <c r="M133" s="6" t="s">
        <v>776</v>
      </c>
      <c r="N133" s="14">
        <v>7.7</v>
      </c>
      <c r="O133" s="35">
        <v>7.7</v>
      </c>
      <c r="P133" s="35">
        <v>10</v>
      </c>
      <c r="Q133" s="6">
        <v>13.9</v>
      </c>
      <c r="R133" s="15">
        <v>4.04</v>
      </c>
      <c r="S133" s="6" t="s">
        <v>45</v>
      </c>
      <c r="T133" s="15">
        <v>4.04</v>
      </c>
      <c r="U133" s="8">
        <v>102082</v>
      </c>
      <c r="V133" s="1" t="s">
        <v>495</v>
      </c>
      <c r="W133" s="10" t="s">
        <v>1432</v>
      </c>
    </row>
    <row r="134" spans="1:23" x14ac:dyDescent="0.2">
      <c r="A134" s="1">
        <v>134</v>
      </c>
      <c r="B134" s="5" t="s">
        <v>778</v>
      </c>
      <c r="C134" s="5" t="s">
        <v>778</v>
      </c>
      <c r="D134" s="36" t="str">
        <f t="shared" si="16"/>
        <v>R134</v>
      </c>
      <c r="E134" s="36" t="str">
        <f t="shared" si="17"/>
        <v>R7.9</v>
      </c>
      <c r="F134" s="36" t="b">
        <f t="shared" si="19"/>
        <v>0</v>
      </c>
      <c r="G134" s="1">
        <f>VLOOKUP(C134,SIMBAD!C:I,7,0)</f>
        <v>11</v>
      </c>
      <c r="H134" s="1"/>
      <c r="I134" s="41">
        <v>7.9</v>
      </c>
      <c r="J134" s="1" t="b">
        <f t="shared" si="18"/>
        <v>0</v>
      </c>
      <c r="K134" s="1" t="s">
        <v>779</v>
      </c>
      <c r="L134" s="1" t="s">
        <v>780</v>
      </c>
      <c r="M134" s="6" t="s">
        <v>781</v>
      </c>
      <c r="N134" s="14">
        <v>7.9</v>
      </c>
      <c r="O134" s="35">
        <v>7.9</v>
      </c>
      <c r="P134" s="35">
        <v>19</v>
      </c>
      <c r="Q134" s="6">
        <v>8.4</v>
      </c>
      <c r="R134" s="7" t="s">
        <v>45</v>
      </c>
      <c r="S134" s="6" t="s">
        <v>45</v>
      </c>
      <c r="T134" s="7" t="s">
        <v>45</v>
      </c>
      <c r="U134" s="8" t="s">
        <v>45</v>
      </c>
      <c r="V134" s="1" t="s">
        <v>783</v>
      </c>
    </row>
    <row r="135" spans="1:23" x14ac:dyDescent="0.2">
      <c r="A135" s="1">
        <v>135</v>
      </c>
      <c r="B135" s="5" t="s">
        <v>784</v>
      </c>
      <c r="C135" s="5" t="s">
        <v>1367</v>
      </c>
      <c r="D135" s="36" t="str">
        <f t="shared" si="16"/>
        <v>R135D</v>
      </c>
      <c r="E135" s="36" t="str">
        <f t="shared" si="17"/>
        <v>R7.9D</v>
      </c>
      <c r="F135" s="36" t="b">
        <f t="shared" si="19"/>
        <v>0</v>
      </c>
      <c r="G135" s="1">
        <f>VLOOKUP(C135,SIMBAD!C:I,7,0)</f>
        <v>8.1199999999999992</v>
      </c>
      <c r="H135" s="1"/>
      <c r="I135" s="41">
        <v>7.9</v>
      </c>
      <c r="J135" s="1" t="b">
        <f t="shared" si="18"/>
        <v>0</v>
      </c>
      <c r="K135" s="1" t="s">
        <v>785</v>
      </c>
      <c r="L135" s="1" t="s">
        <v>786</v>
      </c>
      <c r="M135" s="6" t="s">
        <v>787</v>
      </c>
      <c r="N135" s="14">
        <v>7.9</v>
      </c>
      <c r="O135" s="35">
        <v>7.9</v>
      </c>
      <c r="P135" s="35">
        <v>22</v>
      </c>
      <c r="Q135" s="6">
        <v>8.1</v>
      </c>
      <c r="R135" s="7" t="s">
        <v>45</v>
      </c>
      <c r="S135" s="6">
        <v>1.3</v>
      </c>
      <c r="T135" s="6">
        <v>1.3</v>
      </c>
      <c r="U135" s="8">
        <v>102706</v>
      </c>
      <c r="V135" s="1" t="s">
        <v>789</v>
      </c>
      <c r="W135" s="10" t="s">
        <v>1436</v>
      </c>
    </row>
    <row r="136" spans="1:23" x14ac:dyDescent="0.2">
      <c r="A136" s="1">
        <v>136</v>
      </c>
      <c r="B136" s="5" t="s">
        <v>791</v>
      </c>
      <c r="C136" s="5" t="s">
        <v>1372</v>
      </c>
      <c r="D136" s="36" t="str">
        <f t="shared" si="16"/>
        <v>R136D</v>
      </c>
      <c r="E136" s="36" t="str">
        <f t="shared" si="17"/>
        <v>R8.1D</v>
      </c>
      <c r="F136" s="36" t="b">
        <f t="shared" si="19"/>
        <v>0</v>
      </c>
      <c r="G136" s="1">
        <f>VLOOKUP(C136,SIMBAD!C:I,7,0)</f>
        <v>8.16</v>
      </c>
      <c r="H136" s="38">
        <f>G136-N136</f>
        <v>6.0000000000000497E-2</v>
      </c>
      <c r="I136" s="42">
        <v>8.1</v>
      </c>
      <c r="J136" s="1" t="b">
        <f t="shared" si="18"/>
        <v>1</v>
      </c>
      <c r="K136" s="1" t="s">
        <v>792</v>
      </c>
      <c r="L136" s="1" t="s">
        <v>793</v>
      </c>
      <c r="M136" s="6" t="s">
        <v>794</v>
      </c>
      <c r="N136" s="14">
        <v>8.1</v>
      </c>
      <c r="O136" s="35">
        <v>8.1</v>
      </c>
      <c r="P136" s="35">
        <v>33</v>
      </c>
      <c r="Q136" s="6">
        <v>8.1999999999999993</v>
      </c>
      <c r="R136" s="7" t="s">
        <v>45</v>
      </c>
      <c r="S136" s="6">
        <v>1.1000000000000001</v>
      </c>
      <c r="T136" s="6">
        <v>1.1000000000000001</v>
      </c>
      <c r="U136" s="8">
        <v>104486</v>
      </c>
      <c r="V136" s="1" t="s">
        <v>796</v>
      </c>
      <c r="W136" s="10" t="s">
        <v>1436</v>
      </c>
    </row>
    <row r="137" spans="1:23" x14ac:dyDescent="0.2">
      <c r="A137" s="1">
        <v>137</v>
      </c>
      <c r="B137" s="20" t="s">
        <v>797</v>
      </c>
      <c r="C137" s="20" t="s">
        <v>797</v>
      </c>
      <c r="D137" s="36" t="str">
        <f t="shared" si="16"/>
        <v>R137S</v>
      </c>
      <c r="E137" s="36" t="str">
        <f t="shared" si="17"/>
        <v>R7.4S</v>
      </c>
      <c r="F137" s="36" t="b">
        <f t="shared" si="19"/>
        <v>0</v>
      </c>
      <c r="G137" s="1">
        <f>VLOOKUP(C137,SIMBAD!C:I,7,0)</f>
        <v>7.4</v>
      </c>
      <c r="H137" s="1"/>
      <c r="I137" s="41">
        <v>7.4</v>
      </c>
      <c r="J137" s="1" t="b">
        <f t="shared" si="18"/>
        <v>1</v>
      </c>
      <c r="K137" s="1" t="s">
        <v>798</v>
      </c>
      <c r="L137" s="1" t="s">
        <v>799</v>
      </c>
      <c r="M137" s="6" t="s">
        <v>800</v>
      </c>
      <c r="N137" s="14">
        <v>7.4</v>
      </c>
      <c r="O137" s="35">
        <v>7.4</v>
      </c>
      <c r="P137" s="35">
        <v>40</v>
      </c>
      <c r="Q137" s="6">
        <v>12.9</v>
      </c>
      <c r="R137" s="15">
        <v>4.45</v>
      </c>
      <c r="S137" s="6" t="s">
        <v>45</v>
      </c>
      <c r="T137" s="15">
        <v>4.45</v>
      </c>
      <c r="U137" s="8">
        <v>106583</v>
      </c>
      <c r="V137" s="1" t="s">
        <v>802</v>
      </c>
      <c r="W137" s="10" t="s">
        <v>1432</v>
      </c>
    </row>
    <row r="138" spans="1:23" x14ac:dyDescent="0.2">
      <c r="A138" s="1">
        <v>138</v>
      </c>
      <c r="B138" s="5" t="s">
        <v>803</v>
      </c>
      <c r="C138" s="5" t="s">
        <v>803</v>
      </c>
      <c r="D138" s="36" t="str">
        <f t="shared" si="16"/>
        <v>R138C</v>
      </c>
      <c r="E138" s="36" t="str">
        <f t="shared" si="17"/>
        <v>R5.6C</v>
      </c>
      <c r="F138" s="36" t="b">
        <f t="shared" si="19"/>
        <v>0</v>
      </c>
      <c r="G138" s="1">
        <f>VLOOKUP(C138,SIMBAD!C:I,7,0)</f>
        <v>5.84</v>
      </c>
      <c r="H138" s="1"/>
      <c r="I138" s="41">
        <v>5.6</v>
      </c>
      <c r="J138" s="1" t="b">
        <f t="shared" si="18"/>
        <v>1</v>
      </c>
      <c r="K138" s="1" t="s">
        <v>804</v>
      </c>
      <c r="L138" s="1" t="s">
        <v>805</v>
      </c>
      <c r="M138" s="6" t="s">
        <v>806</v>
      </c>
      <c r="N138" s="14">
        <v>5.6</v>
      </c>
      <c r="O138" s="35">
        <v>5.6</v>
      </c>
      <c r="P138" s="35">
        <v>3</v>
      </c>
      <c r="Q138" s="6">
        <v>7</v>
      </c>
      <c r="R138" s="7">
        <v>2.75</v>
      </c>
      <c r="S138" s="6">
        <v>2.5</v>
      </c>
      <c r="T138" s="6">
        <v>2.5</v>
      </c>
      <c r="U138" s="8">
        <v>107129</v>
      </c>
      <c r="V138" s="1" t="s">
        <v>39</v>
      </c>
      <c r="W138" s="10" t="s">
        <v>1435</v>
      </c>
    </row>
    <row r="139" spans="1:23" x14ac:dyDescent="0.2">
      <c r="A139" s="1">
        <v>139</v>
      </c>
      <c r="B139" s="20" t="s">
        <v>808</v>
      </c>
      <c r="C139" s="20" t="s">
        <v>808</v>
      </c>
      <c r="D139" s="36" t="str">
        <f t="shared" si="16"/>
        <v>R139SS</v>
      </c>
      <c r="E139" s="36" t="str">
        <f t="shared" si="17"/>
        <v>R7.1SS</v>
      </c>
      <c r="F139" s="36" t="b">
        <f t="shared" si="19"/>
        <v>0</v>
      </c>
      <c r="G139" s="1">
        <f>VLOOKUP(C139,SIMBAD!C:I,7,0)</f>
        <v>10.8</v>
      </c>
      <c r="H139" s="1"/>
      <c r="I139" s="41">
        <v>7.1</v>
      </c>
      <c r="J139" s="1" t="b">
        <f t="shared" si="18"/>
        <v>0</v>
      </c>
      <c r="K139" s="1" t="s">
        <v>809</v>
      </c>
      <c r="L139" s="1" t="s">
        <v>810</v>
      </c>
      <c r="M139" s="6" t="s">
        <v>811</v>
      </c>
      <c r="N139" s="14">
        <v>7.1</v>
      </c>
      <c r="O139" s="35">
        <v>7.1</v>
      </c>
      <c r="P139" s="35">
        <v>31</v>
      </c>
      <c r="Q139" s="6">
        <v>9.3000000000000007</v>
      </c>
      <c r="R139" s="15">
        <v>4.5199999999999996</v>
      </c>
      <c r="S139" s="6" t="s">
        <v>45</v>
      </c>
      <c r="T139" s="15">
        <v>4.5199999999999996</v>
      </c>
      <c r="U139" s="8">
        <v>107242</v>
      </c>
      <c r="V139" s="1" t="s">
        <v>415</v>
      </c>
      <c r="W139" s="10" t="s">
        <v>1431</v>
      </c>
    </row>
    <row r="140" spans="1:23" x14ac:dyDescent="0.2">
      <c r="A140" s="1">
        <v>140</v>
      </c>
      <c r="B140" s="13" t="s">
        <v>813</v>
      </c>
      <c r="C140" s="13" t="s">
        <v>813</v>
      </c>
      <c r="D140" s="36" t="str">
        <f t="shared" si="16"/>
        <v>R140S</v>
      </c>
      <c r="E140" s="36" t="str">
        <f t="shared" si="17"/>
        <v>R9.8S</v>
      </c>
      <c r="F140" s="36" t="b">
        <f t="shared" si="19"/>
        <v>0</v>
      </c>
      <c r="G140" s="1">
        <f>VLOOKUP(C140,SIMBAD!C:I,7,0)</f>
        <v>12.3</v>
      </c>
      <c r="H140" s="1"/>
      <c r="I140" s="41">
        <v>9.8000000000000007</v>
      </c>
      <c r="J140" s="1" t="b">
        <f t="shared" si="18"/>
        <v>0</v>
      </c>
      <c r="K140" s="1" t="s">
        <v>814</v>
      </c>
      <c r="L140" s="1" t="s">
        <v>815</v>
      </c>
      <c r="M140" s="6">
        <v>9.8000000000000007</v>
      </c>
      <c r="N140" s="14">
        <v>9.8000000000000007</v>
      </c>
      <c r="O140" s="35">
        <v>9.8000000000000007</v>
      </c>
      <c r="P140" s="35">
        <v>6</v>
      </c>
      <c r="Q140" s="6">
        <v>9.8000000000000007</v>
      </c>
      <c r="R140" s="7" t="s">
        <v>45</v>
      </c>
      <c r="S140" s="14">
        <v>4.2</v>
      </c>
      <c r="T140" s="14">
        <v>4.2</v>
      </c>
      <c r="U140" s="8">
        <v>108205</v>
      </c>
      <c r="V140" s="1" t="s">
        <v>817</v>
      </c>
      <c r="W140" s="10" t="s">
        <v>1432</v>
      </c>
    </row>
    <row r="141" spans="1:23" x14ac:dyDescent="0.2">
      <c r="A141" s="1">
        <v>141</v>
      </c>
      <c r="B141" s="5" t="s">
        <v>818</v>
      </c>
      <c r="C141" s="5" t="s">
        <v>818</v>
      </c>
      <c r="D141" s="36" t="str">
        <f t="shared" si="16"/>
        <v>R141A</v>
      </c>
      <c r="E141" s="36" t="str">
        <f t="shared" si="17"/>
        <v>R7.7A</v>
      </c>
      <c r="F141" s="36" t="b">
        <f t="shared" si="19"/>
        <v>0</v>
      </c>
      <c r="G141" s="1">
        <f>VLOOKUP(C141,SIMBAD!C:I,7,0)</f>
        <v>8.14</v>
      </c>
      <c r="H141" s="38">
        <f>G141-N141</f>
        <v>0.44000000000000039</v>
      </c>
      <c r="I141" s="42">
        <v>7.7</v>
      </c>
      <c r="J141" s="1" t="b">
        <f t="shared" si="18"/>
        <v>1</v>
      </c>
      <c r="K141" s="1" t="s">
        <v>819</v>
      </c>
      <c r="L141" s="1" t="s">
        <v>820</v>
      </c>
      <c r="M141" s="6" t="s">
        <v>821</v>
      </c>
      <c r="N141" s="14">
        <v>7.7</v>
      </c>
      <c r="O141" s="35">
        <v>7.7</v>
      </c>
      <c r="P141" s="35">
        <v>12</v>
      </c>
      <c r="Q141" s="6">
        <v>9.5</v>
      </c>
      <c r="R141" s="7">
        <v>3.18</v>
      </c>
      <c r="S141" s="6" t="s">
        <v>45</v>
      </c>
      <c r="T141" s="7">
        <v>3.18</v>
      </c>
      <c r="U141" s="8" t="s">
        <v>45</v>
      </c>
      <c r="V141" s="1" t="s">
        <v>823</v>
      </c>
      <c r="W141" s="10" t="s">
        <v>1433</v>
      </c>
    </row>
    <row r="142" spans="1:23" x14ac:dyDescent="0.2">
      <c r="A142" s="1">
        <v>142</v>
      </c>
      <c r="B142" s="5" t="s">
        <v>825</v>
      </c>
      <c r="C142" s="5" t="s">
        <v>825</v>
      </c>
      <c r="D142" s="36" t="str">
        <f t="shared" si="16"/>
        <v>R142S</v>
      </c>
      <c r="E142" s="36" t="str">
        <f t="shared" si="17"/>
        <v>R7.6S</v>
      </c>
      <c r="F142" s="36" t="b">
        <f t="shared" si="19"/>
        <v>0</v>
      </c>
      <c r="G142" s="1">
        <f>VLOOKUP(C142,SIMBAD!C:I,7,0)</f>
        <v>7.6</v>
      </c>
      <c r="H142" s="1"/>
      <c r="I142" s="41">
        <v>7.6</v>
      </c>
      <c r="J142" s="1" t="b">
        <f t="shared" si="18"/>
        <v>1</v>
      </c>
      <c r="K142" s="1" t="s">
        <v>826</v>
      </c>
      <c r="L142" s="1" t="s">
        <v>827</v>
      </c>
      <c r="M142" s="6" t="s">
        <v>828</v>
      </c>
      <c r="N142" s="14">
        <v>7.6</v>
      </c>
      <c r="O142" s="35">
        <v>7.6</v>
      </c>
      <c r="P142" s="35">
        <v>9</v>
      </c>
      <c r="Q142" s="6">
        <v>13.6</v>
      </c>
      <c r="R142" s="7">
        <v>2.65</v>
      </c>
      <c r="S142" s="14">
        <v>3.9</v>
      </c>
      <c r="T142" s="14">
        <v>3.9</v>
      </c>
      <c r="U142" s="8">
        <v>109089</v>
      </c>
      <c r="V142" s="1" t="s">
        <v>830</v>
      </c>
      <c r="W142" s="10" t="s">
        <v>1432</v>
      </c>
    </row>
    <row r="143" spans="1:23" x14ac:dyDescent="0.2">
      <c r="A143" s="1">
        <v>143</v>
      </c>
      <c r="B143" s="1" t="s">
        <v>831</v>
      </c>
      <c r="C143" s="1" t="s">
        <v>831</v>
      </c>
      <c r="D143" s="36" t="str">
        <f t="shared" si="16"/>
        <v>R143B</v>
      </c>
      <c r="E143" s="36" t="str">
        <f t="shared" si="17"/>
        <v>R8.3B</v>
      </c>
      <c r="F143" s="36" t="b">
        <f t="shared" si="19"/>
        <v>0</v>
      </c>
      <c r="G143" s="1">
        <f>VLOOKUP(C143,SIMBAD!C:I,7,0)</f>
        <v>11.54</v>
      </c>
      <c r="H143" s="38">
        <f>G143-N143</f>
        <v>3.2399999999999984</v>
      </c>
      <c r="I143" s="42">
        <v>8.3000000000000007</v>
      </c>
      <c r="J143" s="1" t="b">
        <f t="shared" si="18"/>
        <v>0</v>
      </c>
      <c r="K143" s="1" t="s">
        <v>832</v>
      </c>
      <c r="L143" s="1" t="s">
        <v>833</v>
      </c>
      <c r="M143" s="6">
        <v>8.3000000000000007</v>
      </c>
      <c r="N143" s="14">
        <v>8.3000000000000007</v>
      </c>
      <c r="O143" s="35">
        <v>8.3000000000000007</v>
      </c>
      <c r="P143" s="35">
        <v>43</v>
      </c>
      <c r="Q143" s="6">
        <v>8.3000000000000007</v>
      </c>
      <c r="R143" s="7">
        <v>3.17</v>
      </c>
      <c r="S143" s="6">
        <v>2.7</v>
      </c>
      <c r="T143" s="6">
        <v>2.7</v>
      </c>
      <c r="U143" s="8">
        <v>112254</v>
      </c>
      <c r="V143" s="1" t="s">
        <v>39</v>
      </c>
      <c r="W143" s="10" t="s">
        <v>1434</v>
      </c>
    </row>
    <row r="144" spans="1:23" x14ac:dyDescent="0.2">
      <c r="A144" s="1">
        <v>144</v>
      </c>
      <c r="B144" s="1" t="s">
        <v>835</v>
      </c>
      <c r="C144" s="1" t="s">
        <v>835</v>
      </c>
      <c r="D144" s="36" t="str">
        <f t="shared" si="16"/>
        <v>R144B</v>
      </c>
      <c r="E144" s="36" t="str">
        <f t="shared" si="17"/>
        <v>R9.4B</v>
      </c>
      <c r="F144" s="36" t="b">
        <f t="shared" si="19"/>
        <v>0</v>
      </c>
      <c r="G144" s="1">
        <f>VLOOKUP(C144,SIMBAD!C:I,7,0)</f>
        <v>9.33</v>
      </c>
      <c r="H144" s="1"/>
      <c r="I144" s="41">
        <v>9.4</v>
      </c>
      <c r="J144" s="1" t="b">
        <f t="shared" si="18"/>
        <v>1</v>
      </c>
      <c r="K144" s="1" t="s">
        <v>836</v>
      </c>
      <c r="L144" s="1" t="s">
        <v>837</v>
      </c>
      <c r="M144" s="6">
        <v>9.4</v>
      </c>
      <c r="N144" s="14">
        <v>9.4</v>
      </c>
      <c r="O144" s="35">
        <v>9.4</v>
      </c>
      <c r="P144" s="35">
        <v>26</v>
      </c>
      <c r="Q144" s="6">
        <v>9.4</v>
      </c>
      <c r="R144" s="7">
        <v>2.94</v>
      </c>
      <c r="S144" s="6" t="s">
        <v>45</v>
      </c>
      <c r="T144" s="7">
        <v>2.94</v>
      </c>
      <c r="U144" s="8">
        <v>113260</v>
      </c>
      <c r="V144" s="1" t="s">
        <v>139</v>
      </c>
      <c r="W144" s="10" t="s">
        <v>1434</v>
      </c>
    </row>
    <row r="145" spans="1:23" s="3" customFormat="1" x14ac:dyDescent="0.2">
      <c r="A145" s="1">
        <v>145</v>
      </c>
      <c r="B145" s="13" t="s">
        <v>839</v>
      </c>
      <c r="C145" s="13" t="s">
        <v>839</v>
      </c>
      <c r="D145" s="36" t="str">
        <f t="shared" si="16"/>
        <v>R145S</v>
      </c>
      <c r="E145" s="36" t="str">
        <f t="shared" si="17"/>
        <v>R9.6S</v>
      </c>
      <c r="F145" s="36" t="b">
        <f t="shared" si="19"/>
        <v>0</v>
      </c>
      <c r="G145" s="1">
        <f>VLOOKUP(C145,SIMBAD!C:I,7,0)</f>
        <v>9.6</v>
      </c>
      <c r="H145" s="1"/>
      <c r="I145" s="41">
        <v>9.6</v>
      </c>
      <c r="J145" s="1" t="b">
        <f t="shared" si="18"/>
        <v>1</v>
      </c>
      <c r="K145" s="1" t="s">
        <v>840</v>
      </c>
      <c r="L145" s="1" t="s">
        <v>841</v>
      </c>
      <c r="M145" s="6" t="s">
        <v>842</v>
      </c>
      <c r="N145" s="14">
        <v>9.6</v>
      </c>
      <c r="O145" s="35">
        <v>9.6</v>
      </c>
      <c r="P145" s="35">
        <v>4</v>
      </c>
      <c r="Q145" s="6">
        <v>11.8</v>
      </c>
      <c r="R145" s="15">
        <v>3.81</v>
      </c>
      <c r="S145" s="6" t="s">
        <v>45</v>
      </c>
      <c r="T145" s="15">
        <v>3.81</v>
      </c>
      <c r="U145" s="8" t="s">
        <v>843</v>
      </c>
      <c r="V145" s="1" t="s">
        <v>823</v>
      </c>
      <c r="W145" s="10" t="s">
        <v>1432</v>
      </c>
    </row>
    <row r="146" spans="1:23" s="3" customFormat="1" x14ac:dyDescent="0.2">
      <c r="A146" s="1">
        <v>146</v>
      </c>
      <c r="B146" s="5" t="s">
        <v>844</v>
      </c>
      <c r="C146" s="5" t="s">
        <v>844</v>
      </c>
      <c r="D146" s="36" t="str">
        <f t="shared" si="16"/>
        <v>R146D</v>
      </c>
      <c r="E146" s="36" t="str">
        <f t="shared" si="17"/>
        <v>R8.5D</v>
      </c>
      <c r="F146" s="36" t="b">
        <f t="shared" si="19"/>
        <v>0</v>
      </c>
      <c r="G146" s="1">
        <f>VLOOKUP(C146,SIMBAD!C:I,7,0)</f>
        <v>9.2799999999999994</v>
      </c>
      <c r="H146" s="38">
        <f>G146-N146</f>
        <v>0.77999999999999936</v>
      </c>
      <c r="I146" s="42">
        <v>8.5</v>
      </c>
      <c r="J146" s="1" t="b">
        <f t="shared" si="18"/>
        <v>1</v>
      </c>
      <c r="K146" s="1" t="s">
        <v>845</v>
      </c>
      <c r="L146" s="1" t="s">
        <v>846</v>
      </c>
      <c r="M146" s="6" t="s">
        <v>847</v>
      </c>
      <c r="N146" s="14">
        <v>8.5</v>
      </c>
      <c r="O146" s="35">
        <v>8.5</v>
      </c>
      <c r="P146" s="35">
        <v>10</v>
      </c>
      <c r="Q146" s="6">
        <v>10.1</v>
      </c>
      <c r="R146" s="7" t="s">
        <v>45</v>
      </c>
      <c r="S146" s="6">
        <v>1.6</v>
      </c>
      <c r="T146" s="6">
        <v>1.6</v>
      </c>
      <c r="U146" s="8">
        <v>115553</v>
      </c>
      <c r="V146" s="1" t="s">
        <v>849</v>
      </c>
      <c r="W146" s="10" t="s">
        <v>1436</v>
      </c>
    </row>
    <row r="147" spans="1:23" s="3" customFormat="1" x14ac:dyDescent="0.2">
      <c r="A147" s="1">
        <v>147</v>
      </c>
      <c r="B147" s="1" t="s">
        <v>851</v>
      </c>
      <c r="C147" s="1" t="s">
        <v>851</v>
      </c>
      <c r="D147" s="36" t="str">
        <f t="shared" si="16"/>
        <v>R147A</v>
      </c>
      <c r="E147" s="36" t="str">
        <f t="shared" si="17"/>
        <v>R9A</v>
      </c>
      <c r="F147" s="36" t="b">
        <f t="shared" si="19"/>
        <v>0</v>
      </c>
      <c r="G147" s="1">
        <f>VLOOKUP(C147,SIMBAD!C:I,7,0)</f>
        <v>10.8</v>
      </c>
      <c r="H147" s="1"/>
      <c r="I147" s="41">
        <v>9</v>
      </c>
      <c r="J147" s="1" t="b">
        <f t="shared" si="18"/>
        <v>0</v>
      </c>
      <c r="K147" s="1" t="s">
        <v>852</v>
      </c>
      <c r="L147" s="1" t="s">
        <v>853</v>
      </c>
      <c r="M147" s="6">
        <v>9</v>
      </c>
      <c r="N147" s="14">
        <v>9</v>
      </c>
      <c r="O147" s="35">
        <v>9</v>
      </c>
      <c r="P147" s="35">
        <v>20</v>
      </c>
      <c r="Q147" s="6">
        <v>9</v>
      </c>
      <c r="R147" s="7">
        <v>3.33</v>
      </c>
      <c r="S147" s="6" t="s">
        <v>45</v>
      </c>
      <c r="T147" s="7">
        <v>3.33</v>
      </c>
      <c r="U147" s="8">
        <v>115743</v>
      </c>
      <c r="V147" s="1" t="s">
        <v>258</v>
      </c>
      <c r="W147" s="10" t="s">
        <v>1433</v>
      </c>
    </row>
    <row r="148" spans="1:23" s="3" customFormat="1" x14ac:dyDescent="0.2">
      <c r="A148" s="1">
        <v>148</v>
      </c>
      <c r="B148" s="5" t="s">
        <v>855</v>
      </c>
      <c r="C148" s="5" t="s">
        <v>855</v>
      </c>
      <c r="D148" s="36" t="str">
        <f t="shared" si="16"/>
        <v>R148A</v>
      </c>
      <c r="E148" s="36" t="str">
        <f t="shared" si="17"/>
        <v>R7.7A</v>
      </c>
      <c r="F148" s="36" t="b">
        <f t="shared" si="19"/>
        <v>0</v>
      </c>
      <c r="G148" s="1">
        <f>VLOOKUP(C148,SIMBAD!C:I,7,0)</f>
        <v>7.7</v>
      </c>
      <c r="H148" s="1"/>
      <c r="I148" s="42">
        <v>7.7</v>
      </c>
      <c r="J148" s="1" t="b">
        <f t="shared" si="18"/>
        <v>1</v>
      </c>
      <c r="K148" s="1" t="s">
        <v>856</v>
      </c>
      <c r="L148" s="1" t="s">
        <v>857</v>
      </c>
      <c r="M148" s="6" t="s">
        <v>858</v>
      </c>
      <c r="N148" s="14">
        <v>7.7</v>
      </c>
      <c r="O148" s="35">
        <v>7.7</v>
      </c>
      <c r="P148" s="35">
        <v>11</v>
      </c>
      <c r="Q148" s="6">
        <v>11.8</v>
      </c>
      <c r="R148" s="7">
        <v>3.53</v>
      </c>
      <c r="S148" s="6" t="s">
        <v>45</v>
      </c>
      <c r="T148" s="7">
        <v>3.53</v>
      </c>
      <c r="U148" s="8">
        <v>116681</v>
      </c>
      <c r="V148" s="1" t="s">
        <v>860</v>
      </c>
      <c r="W148" s="10" t="s">
        <v>1433</v>
      </c>
    </row>
    <row r="149" spans="1:23" s="3" customFormat="1" x14ac:dyDescent="0.2">
      <c r="A149" s="1">
        <v>149</v>
      </c>
      <c r="B149" s="5" t="s">
        <v>861</v>
      </c>
      <c r="C149" s="5" t="s">
        <v>861</v>
      </c>
      <c r="D149" s="36" t="str">
        <f t="shared" si="16"/>
        <v>R149C</v>
      </c>
      <c r="E149" s="36" t="str">
        <f t="shared" si="17"/>
        <v>R4.8C</v>
      </c>
      <c r="F149" s="36" t="b">
        <f t="shared" si="19"/>
        <v>0</v>
      </c>
      <c r="G149" s="1">
        <f>VLOOKUP(C149,SIMBAD!C:I,7,0)</f>
        <v>5.0199999999999996</v>
      </c>
      <c r="H149" s="38">
        <f>G149-N149</f>
        <v>0.21999999999999975</v>
      </c>
      <c r="I149" s="42">
        <v>4.82</v>
      </c>
      <c r="J149" s="1" t="b">
        <f t="shared" si="18"/>
        <v>1</v>
      </c>
      <c r="K149" s="1" t="s">
        <v>862</v>
      </c>
      <c r="L149" s="1" t="s">
        <v>863</v>
      </c>
      <c r="M149" s="6" t="s">
        <v>864</v>
      </c>
      <c r="N149" s="14">
        <v>4.8</v>
      </c>
      <c r="O149" s="35">
        <v>4.8</v>
      </c>
      <c r="P149" s="35">
        <v>3</v>
      </c>
      <c r="Q149" s="6">
        <v>5.2</v>
      </c>
      <c r="R149" s="7">
        <v>2.78</v>
      </c>
      <c r="S149" s="6">
        <v>2.5</v>
      </c>
      <c r="T149" s="6">
        <v>2.5</v>
      </c>
      <c r="U149" s="8">
        <v>117245</v>
      </c>
      <c r="V149" s="1" t="s">
        <v>100</v>
      </c>
      <c r="W149" s="10" t="s">
        <v>1435</v>
      </c>
    </row>
    <row r="150" spans="1:23" s="3" customFormat="1" x14ac:dyDescent="0.2">
      <c r="A150" s="1">
        <v>150</v>
      </c>
      <c r="B150" s="5" t="s">
        <v>867</v>
      </c>
      <c r="C150" s="5" t="s">
        <v>1425</v>
      </c>
      <c r="D150" s="36" t="str">
        <f t="shared" si="16"/>
        <v>R150D</v>
      </c>
      <c r="E150" s="36" t="str">
        <f t="shared" si="17"/>
        <v>R8.5D</v>
      </c>
      <c r="F150" s="36" t="b">
        <f t="shared" si="19"/>
        <v>0</v>
      </c>
      <c r="G150" s="1">
        <f>VLOOKUP(C150,SIMBAD!C:I,7,0)</f>
        <v>8.5</v>
      </c>
      <c r="H150" s="38">
        <f>G150-N150</f>
        <v>0</v>
      </c>
      <c r="I150" s="42">
        <v>8.5</v>
      </c>
      <c r="J150" s="1" t="b">
        <f t="shared" si="18"/>
        <v>1</v>
      </c>
      <c r="K150" s="1" t="s">
        <v>868</v>
      </c>
      <c r="L150" s="1" t="s">
        <v>869</v>
      </c>
      <c r="M150" s="6" t="s">
        <v>870</v>
      </c>
      <c r="N150" s="14">
        <v>8.5</v>
      </c>
      <c r="O150" s="35">
        <v>8.5</v>
      </c>
      <c r="P150" s="35">
        <v>11</v>
      </c>
      <c r="Q150" s="6">
        <v>8.8000000000000007</v>
      </c>
      <c r="R150" s="7" t="s">
        <v>45</v>
      </c>
      <c r="S150" s="6">
        <v>1.4</v>
      </c>
      <c r="T150" s="6">
        <v>1.4</v>
      </c>
      <c r="U150" s="8">
        <v>117467</v>
      </c>
      <c r="V150" s="1" t="s">
        <v>872</v>
      </c>
      <c r="W150" s="10" t="s">
        <v>1436</v>
      </c>
    </row>
    <row r="151" spans="1:23" s="3" customFormat="1" x14ac:dyDescent="0.2">
      <c r="A151" s="13" t="s">
        <v>1437</v>
      </c>
      <c r="B151" s="13" t="s">
        <v>8</v>
      </c>
      <c r="C151" s="13" t="s">
        <v>1429</v>
      </c>
      <c r="D151" s="40" t="s">
        <v>1460</v>
      </c>
      <c r="E151" s="13" t="s">
        <v>1444</v>
      </c>
      <c r="F151" s="13" t="s">
        <v>1446</v>
      </c>
      <c r="G151" s="13" t="s">
        <v>1438</v>
      </c>
      <c r="H151" s="13" t="s">
        <v>1447</v>
      </c>
      <c r="I151" s="20" t="s">
        <v>1448</v>
      </c>
      <c r="J151" s="13" t="s">
        <v>1442</v>
      </c>
      <c r="K151" s="13" t="s">
        <v>9</v>
      </c>
      <c r="L151" s="13" t="s">
        <v>10</v>
      </c>
      <c r="M151" s="14" t="s">
        <v>11</v>
      </c>
      <c r="N151" s="14" t="s">
        <v>1441</v>
      </c>
      <c r="O151" s="14" t="s">
        <v>1443</v>
      </c>
      <c r="P151" s="14"/>
      <c r="Q151" s="14" t="s">
        <v>1440</v>
      </c>
      <c r="R151" s="15" t="s">
        <v>12</v>
      </c>
      <c r="S151" s="14" t="s">
        <v>13</v>
      </c>
      <c r="T151" s="14" t="s">
        <v>1430</v>
      </c>
      <c r="U151" s="16" t="s">
        <v>17</v>
      </c>
      <c r="V151" s="13" t="s">
        <v>18</v>
      </c>
      <c r="W151" s="19"/>
    </row>
  </sheetData>
  <sheetProtection selectLockedCells="1" selectUnlockedCells="1"/>
  <sortState ref="A1:W151">
    <sortCondition ref="A1"/>
  </sortState>
  <phoneticPr fontId="5" type="noConversion"/>
  <printOptions gridLines="1"/>
  <pageMargins left="0.19652777777777777" right="0.19652777777777777" top="0.46180555555555558" bottom="0.43402777777777779" header="0.19652777777777777" footer="0.19652777777777777"/>
  <pageSetup fitToHeight="5" orientation="portrait" useFirstPageNumber="1" horizontalDpi="300" verticalDpi="300" r:id="rId1"/>
  <headerFooter alignWithMargins="0">
    <oddHeader>&amp;C&amp;"Arial,Bold"&amp;12Carbon Star Hunter List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selection activeCell="D151" sqref="C2:D151"/>
    </sheetView>
  </sheetViews>
  <sheetFormatPr defaultRowHeight="13.5" x14ac:dyDescent="0.2"/>
  <cols>
    <col min="1" max="1" width="14.140625" customWidth="1"/>
    <col min="3" max="3" width="15.140625" customWidth="1"/>
    <col min="4" max="4" width="9.140625" style="49"/>
    <col min="5" max="5" width="11.7109375" style="1" customWidth="1"/>
    <col min="6" max="7" width="14.85546875" style="1" customWidth="1"/>
    <col min="8" max="8" width="11.7109375" style="1" customWidth="1"/>
    <col min="9" max="10" width="17.140625" style="1" customWidth="1"/>
  </cols>
  <sheetData>
    <row r="1" spans="1:11" x14ac:dyDescent="0.2">
      <c r="A1" t="s">
        <v>1612</v>
      </c>
      <c r="B1" t="s">
        <v>1611</v>
      </c>
      <c r="E1" s="1" t="s">
        <v>1613</v>
      </c>
      <c r="F1" s="1" t="s">
        <v>881</v>
      </c>
      <c r="H1" s="1" t="s">
        <v>1614</v>
      </c>
      <c r="I1" s="1" t="s">
        <v>882</v>
      </c>
      <c r="K1" t="s">
        <v>1615</v>
      </c>
    </row>
    <row r="2" spans="1:11" x14ac:dyDescent="0.2">
      <c r="A2" s="5" t="s">
        <v>23</v>
      </c>
      <c r="B2" t="s">
        <v>1461</v>
      </c>
      <c r="C2" t="s">
        <v>1616</v>
      </c>
      <c r="D2" s="49" t="s">
        <v>1760</v>
      </c>
      <c r="E2" s="1" t="s">
        <v>24</v>
      </c>
      <c r="F2" s="1">
        <f>(0+1/60+15/3600)/24*2*PI()</f>
        <v>5.4541539124822796E-3</v>
      </c>
      <c r="G2" s="1">
        <f>(0+1/60+15.8567004789/3600)/24*2*PI()</f>
        <v>5.5164549293998518E-3</v>
      </c>
      <c r="H2" s="1" t="s">
        <v>25</v>
      </c>
      <c r="I2" s="1">
        <f>+(60+21/60+19/3600)/360*2*PI()</f>
        <v>1.0533983181779887</v>
      </c>
      <c r="J2" s="1">
        <f>+(60+21/60+19.023491384/3600)/360*2*PI()</f>
        <v>1.0533984320674323</v>
      </c>
      <c r="K2" s="14">
        <v>6.9</v>
      </c>
    </row>
    <row r="3" spans="1:11" x14ac:dyDescent="0.2">
      <c r="A3" s="5" t="s">
        <v>33</v>
      </c>
      <c r="B3" t="s">
        <v>1462</v>
      </c>
      <c r="C3" t="s">
        <v>1617</v>
      </c>
      <c r="D3" s="49" t="s">
        <v>1761</v>
      </c>
      <c r="E3" s="1" t="s">
        <v>34</v>
      </c>
      <c r="F3" s="1">
        <f>(0+4/60+36/3600)/24*2*PI()</f>
        <v>2.0071286397934786E-2</v>
      </c>
      <c r="G3" s="1">
        <f>(0+4/60+36.4076067148/3600)/24*2*PI()</f>
        <v>2.0100928394711861E-2</v>
      </c>
      <c r="H3" s="1" t="s">
        <v>35</v>
      </c>
      <c r="I3" s="1">
        <f>+(43+33/60+4/3600)/360*2*PI()</f>
        <v>0.76011028179077478</v>
      </c>
      <c r="J3" s="1">
        <f>+(43+33/60+4.72636766/3600)/360*2*PI()</f>
        <v>0.76011380332056566</v>
      </c>
      <c r="K3" s="14">
        <v>8</v>
      </c>
    </row>
    <row r="4" spans="1:11" x14ac:dyDescent="0.2">
      <c r="A4" s="5" t="s">
        <v>41</v>
      </c>
      <c r="B4" t="s">
        <v>1463</v>
      </c>
      <c r="C4" t="s">
        <v>1618</v>
      </c>
      <c r="D4" s="49" t="s">
        <v>1762</v>
      </c>
      <c r="E4" s="1" t="s">
        <v>42</v>
      </c>
      <c r="F4" s="1">
        <f>(0+5/60+22/3600)/24*2*PI()</f>
        <v>2.3416500797590584E-2</v>
      </c>
      <c r="G4" s="1">
        <f>(0+5/60+22.2077761394/3600)/24*2*PI()</f>
        <v>2.3431610704838974E-2</v>
      </c>
      <c r="H4" s="1" t="s">
        <v>43</v>
      </c>
      <c r="I4" s="1">
        <f>+(8+47/60+16/3600)/360*2*PI()</f>
        <v>0.15337565615581281</v>
      </c>
      <c r="J4" s="1">
        <f>+(8+47/60+16.09699067/3600)/360*2*PI()</f>
        <v>0.15337612637985037</v>
      </c>
      <c r="K4" s="14">
        <v>8.1999999999999993</v>
      </c>
    </row>
    <row r="5" spans="1:11" x14ac:dyDescent="0.2">
      <c r="A5" s="1" t="s">
        <v>53</v>
      </c>
      <c r="B5" t="s">
        <v>1464</v>
      </c>
      <c r="C5" t="s">
        <v>1619</v>
      </c>
      <c r="D5" s="49" t="s">
        <v>1763</v>
      </c>
      <c r="E5" s="1" t="s">
        <v>54</v>
      </c>
      <c r="F5" s="1">
        <f>(0+17/60+32/3600)/24*2*PI()</f>
        <v>7.6503598879084769E-2</v>
      </c>
      <c r="G5" s="1">
        <f>(0+17/60+32.0821207593/3600)/24*2*PI()</f>
        <v>7.6509570869226523E-2</v>
      </c>
      <c r="H5" s="1" t="s">
        <v>55</v>
      </c>
      <c r="I5" s="1">
        <f>+(50+17/60+14/3600)/360*2*PI()</f>
        <v>0.87767759945983725</v>
      </c>
      <c r="J5" s="1">
        <f>+(50+17/60+14.445875799/3600)/360*2*PI()</f>
        <v>0.87767976112671164</v>
      </c>
      <c r="K5" s="14">
        <v>7.5</v>
      </c>
    </row>
    <row r="6" spans="1:11" x14ac:dyDescent="0.2">
      <c r="A6" s="20" t="s">
        <v>60</v>
      </c>
      <c r="B6" t="s">
        <v>1465</v>
      </c>
      <c r="C6" t="s">
        <v>1620</v>
      </c>
      <c r="D6" s="49" t="s">
        <v>1764</v>
      </c>
      <c r="E6" s="1" t="s">
        <v>61</v>
      </c>
      <c r="F6" s="1">
        <f>(0+19/60+54/3600)/24*2*PI()</f>
        <v>8.6830130286717891E-2</v>
      </c>
      <c r="G6" s="1">
        <f>(0+19/60+54.0156326103/3600)/24*2*PI()</f>
        <v>8.6831267122219627E-2</v>
      </c>
      <c r="H6" s="1" t="s">
        <v>62</v>
      </c>
      <c r="I6" s="1">
        <f>+(44+42/60+33/3600)/360*2*PI()</f>
        <v>0.78032216415623146</v>
      </c>
      <c r="J6" s="1">
        <f>+(44+42/60+33.89813738/3600)/360*2*PI()</f>
        <v>0.78032651844912482</v>
      </c>
      <c r="K6" s="14">
        <v>7.8</v>
      </c>
    </row>
    <row r="7" spans="1:11" x14ac:dyDescent="0.2">
      <c r="A7" s="1" t="s">
        <v>68</v>
      </c>
      <c r="B7" t="s">
        <v>1466</v>
      </c>
      <c r="C7" t="s">
        <v>1621</v>
      </c>
      <c r="D7" s="49" t="s">
        <v>1765</v>
      </c>
      <c r="E7" s="1" t="s">
        <v>69</v>
      </c>
      <c r="F7" s="1">
        <f>(0+24/60+35/3600)/24*2*PI()</f>
        <v>0.10726502694548486</v>
      </c>
      <c r="G7" s="1">
        <f>(0+24/60+34.8664978316/3600)/24*2*PI()</f>
        <v>0.10725531839383011</v>
      </c>
      <c r="H7" s="1" t="s">
        <v>70</v>
      </c>
      <c r="I7" s="1">
        <f>+(54+17/60+38/3600)/360*2*PI()</f>
        <v>0.94760712482307674</v>
      </c>
      <c r="J7" s="1">
        <f>+(54+17/60+38.284548367/3600)/360*2*PI()</f>
        <v>0.94760850435248933</v>
      </c>
      <c r="K7" s="14">
        <v>9.5</v>
      </c>
    </row>
    <row r="8" spans="1:11" x14ac:dyDescent="0.2">
      <c r="A8" s="20" t="s">
        <v>74</v>
      </c>
      <c r="B8" t="s">
        <v>1467</v>
      </c>
      <c r="C8" t="s">
        <v>1622</v>
      </c>
      <c r="D8" s="49" t="s">
        <v>1766</v>
      </c>
      <c r="E8" s="1" t="s">
        <v>75</v>
      </c>
      <c r="F8" s="1">
        <f>(0+27/60+31/3600)/24*2*PI()</f>
        <v>0.12006410812677659</v>
      </c>
      <c r="G8" s="1">
        <f>(0+27/60+31.6821917855/3600)/24*2*PI()</f>
        <v>0.12011371851338923</v>
      </c>
      <c r="H8" s="1" t="s">
        <v>76</v>
      </c>
      <c r="I8" s="1">
        <f>+(35+35/60+14/3600)/360*2*PI()</f>
        <v>0.6211141994166709</v>
      </c>
      <c r="J8" s="1">
        <f>+(35+35/60+14.489056924/3600)/360*2*PI()</f>
        <v>0.62111657043154689</v>
      </c>
      <c r="K8" s="14">
        <v>6.9</v>
      </c>
    </row>
    <row r="9" spans="1:11" x14ac:dyDescent="0.2">
      <c r="A9" s="5" t="s">
        <v>81</v>
      </c>
      <c r="B9" t="s">
        <v>1468</v>
      </c>
      <c r="C9" t="s">
        <v>1623</v>
      </c>
      <c r="D9" s="49" t="s">
        <v>1767</v>
      </c>
      <c r="E9" s="1" t="s">
        <v>82</v>
      </c>
      <c r="F9" s="1">
        <f>(0+54/60+13/3600)/24*2*PI()</f>
        <v>0.23656483569739808</v>
      </c>
      <c r="G9" s="1">
        <f>(0+54/60+13.6094686085/3600)/24*2*PI()</f>
        <v>0.23660915750533923</v>
      </c>
      <c r="H9" s="1" t="s">
        <v>83</v>
      </c>
      <c r="I9" s="1">
        <f>+(24+4/60+1/3600)/360*2*PI()</f>
        <v>0.42004742145011303</v>
      </c>
      <c r="J9" s="1">
        <f>+(24+4/60+1.522268338/3600)/360*2*PI()</f>
        <v>0.42004995347846774</v>
      </c>
      <c r="K9" s="14">
        <v>8.3000000000000007</v>
      </c>
    </row>
    <row r="10" spans="1:11" x14ac:dyDescent="0.2">
      <c r="A10" s="5" t="s">
        <v>89</v>
      </c>
      <c r="B10" t="s">
        <v>1469</v>
      </c>
      <c r="C10" t="s">
        <v>1624</v>
      </c>
      <c r="D10" s="49" t="s">
        <v>1768</v>
      </c>
      <c r="E10" s="1" t="s">
        <v>90</v>
      </c>
      <c r="F10" s="1">
        <f>(0+54/60+53/3600)/24*2*PI()</f>
        <v>0.2394737177840553</v>
      </c>
      <c r="G10" s="1">
        <f>(0+54/60+53.8483328105/3600)/24*2*PI()</f>
        <v>0.23953541028695496</v>
      </c>
      <c r="H10" s="1" t="s">
        <v>91</v>
      </c>
      <c r="I10" s="1">
        <f>+(58+33/60+49/3600)/360*2*PI()</f>
        <v>1.0221278357464236</v>
      </c>
      <c r="J10" s="1">
        <f>+(58+33/60+49.149363639/3600)/360*2*PI()</f>
        <v>1.02212855988178</v>
      </c>
      <c r="K10" s="14">
        <v>7.8</v>
      </c>
    </row>
    <row r="11" spans="1:11" x14ac:dyDescent="0.2">
      <c r="A11" s="5" t="s">
        <v>95</v>
      </c>
      <c r="B11" t="s">
        <v>1470</v>
      </c>
      <c r="C11" t="s">
        <v>1625</v>
      </c>
      <c r="D11" s="49" t="s">
        <v>1769</v>
      </c>
      <c r="E11" s="1" t="s">
        <v>96</v>
      </c>
      <c r="F11" s="1">
        <f>(1+16/60+5/3600)/24*2*PI()</f>
        <v>0.33197616813975472</v>
      </c>
      <c r="G11" s="1">
        <f>(1+16/60+5.0295407752/3600)/24*2*PI()</f>
        <v>0.33197831640554987</v>
      </c>
      <c r="H11" s="1" t="s">
        <v>97</v>
      </c>
      <c r="I11" s="1">
        <f>+(25+46/60+9/3600)/360*2*PI()</f>
        <v>0.44975680382850541</v>
      </c>
      <c r="J11" s="1">
        <f>+(25+46/60+9.69570953/3600)/360*2*PI()</f>
        <v>0.44976017672348767</v>
      </c>
      <c r="K11" s="14">
        <v>6.5</v>
      </c>
    </row>
    <row r="12" spans="1:11" x14ac:dyDescent="0.2">
      <c r="A12" s="13" t="s">
        <v>101</v>
      </c>
      <c r="B12" t="s">
        <v>1471</v>
      </c>
      <c r="C12" t="s">
        <v>1626</v>
      </c>
      <c r="D12" s="49" t="s">
        <v>1770</v>
      </c>
      <c r="E12" s="1" t="s">
        <v>102</v>
      </c>
      <c r="F12" s="1">
        <f>(1+26/60+58/3600)/24*2*PI()</f>
        <v>0.37946366820443383</v>
      </c>
      <c r="G12" s="1">
        <f>(1+26/60+58.0946233986/3600)/24*2*PI()</f>
        <v>0.37947054941216296</v>
      </c>
      <c r="H12" s="1" t="s">
        <v>103</v>
      </c>
      <c r="I12" s="1">
        <f>-(32+32/60+36/3600)/360*2*PI()</f>
        <v>-0.56798831624068791</v>
      </c>
      <c r="J12" s="1">
        <f>-(32+32/60+35.437732667/3600)/360*2*PI()</f>
        <v>-0.56798559029173312</v>
      </c>
      <c r="K12" s="14">
        <v>5.7</v>
      </c>
    </row>
    <row r="13" spans="1:11" x14ac:dyDescent="0.2">
      <c r="A13" s="1" t="s">
        <v>107</v>
      </c>
      <c r="B13" t="s">
        <v>1472</v>
      </c>
      <c r="C13" t="s">
        <v>1627</v>
      </c>
      <c r="D13" s="49" t="s">
        <v>1771</v>
      </c>
      <c r="E13" s="1" t="s">
        <v>108</v>
      </c>
      <c r="F13" s="1">
        <f>(1+33/60+33/3600)/24*2*PI()</f>
        <v>0.40818887881017391</v>
      </c>
      <c r="G13" s="1">
        <f>(1+33/60+32.6883489346/3600)/24*2*PI()</f>
        <v>0.40816621490513816</v>
      </c>
      <c r="H13" s="1" t="s">
        <v>109</v>
      </c>
      <c r="I13" s="1">
        <f>+(57+45/60+5/3600)/360*2*PI()</f>
        <v>1.0079518837107808</v>
      </c>
      <c r="J13" s="1">
        <f>+(57+45/60+5.451047011/3600)/360*2*PI()</f>
        <v>1.0079540704483982</v>
      </c>
      <c r="K13" s="14">
        <v>9.1</v>
      </c>
    </row>
    <row r="14" spans="1:11" x14ac:dyDescent="0.2">
      <c r="A14" s="5" t="s">
        <v>114</v>
      </c>
      <c r="B14" t="s">
        <v>1473</v>
      </c>
      <c r="C14" t="s">
        <v>1628</v>
      </c>
      <c r="D14" s="49" t="s">
        <v>1772</v>
      </c>
      <c r="E14" s="1" t="s">
        <v>115</v>
      </c>
      <c r="F14" s="1">
        <f>(2+15/60+0/3600)/24*2*PI()</f>
        <v>0.58904862254808621</v>
      </c>
      <c r="G14" s="1">
        <f>(2+15/60+0.0771486824/3600)/24*2*PI()</f>
        <v>0.58905423295859216</v>
      </c>
      <c r="H14" s="1" t="s">
        <v>116</v>
      </c>
      <c r="I14" s="1">
        <f>+(12+14/60+23/3600)/360*2*PI()</f>
        <v>0.21362345230729482</v>
      </c>
      <c r="J14" s="1">
        <f>+(12+14/60+23.613348802/3600)/360*2*PI()</f>
        <v>0.21362642590619982</v>
      </c>
      <c r="K14" s="14">
        <v>8.3000000000000007</v>
      </c>
    </row>
    <row r="15" spans="1:11" x14ac:dyDescent="0.2">
      <c r="A15" s="13" t="s">
        <v>120</v>
      </c>
      <c r="B15" t="s">
        <v>1474</v>
      </c>
      <c r="C15" t="s">
        <v>1629</v>
      </c>
      <c r="D15" s="49" t="s">
        <v>1773</v>
      </c>
      <c r="E15" s="1" t="s">
        <v>121</v>
      </c>
      <c r="F15" s="1">
        <f>(2+29/60+15/3600)/24*2*PI()</f>
        <v>0.65122597715038422</v>
      </c>
      <c r="G15" s="1">
        <f>(2+29/60+15.3081251463/3600)/24*2*PI()</f>
        <v>0.65124838464334722</v>
      </c>
      <c r="H15" s="1" t="s">
        <v>122</v>
      </c>
      <c r="I15" s="1">
        <f>-(26+5/60+56/3600)/360*2*PI()</f>
        <v>-0.45551154222327556</v>
      </c>
      <c r="J15" s="1">
        <f>-(26+5/60+55.647016467/3600)/360*2*PI()</f>
        <v>-0.45550983091081548</v>
      </c>
      <c r="K15" s="14">
        <v>7.5</v>
      </c>
    </row>
    <row r="16" spans="1:11" x14ac:dyDescent="0.2">
      <c r="A16" s="5" t="s">
        <v>127</v>
      </c>
      <c r="B16" t="s">
        <v>1475</v>
      </c>
      <c r="C16" t="s">
        <v>1630</v>
      </c>
      <c r="D16" s="49" t="s">
        <v>1774</v>
      </c>
      <c r="E16" s="1" t="s">
        <v>128</v>
      </c>
      <c r="F16" s="1">
        <f>(2+35/60+6/3600)/24*2*PI()</f>
        <v>0.67675141746080125</v>
      </c>
      <c r="G16" s="1">
        <f>(2+35/60+6.4987962466/3600)/24*2*PI()</f>
        <v>0.67678769094746694</v>
      </c>
      <c r="H16" s="1" t="s">
        <v>129</v>
      </c>
      <c r="I16" s="1">
        <f>-(9+26/60+34/3600)/360*2*PI()</f>
        <v>-0.16480756275637565</v>
      </c>
      <c r="J16" s="1">
        <f>-(9+26/60+34.128548303/3600)/360*2*PI()</f>
        <v>-0.16480818597613547</v>
      </c>
      <c r="K16" s="14">
        <v>8.1999999999999993</v>
      </c>
    </row>
    <row r="17" spans="1:11" x14ac:dyDescent="0.2">
      <c r="A17" s="1" t="s">
        <v>134</v>
      </c>
      <c r="B17" t="s">
        <v>1476</v>
      </c>
      <c r="C17" t="s">
        <v>134</v>
      </c>
      <c r="D17" s="49" t="s">
        <v>1775</v>
      </c>
      <c r="E17" s="1" t="s">
        <v>135</v>
      </c>
      <c r="F17" s="1">
        <f>(2+35/60+17/3600)/24*2*PI()</f>
        <v>0.67755136003463201</v>
      </c>
      <c r="G17" s="1">
        <f>(2+35/60+17.1273531147/3600)/24*2*PI()</f>
        <v>0.67756062141448281</v>
      </c>
      <c r="H17" s="1" t="s">
        <v>136</v>
      </c>
      <c r="I17" s="1">
        <f>+(56+8/60+45/3600)/360*2*PI()</f>
        <v>0.97992965294264966</v>
      </c>
      <c r="J17" s="1">
        <f>+(56+8/60+44.719460598/3600)/360*2*PI()</f>
        <v>0.97992829284924776</v>
      </c>
      <c r="K17" s="14">
        <v>10.6</v>
      </c>
    </row>
    <row r="18" spans="1:11" x14ac:dyDescent="0.2">
      <c r="A18" s="5" t="s">
        <v>140</v>
      </c>
      <c r="B18" t="s">
        <v>1477</v>
      </c>
      <c r="C18" t="s">
        <v>140</v>
      </c>
      <c r="D18" s="49" t="s">
        <v>1776</v>
      </c>
      <c r="E18" s="1" t="s">
        <v>141</v>
      </c>
      <c r="F18" s="1">
        <f>(2+38/60+23/3600)/24*2*PI()</f>
        <v>0.69107766173758811</v>
      </c>
      <c r="G18" s="1">
        <f>(2+38/60+23.7855580921/3600)/24*2*PI()</f>
        <v>0.69113478913414139</v>
      </c>
      <c r="H18" s="1" t="s">
        <v>142</v>
      </c>
      <c r="I18" s="1">
        <f>+(39+10/60+9/3600)/360*2*PI()</f>
        <v>0.68363092359574551</v>
      </c>
      <c r="J18" s="1">
        <f>+(39+10/60+9.933532943/3600)/360*2*PI()</f>
        <v>0.68363544949117094</v>
      </c>
      <c r="K18" s="14">
        <v>7.4</v>
      </c>
    </row>
    <row r="19" spans="1:11" x14ac:dyDescent="0.2">
      <c r="A19" s="5" t="s">
        <v>147</v>
      </c>
      <c r="B19" t="s">
        <v>1478</v>
      </c>
      <c r="C19" t="s">
        <v>1631</v>
      </c>
      <c r="D19" s="49" t="s">
        <v>1777</v>
      </c>
      <c r="E19" s="1" t="s">
        <v>148</v>
      </c>
      <c r="F19" s="1">
        <f>(3+11/60+25/3600)/24*2*PI()</f>
        <v>0.83521276913145315</v>
      </c>
      <c r="G19" s="1">
        <f>(3+11/60+25.3267420918/3600)/24*2*PI()</f>
        <v>0.83523653048689783</v>
      </c>
      <c r="H19" s="1" t="s">
        <v>149</v>
      </c>
      <c r="I19" s="1">
        <f>+(57+54/60+11/3600)/360*2*PI()</f>
        <v>1.0105989664096389</v>
      </c>
      <c r="J19" s="1">
        <f>+(57+54/60+11.227599898/3600)/360*2*PI()</f>
        <v>1.0106000698450825</v>
      </c>
      <c r="K19" s="14">
        <v>7.3</v>
      </c>
    </row>
    <row r="20" spans="1:11" x14ac:dyDescent="0.2">
      <c r="A20" s="5" t="s">
        <v>153</v>
      </c>
      <c r="B20" t="s">
        <v>1479</v>
      </c>
      <c r="C20" t="s">
        <v>1632</v>
      </c>
      <c r="D20" s="49" t="s">
        <v>1778</v>
      </c>
      <c r="E20" s="1" t="s">
        <v>154</v>
      </c>
      <c r="F20" s="1">
        <f>(3+27/60+42/3600)/24*2*PI()</f>
        <v>0.90626221409805563</v>
      </c>
      <c r="G20" s="1">
        <f>(3+27/60+42.3910029037/3600)/24*2*PI()</f>
        <v>0.90629064863161568</v>
      </c>
      <c r="H20" s="1" t="s">
        <v>155</v>
      </c>
      <c r="I20" s="1">
        <f>+(44+10/60+36/3600)/360*2*PI()</f>
        <v>0.77102828588936156</v>
      </c>
      <c r="J20" s="1">
        <f>+(44+10/60+36.490594153/3600)/360*2*PI()</f>
        <v>0.77103066435693401</v>
      </c>
      <c r="K20" s="14">
        <v>8.1</v>
      </c>
    </row>
    <row r="21" spans="1:11" x14ac:dyDescent="0.2">
      <c r="A21" s="20" t="s">
        <v>158</v>
      </c>
      <c r="B21" t="s">
        <v>1480</v>
      </c>
      <c r="C21" t="s">
        <v>1633</v>
      </c>
      <c r="D21" s="49" t="s">
        <v>1779</v>
      </c>
      <c r="E21" s="1" t="s">
        <v>159</v>
      </c>
      <c r="F21" s="1">
        <f>(3+41/60+29/3600)/24*2*PI()</f>
        <v>0.96640335123969368</v>
      </c>
      <c r="G21" s="1">
        <f>(3+41/60+29.5964469751/3600)/24*2*PI()</f>
        <v>0.96644672608773141</v>
      </c>
      <c r="H21" s="1" t="s">
        <v>160</v>
      </c>
      <c r="I21" s="1">
        <f>+(51+30/60+11/3600)/360*2*PI()</f>
        <v>0.89889789428200173</v>
      </c>
      <c r="J21" s="1">
        <f>+(51+30/60+11.731294715/3600)/360*2*PI()</f>
        <v>0.8989014396988293</v>
      </c>
      <c r="K21" s="14">
        <v>8.4</v>
      </c>
    </row>
    <row r="22" spans="1:11" x14ac:dyDescent="0.2">
      <c r="A22" s="20" t="s">
        <v>163</v>
      </c>
      <c r="B22" t="s">
        <v>1481</v>
      </c>
      <c r="C22" t="s">
        <v>1634</v>
      </c>
      <c r="D22" s="49" t="s">
        <v>1780</v>
      </c>
      <c r="E22" s="1" t="s">
        <v>164</v>
      </c>
      <c r="F22" s="1">
        <f>(3+41/60+48/3600)/24*2*PI()</f>
        <v>0.9677850702308558</v>
      </c>
      <c r="G22" s="1">
        <f>(3+41/60+48.1762532767/3600)/24*2*PI()</f>
        <v>0.96779788773083841</v>
      </c>
      <c r="H22" s="1" t="s">
        <v>165</v>
      </c>
      <c r="I22" s="1">
        <f>+(62+38/60+54/3600)/360*2*PI()</f>
        <v>1.0934196875535809</v>
      </c>
      <c r="J22" s="1">
        <f>+(62+38/60+54.397016016/3600)/360*2*PI()</f>
        <v>1.0934216123415426</v>
      </c>
      <c r="K22" s="14">
        <v>6.9</v>
      </c>
    </row>
    <row r="23" spans="1:11" x14ac:dyDescent="0.2">
      <c r="A23" s="1" t="s">
        <v>170</v>
      </c>
      <c r="B23" t="s">
        <v>1482</v>
      </c>
      <c r="C23" t="s">
        <v>1635</v>
      </c>
      <c r="D23" s="49" t="s">
        <v>1781</v>
      </c>
      <c r="E23" s="1" t="s">
        <v>171</v>
      </c>
      <c r="F23" s="1">
        <f>(3+45/60+3/3600)/24*2*PI()</f>
        <v>0.98196587040330963</v>
      </c>
      <c r="G23" s="1">
        <f>(3+45/60+3.4112798752/3600)/24*2*PI()</f>
        <v>0.98199577951984895</v>
      </c>
      <c r="H23" s="1" t="s">
        <v>172</v>
      </c>
      <c r="I23" s="1">
        <f>+(44+46/60+52/3600)/360*2*PI()</f>
        <v>0.78157783159030514</v>
      </c>
      <c r="J23" s="1">
        <f>+(44+46/60+51.772679522/3600)/360*2*PI()</f>
        <v>0.78157672950952783</v>
      </c>
      <c r="K23" s="14">
        <v>9.6999999999999993</v>
      </c>
    </row>
    <row r="24" spans="1:11" x14ac:dyDescent="0.2">
      <c r="A24" s="5" t="s">
        <v>175</v>
      </c>
      <c r="B24" t="s">
        <v>1483</v>
      </c>
      <c r="C24" t="s">
        <v>1636</v>
      </c>
      <c r="D24" s="49" t="s">
        <v>1782</v>
      </c>
      <c r="E24" s="1" t="s">
        <v>176</v>
      </c>
      <c r="F24" s="1">
        <f>(4+5/60+53/3600)/24*2*PI()</f>
        <v>1.0728684356113474</v>
      </c>
      <c r="G24" s="1">
        <f>(4+5/60+53.8492693966/3600)/24*2*PI()</f>
        <v>1.0729301962247104</v>
      </c>
      <c r="H24" s="1" t="s">
        <v>177</v>
      </c>
      <c r="I24" s="1">
        <f>+(61+47/60+39/3600)/360*2*PI()</f>
        <v>1.0785116668594625</v>
      </c>
      <c r="J24" s="1">
        <f>+(61+47/60+39.976105052/3600)/360*2*PI()</f>
        <v>1.0785163991502966</v>
      </c>
      <c r="K24" s="14">
        <v>7.5</v>
      </c>
    </row>
    <row r="25" spans="1:11" x14ac:dyDescent="0.2">
      <c r="A25" s="5" t="s">
        <v>181</v>
      </c>
      <c r="B25" t="s">
        <v>1484</v>
      </c>
      <c r="C25" t="s">
        <v>1637</v>
      </c>
      <c r="D25" s="49" t="s">
        <v>1783</v>
      </c>
      <c r="E25" s="1" t="s">
        <v>182</v>
      </c>
      <c r="F25" s="1">
        <f>(4+8/60+38/3600)/24*2*PI()</f>
        <v>1.0848675742188088</v>
      </c>
      <c r="G25" s="1">
        <f>(4+8/60+38.7487746559/3600)/24*2*PI()</f>
        <v>1.0849220266483961</v>
      </c>
      <c r="H25" s="1" t="s">
        <v>183</v>
      </c>
      <c r="I25" s="1">
        <f>+(53+21/60+39/3600)/360*2*PI()</f>
        <v>0.9313222332746075</v>
      </c>
      <c r="J25" s="1">
        <f>+(53+21/60+39.349720481/3600)/360*2*PI()</f>
        <v>0.93132392876734515</v>
      </c>
      <c r="K25" s="14">
        <v>7.1</v>
      </c>
    </row>
    <row r="26" spans="1:11" x14ac:dyDescent="0.2">
      <c r="A26" s="1" t="s">
        <v>189</v>
      </c>
      <c r="B26" t="s">
        <v>1485</v>
      </c>
      <c r="C26" t="s">
        <v>1638</v>
      </c>
      <c r="D26" s="49" t="s">
        <v>1784</v>
      </c>
      <c r="E26" s="1" t="s">
        <v>190</v>
      </c>
      <c r="F26" s="1">
        <f>(4+47/60+19/3600)/24*2*PI()</f>
        <v>1.2536554572970935</v>
      </c>
      <c r="G26" s="1">
        <f>(4+47/60+18.9238883495/3600)/24*2*PI()</f>
        <v>1.2536499223016755</v>
      </c>
      <c r="H26" s="1" t="s">
        <v>191</v>
      </c>
      <c r="I26" s="1">
        <f>-(36+12/60+34/3600)/360*2*PI()</f>
        <v>-0.63197402587352458</v>
      </c>
      <c r="J26" s="1">
        <f>-(36+12/60+33.57229454/3600)/360*2*PI()</f>
        <v>-0.63197195229893965</v>
      </c>
      <c r="K26" s="14">
        <v>7.5</v>
      </c>
    </row>
    <row r="27" spans="1:11" x14ac:dyDescent="0.2">
      <c r="A27" s="5" t="s">
        <v>193</v>
      </c>
      <c r="B27" t="s">
        <v>1486</v>
      </c>
      <c r="C27" t="s">
        <v>1639</v>
      </c>
      <c r="D27" s="49" t="s">
        <v>1785</v>
      </c>
      <c r="E27" s="1" t="s">
        <v>194</v>
      </c>
      <c r="F27" s="1">
        <f>(4+51/60+13/3600)/24*2*PI()</f>
        <v>1.270672417504038</v>
      </c>
      <c r="G27" s="1">
        <f>(4+51/60+13.3478339517/3600)/24*2*PI()</f>
        <v>1.2706977127028192</v>
      </c>
      <c r="H27" s="1" t="s">
        <v>195</v>
      </c>
      <c r="I27" s="1">
        <f>+(68+10/60+7/3600)/360*2*PI()</f>
        <v>1.189766710400479</v>
      </c>
      <c r="J27" s="1">
        <f>+(68+10/60+7.646494913/3600)/360*2*PI()</f>
        <v>1.189769844696265</v>
      </c>
      <c r="K27" s="14">
        <v>6.7</v>
      </c>
    </row>
    <row r="28" spans="1:11" x14ac:dyDescent="0.2">
      <c r="A28" s="5" t="s">
        <v>198</v>
      </c>
      <c r="B28" t="s">
        <v>1487</v>
      </c>
      <c r="C28" t="s">
        <v>1640</v>
      </c>
      <c r="D28" s="49" t="s">
        <v>1786</v>
      </c>
      <c r="E28" s="1" t="s">
        <v>199</v>
      </c>
      <c r="F28" s="1">
        <f>(4+51/60+31/3600)/24*2*PI()</f>
        <v>1.2719814144430339</v>
      </c>
      <c r="G28" s="1">
        <f>(4+51/60+31.2647165772/3600)/24*2*PI()</f>
        <v>1.2720006651757705</v>
      </c>
      <c r="H28" s="1" t="s">
        <v>200</v>
      </c>
      <c r="I28" s="1">
        <f>+(28+31/60+36/3600)/360*2*PI()</f>
        <v>0.49788425795224905</v>
      </c>
      <c r="J28" s="1">
        <f>+(28+31/60+36.867948885/3600)/360*2*PI()</f>
        <v>0.49788846588718866</v>
      </c>
      <c r="K28" s="14">
        <v>7.7</v>
      </c>
    </row>
    <row r="29" spans="1:11" x14ac:dyDescent="0.2">
      <c r="A29" s="1" t="s">
        <v>204</v>
      </c>
      <c r="B29" t="s">
        <v>1488</v>
      </c>
      <c r="C29" t="s">
        <v>1641</v>
      </c>
      <c r="D29" s="49" t="s">
        <v>1787</v>
      </c>
      <c r="E29" s="1" t="s">
        <v>205</v>
      </c>
      <c r="F29" s="1">
        <f>(4+52/60+35/3600)/24*2*PI()</f>
        <v>1.2766356257816858</v>
      </c>
      <c r="G29" s="1">
        <f>(4+52/60+34.8740876186/3600)/24*2*PI()</f>
        <v>1.2766264691749172</v>
      </c>
      <c r="H29" s="1" t="s">
        <v>206</v>
      </c>
      <c r="I29" s="1">
        <f>+(38+30/60+20/3600)/360*2*PI()</f>
        <v>0.67204872475403876</v>
      </c>
      <c r="J29" s="1">
        <f>+(38+30/60+19.896979638/3600)/360*2*PI()</f>
        <v>0.67204822529722952</v>
      </c>
      <c r="K29" s="14">
        <v>8.8000000000000007</v>
      </c>
    </row>
    <row r="30" spans="1:11" x14ac:dyDescent="0.2">
      <c r="A30" s="13" t="s">
        <v>209</v>
      </c>
      <c r="B30" t="s">
        <v>1489</v>
      </c>
      <c r="C30" t="s">
        <v>1642</v>
      </c>
      <c r="D30" s="49" t="s">
        <v>1788</v>
      </c>
      <c r="E30" s="1" t="s">
        <v>210</v>
      </c>
      <c r="F30" s="1">
        <f>(4+59/60+36/3600)/24*2*PI()</f>
        <v>1.3072516097437528</v>
      </c>
      <c r="G30" s="1">
        <f>(4+59/60+36.3480393629/3600)/24*2*PI()</f>
        <v>1.3072769198804575</v>
      </c>
      <c r="H30" s="1" t="s">
        <v>211</v>
      </c>
      <c r="I30" s="1">
        <f>-(14+48/60+22/3600)/360*2*PI()</f>
        <v>-0.25841538830500488</v>
      </c>
      <c r="J30" s="1">
        <f>-(14+48/60+22.511432606/3600)/360*2*PI()</f>
        <v>-0.25841786780024845</v>
      </c>
      <c r="K30" s="14">
        <v>5.5</v>
      </c>
    </row>
    <row r="31" spans="1:11" x14ac:dyDescent="0.2">
      <c r="A31" s="5" t="s">
        <v>216</v>
      </c>
      <c r="B31" t="s">
        <v>1490</v>
      </c>
      <c r="C31" t="s">
        <v>1643</v>
      </c>
      <c r="D31" s="49" t="s">
        <v>1789</v>
      </c>
      <c r="E31" s="1" t="s">
        <v>217</v>
      </c>
      <c r="F31" s="1">
        <f>(5+3/60+23/3600)/24*2*PI()</f>
        <v>1.3237595155855324</v>
      </c>
      <c r="G31" s="1">
        <f>(5+3/60+23.0468600922/3600)/24*2*PI()</f>
        <v>1.323762923347602</v>
      </c>
      <c r="H31" s="1" t="s">
        <v>218</v>
      </c>
      <c r="I31" s="1">
        <f>+(50+37/60+58/3600)/360*2*PI()</f>
        <v>0.88370868165284</v>
      </c>
      <c r="J31" s="1">
        <f>+(50+37/60+58.085098623/3600)/360*2*PI()</f>
        <v>0.88370909422260679</v>
      </c>
      <c r="K31" s="14">
        <v>8.5</v>
      </c>
    </row>
    <row r="32" spans="1:11" x14ac:dyDescent="0.2">
      <c r="A32" s="5" t="s">
        <v>221</v>
      </c>
      <c r="B32" t="s">
        <v>1491</v>
      </c>
      <c r="C32" t="s">
        <v>1644</v>
      </c>
      <c r="D32" s="49" t="s">
        <v>1790</v>
      </c>
      <c r="E32" s="1" t="s">
        <v>222</v>
      </c>
      <c r="F32" s="1">
        <f>(5+5/60+23/3600)/24*2*PI()</f>
        <v>1.3324861618455042</v>
      </c>
      <c r="G32" s="1">
        <f>(5+5/60+23.7201883024/3600)/24*2*PI()</f>
        <v>1.3325385354168009</v>
      </c>
      <c r="H32" s="1" t="s">
        <v>223</v>
      </c>
      <c r="I32" s="1">
        <f>+(1+10/60+39/3600)/360*2*PI()</f>
        <v>2.0551251942233232E-2</v>
      </c>
      <c r="J32" s="1">
        <f>+(1+10/60+39.459119918/3600)/360*2*PI()</f>
        <v>2.0553477818408394E-2</v>
      </c>
      <c r="K32" s="14">
        <v>5.8</v>
      </c>
    </row>
    <row r="33" spans="1:11" x14ac:dyDescent="0.2">
      <c r="A33" s="5" t="s">
        <v>226</v>
      </c>
      <c r="B33" t="s">
        <v>1492</v>
      </c>
      <c r="C33" t="s">
        <v>1645</v>
      </c>
      <c r="D33" s="49" t="s">
        <v>1791</v>
      </c>
      <c r="E33" s="1" t="s">
        <v>227</v>
      </c>
      <c r="F33" s="1">
        <f>(5+9/60+5/3600)/24*2*PI()</f>
        <v>1.3486304574264518</v>
      </c>
      <c r="G33" s="1">
        <f>(5+9/60+5.4680145966/3600)/24*2*PI()</f>
        <v>1.3486644924083604</v>
      </c>
      <c r="H33" s="1" t="s">
        <v>228</v>
      </c>
      <c r="I33" s="1">
        <f>+(39+0/60+8/3600)/360*2*PI()</f>
        <v>0.68071719337227732</v>
      </c>
      <c r="J33" s="1">
        <f>+(39+0/60+8.472704234/3600)/360*2*PI()</f>
        <v>0.68071948510707492</v>
      </c>
      <c r="K33" s="14">
        <v>8.5</v>
      </c>
    </row>
    <row r="34" spans="1:11" x14ac:dyDescent="0.2">
      <c r="A34" s="5" t="s">
        <v>231</v>
      </c>
      <c r="B34" t="s">
        <v>1493</v>
      </c>
      <c r="C34" t="s">
        <v>1646</v>
      </c>
      <c r="D34" s="49" t="s">
        <v>1792</v>
      </c>
      <c r="E34" s="1" t="s">
        <v>232</v>
      </c>
      <c r="F34" s="1">
        <f>(5+9/60+48/3600)/24*2*PI()</f>
        <v>1.3517575056696083</v>
      </c>
      <c r="G34" s="1">
        <f>(5+9/60+48.2721800312/3600)/24*2*PI()</f>
        <v>1.3517772991600359</v>
      </c>
      <c r="H34" s="1" t="s">
        <v>233</v>
      </c>
      <c r="I34" s="1">
        <f>-(5+30/60+55/3600)/360*2*PI()</f>
        <v>-9.6259756384298373E-2</v>
      </c>
      <c r="J34" s="1">
        <f>-(5+30/60+55.144184762/3600)/360*2*PI()</f>
        <v>-9.6260455411750628E-2</v>
      </c>
      <c r="K34" s="14">
        <v>8.3000000000000007</v>
      </c>
    </row>
    <row r="35" spans="1:11" x14ac:dyDescent="0.2">
      <c r="A35" s="5" t="s">
        <v>236</v>
      </c>
      <c r="B35" t="s">
        <v>1494</v>
      </c>
      <c r="C35" t="s">
        <v>1647</v>
      </c>
      <c r="D35" s="49" t="s">
        <v>1793</v>
      </c>
      <c r="E35" s="1" t="s">
        <v>237</v>
      </c>
      <c r="F35" s="1">
        <f>(5+21/60+48/3600)/24*2*PI()</f>
        <v>1.404117383229438</v>
      </c>
      <c r="G35" s="1">
        <f>(5+21/60+48.9137852435/3600)/24*2*PI()</f>
        <v>1.4041838355675846</v>
      </c>
      <c r="H35" s="1" t="s">
        <v>238</v>
      </c>
      <c r="I35" s="1">
        <f>+(32+30/60+43/3600)/360*2*PI()</f>
        <v>0.56744047678103426</v>
      </c>
      <c r="J35" s="1">
        <f>+(32+30/60+40.177257425/3600)/360*2*PI()</f>
        <v>0.56742679173884802</v>
      </c>
      <c r="K35" s="14">
        <v>7.4</v>
      </c>
    </row>
    <row r="36" spans="1:11" x14ac:dyDescent="0.2">
      <c r="A36" s="5" t="s">
        <v>242</v>
      </c>
      <c r="B36" t="s">
        <v>1495</v>
      </c>
      <c r="C36" t="s">
        <v>1648</v>
      </c>
      <c r="D36" s="49" t="s">
        <v>1794</v>
      </c>
      <c r="E36" s="1" t="s">
        <v>243</v>
      </c>
      <c r="F36" s="1">
        <f>(5+27/60+7/3600)/24*2*PI()</f>
        <v>1.4273157178705296</v>
      </c>
      <c r="G36" s="1">
        <f>(5+27/60+7.4588448362/3600)/24*2*PI()</f>
        <v>1.427349086008644</v>
      </c>
      <c r="H36" s="1" t="s">
        <v>244</v>
      </c>
      <c r="I36" s="1">
        <f>+(34+8/60+59/3600)/360*2*PI()</f>
        <v>0.59602509141925242</v>
      </c>
      <c r="J36" s="1">
        <f>+(34+8/60+58.844765355/3600)/360*2*PI()</f>
        <v>0.59602433882045569</v>
      </c>
      <c r="K36" s="14">
        <v>8.1999999999999993</v>
      </c>
    </row>
    <row r="37" spans="1:11" x14ac:dyDescent="0.2">
      <c r="A37" s="5" t="s">
        <v>248</v>
      </c>
      <c r="B37" t="s">
        <v>1496</v>
      </c>
      <c r="C37" t="s">
        <v>1649</v>
      </c>
      <c r="D37" s="49" t="s">
        <v>1795</v>
      </c>
      <c r="E37" s="1" t="s">
        <v>249</v>
      </c>
      <c r="F37" s="1">
        <f>(5+33/60+13/3600)/24*2*PI()</f>
        <v>1.4539319889634428</v>
      </c>
      <c r="G37" s="1">
        <f>(5+33/60+13.7455793903/3600)/24*2*PI()</f>
        <v>1.4539862090267583</v>
      </c>
      <c r="H37" s="1" t="s">
        <v>250</v>
      </c>
      <c r="I37" s="1">
        <f>+(7+9/60+12/3600)/360*2*PI()</f>
        <v>0.12484921915932772</v>
      </c>
      <c r="J37" s="1">
        <f>+(7+9/60+12.433864421/3600)/360*2*PI()</f>
        <v>0.12485132259339819</v>
      </c>
      <c r="K37" s="14">
        <v>8</v>
      </c>
    </row>
    <row r="38" spans="1:11" x14ac:dyDescent="0.2">
      <c r="A38" s="1" t="s">
        <v>253</v>
      </c>
      <c r="B38" t="s">
        <v>1497</v>
      </c>
      <c r="C38" t="s">
        <v>1650</v>
      </c>
      <c r="D38" s="49" t="s">
        <v>1796</v>
      </c>
      <c r="E38" s="1" t="s">
        <v>254</v>
      </c>
      <c r="F38" s="1">
        <f>(5+35/60+48/3600)/24*2*PI()</f>
        <v>1.4652039070492398</v>
      </c>
      <c r="G38" s="1">
        <f>(5+35/60+47.7176190033/3600)/24*2*PI()</f>
        <v>1.4651833717236666</v>
      </c>
      <c r="H38" s="1" t="s">
        <v>255</v>
      </c>
      <c r="I38" s="1">
        <f>-(25+44/60+19/3600)/360*2*PI()</f>
        <v>-0.44922350877928491</v>
      </c>
      <c r="J38" s="1">
        <f>-(25+44/60+18.526562445/3600)/360*2*PI()</f>
        <v>-0.44922121348924676</v>
      </c>
      <c r="K38" s="14">
        <v>7.4</v>
      </c>
    </row>
    <row r="39" spans="1:11" x14ac:dyDescent="0.2">
      <c r="A39" s="5" t="s">
        <v>259</v>
      </c>
      <c r="B39" t="s">
        <v>1498</v>
      </c>
      <c r="C39" t="s">
        <v>1651</v>
      </c>
      <c r="D39" s="49" t="s">
        <v>1797</v>
      </c>
      <c r="E39" s="1" t="s">
        <v>260</v>
      </c>
      <c r="F39" s="1">
        <f>(5+41/60+2/3600)/24*2*PI()</f>
        <v>1.4880386314294989</v>
      </c>
      <c r="G39" s="1">
        <f>(5+41/60+2.4931390461/3600)/24*2*PI()</f>
        <v>1.4880744935129346</v>
      </c>
      <c r="H39" s="1" t="s">
        <v>261</v>
      </c>
      <c r="I39" s="1">
        <f>+(68+47/60+55/3600)/360*2*PI()</f>
        <v>1.2007622846880432</v>
      </c>
      <c r="J39" s="1">
        <f>+(68+47/60+55.034451207/3600)/360*2*PI()</f>
        <v>1.2007624517122082</v>
      </c>
      <c r="K39" s="14">
        <v>7.7</v>
      </c>
    </row>
    <row r="40" spans="1:11" x14ac:dyDescent="0.2">
      <c r="A40" s="5" t="s">
        <v>266</v>
      </c>
      <c r="B40" t="s">
        <v>1499</v>
      </c>
      <c r="C40" t="s">
        <v>1652</v>
      </c>
      <c r="D40" s="49" t="s">
        <v>1798</v>
      </c>
      <c r="E40" s="1" t="s">
        <v>267</v>
      </c>
      <c r="F40" s="1">
        <f>(5+45/60+13/3600)/24*2*PI()</f>
        <v>1.5062918665232727</v>
      </c>
      <c r="G40" s="1">
        <f>(5+45/60+13.7250342271/3600)/24*2*PI()</f>
        <v>1.5063445925001584</v>
      </c>
      <c r="H40" s="1" t="s">
        <v>268</v>
      </c>
      <c r="I40" s="1">
        <f>+(24+25/60+12/3600)/360*2*PI()</f>
        <v>0.42620940333701535</v>
      </c>
      <c r="J40" s="1">
        <f>+(24+25/60+12.445885507/3600)/360*2*PI()</f>
        <v>0.42621156505095537</v>
      </c>
      <c r="K40" s="14">
        <v>5.9</v>
      </c>
    </row>
    <row r="41" spans="1:11" x14ac:dyDescent="0.2">
      <c r="A41" s="5" t="s">
        <v>271</v>
      </c>
      <c r="B41" t="s">
        <v>1500</v>
      </c>
      <c r="C41" t="s">
        <v>1653</v>
      </c>
      <c r="D41" s="49" t="s">
        <v>1799</v>
      </c>
      <c r="E41" s="1" t="s">
        <v>272</v>
      </c>
      <c r="F41" s="1">
        <f>(5+45/60+39/3600)/24*2*PI()</f>
        <v>1.5081826398795999</v>
      </c>
      <c r="G41" s="1">
        <f>(5+45/60+39.4116657307/3600)/24*2*PI()</f>
        <v>1.5082125770563433</v>
      </c>
      <c r="H41" s="1" t="s">
        <v>273</v>
      </c>
      <c r="I41" s="1">
        <f>+(20+41/60+42/3600)/360*2*PI()</f>
        <v>0.36119588870022651</v>
      </c>
      <c r="J41" s="1">
        <f>+(20+41/60+42.150008983/3600)/360*2*PI()</f>
        <v>0.36119661596429897</v>
      </c>
      <c r="K41" s="14">
        <v>6.5</v>
      </c>
    </row>
    <row r="42" spans="1:11" x14ac:dyDescent="0.2">
      <c r="A42" s="5" t="s">
        <v>277</v>
      </c>
      <c r="B42" t="s">
        <v>1501</v>
      </c>
      <c r="C42" t="s">
        <v>1654</v>
      </c>
      <c r="D42" s="49" t="s">
        <v>1800</v>
      </c>
      <c r="E42" s="1" t="s">
        <v>278</v>
      </c>
      <c r="F42" s="1">
        <f>(5+48/60+8/3600)/24*2*PI()</f>
        <v>1.5190182256523981</v>
      </c>
      <c r="G42" s="1">
        <f>(5+48/60+8.1761304871/3600)/24*2*PI()</f>
        <v>1.519031034222869</v>
      </c>
      <c r="H42" s="1" t="s">
        <v>279</v>
      </c>
      <c r="I42" s="1">
        <f>+(30+37/60+51/3600)/360*2*PI()</f>
        <v>0.53460889429629643</v>
      </c>
      <c r="J42" s="1">
        <f>+(30+37/60+51.926166655/3600)/360*2*PI()</f>
        <v>0.53461338447894979</v>
      </c>
      <c r="K42" s="14">
        <v>8.3000000000000007</v>
      </c>
    </row>
    <row r="43" spans="1:11" x14ac:dyDescent="0.2">
      <c r="A43" s="5" t="s">
        <v>283</v>
      </c>
      <c r="B43" t="s">
        <v>1502</v>
      </c>
      <c r="C43" t="s">
        <v>1655</v>
      </c>
      <c r="D43" s="49" t="s">
        <v>1801</v>
      </c>
      <c r="E43" s="1" t="s">
        <v>284</v>
      </c>
      <c r="F43" s="1">
        <f>(5+49/60+0/3600)/24*2*PI()</f>
        <v>1.5227997723650526</v>
      </c>
      <c r="G43" s="1">
        <f>(5+49/60+3.7311442986/3600)/24*2*PI()</f>
        <v>1.5230711088353757</v>
      </c>
      <c r="H43" s="1" t="s">
        <v>285</v>
      </c>
      <c r="I43" s="1">
        <f>+(19+4/60+0/3600)/360*2*PI()</f>
        <v>0.33277611071358548</v>
      </c>
      <c r="J43" s="1">
        <f>+(19+4/60+21.890704406/3600)/360*2*PI()</f>
        <v>0.33288223984343701</v>
      </c>
      <c r="K43" s="14">
        <v>9.1</v>
      </c>
    </row>
    <row r="44" spans="1:11" x14ac:dyDescent="0.2">
      <c r="A44" s="5" t="s">
        <v>288</v>
      </c>
      <c r="B44" t="s">
        <v>1503</v>
      </c>
      <c r="C44" t="s">
        <v>1656</v>
      </c>
      <c r="D44" s="49" t="s">
        <v>1802</v>
      </c>
      <c r="E44" s="1" t="s">
        <v>289</v>
      </c>
      <c r="F44" s="1">
        <f>(6+10/60+53/3600)/24*2*PI()</f>
        <v>1.6182838268595756</v>
      </c>
      <c r="G44" s="1">
        <f>(6+10/60+53.1008/3600)/24*2*PI()</f>
        <v>1.6182911572424339</v>
      </c>
      <c r="H44" s="1" t="s">
        <v>290</v>
      </c>
      <c r="I44" s="1">
        <f>+(26+0/60+53/3600)/360*2*PI()</f>
        <v>0.45404255676951372</v>
      </c>
      <c r="J44" s="1">
        <f>+(26+0/60+53.354/3600)/360*2*PI()</f>
        <v>0.45404427300994488</v>
      </c>
      <c r="K44" s="14">
        <v>7.4</v>
      </c>
    </row>
    <row r="45" spans="1:11" x14ac:dyDescent="0.2">
      <c r="A45" s="1" t="s">
        <v>293</v>
      </c>
      <c r="B45" t="s">
        <v>1504</v>
      </c>
      <c r="C45" t="s">
        <v>1657</v>
      </c>
      <c r="D45" s="49" t="s">
        <v>1803</v>
      </c>
      <c r="E45" s="1" t="s">
        <v>294</v>
      </c>
      <c r="F45" s="1">
        <f>(6+17/60+42/3600)/24*2*PI()</f>
        <v>1.6480271461956455</v>
      </c>
      <c r="G45" s="1">
        <f>(6+17/60+42.0948554151/3600)/24*2*PI()</f>
        <v>1.6480340442760908</v>
      </c>
      <c r="H45" s="1" t="s">
        <v>295</v>
      </c>
      <c r="I45" s="1">
        <f>+(8+31/60+11/3600)/360*2*PI()</f>
        <v>0.14869720413310578</v>
      </c>
      <c r="J45" s="1">
        <f>+(8+31/60+11.392091128/3600)/360*2*PI()</f>
        <v>0.14869910504453673</v>
      </c>
      <c r="K45" s="14">
        <v>9.5</v>
      </c>
    </row>
    <row r="46" spans="1:11" x14ac:dyDescent="0.2">
      <c r="A46" s="5" t="s">
        <v>297</v>
      </c>
      <c r="B46" t="s">
        <v>1505</v>
      </c>
      <c r="C46" t="s">
        <v>1658</v>
      </c>
      <c r="D46" s="49" t="s">
        <v>1804</v>
      </c>
      <c r="E46" s="1" t="s">
        <v>298</v>
      </c>
      <c r="F46" s="1">
        <f>(6+22/60+23/3600)/24*2*PI()</f>
        <v>1.6684620428544124</v>
      </c>
      <c r="G46" s="1">
        <f>(6+22/60+23.8510657225/3600)/24*2*PI()</f>
        <v>1.6685239341002813</v>
      </c>
      <c r="H46" s="1" t="s">
        <v>299</v>
      </c>
      <c r="I46" s="1">
        <f>+(3+25/60+27/3600)/360*2*PI()</f>
        <v>5.9762982470372497E-2</v>
      </c>
      <c r="J46" s="1">
        <f>+(3+25/60+27.893619723/3600)/360*2*PI()</f>
        <v>5.9767314861046694E-2</v>
      </c>
      <c r="K46" s="14">
        <v>8.5</v>
      </c>
    </row>
    <row r="47" spans="1:11" x14ac:dyDescent="0.2">
      <c r="A47" s="5" t="s">
        <v>303</v>
      </c>
      <c r="B47" t="s">
        <v>1506</v>
      </c>
      <c r="C47" t="s">
        <v>1659</v>
      </c>
      <c r="D47" s="49" t="s">
        <v>1805</v>
      </c>
      <c r="E47" s="1" t="s">
        <v>304</v>
      </c>
      <c r="F47" s="1">
        <f>(6+24/60+2/3600)/24*2*PI()</f>
        <v>1.6756615260188894</v>
      </c>
      <c r="G47" s="1">
        <f>(6+24/60+2.3343432265/3600)/24*2*PI()</f>
        <v>1.6756858401444483</v>
      </c>
      <c r="H47" s="1" t="s">
        <v>305</v>
      </c>
      <c r="I47" s="1">
        <f>+(47+42/60+23/3600)/360*2*PI()</f>
        <v>0.83263356034795044</v>
      </c>
      <c r="J47" s="1">
        <f>+(47+42/60+23.852467269/3600)/360*2*PI()</f>
        <v>0.83263769322589765</v>
      </c>
      <c r="K47" s="14">
        <v>8.5</v>
      </c>
    </row>
    <row r="48" spans="1:11" x14ac:dyDescent="0.2">
      <c r="A48" s="5" t="s">
        <v>309</v>
      </c>
      <c r="B48" t="s">
        <v>1507</v>
      </c>
      <c r="C48" t="s">
        <v>1660</v>
      </c>
      <c r="D48" s="49" t="s">
        <v>1806</v>
      </c>
      <c r="E48" s="1" t="s">
        <v>310</v>
      </c>
      <c r="F48" s="1">
        <f>(6+25/60+28/3600)/24*2*PI()</f>
        <v>1.6819156225052023</v>
      </c>
      <c r="G48" s="1">
        <f>(6+25/60+28.1733900221/3600)/24*2*PI()</f>
        <v>1.6819282317834348</v>
      </c>
      <c r="H48" s="1" t="s">
        <v>311</v>
      </c>
      <c r="I48" s="1">
        <f>+(14+43/60+19/3600)/360*2*PI()</f>
        <v>0.25694640285124298</v>
      </c>
      <c r="J48" s="1">
        <f>+(14+43/60+19.186665187/3600)/360*2*PI()</f>
        <v>0.25694730782960745</v>
      </c>
      <c r="K48" s="14">
        <v>6</v>
      </c>
    </row>
    <row r="49" spans="1:11" x14ac:dyDescent="0.2">
      <c r="A49" s="1" t="s">
        <v>314</v>
      </c>
      <c r="B49" t="s">
        <v>1508</v>
      </c>
      <c r="C49" t="s">
        <v>1661</v>
      </c>
      <c r="D49" s="49" t="s">
        <v>1807</v>
      </c>
      <c r="E49" s="1" t="s">
        <v>315</v>
      </c>
      <c r="F49" s="1">
        <f>(6+34/60+45/3600)/24*2*PI()</f>
        <v>1.7224218055619038</v>
      </c>
      <c r="G49" s="1">
        <f>(6+34/60+44.6267205157/3600)/24*2*PI()</f>
        <v>1.7223946599117741</v>
      </c>
      <c r="H49" s="1" t="s">
        <v>316</v>
      </c>
      <c r="I49" s="1">
        <f>+(42+30/60+13/3600)/360*2*PI()</f>
        <v>0.74182795787613431</v>
      </c>
      <c r="J49" s="1">
        <f>+(42+30/60+12.773876172/3600)/360*2*PI()</f>
        <v>0.74182686159687983</v>
      </c>
      <c r="K49" s="14">
        <v>8.4</v>
      </c>
    </row>
    <row r="50" spans="1:11" x14ac:dyDescent="0.2">
      <c r="A50" s="5" t="s">
        <v>318</v>
      </c>
      <c r="B50" t="s">
        <v>1509</v>
      </c>
      <c r="C50" t="s">
        <v>1662</v>
      </c>
      <c r="D50" s="49" t="s">
        <v>1808</v>
      </c>
      <c r="E50" s="1" t="s">
        <v>319</v>
      </c>
      <c r="F50" s="1">
        <f>(6+36/60+32/3600)/24*2*PI()</f>
        <v>1.7302030651437117</v>
      </c>
      <c r="G50" s="1">
        <f>(6+36/60+32.8375658812/3600)/24*2*PI()</f>
        <v>1.7302639746534174</v>
      </c>
      <c r="H50" s="1" t="s">
        <v>320</v>
      </c>
      <c r="I50" s="1">
        <f>+(38+26/60+43/3600)/360*2*PI()</f>
        <v>0.67099667906603111</v>
      </c>
      <c r="J50" s="1">
        <f>+(38+26/60+43.833646997/3600)/360*2*PI()</f>
        <v>0.67100072070072458</v>
      </c>
      <c r="K50" s="14">
        <v>5.0999999999999996</v>
      </c>
    </row>
    <row r="51" spans="1:11" x14ac:dyDescent="0.2">
      <c r="A51" s="5" t="s">
        <v>323</v>
      </c>
      <c r="B51" t="s">
        <v>1510</v>
      </c>
      <c r="C51" t="s">
        <v>1663</v>
      </c>
      <c r="D51" s="49" t="s">
        <v>1809</v>
      </c>
      <c r="E51" s="1" t="s">
        <v>324</v>
      </c>
      <c r="F51" s="1">
        <f>(6+42/60+8/3600)/24*2*PI()</f>
        <v>1.7546376746716326</v>
      </c>
      <c r="G51" s="1">
        <f>(6+42/60+8.587516599/3600)/24*2*PI()</f>
        <v>1.7546804000843936</v>
      </c>
      <c r="H51" s="1" t="s">
        <v>325</v>
      </c>
      <c r="I51" s="1">
        <f>+(31+27/60+17/3600)/360*2*PI()</f>
        <v>0.54898846807800528</v>
      </c>
      <c r="J51" s="1">
        <f>+(31+27/60+17.551468556/3600)/360*2*PI()</f>
        <v>0.54899114167301177</v>
      </c>
      <c r="K51" s="14">
        <v>8.1</v>
      </c>
    </row>
    <row r="52" spans="1:11" x14ac:dyDescent="0.2">
      <c r="A52" s="5" t="s">
        <v>328</v>
      </c>
      <c r="B52" t="s">
        <v>1511</v>
      </c>
      <c r="C52" t="s">
        <v>1664</v>
      </c>
      <c r="D52" s="49" t="s">
        <v>1810</v>
      </c>
      <c r="E52" s="1" t="s">
        <v>329</v>
      </c>
      <c r="F52" s="1">
        <f>(6+53/60+11/3600)/24*2*PI()</f>
        <v>1.8028523952579758</v>
      </c>
      <c r="G52" s="1">
        <f>(6+53/60+11.3118881621/3600)/24*2*PI()</f>
        <v>1.80287507640517</v>
      </c>
      <c r="H52" s="1" t="s">
        <v>330</v>
      </c>
      <c r="I52" s="1">
        <f>-(4+34/60+34/3600)/360*2*PI()</f>
        <v>-7.9868205825984945E-2</v>
      </c>
      <c r="J52" s="1">
        <f>-(4+34/60+34.016372373/3600)/360*2*PI()</f>
        <v>-7.986828520148917E-2</v>
      </c>
      <c r="K52" s="14">
        <v>8.1</v>
      </c>
    </row>
    <row r="53" spans="1:11" x14ac:dyDescent="0.2">
      <c r="A53" s="1" t="s">
        <v>333</v>
      </c>
      <c r="B53" t="s">
        <v>1512</v>
      </c>
      <c r="C53" t="s">
        <v>1665</v>
      </c>
      <c r="D53" s="49" t="s">
        <v>1811</v>
      </c>
      <c r="E53" s="1" t="s">
        <v>334</v>
      </c>
      <c r="F53" s="1">
        <f>(6+54/60+27/3600)/24*2*PI()</f>
        <v>1.8083792712226248</v>
      </c>
      <c r="G53" s="1">
        <f>(6+54/60+26.6836612589/3600)/24*2*PI()</f>
        <v>1.8083562664201924</v>
      </c>
      <c r="H53" s="1" t="s">
        <v>335</v>
      </c>
      <c r="I53" s="1">
        <f>-(42+21/60+56/3600)/360*2*PI()</f>
        <v>-0.73941843388101991</v>
      </c>
      <c r="J53" s="1">
        <f>-(42+21/60+56.056266157/3600)/360*2*PI()</f>
        <v>-0.7394187066670469</v>
      </c>
      <c r="K53" s="14">
        <v>6.2</v>
      </c>
    </row>
    <row r="54" spans="1:11" x14ac:dyDescent="0.2">
      <c r="A54" s="5" t="s">
        <v>339</v>
      </c>
      <c r="B54" t="s">
        <v>1513</v>
      </c>
      <c r="C54" t="s">
        <v>1666</v>
      </c>
      <c r="D54" s="49" t="s">
        <v>1812</v>
      </c>
      <c r="E54" s="1" t="s">
        <v>340</v>
      </c>
      <c r="F54" s="1">
        <f>(6+58/60+21/3600)/24*2*PI()</f>
        <v>1.8253962314295693</v>
      </c>
      <c r="G54" s="1">
        <f>(6+58/60+21.4890395542/3600)/24*2*PI()</f>
        <v>1.8254317953895414</v>
      </c>
      <c r="H54" s="1" t="s">
        <v>341</v>
      </c>
      <c r="I54" s="1">
        <f>+(6+10/60+1/3600)/360*2*PI()</f>
        <v>0.1076334853431281</v>
      </c>
      <c r="J54" s="1">
        <f>+(6+10/60+1.560306362/3600)/360*2*PI()</f>
        <v>0.1076362017850272</v>
      </c>
      <c r="K54" s="14">
        <v>7</v>
      </c>
    </row>
    <row r="55" spans="1:11" x14ac:dyDescent="0.2">
      <c r="A55" s="5" t="s">
        <v>344</v>
      </c>
      <c r="B55" t="s">
        <v>1514</v>
      </c>
      <c r="C55" t="s">
        <v>1667</v>
      </c>
      <c r="D55" s="49" t="s">
        <v>1813</v>
      </c>
      <c r="E55" s="1" t="s">
        <v>345</v>
      </c>
      <c r="F55" s="1">
        <f>(7+1/60+1/3600)/24*2*PI()</f>
        <v>1.837031759776198</v>
      </c>
      <c r="G55" s="1">
        <f>(7+1/60+1.9534139083/3600)/24*2*PI()</f>
        <v>1.8371010939921737</v>
      </c>
      <c r="H55" s="1" t="s">
        <v>346</v>
      </c>
      <c r="I55" s="1">
        <f>-(3+15/60+9/3600)/360*2*PI()</f>
        <v>-5.6766833921115561E-2</v>
      </c>
      <c r="J55" s="1">
        <f>-(3+15/60+9.134056845/3600)/360*2*PI()</f>
        <v>-5.6767483847040598E-2</v>
      </c>
      <c r="K55" s="14">
        <v>7</v>
      </c>
    </row>
    <row r="56" spans="1:11" x14ac:dyDescent="0.2">
      <c r="A56" s="20" t="s">
        <v>349</v>
      </c>
      <c r="B56" t="s">
        <v>1515</v>
      </c>
      <c r="C56" t="s">
        <v>1668</v>
      </c>
      <c r="D56" s="49" t="s">
        <v>1814</v>
      </c>
      <c r="E56" s="1" t="s">
        <v>350</v>
      </c>
      <c r="F56" s="1">
        <f>(7+6/60+56/3600)/24*2*PI()</f>
        <v>1.8628480882952809</v>
      </c>
      <c r="G56" s="1">
        <f>(7+6/60+56.4751624597/3600)/24*2*PI()</f>
        <v>1.8628826430844629</v>
      </c>
      <c r="H56" s="1" t="s">
        <v>351</v>
      </c>
      <c r="I56" s="1">
        <f>-(7+33/60+26/3600)/360*2*PI()</f>
        <v>-0.13189841008266034</v>
      </c>
      <c r="J56" s="1">
        <f>-(7+33/60+26.50495325/3600)/360*2*PI()</f>
        <v>-0.13190085816509958</v>
      </c>
      <c r="K56" s="14">
        <v>7.5</v>
      </c>
    </row>
    <row r="57" spans="1:11" x14ac:dyDescent="0.2">
      <c r="A57" s="5" t="s">
        <v>355</v>
      </c>
      <c r="B57" t="s">
        <v>1516</v>
      </c>
      <c r="C57" t="s">
        <v>1669</v>
      </c>
      <c r="D57" s="49" t="s">
        <v>1815</v>
      </c>
      <c r="E57" s="1" t="s">
        <v>356</v>
      </c>
      <c r="F57" s="1">
        <f>(7+8/60+3/3600)/24*2*PI()</f>
        <v>1.8677204657904318</v>
      </c>
      <c r="G57" s="1">
        <f>(7+8/60+3.4363216943/3600)/24*2*PI()</f>
        <v>1.8677521959994461</v>
      </c>
      <c r="H57" s="1" t="s">
        <v>357</v>
      </c>
      <c r="I57" s="1">
        <f>-(11+55/60+23/3600)/360*2*PI()</f>
        <v>-0.20809657634264614</v>
      </c>
      <c r="J57" s="1">
        <f>-(11+55/60+23.793216538/3600)/360*2*PI()</f>
        <v>-0.20810042196494316</v>
      </c>
      <c r="K57" s="14">
        <v>6.4</v>
      </c>
    </row>
    <row r="58" spans="1:11" x14ac:dyDescent="0.2">
      <c r="A58" s="5" t="s">
        <v>360</v>
      </c>
      <c r="B58" t="s">
        <v>1517</v>
      </c>
      <c r="C58" t="s">
        <v>1670</v>
      </c>
      <c r="D58" s="49" t="s">
        <v>1816</v>
      </c>
      <c r="E58" s="1" t="s">
        <v>361</v>
      </c>
      <c r="F58" s="1">
        <f>(7+8/60+42/3600)/24*2*PI()</f>
        <v>1.8705566258249229</v>
      </c>
      <c r="G58" s="1">
        <f>(7+8/60+42.6121867471/3600)/24*2*PI()</f>
        <v>1.8706011453014808</v>
      </c>
      <c r="H58" s="1" t="s">
        <v>362</v>
      </c>
      <c r="I58" s="1">
        <f>+(10+1/60+26/3600)/360*2*PI()</f>
        <v>0.17494986496518714</v>
      </c>
      <c r="J58" s="1">
        <f>+(10+1/60+26.464001661/3600)/360*2*PI()</f>
        <v>0.17495211450872028</v>
      </c>
      <c r="K58" s="14">
        <v>7.3</v>
      </c>
    </row>
    <row r="59" spans="1:11" x14ac:dyDescent="0.2">
      <c r="A59" s="5" t="s">
        <v>367</v>
      </c>
      <c r="B59" t="s">
        <v>1518</v>
      </c>
      <c r="C59" t="s">
        <v>1671</v>
      </c>
      <c r="D59" s="49" t="s">
        <v>1817</v>
      </c>
      <c r="E59" s="1" t="s">
        <v>368</v>
      </c>
      <c r="F59" s="1">
        <f>(7+20/60+59/3600)/24*2*PI()</f>
        <v>1.9241527782715819</v>
      </c>
      <c r="G59" s="1">
        <f>(7+20/60+59.0073994507/3600)/24*2*PI()</f>
        <v>1.9241533163748217</v>
      </c>
      <c r="H59" s="1" t="s">
        <v>369</v>
      </c>
      <c r="I59" s="1">
        <f>+(24+59/60+58/3600)/360*2*PI()</f>
        <v>0.43632261672496025</v>
      </c>
      <c r="J59" s="1">
        <f>+(24+59/60+58.090785507/3600)/360*2*PI()</f>
        <v>0.43632305686551859</v>
      </c>
      <c r="K59" s="14">
        <v>8.3000000000000007</v>
      </c>
    </row>
    <row r="60" spans="1:11" x14ac:dyDescent="0.2">
      <c r="A60" s="5" t="s">
        <v>373</v>
      </c>
      <c r="B60" t="s">
        <v>1519</v>
      </c>
      <c r="C60" t="s">
        <v>1672</v>
      </c>
      <c r="D60" s="49" t="s">
        <v>1818</v>
      </c>
      <c r="E60" s="1" t="s">
        <v>374</v>
      </c>
      <c r="F60" s="1">
        <f>(7+21/60+44/3600)/24*2*PI()</f>
        <v>1.9274252706190711</v>
      </c>
      <c r="G60" s="1">
        <f>(7+21/60+44.1178182168/3600)/24*2*PI()</f>
        <v>1.9274338386015792</v>
      </c>
      <c r="H60" s="1" t="s">
        <v>375</v>
      </c>
      <c r="I60" s="1">
        <f>+(69+40/60+14/3600)/360*2*PI()</f>
        <v>1.2159805861380717</v>
      </c>
      <c r="J60" s="1">
        <f>+(69+40/60+14.72581853/3600)/360*2*PI()</f>
        <v>1.2159841050056051</v>
      </c>
      <c r="K60" s="14">
        <v>8.1</v>
      </c>
    </row>
    <row r="61" spans="1:11" x14ac:dyDescent="0.2">
      <c r="A61" s="1" t="s">
        <v>380</v>
      </c>
      <c r="B61" t="s">
        <v>1520</v>
      </c>
      <c r="C61" t="s">
        <v>1673</v>
      </c>
      <c r="D61" s="49" t="s">
        <v>1819</v>
      </c>
      <c r="E61" s="1" t="s">
        <v>381</v>
      </c>
      <c r="F61" s="1">
        <f>(7+23/60+39/3600)/24*2*PI()</f>
        <v>1.9357883066182109</v>
      </c>
      <c r="G61" s="1">
        <f>(7+23/60+38.5731155667/3600)/24*2*PI()</f>
        <v>1.9357572627061834</v>
      </c>
      <c r="H61" s="1" t="s">
        <v>382</v>
      </c>
      <c r="I61" s="1">
        <f>-(22+58/60+11/3600)/360*2*PI()</f>
        <v>-0.40089728104628641</v>
      </c>
      <c r="J61" s="1">
        <f>-(22+58/60+10.770118401/3600)/360*2*PI()</f>
        <v>-0.40089616654884408</v>
      </c>
      <c r="K61" s="14">
        <v>7</v>
      </c>
    </row>
    <row r="62" spans="1:11" x14ac:dyDescent="0.2">
      <c r="A62" s="5" t="s">
        <v>385</v>
      </c>
      <c r="B62" t="s">
        <v>1521</v>
      </c>
      <c r="C62" t="s">
        <v>1674</v>
      </c>
      <c r="D62" s="49" t="s">
        <v>1820</v>
      </c>
      <c r="E62" s="1" t="s">
        <v>386</v>
      </c>
      <c r="F62" s="1">
        <f>(7+31/60+54/3600)/24*2*PI()</f>
        <v>1.9717857224405937</v>
      </c>
      <c r="G62" s="1">
        <f>(7+31/60+54.5215639809/3600)/24*2*PI()</f>
        <v>1.9718236516436207</v>
      </c>
      <c r="H62" s="1" t="s">
        <v>387</v>
      </c>
      <c r="I62" s="1">
        <f>+(24+30/60+12/3600)/360*2*PI()</f>
        <v>0.42766384438034388</v>
      </c>
      <c r="J62" s="1">
        <f>+(24+30/60+12.543689289/3600)/360*2*PI()</f>
        <v>0.42766648026039966</v>
      </c>
      <c r="K62" s="14">
        <v>7.4</v>
      </c>
    </row>
    <row r="63" spans="1:11" x14ac:dyDescent="0.2">
      <c r="A63" s="1" t="s">
        <v>391</v>
      </c>
      <c r="B63" t="s">
        <v>1522</v>
      </c>
      <c r="C63" t="s">
        <v>1675</v>
      </c>
      <c r="D63" s="49" t="s">
        <v>1821</v>
      </c>
      <c r="E63" s="1" t="s">
        <v>392</v>
      </c>
      <c r="F63" s="1">
        <f>(7+48/60+46/3600)/24*2*PI()</f>
        <v>2.0453804392330213</v>
      </c>
      <c r="G63" s="1">
        <f>(7+48/60+45.5270613029/3600)/24*2*PI()</f>
        <v>2.0453460461604189</v>
      </c>
      <c r="H63" s="1" t="s">
        <v>393</v>
      </c>
      <c r="I63" s="1">
        <f>+(5+23/60+35/3600)/360*2*PI()</f>
        <v>9.4126576187416405E-2</v>
      </c>
      <c r="J63" s="1">
        <f>+(5+23/60+35.39215493/3600)/360*2*PI()</f>
        <v>9.4128477408168196E-2</v>
      </c>
      <c r="K63" s="14">
        <v>8.6999999999999993</v>
      </c>
    </row>
    <row r="64" spans="1:11" x14ac:dyDescent="0.2">
      <c r="A64" s="1" t="s">
        <v>396</v>
      </c>
      <c r="B64" t="s">
        <v>1523</v>
      </c>
      <c r="C64" t="s">
        <v>1676</v>
      </c>
      <c r="D64" s="49" t="s">
        <v>1822</v>
      </c>
      <c r="E64" s="1" t="s">
        <v>397</v>
      </c>
      <c r="F64" s="1">
        <f>(8+5/60+20/3600)/24*2*PI()</f>
        <v>2.1176661590864536</v>
      </c>
      <c r="G64" s="1">
        <f>(8+5/60+19.9851287871/3600)/24*2*PI()</f>
        <v>2.117665077621333</v>
      </c>
      <c r="H64" s="1" t="s">
        <v>398</v>
      </c>
      <c r="I64" s="1">
        <f>-(38+46/60+36/3600)/360*2*PI()</f>
        <v>-0.67678050628166775</v>
      </c>
      <c r="J64" s="1">
        <f>-(38+46/60+36.07714682/3600)/360*2*PI()</f>
        <v>-0.67678088030000572</v>
      </c>
      <c r="K64" s="14">
        <v>7</v>
      </c>
    </row>
    <row r="65" spans="1:11" x14ac:dyDescent="0.2">
      <c r="A65" s="5" t="s">
        <v>401</v>
      </c>
      <c r="B65" t="s">
        <v>1524</v>
      </c>
      <c r="C65" t="s">
        <v>1677</v>
      </c>
      <c r="D65" s="49" t="s">
        <v>1823</v>
      </c>
      <c r="E65" s="1" t="s">
        <v>402</v>
      </c>
      <c r="F65" s="1">
        <f>(8+7/60+29/3600)/24*2*PI()</f>
        <v>2.1270473038159228</v>
      </c>
      <c r="G65" s="1">
        <f>(8+7/60+29.8293860175/3600)/24*2*PI()</f>
        <v>2.1271076184691533</v>
      </c>
      <c r="H65" s="1" t="s">
        <v>403</v>
      </c>
      <c r="I65" s="1">
        <f>-(22+54/60+45/3600)/360*2*PI()</f>
        <v>-0.39989856486320075</v>
      </c>
      <c r="J65" s="1">
        <f>-(22+54/60+45.26929318/3600)/360*2*PI()</f>
        <v>-0.39989987043337966</v>
      </c>
      <c r="K65" s="14">
        <v>8.1</v>
      </c>
    </row>
    <row r="66" spans="1:11" x14ac:dyDescent="0.2">
      <c r="A66" s="13" t="s">
        <v>407</v>
      </c>
      <c r="B66" t="s">
        <v>1525</v>
      </c>
      <c r="C66" t="s">
        <v>1678</v>
      </c>
      <c r="D66" s="49" t="s">
        <v>1824</v>
      </c>
      <c r="E66" s="1" t="s">
        <v>408</v>
      </c>
      <c r="F66" s="1">
        <f>(8+11/60+41/3600)/24*2*PI()</f>
        <v>2.145373260961863</v>
      </c>
      <c r="G66" s="1">
        <f>(8+11/60+41.07499534/3600)/24*2*PI()</f>
        <v>2.145378714776891</v>
      </c>
      <c r="H66" s="1" t="s">
        <v>409</v>
      </c>
      <c r="I66" s="1">
        <f>-(21+12/60+37/3600)/360*2*PI()</f>
        <v>-0.37018918248480837</v>
      </c>
      <c r="J66" s="1">
        <f>-(21+12/60+36.659151351/3600)/360*2*PI()</f>
        <v>-0.37018753000392618</v>
      </c>
      <c r="K66" s="14">
        <v>8.1999999999999993</v>
      </c>
    </row>
    <row r="67" spans="1:11" x14ac:dyDescent="0.2">
      <c r="A67" s="13" t="s">
        <v>412</v>
      </c>
      <c r="B67" t="s">
        <v>1526</v>
      </c>
      <c r="C67" t="s">
        <v>1679</v>
      </c>
      <c r="D67" s="49" t="s">
        <v>1825</v>
      </c>
      <c r="E67" s="1" t="s">
        <v>413</v>
      </c>
      <c r="F67" s="1">
        <f>(8+20/60+6/3600)/24*2*PI()</f>
        <v>2.1820978973059106</v>
      </c>
      <c r="G67" s="1">
        <f>(8+20/60+6.3199265844/3600)/24*2*PI()</f>
        <v>2.182121163023671</v>
      </c>
      <c r="H67" s="1" t="s">
        <v>414</v>
      </c>
      <c r="I67" s="1">
        <f>+(2+45/60+56/3600)/360*2*PI()</f>
        <v>4.8268050091265405E-2</v>
      </c>
      <c r="J67" s="1">
        <f>+(2+45/60+56.187586093/3600)/360*2*PI()</f>
        <v>4.8268959534308126E-2</v>
      </c>
      <c r="K67" s="14">
        <v>8.3000000000000007</v>
      </c>
    </row>
    <row r="68" spans="1:11" x14ac:dyDescent="0.2">
      <c r="A68" s="1" t="s">
        <v>416</v>
      </c>
      <c r="B68" t="s">
        <v>1527</v>
      </c>
      <c r="C68" t="s">
        <v>1680</v>
      </c>
      <c r="D68" s="49" t="s">
        <v>1826</v>
      </c>
      <c r="E68" s="1" t="s">
        <v>417</v>
      </c>
      <c r="F68" s="1">
        <f>(8+22/60+44/3600)/24*2*PI()</f>
        <v>2.1935879815482067</v>
      </c>
      <c r="G68" s="1">
        <f>(8+22/60+44.1592668198/3600)/24*2*PI()</f>
        <v>2.1935995637581844</v>
      </c>
      <c r="H68" s="1" t="s">
        <v>418</v>
      </c>
      <c r="I68" s="1">
        <f>-(15+54/60+59/3600)/360*2*PI()</f>
        <v>-0.27779339113895302</v>
      </c>
      <c r="J68" s="1">
        <f>-(15+54/60+59.370894366/3600)/360*2*PI()</f>
        <v>-0.27779518928558189</v>
      </c>
      <c r="K68" s="14">
        <v>8.9</v>
      </c>
    </row>
    <row r="69" spans="1:11" x14ac:dyDescent="0.2">
      <c r="A69" s="13" t="s">
        <v>422</v>
      </c>
      <c r="B69" t="s">
        <v>1528</v>
      </c>
      <c r="C69" t="s">
        <v>1681</v>
      </c>
      <c r="D69" s="49" t="s">
        <v>1827</v>
      </c>
      <c r="E69" s="1" t="s">
        <v>423</v>
      </c>
      <c r="F69" s="1">
        <f>(8+28/60+14/3600)/24*2*PI()</f>
        <v>2.2175862587631285</v>
      </c>
      <c r="G69" s="1">
        <f>(8+28/60+13.5034269281/3600)/24*2*PI()</f>
        <v>2.2175501469502894</v>
      </c>
      <c r="H69" s="1" t="s">
        <v>424</v>
      </c>
      <c r="I69" s="1">
        <f>-(27+15/60+28/3600)/360*2*PI()</f>
        <v>-0.47573796899916543</v>
      </c>
      <c r="J69" s="1">
        <f>-(27+15/60+28.418913584/3600)/360*2*PI()</f>
        <v>-0.47573999994953275</v>
      </c>
      <c r="K69" s="14">
        <v>8.5</v>
      </c>
    </row>
    <row r="70" spans="1:11" x14ac:dyDescent="0.2">
      <c r="A70" s="1" t="s">
        <v>428</v>
      </c>
      <c r="B70" t="s">
        <v>1529</v>
      </c>
      <c r="C70" t="s">
        <v>1682</v>
      </c>
      <c r="D70" s="49" t="s">
        <v>1828</v>
      </c>
      <c r="E70" s="1" t="s">
        <v>429</v>
      </c>
      <c r="F70" s="1">
        <f>(8+46/60+36/3600)/24*2*PI()</f>
        <v>2.2977259602505349</v>
      </c>
      <c r="G70" s="1">
        <f>(8+46/60+36.3325118676/3600)/24*2*PI()</f>
        <v>2.2977501411959165</v>
      </c>
      <c r="H70" s="1" t="s">
        <v>430</v>
      </c>
      <c r="I70" s="1">
        <f>-(29+43/60+41/3600)/360*2*PI()</f>
        <v>-0.51885244966023636</v>
      </c>
      <c r="J70" s="1">
        <f>-(29+43/60+41.199009993/3600)/360*2*PI()</f>
        <v>-0.51885341448790934</v>
      </c>
      <c r="K70" s="14">
        <v>7</v>
      </c>
    </row>
    <row r="71" spans="1:11" x14ac:dyDescent="0.2">
      <c r="A71" s="5" t="s">
        <v>433</v>
      </c>
      <c r="B71" t="s">
        <v>1530</v>
      </c>
      <c r="C71" t="s">
        <v>1683</v>
      </c>
      <c r="D71" s="49" t="s">
        <v>1829</v>
      </c>
      <c r="E71" s="1" t="s">
        <v>434</v>
      </c>
      <c r="F71" s="1">
        <f>(8+55/60+22/3600)/24*2*PI()</f>
        <v>2.3359777596900768</v>
      </c>
      <c r="G71" s="1">
        <f>(8+55/60+22.8824572992/3600)/24*2*PI()</f>
        <v>2.336041933795824</v>
      </c>
      <c r="H71" s="1" t="s">
        <v>435</v>
      </c>
      <c r="I71" s="1">
        <f>+(17+13/60+52/3600)/360*2*PI()</f>
        <v>0.30073962266586729</v>
      </c>
      <c r="J71" s="1">
        <f>+(17+13/60+52.58534679/3600)/360*2*PI()</f>
        <v>0.30074246050718717</v>
      </c>
      <c r="K71" s="14">
        <v>5.6</v>
      </c>
    </row>
    <row r="72" spans="1:11" x14ac:dyDescent="0.2">
      <c r="A72" s="20" t="s">
        <v>439</v>
      </c>
      <c r="B72" t="s">
        <v>1531</v>
      </c>
      <c r="C72" t="s">
        <v>1684</v>
      </c>
      <c r="D72" s="49" t="s">
        <v>1830</v>
      </c>
      <c r="E72" s="1" t="s">
        <v>440</v>
      </c>
      <c r="F72" s="1">
        <f>(8+56/60+40/3600)/24*2*PI()</f>
        <v>2.3416500797590585</v>
      </c>
      <c r="G72" s="1">
        <f>(8+56/60+40.146/3600)/24*2*PI()</f>
        <v>2.3416606971786753</v>
      </c>
      <c r="H72" s="1" t="s">
        <v>441</v>
      </c>
      <c r="I72" s="1">
        <f>+(19+50/60+56/3600)/360*2*PI()</f>
        <v>0.34642846397362997</v>
      </c>
      <c r="J72" s="1">
        <f>+(19+50/60+56.95/3600)/360*2*PI()</f>
        <v>0.34643306970360055</v>
      </c>
      <c r="K72" s="14">
        <v>7.6</v>
      </c>
    </row>
    <row r="73" spans="1:11" x14ac:dyDescent="0.2">
      <c r="A73" s="1" t="s">
        <v>445</v>
      </c>
      <c r="B73" t="s">
        <v>1532</v>
      </c>
      <c r="C73" t="s">
        <v>1685</v>
      </c>
      <c r="D73" s="49" t="s">
        <v>1831</v>
      </c>
      <c r="E73" s="1" t="s">
        <v>446</v>
      </c>
      <c r="F73" s="1">
        <f>(9+18/60+24/3600)/24*2*PI()</f>
        <v>2.4364796357840839</v>
      </c>
      <c r="G73" s="1">
        <f>(9+18/60+24.4028300279/3600)/24*2*PI()</f>
        <v>2.4365089304103873</v>
      </c>
      <c r="H73" s="1" t="s">
        <v>447</v>
      </c>
      <c r="I73" s="1">
        <f>+(51+24/60+7/3600)/360*2*PI()</f>
        <v>0.89713317248276314</v>
      </c>
      <c r="J73" s="1">
        <f>+(51+24/60+7.442331275/3600)/360*2*PI()</f>
        <v>0.89713531696530002</v>
      </c>
      <c r="K73" s="14">
        <v>8.6</v>
      </c>
    </row>
    <row r="74" spans="1:11" x14ac:dyDescent="0.2">
      <c r="A74" s="20" t="s">
        <v>449</v>
      </c>
      <c r="B74" t="s">
        <v>1533</v>
      </c>
      <c r="C74" t="s">
        <v>1686</v>
      </c>
      <c r="D74" s="49" t="s">
        <v>1832</v>
      </c>
      <c r="E74" s="1" t="s">
        <v>450</v>
      </c>
      <c r="F74" s="1">
        <f>(9+51/60+3/3600)/24*2*PI()</f>
        <v>2.5789421359781208</v>
      </c>
      <c r="G74" s="1">
        <f>(9+51/60+3.718362374/3600)/24*2*PI()</f>
        <v>2.5789943767641574</v>
      </c>
      <c r="H74" s="1" t="s">
        <v>451</v>
      </c>
      <c r="I74" s="1">
        <f>-(23+1/60+2/3600)/360*2*PI()</f>
        <v>-0.40172631244098361</v>
      </c>
      <c r="J74" s="1">
        <f>-(23+1/60+2.359218355/3600)/360*2*PI()</f>
        <v>-0.40172805398071376</v>
      </c>
      <c r="K74" s="14">
        <v>6.5</v>
      </c>
    </row>
    <row r="75" spans="1:11" x14ac:dyDescent="0.2">
      <c r="A75" s="13" t="s">
        <v>455</v>
      </c>
      <c r="B75" t="s">
        <v>1534</v>
      </c>
      <c r="C75" t="s">
        <v>1687</v>
      </c>
      <c r="D75" s="49" t="s">
        <v>1833</v>
      </c>
      <c r="E75" s="1" t="s">
        <v>456</v>
      </c>
      <c r="F75" s="1">
        <f>(9+55/60+26/3600)/24*2*PI()</f>
        <v>2.5980680356978918</v>
      </c>
      <c r="G75" s="1">
        <f>(9+55/60+26.1119127674/3600)/24*2*PI()</f>
        <v>2.5980761742240013</v>
      </c>
      <c r="H75" s="1" t="s">
        <v>457</v>
      </c>
      <c r="I75" s="1">
        <f>-(41+35/60+13/3600)/360*2*PI()</f>
        <v>-0.72582910639951959</v>
      </c>
      <c r="J75" s="1">
        <f>-(41+35/60+12.790399779/3600)/360*2*PI()</f>
        <v>-0.72582809022897266</v>
      </c>
      <c r="K75" s="14">
        <v>6.5</v>
      </c>
    </row>
    <row r="76" spans="1:11" x14ac:dyDescent="0.2">
      <c r="A76" s="1" t="s">
        <v>460</v>
      </c>
      <c r="B76" t="s">
        <v>1535</v>
      </c>
      <c r="C76" t="s">
        <v>1688</v>
      </c>
      <c r="D76" s="49" t="s">
        <v>1834</v>
      </c>
      <c r="E76" s="1" t="s">
        <v>461</v>
      </c>
      <c r="F76" s="1">
        <f>(9+59/60+52/3600)/24*2*PI()</f>
        <v>2.6174121015741627</v>
      </c>
      <c r="G76" s="1">
        <f>(9+59/60+51.712598518/3600)/24*2*PI()</f>
        <v>2.617391201148596</v>
      </c>
      <c r="H76" s="1" t="s">
        <v>462</v>
      </c>
      <c r="I76" s="1">
        <f>-(60+13/60+6/3600)/360*2*PI()</f>
        <v>-1.0510081867301186</v>
      </c>
      <c r="J76" s="1">
        <f>-(60+13/60+6.03813835/3600)/360*2*PI()</f>
        <v>-1.0510083716300573</v>
      </c>
      <c r="K76" s="14">
        <v>7.5</v>
      </c>
    </row>
    <row r="77" spans="1:11" x14ac:dyDescent="0.2">
      <c r="A77" s="1" t="s">
        <v>464</v>
      </c>
      <c r="B77" t="s">
        <v>1536</v>
      </c>
      <c r="C77" t="s">
        <v>1689</v>
      </c>
      <c r="D77" s="49" t="s">
        <v>1835</v>
      </c>
      <c r="E77" s="1" t="s">
        <v>465</v>
      </c>
      <c r="F77" s="1">
        <f>(10+11/60+54/3600)/24*2*PI()</f>
        <v>2.6699174232383256</v>
      </c>
      <c r="G77" s="1">
        <f>(10+11/60+53.8202076159/3600)/24*2*PI()</f>
        <v>2.66990434836719</v>
      </c>
      <c r="H77" s="1" t="s">
        <v>466</v>
      </c>
      <c r="I77" s="1">
        <f>-(35+19/60+29/3600)/360*2*PI()</f>
        <v>-0.61653271013018585</v>
      </c>
      <c r="J77" s="1">
        <f>-(35+19/60+29.049590887/3600)/360*2*PI()</f>
        <v>-0.61653295055359059</v>
      </c>
      <c r="K77" s="14">
        <v>6.8</v>
      </c>
    </row>
    <row r="78" spans="1:11" x14ac:dyDescent="0.2">
      <c r="A78" s="1" t="s">
        <v>469</v>
      </c>
      <c r="B78" t="s">
        <v>1537</v>
      </c>
      <c r="C78" t="s">
        <v>1690</v>
      </c>
      <c r="D78" s="49" t="s">
        <v>1836</v>
      </c>
      <c r="E78" s="1" t="s">
        <v>470</v>
      </c>
      <c r="F78" s="1">
        <f>(10+35/60+13/3600)/24*2*PI()</f>
        <v>2.771655574219162</v>
      </c>
      <c r="G78" s="1">
        <f>(10+35/60+12.8508908507/3600)/24*2*PI()</f>
        <v>2.7716447306958281</v>
      </c>
      <c r="H78" s="1" t="s">
        <v>471</v>
      </c>
      <c r="I78" s="1">
        <f>-(39+33/60+45/3600)/360*2*PI()</f>
        <v>-0.69049588532025663</v>
      </c>
      <c r="J78" s="1">
        <f>-(39+33/60+45.320533564/3600)/360*2*PI()</f>
        <v>-0.6904974393108273</v>
      </c>
      <c r="K78" s="14">
        <v>6</v>
      </c>
    </row>
    <row r="79" spans="1:11" x14ac:dyDescent="0.2">
      <c r="A79" s="5" t="s">
        <v>475</v>
      </c>
      <c r="B79" t="s">
        <v>1538</v>
      </c>
      <c r="C79" t="s">
        <v>1691</v>
      </c>
      <c r="D79" s="49" t="s">
        <v>1837</v>
      </c>
      <c r="E79" s="1" t="s">
        <v>476</v>
      </c>
      <c r="F79" s="1">
        <f>(10+37/60+33/3600)/24*2*PI()</f>
        <v>2.7818366615224623</v>
      </c>
      <c r="G79" s="1">
        <f>(10+37/60+33.2729535/3600)/24*2*PI()</f>
        <v>2.781856511261128</v>
      </c>
      <c r="H79" s="1" t="s">
        <v>477</v>
      </c>
      <c r="I79" s="1">
        <f>-(13+23/60+4/3600)/360*2*PI()</f>
        <v>-0.23360262410581881</v>
      </c>
      <c r="J79" s="1">
        <f>-(13+23/60+4.352923/3600)/360*2*PI()</f>
        <v>-0.23360433512480658</v>
      </c>
      <c r="K79" s="14">
        <v>4.5</v>
      </c>
    </row>
    <row r="80" spans="1:11" x14ac:dyDescent="0.2">
      <c r="A80" s="5" t="s">
        <v>481</v>
      </c>
      <c r="B80" t="s">
        <v>1539</v>
      </c>
      <c r="C80" t="s">
        <v>1692</v>
      </c>
      <c r="D80" s="49" t="s">
        <v>1838</v>
      </c>
      <c r="E80" s="1" t="s">
        <v>482</v>
      </c>
      <c r="F80" s="1">
        <f>(10+45/60+4/3600)/24*2*PI()</f>
        <v>2.8146343070495221</v>
      </c>
      <c r="G80" s="1">
        <f>(10+45/60+4.0305145913/3600)/24*2*PI()</f>
        <v>2.8146365261332225</v>
      </c>
      <c r="H80" s="1" t="s">
        <v>483</v>
      </c>
      <c r="I80" s="1">
        <f>+(67+24/60+40/3600)/360*2*PI()</f>
        <v>1.1765458413166219</v>
      </c>
      <c r="J80" s="1">
        <f>+(67+24/60+40.983504682/3600)/360*2*PI()</f>
        <v>1.1765506094818747</v>
      </c>
      <c r="K80" s="14">
        <v>5.9</v>
      </c>
    </row>
    <row r="81" spans="1:11" x14ac:dyDescent="0.2">
      <c r="A81" s="1" t="s">
        <v>486</v>
      </c>
      <c r="B81" t="s">
        <v>1540</v>
      </c>
      <c r="C81" t="s">
        <v>1693</v>
      </c>
      <c r="D81" s="49" t="s">
        <v>1839</v>
      </c>
      <c r="E81" s="1" t="s">
        <v>487</v>
      </c>
      <c r="F81" s="1">
        <f>(10+46/60+3/3600)/24*2*PI()</f>
        <v>2.8189249081273418</v>
      </c>
      <c r="G81" s="1">
        <f>(10+46/60+3.0083237895/3600)/24*2*PI()</f>
        <v>2.8189255134503961</v>
      </c>
      <c r="H81" s="1" t="s">
        <v>488</v>
      </c>
      <c r="I81" s="1">
        <f>-(65+36/60+53/3600)/360*2*PI()</f>
        <v>-1.145192940559268</v>
      </c>
      <c r="J81" s="1">
        <f>-(65+36/60+52.708238304/3600)/360*2*PI()</f>
        <v>-1.1451915260586496</v>
      </c>
      <c r="K81" s="14">
        <v>8</v>
      </c>
    </row>
    <row r="82" spans="1:11" x14ac:dyDescent="0.2">
      <c r="A82" s="13" t="s">
        <v>490</v>
      </c>
      <c r="B82" t="s">
        <v>1541</v>
      </c>
      <c r="C82" t="s">
        <v>1694</v>
      </c>
      <c r="D82" s="49" t="s">
        <v>1840</v>
      </c>
      <c r="E82" s="1" t="s">
        <v>491</v>
      </c>
      <c r="F82" s="1">
        <f>(10+51/60+37/3600)/24*2*PI()</f>
        <v>2.8432140735509295</v>
      </c>
      <c r="G82" s="1">
        <f>(10+51/60+37.2614060865/3600)/24*2*PI()</f>
        <v>2.8432330835379882</v>
      </c>
      <c r="H82" s="1" t="s">
        <v>492</v>
      </c>
      <c r="I82" s="1">
        <f>-(21+15/60+0/3600)/360*2*PI()</f>
        <v>-0.37088246604879499</v>
      </c>
      <c r="J82" s="1">
        <f>-(21+15/60+0.339641553/3600)/360*2*PI()</f>
        <v>-0.3708841126775107</v>
      </c>
      <c r="K82" s="14">
        <v>6.5</v>
      </c>
    </row>
    <row r="83" spans="1:11" x14ac:dyDescent="0.2">
      <c r="A83" s="1" t="s">
        <v>496</v>
      </c>
      <c r="B83" t="s">
        <v>1542</v>
      </c>
      <c r="C83" t="s">
        <v>1695</v>
      </c>
      <c r="D83" s="49" t="s">
        <v>1841</v>
      </c>
      <c r="E83" s="1" t="s">
        <v>497</v>
      </c>
      <c r="F83" s="1">
        <f>(11+15/60+39/3600)/24*2*PI()</f>
        <v>2.9480792727749221</v>
      </c>
      <c r="G83" s="1">
        <f>(11+15/60+38.5819463825/3600)/24*2*PI()</f>
        <v>2.9480488710579418</v>
      </c>
      <c r="H83" s="1" t="s">
        <v>498</v>
      </c>
      <c r="I83" s="1">
        <f>-(57+55/60+42/3600)/360*2*PI()</f>
        <v>-1.0110401468594483</v>
      </c>
      <c r="J83" s="1">
        <f>-(57+55/60+42.336683924/3600)/360*2*PI()</f>
        <v>-1.0110417791491741</v>
      </c>
      <c r="K83" s="14">
        <v>9.3000000000000007</v>
      </c>
    </row>
    <row r="84" spans="1:11" x14ac:dyDescent="0.2">
      <c r="A84" s="1" t="s">
        <v>500</v>
      </c>
      <c r="B84" t="s">
        <v>1543</v>
      </c>
      <c r="C84" t="s">
        <v>1696</v>
      </c>
      <c r="D84" s="49" t="s">
        <v>1842</v>
      </c>
      <c r="E84" s="1" t="s">
        <v>501</v>
      </c>
      <c r="F84" s="1">
        <f>(12+24/60+34/3600)/24*2*PI()</f>
        <v>3.2487849584831112</v>
      </c>
      <c r="G84" s="1">
        <f>(12+24/60+33.9187290505/3600)/24*2*PI()</f>
        <v>3.2487790482928824</v>
      </c>
      <c r="H84" s="1" t="s">
        <v>502</v>
      </c>
      <c r="I84" s="1">
        <f>-(49+26/60+25/3600)/360*2*PI()</f>
        <v>-0.86289563032280747</v>
      </c>
      <c r="J84" s="1">
        <f>-(49+26/60+24.724612836/3600)/360*2*PI()</f>
        <v>-0.8628942952081603</v>
      </c>
      <c r="K84" s="14">
        <v>7</v>
      </c>
    </row>
    <row r="85" spans="1:11" x14ac:dyDescent="0.2">
      <c r="A85" s="20" t="s">
        <v>504</v>
      </c>
      <c r="B85" t="s">
        <v>1544</v>
      </c>
      <c r="C85" t="s">
        <v>1697</v>
      </c>
      <c r="D85" s="49" t="s">
        <v>1843</v>
      </c>
      <c r="E85" s="1" t="s">
        <v>505</v>
      </c>
      <c r="F85" s="1">
        <f>(12+25/60+14/3600)/24*2*PI()</f>
        <v>3.2516938405697688</v>
      </c>
      <c r="G85" s="1">
        <f>(12+25/60+14.3952079722/3600)/24*2*PI()</f>
        <v>3.2517225809045396</v>
      </c>
      <c r="H85" s="1" t="s">
        <v>506</v>
      </c>
      <c r="I85" s="1">
        <f>+(0+46/60+10/3600)/360*2*PI()</f>
        <v>1.3429338966734147E-2</v>
      </c>
      <c r="J85" s="1">
        <f>+(0+46/60+10.946733968/3600)/360*2*PI()</f>
        <v>1.3433928862534724E-2</v>
      </c>
      <c r="K85" s="14">
        <v>6</v>
      </c>
    </row>
    <row r="86" spans="1:11" x14ac:dyDescent="0.2">
      <c r="A86" s="5" t="s">
        <v>509</v>
      </c>
      <c r="B86" t="s">
        <v>1545</v>
      </c>
      <c r="C86" t="s">
        <v>1698</v>
      </c>
      <c r="D86" s="49" t="s">
        <v>1844</v>
      </c>
      <c r="E86" s="1" t="s">
        <v>510</v>
      </c>
      <c r="F86" s="1">
        <f>(12+45/60+7/3600)/24*2*PI()</f>
        <v>3.3384512488043199</v>
      </c>
      <c r="G86" s="1">
        <f>(12+45/60+7.8257032577/3600)/24*2*PI()</f>
        <v>3.3385112956397007</v>
      </c>
      <c r="H86" s="1" t="s">
        <v>511</v>
      </c>
      <c r="I86" s="1">
        <f>+(45+26/60+24/3600)/360*2*PI()</f>
        <v>0.79307761210622318</v>
      </c>
      <c r="J86" s="1">
        <f>+(45+26/60+24.898861195/3600)/360*2*PI()</f>
        <v>0.79308196990827073</v>
      </c>
      <c r="K86" s="14">
        <v>4.8</v>
      </c>
    </row>
    <row r="87" spans="1:11" x14ac:dyDescent="0.2">
      <c r="A87" s="13" t="s">
        <v>515</v>
      </c>
      <c r="B87" t="s">
        <v>1546</v>
      </c>
      <c r="C87" t="s">
        <v>1699</v>
      </c>
      <c r="D87" s="49" t="s">
        <v>1845</v>
      </c>
      <c r="E87" s="1" t="s">
        <v>516</v>
      </c>
      <c r="F87" s="1">
        <f>(12+47/60+18/3600)/24*2*PI()</f>
        <v>3.3479778376381226</v>
      </c>
      <c r="G87" s="1">
        <f>(12+47/60+18.4075712853/3600)/24*2*PI()</f>
        <v>3.3480074770583941</v>
      </c>
      <c r="H87" s="1" t="s">
        <v>517</v>
      </c>
      <c r="I87" s="1">
        <f>+(4+8/60+41/3600)/360*2*PI()</f>
        <v>7.2339049358353863E-2</v>
      </c>
      <c r="J87" s="1">
        <f>+(4+8/60+41.364022128/3600)/360*2*PI()</f>
        <v>7.234081418743267E-2</v>
      </c>
      <c r="K87" s="14">
        <v>7.9</v>
      </c>
    </row>
    <row r="88" spans="1:11" x14ac:dyDescent="0.2">
      <c r="A88" s="13" t="s">
        <v>522</v>
      </c>
      <c r="B88" t="s">
        <v>1547</v>
      </c>
      <c r="C88" t="s">
        <v>1700</v>
      </c>
      <c r="D88" s="49" t="s">
        <v>1846</v>
      </c>
      <c r="E88" s="1" t="s">
        <v>523</v>
      </c>
      <c r="F88" s="1">
        <f>(12+47/60+25/3600)/24*2*PI()</f>
        <v>3.3484868920032875</v>
      </c>
      <c r="G88" s="1">
        <f>(12+47/60+24.6788917168/3600)/24*2*PI()</f>
        <v>3.3484635403499654</v>
      </c>
      <c r="H88" s="1" t="s">
        <v>524</v>
      </c>
      <c r="I88" s="1">
        <f>-(59+41/60+41/3600)/360*2*PI()</f>
        <v>-1.0418694488412039</v>
      </c>
      <c r="J88" s="1">
        <f>-(59+41/60+41.074035084/3600)/360*2*PI()</f>
        <v>-1.0418698077734199</v>
      </c>
      <c r="K88" s="14">
        <v>8.4</v>
      </c>
    </row>
    <row r="89" spans="1:11" x14ac:dyDescent="0.2">
      <c r="A89" s="5" t="s">
        <v>528</v>
      </c>
      <c r="B89" t="s">
        <v>1548</v>
      </c>
      <c r="C89" t="s">
        <v>1701</v>
      </c>
      <c r="D89" s="49" t="s">
        <v>1847</v>
      </c>
      <c r="E89" s="1" t="s">
        <v>529</v>
      </c>
      <c r="F89" s="1">
        <f>(12+56/60+25/3600)/24*2*PI()</f>
        <v>3.3877568001731597</v>
      </c>
      <c r="G89" s="1">
        <f>(12+56/60+25.9123940873/3600)/24*2*PI()</f>
        <v>3.3878231513435728</v>
      </c>
      <c r="H89" s="1" t="s">
        <v>530</v>
      </c>
      <c r="I89" s="1">
        <f>+(65+59/60+39/3600)/360*2*PI()</f>
        <v>1.1518154954432247</v>
      </c>
      <c r="J89" s="1">
        <f>+(65+59/60+39.809927879/3600)/360*2*PI()</f>
        <v>1.1518194220843891</v>
      </c>
      <c r="K89" s="14">
        <v>6</v>
      </c>
    </row>
    <row r="90" spans="1:11" x14ac:dyDescent="0.2">
      <c r="A90" s="1" t="s">
        <v>534</v>
      </c>
      <c r="B90" t="s">
        <v>1549</v>
      </c>
      <c r="C90" t="s">
        <v>1702</v>
      </c>
      <c r="D90" s="49" t="s">
        <v>1848</v>
      </c>
      <c r="E90" s="1" t="s">
        <v>535</v>
      </c>
      <c r="F90" s="1">
        <f>(12+59/60+23/3600)/24*2*PI()</f>
        <v>3.4007013254587841</v>
      </c>
      <c r="G90" s="1">
        <f>(12+59/60+22.6409641478/3600)/24*2*PI()</f>
        <v>3.4006752156348115</v>
      </c>
      <c r="H90" s="1" t="s">
        <v>536</v>
      </c>
      <c r="I90" s="1">
        <f>+(37+49/60+4/3600)/360*2*PI()</f>
        <v>0.66004473800976671</v>
      </c>
      <c r="J90" s="1">
        <f>+(37+49/60+3.687447775/3600)/360*2*PI()</f>
        <v>0.66004322271381921</v>
      </c>
      <c r="K90" s="14">
        <v>9.1999999999999993</v>
      </c>
    </row>
    <row r="91" spans="1:11" x14ac:dyDescent="0.2">
      <c r="A91" s="5" t="s">
        <v>539</v>
      </c>
      <c r="B91" t="s">
        <v>1550</v>
      </c>
      <c r="C91" t="s">
        <v>1703</v>
      </c>
      <c r="D91" s="49" t="s">
        <v>1849</v>
      </c>
      <c r="E91" s="1" t="s">
        <v>540</v>
      </c>
      <c r="F91" s="1">
        <f>(13+6/60+24/3600)/24*2*PI()</f>
        <v>3.4313173094208516</v>
      </c>
      <c r="G91" s="1">
        <f>(13+6/60+24.8036268272/3600)/24*2*PI()</f>
        <v>3.4313757508129017</v>
      </c>
      <c r="H91" s="1" t="s">
        <v>541</v>
      </c>
      <c r="I91" s="1">
        <f>-(20+3/60+31/3600)/360*2*PI()</f>
        <v>-0.35008880726600705</v>
      </c>
      <c r="J91" s="1">
        <f>-(20+3/60+31.47458418/3600)/360*2*PI()</f>
        <v>-0.35009110811504002</v>
      </c>
      <c r="K91" s="14">
        <v>8.5</v>
      </c>
    </row>
    <row r="92" spans="1:11" x14ac:dyDescent="0.2">
      <c r="A92" s="1" t="s">
        <v>546</v>
      </c>
      <c r="B92" t="s">
        <v>1551</v>
      </c>
      <c r="C92" t="s">
        <v>1704</v>
      </c>
      <c r="D92" s="49" t="s">
        <v>1850</v>
      </c>
      <c r="E92" s="1" t="s">
        <v>547</v>
      </c>
      <c r="F92" s="1">
        <f>(15+27/60+48/3600)/24*2*PI()</f>
        <v>4.0482912000008477</v>
      </c>
      <c r="G92" s="1">
        <f>(15+27/60+48.315113868/3600)/24*2*PI()</f>
        <v>4.0483141157279938</v>
      </c>
      <c r="H92" s="1" t="s">
        <v>548</v>
      </c>
      <c r="I92" s="1">
        <f>-(25+10/60+10/3600)/360*2*PI()</f>
        <v>-0.4392896764533506</v>
      </c>
      <c r="J92" s="1">
        <f>-(25+10/60+10.125296415/3600)/360*2*PI()</f>
        <v>-0.43929028390751246</v>
      </c>
      <c r="K92" s="14">
        <v>7.4</v>
      </c>
    </row>
    <row r="93" spans="1:11" x14ac:dyDescent="0.2">
      <c r="A93" s="1" t="s">
        <v>552</v>
      </c>
      <c r="B93" t="s">
        <v>1552</v>
      </c>
      <c r="C93" t="s">
        <v>1705</v>
      </c>
      <c r="D93" s="49" t="s">
        <v>1851</v>
      </c>
      <c r="E93" s="1" t="s">
        <v>553</v>
      </c>
      <c r="F93" s="1">
        <f>(15+48/60+36/3600)/24*2*PI()</f>
        <v>4.1390483211045526</v>
      </c>
      <c r="G93" s="1">
        <f>(15+48/60+34.414797875/3600)/24*2*PI()</f>
        <v>4.1389330419529244</v>
      </c>
      <c r="H93" s="1" t="s">
        <v>554</v>
      </c>
      <c r="I93" s="1">
        <f>+(28+9/60+0/3600)/360*2*PI()</f>
        <v>0.49131018443640373</v>
      </c>
      <c r="J93" s="1">
        <f>+(28+9/60+24.298218765/3600)/360*2*PI()</f>
        <v>0.49142798552524236</v>
      </c>
      <c r="K93" s="14">
        <v>5.7</v>
      </c>
    </row>
    <row r="94" spans="1:11" x14ac:dyDescent="0.2">
      <c r="A94" s="20" t="s">
        <v>557</v>
      </c>
      <c r="B94" t="s">
        <v>1553</v>
      </c>
      <c r="C94" t="s">
        <v>1706</v>
      </c>
      <c r="D94" s="49" t="s">
        <v>1852</v>
      </c>
      <c r="E94" s="1" t="s">
        <v>558</v>
      </c>
      <c r="F94" s="1">
        <f>(15+49/60+31/3600)/24*2*PI()</f>
        <v>4.1430480339737059</v>
      </c>
      <c r="G94" s="1">
        <f>(15+49/60+31.3129356625/3600)/24*2*PI()</f>
        <v>4.1430707912972791</v>
      </c>
      <c r="H94" s="1" t="s">
        <v>559</v>
      </c>
      <c r="I94" s="1">
        <f>+(39+34/60+17/3600)/360*2*PI()</f>
        <v>0.69065102569821168</v>
      </c>
      <c r="J94" s="1">
        <f>+(39+34/60+17.889392903/3600)/360*2*PI()</f>
        <v>0.69065533759668429</v>
      </c>
      <c r="K94" s="14">
        <v>6.9</v>
      </c>
    </row>
    <row r="95" spans="1:11" x14ac:dyDescent="0.2">
      <c r="A95" s="5" t="s">
        <v>562</v>
      </c>
      <c r="B95" t="s">
        <v>1554</v>
      </c>
      <c r="C95" t="s">
        <v>1707</v>
      </c>
      <c r="D95" s="49" t="s">
        <v>1853</v>
      </c>
      <c r="E95" s="1" t="s">
        <v>563</v>
      </c>
      <c r="F95" s="1">
        <f>(16+4/60+13/3600)/24*2*PI()</f>
        <v>4.2071888839844984</v>
      </c>
      <c r="G95" s="1">
        <f>(16+4/60+13.4082496171/3600)/24*2*PI()</f>
        <v>4.2072185727344493</v>
      </c>
      <c r="H95" s="1" t="s">
        <v>564</v>
      </c>
      <c r="I95" s="1">
        <f>+(50+29/60+56/3600)/360*2*PI()</f>
        <v>0.88137187970989206</v>
      </c>
      <c r="J95" s="1">
        <f>+(50+29/60+56.990505142/3600)/360*2*PI()</f>
        <v>0.88137668181433249</v>
      </c>
      <c r="K95" s="14">
        <v>7.8</v>
      </c>
    </row>
    <row r="96" spans="1:11" x14ac:dyDescent="0.2">
      <c r="A96" s="20" t="s">
        <v>567</v>
      </c>
      <c r="B96" t="s">
        <v>1555</v>
      </c>
      <c r="C96" t="s">
        <v>1708</v>
      </c>
      <c r="D96" s="49" t="s">
        <v>1854</v>
      </c>
      <c r="E96" s="1" t="s">
        <v>568</v>
      </c>
      <c r="F96" s="1">
        <f>(16+26/60+43/3600)/24*2*PI()</f>
        <v>4.3053636544091791</v>
      </c>
      <c r="G96" s="1">
        <f>(16+26/60+43.7071803249/3600)/24*2*PI()</f>
        <v>4.3054150820136572</v>
      </c>
      <c r="H96" s="1" t="s">
        <v>569</v>
      </c>
      <c r="I96" s="1">
        <f>-(12+25/60+35/3600)/360*2*PI()</f>
        <v>-0.21688140024435093</v>
      </c>
      <c r="J96" s="1">
        <f>-(12+25/60+35.815297379/3600)/360*2*PI()</f>
        <v>-0.21688535291758604</v>
      </c>
      <c r="K96" s="14">
        <v>7.3</v>
      </c>
    </row>
    <row r="97" spans="1:11" x14ac:dyDescent="0.2">
      <c r="A97" s="13" t="s">
        <v>573</v>
      </c>
      <c r="B97" t="s">
        <v>1556</v>
      </c>
      <c r="C97" t="s">
        <v>1709</v>
      </c>
      <c r="D97" s="49" t="s">
        <v>1855</v>
      </c>
      <c r="E97" s="1" t="s">
        <v>574</v>
      </c>
      <c r="F97" s="1">
        <f>(16+40/60+39/3600)/24*2*PI()</f>
        <v>4.366159290020315</v>
      </c>
      <c r="G97" s="1">
        <f>(16+40/60+38.673220051/3600)/24*2*PI()</f>
        <v>4.3661355259118162</v>
      </c>
      <c r="H97" s="1" t="s">
        <v>575</v>
      </c>
      <c r="I97" s="1">
        <f>-(32+22/60+48/3600)/360*2*PI()</f>
        <v>-0.56513761179576394</v>
      </c>
      <c r="J97" s="1">
        <f>-(32+22/60+48.048007458/3600)/360*2*PI()</f>
        <v>-0.56513784454248828</v>
      </c>
      <c r="K97" s="14">
        <v>7</v>
      </c>
    </row>
    <row r="98" spans="1:11" x14ac:dyDescent="0.2">
      <c r="A98" s="13" t="s">
        <v>577</v>
      </c>
      <c r="B98" t="s">
        <v>1557</v>
      </c>
      <c r="C98" t="s">
        <v>1710</v>
      </c>
      <c r="D98" s="49" t="s">
        <v>1856</v>
      </c>
      <c r="E98" s="1" t="s">
        <v>578</v>
      </c>
      <c r="F98" s="1">
        <f>(17+2/60+46/3600)/24*2*PI()</f>
        <v>4.4626614532451683</v>
      </c>
      <c r="G98" s="1">
        <f>(17+2/60+45.9043721255/3600)/24*2*PI()</f>
        <v>4.46265449898989</v>
      </c>
      <c r="H98" s="1" t="s">
        <v>579</v>
      </c>
      <c r="I98" s="1">
        <f>-(32+43/60+32/3600)/360*2*PI()</f>
        <v>-0.57116869398876657</v>
      </c>
      <c r="J98" s="1">
        <f>-(32+43/60+31.755623393/3600)/360*2*PI()</f>
        <v>-0.57116750921754234</v>
      </c>
      <c r="K98" s="14">
        <v>8</v>
      </c>
    </row>
    <row r="99" spans="1:11" x14ac:dyDescent="0.2">
      <c r="A99" s="5" t="s">
        <v>584</v>
      </c>
      <c r="B99" t="s">
        <v>1558</v>
      </c>
      <c r="C99" t="s">
        <v>1711</v>
      </c>
      <c r="D99" s="49" t="s">
        <v>1857</v>
      </c>
      <c r="E99" s="1" t="s">
        <v>585</v>
      </c>
      <c r="F99" s="1">
        <f>(17+13/60+31/3600)/24*2*PI()</f>
        <v>4.5095671768925145</v>
      </c>
      <c r="G99" s="1">
        <f>(17+13/60+31.2406466799/3600)/24*2*PI()</f>
        <v>4.5095846772129242</v>
      </c>
      <c r="H99" s="1" t="s">
        <v>586</v>
      </c>
      <c r="I99" s="1">
        <f>+(42+6/60+22/3600)/360*2*PI()</f>
        <v>0.73489027409945684</v>
      </c>
      <c r="J99" s="1">
        <f>+(42+6/60+22.767557235/3600)/360*2*PI()</f>
        <v>0.73489399532194244</v>
      </c>
      <c r="K99" s="14">
        <v>7.3</v>
      </c>
    </row>
    <row r="100" spans="1:11" x14ac:dyDescent="0.2">
      <c r="A100" s="20" t="s">
        <v>590</v>
      </c>
      <c r="B100" t="s">
        <v>1559</v>
      </c>
      <c r="C100" t="s">
        <v>1712</v>
      </c>
      <c r="D100" s="49" t="s">
        <v>1858</v>
      </c>
      <c r="E100" s="1" t="s">
        <v>591</v>
      </c>
      <c r="F100" s="1">
        <f>(17+29/60+43/3600)/24*2*PI()</f>
        <v>4.5802530115982867</v>
      </c>
      <c r="G100" s="1">
        <f>(17+29/60+43.6641693394/3600)/24*2*PI()</f>
        <v>4.5803013113556323</v>
      </c>
      <c r="H100" s="1" t="s">
        <v>592</v>
      </c>
      <c r="I100" s="1">
        <f>-(19+28/60+22/3600)/360*2*PI()</f>
        <v>-0.33986408673140683</v>
      </c>
      <c r="J100" s="1">
        <f>-(19+28/60+22.867073875/3600)/360*2*PI()</f>
        <v>-0.33986829042417815</v>
      </c>
      <c r="K100" s="14">
        <v>7</v>
      </c>
    </row>
    <row r="101" spans="1:11" x14ac:dyDescent="0.2">
      <c r="A101" s="13" t="s">
        <v>595</v>
      </c>
      <c r="B101" t="s">
        <v>1560</v>
      </c>
      <c r="C101" t="s">
        <v>1713</v>
      </c>
      <c r="D101" s="49" t="s">
        <v>1859</v>
      </c>
      <c r="E101" s="1" t="s">
        <v>596</v>
      </c>
      <c r="F101" s="1">
        <f>(17+43/60+19/3600)/24*2*PI()</f>
        <v>4.639594206166092</v>
      </c>
      <c r="G101" s="1">
        <f>(17+43/60+18.9385755525/3600)/24*2*PI()</f>
        <v>4.639589739254216</v>
      </c>
      <c r="H101" s="1" t="s">
        <v>597</v>
      </c>
      <c r="I101" s="1">
        <f>-(57+43/60+26/3600)/360*2*PI()</f>
        <v>-1.0074719181664824</v>
      </c>
      <c r="J101" s="1">
        <f>-(57+43/60+26.280846211/3600)/360*2*PI()</f>
        <v>-1.007473279747336</v>
      </c>
      <c r="K101" s="14">
        <v>7</v>
      </c>
    </row>
    <row r="102" spans="1:11" x14ac:dyDescent="0.2">
      <c r="A102" s="5" t="s">
        <v>600</v>
      </c>
      <c r="B102" t="s">
        <v>1561</v>
      </c>
      <c r="C102" t="s">
        <v>1714</v>
      </c>
      <c r="D102" s="49" t="s">
        <v>1860</v>
      </c>
      <c r="E102" s="1" t="s">
        <v>601</v>
      </c>
      <c r="F102" s="1">
        <f>(17+44/60+56/3600)/24*2*PI()</f>
        <v>4.6466482452262365</v>
      </c>
      <c r="G102" s="1">
        <f>(17+44/60+56.47713/3600)/24*2*PI()</f>
        <v>4.6466829430989876</v>
      </c>
      <c r="H102" s="1" t="s">
        <v>602</v>
      </c>
      <c r="I102" s="1">
        <f>-(18+39/60+26/3600)/360*2*PI()</f>
        <v>-0.32562995705403092</v>
      </c>
      <c r="J102" s="1">
        <f>-(18+39/60+26.3131/3600)/360*2*PI()</f>
        <v>-0.32563147500566647</v>
      </c>
      <c r="K102" s="14">
        <v>8.1999999999999993</v>
      </c>
    </row>
    <row r="103" spans="1:11" x14ac:dyDescent="0.2">
      <c r="A103" s="13" t="s">
        <v>606</v>
      </c>
      <c r="B103" t="s">
        <v>1562</v>
      </c>
      <c r="C103" t="s">
        <v>1715</v>
      </c>
      <c r="D103" s="49" t="s">
        <v>1861</v>
      </c>
      <c r="E103" s="1" t="s">
        <v>607</v>
      </c>
      <c r="F103" s="1">
        <f>(17+47/60+28/3600)/24*2*PI()</f>
        <v>4.6577019971555353</v>
      </c>
      <c r="G103" s="1">
        <f>(17+47/60+28.2371090488/3600)/24*2*PI()</f>
        <v>4.6577192402121508</v>
      </c>
      <c r="H103" s="1" t="s">
        <v>608</v>
      </c>
      <c r="I103" s="1">
        <f>-(35+42/60+5/3600)/360*2*PI()</f>
        <v>-0.62310678364603123</v>
      </c>
      <c r="J103" s="1">
        <f>-(35+42/60+4.610204254/3600)/360*2*PI()</f>
        <v>-0.62310489386292622</v>
      </c>
      <c r="K103" s="14">
        <v>7</v>
      </c>
    </row>
    <row r="104" spans="1:11" x14ac:dyDescent="0.2">
      <c r="A104" s="13" t="s">
        <v>610</v>
      </c>
      <c r="B104" t="s">
        <v>1563</v>
      </c>
      <c r="C104" t="s">
        <v>1716</v>
      </c>
      <c r="D104" s="49" t="s">
        <v>1862</v>
      </c>
      <c r="E104" s="1" t="s">
        <v>611</v>
      </c>
      <c r="F104" s="1">
        <f>(17+56/60+23/3600)/24*2*PI()</f>
        <v>4.696608295064574</v>
      </c>
      <c r="G104" s="1">
        <f>(17+56/60+23.3278798922/3600)/24*2*PI()</f>
        <v>4.6966321391631993</v>
      </c>
      <c r="H104" s="1" t="s">
        <v>612</v>
      </c>
      <c r="I104" s="1">
        <f>+(58+13/60+6/3600)/360*2*PI()</f>
        <v>1.0161016016902322</v>
      </c>
      <c r="J104" s="1">
        <f>+(58+13/60+6.827212507/3600)/360*2*PI()</f>
        <v>1.0161056121296379</v>
      </c>
      <c r="K104" s="14">
        <v>7.2</v>
      </c>
    </row>
    <row r="105" spans="1:11" x14ac:dyDescent="0.2">
      <c r="A105" s="5" t="s">
        <v>617</v>
      </c>
      <c r="B105" t="s">
        <v>1564</v>
      </c>
      <c r="C105" t="s">
        <v>1717</v>
      </c>
      <c r="D105" s="49" t="s">
        <v>1863</v>
      </c>
      <c r="E105" s="1" t="s">
        <v>618</v>
      </c>
      <c r="F105" s="1">
        <f>(18+19/60+21/3600)/24*2*PI()</f>
        <v>4.7968192829499143</v>
      </c>
      <c r="G105" s="1">
        <f>(18+19/60+21.8140846748/3600)/24*2*PI()</f>
        <v>4.7968784848581043</v>
      </c>
      <c r="H105" s="1" t="s">
        <v>619</v>
      </c>
      <c r="I105" s="1">
        <f>-(15+36/60+46/3600)/360*2*PI()</f>
        <v>-0.2724943776044258</v>
      </c>
      <c r="J105" s="1">
        <f>-(15+36/60+46.063123433/3600)/360*2*PI()</f>
        <v>-0.27249468363546497</v>
      </c>
      <c r="K105" s="14">
        <v>8.5</v>
      </c>
    </row>
    <row r="106" spans="1:11" x14ac:dyDescent="0.2">
      <c r="A106" s="20" t="s">
        <v>621</v>
      </c>
      <c r="B106" t="s">
        <v>1565</v>
      </c>
      <c r="C106" t="s">
        <v>1718</v>
      </c>
      <c r="D106" s="49" t="s">
        <v>1864</v>
      </c>
      <c r="E106" s="1" t="s">
        <v>622</v>
      </c>
      <c r="F106" s="1">
        <f>(18+30/60+16/3600)/24*2*PI()</f>
        <v>4.8444522271189276</v>
      </c>
      <c r="G106" s="1">
        <f>(18+30/60+16.2374666779/3600)/24*2*PI()</f>
        <v>4.8444694961830654</v>
      </c>
      <c r="H106" s="1" t="s">
        <v>623</v>
      </c>
      <c r="I106" s="1">
        <f>+(21+52/60+0/3600)/360*2*PI()</f>
        <v>0.38164532976942672</v>
      </c>
      <c r="J106" s="1">
        <f>+(21+52/60+0.618442618/3600)/360*2*PI()</f>
        <v>0.38164832806384863</v>
      </c>
      <c r="K106" s="14">
        <v>6.9</v>
      </c>
    </row>
    <row r="107" spans="1:11" x14ac:dyDescent="0.2">
      <c r="A107" s="1" t="s">
        <v>628</v>
      </c>
      <c r="B107" t="s">
        <v>1566</v>
      </c>
      <c r="C107" t="s">
        <v>1719</v>
      </c>
      <c r="D107" s="49" t="s">
        <v>1865</v>
      </c>
      <c r="E107" s="1" t="s">
        <v>629</v>
      </c>
      <c r="F107" s="1">
        <f>(18+30/60+26/3600)/24*2*PI()</f>
        <v>4.8451794476405921</v>
      </c>
      <c r="G107" s="1">
        <f>(18+30/60+26.0486662797/3600)/24*2*PI()</f>
        <v>4.845182986752322</v>
      </c>
      <c r="H107" s="1" t="s">
        <v>630</v>
      </c>
      <c r="I107" s="1">
        <f>-(16+53/60+49/3600)/360*2*PI()</f>
        <v>-0.29490731408211962</v>
      </c>
      <c r="J107" s="1">
        <f>-(16+53/60+49.336497677/3600)/360*2*PI()</f>
        <v>-0.29490894546889435</v>
      </c>
      <c r="K107" s="14">
        <v>9</v>
      </c>
    </row>
    <row r="108" spans="1:11" x14ac:dyDescent="0.2">
      <c r="A108" s="13" t="s">
        <v>633</v>
      </c>
      <c r="B108" t="s">
        <v>1567</v>
      </c>
      <c r="C108" t="s">
        <v>1720</v>
      </c>
      <c r="D108" s="49" t="s">
        <v>1866</v>
      </c>
      <c r="E108" s="1" t="s">
        <v>634</v>
      </c>
      <c r="F108" s="1">
        <f>(18+32/60+20/3600)/24*2*PI()</f>
        <v>4.853469761587565</v>
      </c>
      <c r="G108" s="1">
        <f>(18+32/60+20.0770614691/3600)/24*2*PI()</f>
        <v>4.8534753656557408</v>
      </c>
      <c r="H108" s="1" t="s">
        <v>635</v>
      </c>
      <c r="I108" s="1">
        <f>+(36+59/60+55/3600)/360*2*PI()</f>
        <v>0.64574758255384646</v>
      </c>
      <c r="J108" s="1">
        <f>+(36+59/60+55.619287018/3600)/360*2*PI()</f>
        <v>0.64575058494203508</v>
      </c>
      <c r="K108" s="14">
        <v>7.5</v>
      </c>
    </row>
    <row r="109" spans="1:11" x14ac:dyDescent="0.2">
      <c r="A109" s="5" t="s">
        <v>640</v>
      </c>
      <c r="B109" t="s">
        <v>1568</v>
      </c>
      <c r="C109" t="s">
        <v>1721</v>
      </c>
      <c r="D109" s="49" t="s">
        <v>1867</v>
      </c>
      <c r="E109" s="1" t="s">
        <v>641</v>
      </c>
      <c r="F109" s="1">
        <f>(18+42/60+50/3600)/24*2*PI()</f>
        <v>4.8992846544524156</v>
      </c>
      <c r="G109" s="1">
        <f>(18+42/60+50.0050823492/3600)/24*2*PI()</f>
        <v>4.8992850240512791</v>
      </c>
      <c r="H109" s="1" t="s">
        <v>642</v>
      </c>
      <c r="I109" s="1">
        <f>+(36+57/60+30/3600)/360*2*PI()</f>
        <v>0.64504460271623765</v>
      </c>
      <c r="J109" s="1">
        <f>+(36+57/60+30.883170555/3600)/360*2*PI()</f>
        <v>0.64504888444791586</v>
      </c>
      <c r="K109" s="14">
        <v>7.8</v>
      </c>
    </row>
    <row r="110" spans="1:11" x14ac:dyDescent="0.2">
      <c r="A110" s="1" t="s">
        <v>646</v>
      </c>
      <c r="B110" t="s">
        <v>1569</v>
      </c>
      <c r="C110" t="s">
        <v>1722</v>
      </c>
      <c r="D110" s="49" t="s">
        <v>1868</v>
      </c>
      <c r="E110" s="1" t="s">
        <v>647</v>
      </c>
      <c r="F110" s="1">
        <f>(18+44/60+25/3600)/24*2*PI()</f>
        <v>4.9061932494082265</v>
      </c>
      <c r="G110" s="1">
        <f>(18+44/60+25.1719620626/3600)/24*2*PI()</f>
        <v>4.9062057548423148</v>
      </c>
      <c r="H110" s="1" t="s">
        <v>648</v>
      </c>
      <c r="I110" s="1">
        <f>-(13+12/60+48/3600)/360*2*PI()</f>
        <v>-0.23061617183018407</v>
      </c>
      <c r="J110" s="1">
        <f>-(13+12/60+47.663588883/3600)/360*2*PI()</f>
        <v>-0.2306145408630641</v>
      </c>
      <c r="K110" s="14">
        <v>8.6999999999999993</v>
      </c>
    </row>
    <row r="111" spans="1:11" x14ac:dyDescent="0.2">
      <c r="A111" s="13" t="s">
        <v>650</v>
      </c>
      <c r="B111" t="s">
        <v>1570</v>
      </c>
      <c r="C111" t="s">
        <v>1723</v>
      </c>
      <c r="D111" s="49" t="s">
        <v>1869</v>
      </c>
      <c r="E111" s="1" t="s">
        <v>651</v>
      </c>
      <c r="F111" s="1">
        <f>(18+47/60+21/3600)/24*2*PI()</f>
        <v>4.9189923305895187</v>
      </c>
      <c r="G111" s="1">
        <f>(18+47/60+21.0229663571/3600)/24*2*PI()</f>
        <v>4.9189940007501383</v>
      </c>
      <c r="H111" s="1" t="s">
        <v>652</v>
      </c>
      <c r="I111" s="1">
        <f>+(5+27/60+19/3600)/360*2*PI()</f>
        <v>9.5212558833101771E-2</v>
      </c>
      <c r="J111" s="1">
        <f>+(5+27/60+18.603538975/3600)/360*2*PI()</f>
        <v>9.5210636735812315E-2</v>
      </c>
      <c r="K111" s="14">
        <v>9.5</v>
      </c>
    </row>
    <row r="112" spans="1:11" x14ac:dyDescent="0.2">
      <c r="A112" s="5" t="s">
        <v>656</v>
      </c>
      <c r="B112" t="s">
        <v>1571</v>
      </c>
      <c r="C112" t="s">
        <v>1724</v>
      </c>
      <c r="D112" s="49" t="s">
        <v>1870</v>
      </c>
      <c r="E112" s="1" t="s">
        <v>657</v>
      </c>
      <c r="F112" s="1">
        <f>(18+50/60+20/3600)/24*2*PI()</f>
        <v>4.9320095779273094</v>
      </c>
      <c r="G112" s="1">
        <f>(18+50/60+20.0367524071/3600)/24*2*PI()</f>
        <v>4.9320122506377757</v>
      </c>
      <c r="H112" s="1" t="s">
        <v>658</v>
      </c>
      <c r="I112" s="1">
        <f>-(7+54/60+27/3600)/360*2*PI()</f>
        <v>-0.1380119106014516</v>
      </c>
      <c r="J112" s="1">
        <f>-(7+54/60+27.43096422/3600)/360*2*PI()</f>
        <v>-0.13801399997495087</v>
      </c>
      <c r="K112" s="14">
        <v>6.3</v>
      </c>
    </row>
    <row r="113" spans="1:11" x14ac:dyDescent="0.2">
      <c r="A113" s="20" t="s">
        <v>661</v>
      </c>
      <c r="B113" t="s">
        <v>1572</v>
      </c>
      <c r="C113" t="s">
        <v>1725</v>
      </c>
      <c r="D113" s="49" t="s">
        <v>1871</v>
      </c>
      <c r="E113" s="1" t="s">
        <v>662</v>
      </c>
      <c r="F113" s="1">
        <f>(18+58/60+32/3600)/24*2*PI()</f>
        <v>4.9677888275931927</v>
      </c>
      <c r="G113" s="1">
        <f>(18+58/60+32.4282994521/3600)/24*2*PI()</f>
        <v>4.9678199744082914</v>
      </c>
      <c r="H113" s="1" t="s">
        <v>663</v>
      </c>
      <c r="I113" s="1">
        <f>+(14+21/60+49/3600)/360*2*PI()</f>
        <v>0.25069230636492995</v>
      </c>
      <c r="J113" s="1">
        <f>+(14+21/60+49.596852833/3600)/360*2*PI()</f>
        <v>0.25069519998912043</v>
      </c>
      <c r="K113" s="14">
        <v>8</v>
      </c>
    </row>
    <row r="114" spans="1:11" x14ac:dyDescent="0.2">
      <c r="A114" s="20" t="s">
        <v>667</v>
      </c>
      <c r="B114" t="s">
        <v>1573</v>
      </c>
      <c r="C114" t="s">
        <v>1726</v>
      </c>
      <c r="D114" s="49" t="s">
        <v>1872</v>
      </c>
      <c r="E114" s="1" t="s">
        <v>668</v>
      </c>
      <c r="F114" s="1">
        <f>(19+4/60+24/3600)/24*2*PI()</f>
        <v>4.993386989955777</v>
      </c>
      <c r="G114" s="1">
        <f>(19+4/60+24.1548619887/3600)/24*2*PI()</f>
        <v>4.9933982518373972</v>
      </c>
      <c r="H114" s="1" t="s">
        <v>669</v>
      </c>
      <c r="I114" s="1">
        <f>-(5+41/60+5/3600)/360*2*PI()</f>
        <v>-9.9217119839066545E-2</v>
      </c>
      <c r="J114" s="1">
        <f>-(5+41/60+5.434251344/3600)/360*2*PI()</f>
        <v>-9.921922514899266E-2</v>
      </c>
      <c r="K114" s="14">
        <v>6.6</v>
      </c>
    </row>
    <row r="115" spans="1:11" x14ac:dyDescent="0.2">
      <c r="A115" s="5" t="s">
        <v>672</v>
      </c>
      <c r="B115" t="s">
        <v>1574</v>
      </c>
      <c r="C115" t="s">
        <v>1727</v>
      </c>
      <c r="D115" s="49" t="s">
        <v>1873</v>
      </c>
      <c r="E115" s="1" t="s">
        <v>673</v>
      </c>
      <c r="F115" s="1">
        <f>(19+19/60+9/3600)/24*2*PI()</f>
        <v>5.0577460061230681</v>
      </c>
      <c r="G115" s="1">
        <f>(19+19/60+9.5946752605/3600)/24*2*PI()</f>
        <v>5.0577892521283836</v>
      </c>
      <c r="H115" s="1" t="s">
        <v>674</v>
      </c>
      <c r="I115" s="1">
        <f>-(15+54/60+30/3600)/360*2*PI()</f>
        <v>-0.27765279517143127</v>
      </c>
      <c r="J115" s="1">
        <f>-(15+54/60+30.03822415/3600)/360*2*PI()</f>
        <v>-0.27765298048733994</v>
      </c>
      <c r="K115" s="14">
        <v>6.7</v>
      </c>
    </row>
    <row r="116" spans="1:11" x14ac:dyDescent="0.2">
      <c r="A116" s="5" t="s">
        <v>677</v>
      </c>
      <c r="B116" t="s">
        <v>1575</v>
      </c>
      <c r="C116" t="s">
        <v>677</v>
      </c>
      <c r="D116" s="49" t="s">
        <v>1874</v>
      </c>
      <c r="E116" s="1" t="s">
        <v>678</v>
      </c>
      <c r="F116" s="1">
        <f>(19+20/60+9/3600)/24*2*PI()</f>
        <v>5.0621093292530537</v>
      </c>
      <c r="G116" s="1">
        <f>(19+20/60+9.1511530426/3600)/24*2*PI()</f>
        <v>5.0621203214125021</v>
      </c>
      <c r="H116" s="1" t="s">
        <v>679</v>
      </c>
      <c r="I116" s="1">
        <f>+(37+52/60+36/3600)/360*2*PI()</f>
        <v>0.66107254301371876</v>
      </c>
      <c r="J116" s="1">
        <f>+(37+52/60+36.915069066/3600)/360*2*PI()</f>
        <v>0.66107697939374244</v>
      </c>
      <c r="K116" s="14">
        <v>8.3000000000000007</v>
      </c>
    </row>
    <row r="117" spans="1:11" x14ac:dyDescent="0.2">
      <c r="A117" s="5" t="s">
        <v>683</v>
      </c>
      <c r="B117" t="s">
        <v>1576</v>
      </c>
      <c r="C117" t="s">
        <v>1728</v>
      </c>
      <c r="D117" s="49" t="s">
        <v>1875</v>
      </c>
      <c r="E117" s="1" t="s">
        <v>684</v>
      </c>
      <c r="F117" s="1">
        <f>(19+21/60+35/3600)/24*2*PI()</f>
        <v>5.068363425739367</v>
      </c>
      <c r="G117" s="1">
        <f>(19+21/60+35.5158242859/3600)/24*2*PI()</f>
        <v>5.0684009375399954</v>
      </c>
      <c r="H117" s="1" t="s">
        <v>685</v>
      </c>
      <c r="I117" s="1">
        <f>+(76+33/60+34/3600)/360*2*PI()</f>
        <v>1.3362143790532364</v>
      </c>
      <c r="J117" s="1">
        <f>+(76+33/60+34.549597671/3600)/360*2*PI()</f>
        <v>1.3362170435779366</v>
      </c>
      <c r="K117" s="14">
        <v>5.9</v>
      </c>
    </row>
    <row r="118" spans="1:11" x14ac:dyDescent="0.2">
      <c r="A118" s="5" t="s">
        <v>688</v>
      </c>
      <c r="B118" t="s">
        <v>1577</v>
      </c>
      <c r="C118" t="s">
        <v>1729</v>
      </c>
      <c r="D118" s="49" t="s">
        <v>1876</v>
      </c>
      <c r="E118" s="1" t="s">
        <v>689</v>
      </c>
      <c r="F118" s="1">
        <f>(19+23/60+10/3600)/24*2*PI()</f>
        <v>5.0752720206951762</v>
      </c>
      <c r="G118" s="1">
        <f>(19+23/60+10.0772363647/3600)/24*2*PI()</f>
        <v>5.0752776374821202</v>
      </c>
      <c r="H118" s="1" t="s">
        <v>690</v>
      </c>
      <c r="I118" s="1">
        <f>-(10+42/60+11/3600)/360*2*PI()</f>
        <v>-0.18680355946831528</v>
      </c>
      <c r="J118" s="1">
        <f>-(10+42/60+11.539194284/3600)/360*2*PI()</f>
        <v>-0.18680617355597187</v>
      </c>
      <c r="K118" s="14">
        <v>7</v>
      </c>
    </row>
    <row r="119" spans="1:11" x14ac:dyDescent="0.2">
      <c r="A119" s="20" t="s">
        <v>694</v>
      </c>
      <c r="B119" t="s">
        <v>1578</v>
      </c>
      <c r="C119" t="s">
        <v>1730</v>
      </c>
      <c r="D119" s="49" t="s">
        <v>1877</v>
      </c>
      <c r="E119" s="1" t="s">
        <v>695</v>
      </c>
      <c r="F119" s="1">
        <f>(19+28/60+47/3600)/24*2*PI()</f>
        <v>5.0997793522752648</v>
      </c>
      <c r="G119" s="1">
        <f>(19+28/60+47.5687245468/3600)/24*2*PI()</f>
        <v>5.0998207110914242</v>
      </c>
      <c r="H119" s="1" t="s">
        <v>696</v>
      </c>
      <c r="I119" s="1">
        <f>+(46+2/60+38/3600)/360*2*PI()</f>
        <v>0.80361746153354452</v>
      </c>
      <c r="J119" s="1">
        <f>+(46+2/60+38.13801944/3600)/360*2*PI()</f>
        <v>0.80361813067067234</v>
      </c>
      <c r="K119" s="14">
        <v>7.1</v>
      </c>
    </row>
    <row r="120" spans="1:11" x14ac:dyDescent="0.2">
      <c r="A120" s="5" t="s">
        <v>700</v>
      </c>
      <c r="B120" t="s">
        <v>1579</v>
      </c>
      <c r="C120" t="s">
        <v>1731</v>
      </c>
      <c r="D120" s="49" t="s">
        <v>1878</v>
      </c>
      <c r="E120" s="1" t="s">
        <v>701</v>
      </c>
      <c r="F120" s="1">
        <f>(19+34/60+18/3600)/24*2*PI()</f>
        <v>5.1238503515423526</v>
      </c>
      <c r="G120" s="1">
        <f>(19+34/60+18.9945475487/3600)/24*2*PI()</f>
        <v>5.1239226770810715</v>
      </c>
      <c r="H120" s="1" t="s">
        <v>702</v>
      </c>
      <c r="I120" s="1">
        <f>-(16+22/60+27/3600)/360*2*PI()</f>
        <v>-0.2857831206036382</v>
      </c>
      <c r="J120" s="1">
        <f>-(16+22/60+27.048908541/3600)/360*2*PI()</f>
        <v>-0.2857833577189362</v>
      </c>
      <c r="K120" s="14">
        <v>6.6</v>
      </c>
    </row>
    <row r="121" spans="1:11" x14ac:dyDescent="0.2">
      <c r="A121" s="5" t="s">
        <v>705</v>
      </c>
      <c r="B121" t="s">
        <v>1580</v>
      </c>
      <c r="C121" t="s">
        <v>1732</v>
      </c>
      <c r="D121" s="49" t="s">
        <v>1879</v>
      </c>
      <c r="E121" s="1" t="s">
        <v>706</v>
      </c>
      <c r="F121" s="1">
        <f>(19+40/60+57/3600)/24*2*PI()</f>
        <v>5.1528664503567594</v>
      </c>
      <c r="G121" s="1">
        <f>(19+40/60+57.0159854799/3600)/24*2*PI()</f>
        <v>5.1528676128536617</v>
      </c>
      <c r="H121" s="1" t="s">
        <v>707</v>
      </c>
      <c r="I121" s="1">
        <f>+(32+37/60+5/3600)/360*2*PI()</f>
        <v>0.56929246504287268</v>
      </c>
      <c r="J121" s="1">
        <f>+(32+37/60+5.755486755/3600)/360*2*PI()</f>
        <v>0.56929612774601979</v>
      </c>
      <c r="K121" s="14">
        <v>7</v>
      </c>
    </row>
    <row r="122" spans="1:11" x14ac:dyDescent="0.2">
      <c r="A122" s="20" t="s">
        <v>711</v>
      </c>
      <c r="B122" t="s">
        <v>1581</v>
      </c>
      <c r="C122" t="s">
        <v>1733</v>
      </c>
      <c r="D122" s="49" t="s">
        <v>1880</v>
      </c>
      <c r="E122" s="1" t="s">
        <v>712</v>
      </c>
      <c r="F122" s="1">
        <f>(19+57/60+12/3600)/24*2*PI()</f>
        <v>5.2237704512190275</v>
      </c>
      <c r="G122" s="1">
        <f>(19+57/60+12.5070124708/3600)/24*2*PI()</f>
        <v>5.2238073222063788</v>
      </c>
      <c r="H122" s="1" t="s">
        <v>713</v>
      </c>
      <c r="I122" s="1">
        <f>+(44+15/60+40/3600)/360*2*PI()</f>
        <v>0.77250211947993463</v>
      </c>
      <c r="J122" s="1">
        <f>+(44+15/60+40.033878504/3600)/360*2*PI()</f>
        <v>0.77250228372755703</v>
      </c>
      <c r="K122" s="14">
        <v>7.9</v>
      </c>
    </row>
    <row r="123" spans="1:11" x14ac:dyDescent="0.2">
      <c r="A123" s="5" t="s">
        <v>717</v>
      </c>
      <c r="B123" t="s">
        <v>1582</v>
      </c>
      <c r="C123" t="s">
        <v>1734</v>
      </c>
      <c r="D123" s="49" t="s">
        <v>1881</v>
      </c>
      <c r="E123" s="1" t="s">
        <v>718</v>
      </c>
      <c r="F123" s="1">
        <f>(20+1/60+3/3600)/24*2*PI()</f>
        <v>5.240569245269473</v>
      </c>
      <c r="G123" s="1">
        <f>(20+1/60+3.7891766338/3600)/24*2*PI()</f>
        <v>5.2406266358138049</v>
      </c>
      <c r="H123" s="1" t="s">
        <v>719</v>
      </c>
      <c r="I123" s="1">
        <f>+(9+30/60+51/3600)/360*2*PI()</f>
        <v>0.16605353391682715</v>
      </c>
      <c r="J123" s="1">
        <f>+(9+30/60+51.154617612/3600)/360*2*PI()</f>
        <v>0.16605428352416354</v>
      </c>
      <c r="K123" s="14">
        <v>8.4</v>
      </c>
    </row>
    <row r="124" spans="1:11" x14ac:dyDescent="0.2">
      <c r="A124" s="5" t="s">
        <v>722</v>
      </c>
      <c r="B124" t="s">
        <v>1583</v>
      </c>
      <c r="C124" t="s">
        <v>722</v>
      </c>
      <c r="D124" s="49" t="s">
        <v>1882</v>
      </c>
      <c r="E124" s="1" t="s">
        <v>723</v>
      </c>
      <c r="F124" s="1">
        <f>(20+2/60+23/3600)/24*2*PI()</f>
        <v>5.2463870094427891</v>
      </c>
      <c r="G124" s="1">
        <f>(20+2/60+23.0795939012/3600)/24*2*PI()</f>
        <v>5.2463927976746234</v>
      </c>
      <c r="H124" s="1" t="s">
        <v>724</v>
      </c>
      <c r="I124" s="1">
        <f>+(21+5/60+24/3600)/360*2*PI()</f>
        <v>0.36808993924560413</v>
      </c>
      <c r="J124" s="1">
        <f>+(21+5/60+24.833875295/3600)/360*2*PI()</f>
        <v>0.36809398198711762</v>
      </c>
      <c r="K124" s="14">
        <v>8.5</v>
      </c>
    </row>
    <row r="125" spans="1:11" x14ac:dyDescent="0.2">
      <c r="A125" s="5" t="s">
        <v>728</v>
      </c>
      <c r="B125" t="s">
        <v>1584</v>
      </c>
      <c r="C125" t="s">
        <v>1735</v>
      </c>
      <c r="D125" s="49" t="s">
        <v>1883</v>
      </c>
      <c r="E125" s="1" t="s">
        <v>729</v>
      </c>
      <c r="F125" s="1">
        <f>(20+5/60+5/3600)/24*2*PI()</f>
        <v>5.2581679818937497</v>
      </c>
      <c r="G125" s="1">
        <f>(20+5/60+5.066/3600)/24*2*PI()</f>
        <v>5.2581727815491925</v>
      </c>
      <c r="H125" s="1" t="s">
        <v>730</v>
      </c>
      <c r="I125" s="1">
        <f>+(20+38/60+51/3600)/360*2*PI()</f>
        <v>0.3603668573055292</v>
      </c>
      <c r="J125" s="1">
        <f>+(20+38/60+51.53/3600)/360*2*PI()</f>
        <v>0.36036942681803907</v>
      </c>
      <c r="K125" s="14">
        <v>7</v>
      </c>
    </row>
    <row r="126" spans="1:11" x14ac:dyDescent="0.2">
      <c r="A126" s="5" t="s">
        <v>734</v>
      </c>
      <c r="B126" t="s">
        <v>1585</v>
      </c>
      <c r="C126" t="s">
        <v>1736</v>
      </c>
      <c r="D126" s="49" t="s">
        <v>1884</v>
      </c>
      <c r="E126" s="1" t="s">
        <v>735</v>
      </c>
      <c r="F126" s="1">
        <f>(20+9/60+30/3600)/24*2*PI()</f>
        <v>5.2774393257178538</v>
      </c>
      <c r="G126" s="1">
        <f>(20+9/60+30.0881524153/3600)/24*2*PI()</f>
        <v>5.277445736342397</v>
      </c>
      <c r="H126" s="1" t="s">
        <v>736</v>
      </c>
      <c r="I126" s="1">
        <f>+(47+52/60+17/3600)/360*2*PI()</f>
        <v>0.83551335361374091</v>
      </c>
      <c r="J126" s="1">
        <f>+(47+52/60+17.184073814/3600)/360*2*PI()</f>
        <v>0.83551424602877455</v>
      </c>
      <c r="K126" s="14">
        <v>8.5</v>
      </c>
    </row>
    <row r="127" spans="1:11" x14ac:dyDescent="0.2">
      <c r="A127" s="5" t="s">
        <v>738</v>
      </c>
      <c r="B127" t="s">
        <v>1586</v>
      </c>
      <c r="C127" t="s">
        <v>1737</v>
      </c>
      <c r="D127" s="49" t="s">
        <v>1885</v>
      </c>
      <c r="E127" s="1" t="s">
        <v>739</v>
      </c>
      <c r="F127" s="1">
        <f>(20+10/60+23/3600)/24*2*PI()</f>
        <v>5.2812935944826753</v>
      </c>
      <c r="G127" s="1">
        <f>(20+10/60+23.4202374419/3600)/24*2*PI()</f>
        <v>5.2813241550118475</v>
      </c>
      <c r="H127" s="1" t="s">
        <v>740</v>
      </c>
      <c r="I127" s="1">
        <f>+(35+56/60+50/3600)/360*2*PI()</f>
        <v>0.62739738472385043</v>
      </c>
      <c r="J127" s="1">
        <f>+(35+56/60+49.398934921/3600)/360*2*PI()</f>
        <v>0.62739447067811516</v>
      </c>
      <c r="K127" s="14">
        <v>8.5</v>
      </c>
    </row>
    <row r="128" spans="1:11" x14ac:dyDescent="0.2">
      <c r="A128" s="5" t="s">
        <v>743</v>
      </c>
      <c r="B128" t="s">
        <v>1587</v>
      </c>
      <c r="C128" t="s">
        <v>1738</v>
      </c>
      <c r="D128" s="49" t="s">
        <v>1886</v>
      </c>
      <c r="E128" s="1" t="s">
        <v>744</v>
      </c>
      <c r="F128" s="1">
        <f>(20+13/60+23/3600)/24*2*PI()</f>
        <v>5.294383563872632</v>
      </c>
      <c r="G128" s="1">
        <f>(20+13/60+23.6616911801/3600)/24*2*PI()</f>
        <v>5.2944316834131486</v>
      </c>
      <c r="H128" s="1" t="s">
        <v>745</v>
      </c>
      <c r="I128" s="1">
        <f>+(38+43/60+44/3600)/360*2*PI()</f>
        <v>0.67594662675015937</v>
      </c>
      <c r="J128" s="1">
        <f>+(38+43/60+44.469785401/3600)/360*2*PI()</f>
        <v>0.67594890433405541</v>
      </c>
      <c r="K128" s="14">
        <v>6.5</v>
      </c>
    </row>
    <row r="129" spans="1:11" x14ac:dyDescent="0.2">
      <c r="A129" s="20" t="s">
        <v>749</v>
      </c>
      <c r="B129" t="s">
        <v>1588</v>
      </c>
      <c r="C129" t="s">
        <v>1739</v>
      </c>
      <c r="D129" s="49" t="s">
        <v>1887</v>
      </c>
      <c r="E129" s="1" t="s">
        <v>750</v>
      </c>
      <c r="F129" s="1">
        <f>(20+17/60+6/3600)/24*2*PI()</f>
        <v>5.3106005815057458</v>
      </c>
      <c r="G129" s="1">
        <f>(20+17/60+6.5288478069/3600)/24*2*PI()</f>
        <v>5.3106390404035482</v>
      </c>
      <c r="H129" s="1" t="s">
        <v>751</v>
      </c>
      <c r="I129" s="1">
        <f>-(21+19/60+4/3600)/360*2*PI()</f>
        <v>-0.37206541143070226</v>
      </c>
      <c r="J129" s="1">
        <f>-(21+19/60+4.462721142/3600)/360*2*PI()</f>
        <v>-0.37206765476610409</v>
      </c>
      <c r="K129" s="14">
        <v>7</v>
      </c>
    </row>
    <row r="130" spans="1:11" x14ac:dyDescent="0.2">
      <c r="A130" s="1" t="s">
        <v>754</v>
      </c>
      <c r="B130" t="s">
        <v>1589</v>
      </c>
      <c r="C130" t="s">
        <v>1740</v>
      </c>
      <c r="D130" s="49" t="s">
        <v>1888</v>
      </c>
      <c r="E130" s="1" t="s">
        <v>755</v>
      </c>
      <c r="F130" s="1">
        <f>(20+18/60+33/3600)/24*2*PI()</f>
        <v>5.316927400044225</v>
      </c>
      <c r="G130" s="1">
        <f>(20+18/60+33.2743243024/3600)/24*2*PI()</f>
        <v>5.316947349470456</v>
      </c>
      <c r="H130" s="1" t="s">
        <v>756</v>
      </c>
      <c r="I130" s="1">
        <f>+(37+26/60+59/3600)/360*2*PI()</f>
        <v>0.65362095673506526</v>
      </c>
      <c r="J130" s="1">
        <f>+(37+26/60+59.076638818/3600)/360*2*PI()</f>
        <v>0.65362132829053998</v>
      </c>
      <c r="K130" s="14">
        <v>8.8000000000000007</v>
      </c>
    </row>
    <row r="131" spans="1:11" x14ac:dyDescent="0.2">
      <c r="A131" s="5" t="s">
        <v>760</v>
      </c>
      <c r="B131" t="s">
        <v>1590</v>
      </c>
      <c r="C131" t="s">
        <v>1741</v>
      </c>
      <c r="D131" s="49" t="s">
        <v>1889</v>
      </c>
      <c r="E131" s="1" t="s">
        <v>761</v>
      </c>
      <c r="F131" s="1">
        <f>(20+19/60+36/3600)/24*2*PI()</f>
        <v>5.321508889330711</v>
      </c>
      <c r="G131" s="1">
        <f>(20+19/60+36.5944622319/3600)/24*2*PI()</f>
        <v>5.3215521198441502</v>
      </c>
      <c r="H131" s="1" t="s">
        <v>762</v>
      </c>
      <c r="I131" s="1">
        <f>+(47+53/60+39/3600)/360*2*PI()</f>
        <v>0.83591090083225073</v>
      </c>
      <c r="J131" s="1">
        <f>+(47+53/60+39.085332215/3600)/360*2*PI()</f>
        <v>0.83591131453450351</v>
      </c>
      <c r="K131" s="14">
        <v>5.9</v>
      </c>
    </row>
    <row r="132" spans="1:11" x14ac:dyDescent="0.2">
      <c r="A132" s="1" t="s">
        <v>765</v>
      </c>
      <c r="B132" t="s">
        <v>1591</v>
      </c>
      <c r="C132" t="s">
        <v>765</v>
      </c>
      <c r="D132" s="49" t="s">
        <v>1890</v>
      </c>
      <c r="E132" s="1" t="s">
        <v>766</v>
      </c>
      <c r="F132" s="1">
        <f>(20+36/60+7/3600)/24*2*PI()</f>
        <v>5.3935764430276434</v>
      </c>
      <c r="G132" s="1">
        <f>(20+36/60+7.3863551706/3600)/24*2*PI()</f>
        <v>5.393604539568515</v>
      </c>
      <c r="H132" s="1" t="s">
        <v>767</v>
      </c>
      <c r="I132" s="1">
        <f>+(60+5/60+26/3600)/360*2*PI()</f>
        <v>1.0487780437970149</v>
      </c>
      <c r="J132" s="1">
        <f>+(60+5/60+26.037276961/3600)/360*2*PI()</f>
        <v>1.0487782245208217</v>
      </c>
      <c r="K132" s="14">
        <v>11</v>
      </c>
    </row>
    <row r="133" spans="1:11" x14ac:dyDescent="0.2">
      <c r="A133" s="1" t="s">
        <v>769</v>
      </c>
      <c r="B133" t="s">
        <v>1592</v>
      </c>
      <c r="C133" t="s">
        <v>1742</v>
      </c>
      <c r="D133" s="49" t="s">
        <v>1891</v>
      </c>
      <c r="E133" s="1" t="s">
        <v>770</v>
      </c>
      <c r="F133" s="1">
        <f>(20+37/60+18/3600)/24*2*PI()</f>
        <v>5.3987397087314593</v>
      </c>
      <c r="G133" s="1">
        <f>(20+37/60+17.8441948398/3600)/24*2*PI()</f>
        <v>5.398728378260472</v>
      </c>
      <c r="H133" s="1" t="s">
        <v>771</v>
      </c>
      <c r="I133" s="1">
        <f>+(26+39/60+13/3600)/360*2*PI()</f>
        <v>0.46519327143503303</v>
      </c>
      <c r="J133" s="1">
        <f>+(26+29/60+13.101789747/3600)/360*2*PI()</f>
        <v>0.46228488283899527</v>
      </c>
      <c r="K133" s="14">
        <v>9.3000000000000007</v>
      </c>
    </row>
    <row r="134" spans="1:11" x14ac:dyDescent="0.2">
      <c r="A134" s="20" t="s">
        <v>773</v>
      </c>
      <c r="B134" t="s">
        <v>1593</v>
      </c>
      <c r="C134" t="s">
        <v>1743</v>
      </c>
      <c r="D134" s="49" t="s">
        <v>1892</v>
      </c>
      <c r="E134" s="1" t="s">
        <v>774</v>
      </c>
      <c r="F134" s="1">
        <f>(20+41/60+18/3600)/24*2*PI()</f>
        <v>5.4161930012514032</v>
      </c>
      <c r="G134" s="1">
        <f>(20+41/60+18.2688237607/3600)/24*2*PI()</f>
        <v>5.4162125506669527</v>
      </c>
      <c r="H134" s="1" t="s">
        <v>775</v>
      </c>
      <c r="I134" s="1">
        <f>+(48+8/60+28/3600)/360*2*PI()</f>
        <v>0.84022089445731452</v>
      </c>
      <c r="J134" s="1">
        <f>+(48+8/60+28.886946369/3600)/360*2*PI()</f>
        <v>0.84022519449465549</v>
      </c>
      <c r="K134" s="14">
        <v>7.7</v>
      </c>
    </row>
    <row r="135" spans="1:11" x14ac:dyDescent="0.2">
      <c r="A135" s="5" t="s">
        <v>778</v>
      </c>
      <c r="B135" t="s">
        <v>1594</v>
      </c>
      <c r="C135" t="s">
        <v>778</v>
      </c>
      <c r="D135" s="49" t="s">
        <v>1893</v>
      </c>
      <c r="E135" s="1" t="s">
        <v>779</v>
      </c>
      <c r="F135" s="1">
        <f>(20+46/60+50/3600)/24*2*PI()</f>
        <v>5.4403367225706578</v>
      </c>
      <c r="G135" s="1">
        <f>(20+46/60+50.244757541/3600)/24*2*PI()</f>
        <v>5.4403545218413223</v>
      </c>
      <c r="H135" s="1" t="s">
        <v>780</v>
      </c>
      <c r="I135" s="1">
        <f>+(46+3/60+6/3600)/360*2*PI()</f>
        <v>0.80375320936425521</v>
      </c>
      <c r="J135" s="1">
        <f>+(46+3/60+6.929987868/3600)/360*2*PI()</f>
        <v>0.80375771807267204</v>
      </c>
      <c r="K135" s="14">
        <v>7.9</v>
      </c>
    </row>
    <row r="136" spans="1:11" x14ac:dyDescent="0.2">
      <c r="A136" s="5" t="s">
        <v>784</v>
      </c>
      <c r="B136" t="s">
        <v>1595</v>
      </c>
      <c r="C136" t="s">
        <v>1744</v>
      </c>
      <c r="D136" s="49" t="s">
        <v>1894</v>
      </c>
      <c r="E136" s="1" t="s">
        <v>785</v>
      </c>
      <c r="F136" s="1">
        <f>(20+48/60+36/3600)/24*2*PI()</f>
        <v>5.4480452601003</v>
      </c>
      <c r="G136" s="1">
        <f>(20+48/60+36.7373846084/3600)/24*2*PI()</f>
        <v>5.4480988842222589</v>
      </c>
      <c r="H136" s="1" t="s">
        <v>786</v>
      </c>
      <c r="I136" s="1">
        <f>+(17+50/60+23/3600)/360*2*PI()</f>
        <v>0.31136189041897727</v>
      </c>
      <c r="J136" s="1">
        <f>+(17+50/60+23.700525129/3600)/360*2*PI()</f>
        <v>0.31136528666064228</v>
      </c>
      <c r="K136" s="14">
        <v>7.9</v>
      </c>
    </row>
    <row r="137" spans="1:11" x14ac:dyDescent="0.2">
      <c r="A137" s="5" t="s">
        <v>791</v>
      </c>
      <c r="B137" t="s">
        <v>1596</v>
      </c>
      <c r="C137" t="s">
        <v>1745</v>
      </c>
      <c r="D137" s="49" t="s">
        <v>1895</v>
      </c>
      <c r="E137" s="1" t="s">
        <v>792</v>
      </c>
      <c r="F137" s="1">
        <f>(21+9/60+59/3600)/24*2*PI()</f>
        <v>5.5413476530298302</v>
      </c>
      <c r="G137" s="1">
        <f>(21+9/60+59.2669493692/3600)/24*2*PI()</f>
        <v>5.5413670661357823</v>
      </c>
      <c r="H137" s="1" t="s">
        <v>793</v>
      </c>
      <c r="I137" s="1">
        <f>+(26+36/60+54/3600)/360*2*PI()</f>
        <v>0.46451938041829077</v>
      </c>
      <c r="J137" s="1">
        <f>+(26+36/60+55.010503706/3600)/360*2*PI()</f>
        <v>0.46452427947850572</v>
      </c>
      <c r="K137" s="14">
        <v>8.1</v>
      </c>
    </row>
    <row r="138" spans="1:11" x14ac:dyDescent="0.2">
      <c r="A138" s="20" t="s">
        <v>797</v>
      </c>
      <c r="B138" t="s">
        <v>1597</v>
      </c>
      <c r="C138" t="s">
        <v>1746</v>
      </c>
      <c r="D138" s="49" t="s">
        <v>1896</v>
      </c>
      <c r="E138" s="1" t="s">
        <v>798</v>
      </c>
      <c r="F138" s="1">
        <f>(21+35/60+12/3600)/24*2*PI()</f>
        <v>5.6513761179576383</v>
      </c>
      <c r="G138" s="1">
        <f>(21+35/60+12.824010487/3600)/24*2*PI()</f>
        <v>5.6514360416912597</v>
      </c>
      <c r="H138" s="1" t="s">
        <v>799</v>
      </c>
      <c r="I138" s="1">
        <f>+(78+37/60+28/3600)/360*2*PI()</f>
        <v>1.3722554281069193</v>
      </c>
      <c r="J138" s="1">
        <f>+(78+37/60+28.201592479/3600)/360*2*PI()</f>
        <v>1.3722564054548376</v>
      </c>
      <c r="K138" s="14">
        <v>7.4</v>
      </c>
    </row>
    <row r="139" spans="1:11" x14ac:dyDescent="0.2">
      <c r="A139" s="5" t="s">
        <v>803</v>
      </c>
      <c r="B139" t="s">
        <v>1598</v>
      </c>
      <c r="C139" t="s">
        <v>1747</v>
      </c>
      <c r="D139" s="49" t="s">
        <v>1897</v>
      </c>
      <c r="E139" s="1" t="s">
        <v>804</v>
      </c>
      <c r="F139" s="1">
        <f>(21+42/60+1/3600)/24*2*PI()</f>
        <v>5.6811194372937086</v>
      </c>
      <c r="G139" s="1">
        <f>(21+42/60+1.0831986858/3600)/24*2*PI()</f>
        <v>5.681125487672877</v>
      </c>
      <c r="H139" s="1" t="s">
        <v>805</v>
      </c>
      <c r="I139" s="1">
        <f>+(35+30/60+36/3600)/360*2*PI()</f>
        <v>0.61976641738318639</v>
      </c>
      <c r="J139" s="1">
        <f>+(35+30/60+36.713658662/3600)/360*2*PI()</f>
        <v>0.61976987729801614</v>
      </c>
      <c r="K139" s="14">
        <v>5.6</v>
      </c>
    </row>
    <row r="140" spans="1:11" x14ac:dyDescent="0.2">
      <c r="A140" s="20" t="s">
        <v>808</v>
      </c>
      <c r="B140" t="s">
        <v>1599</v>
      </c>
      <c r="C140" t="s">
        <v>1748</v>
      </c>
      <c r="D140" s="49" t="s">
        <v>1898</v>
      </c>
      <c r="E140" s="1" t="s">
        <v>809</v>
      </c>
      <c r="F140" s="1">
        <f>(21+43/60+16/3600)/24*2*PI()</f>
        <v>5.6865735912061917</v>
      </c>
      <c r="G140" s="1">
        <f>(21+43/60+16.3283644053/3600)/24*2*PI()</f>
        <v>5.6865974705396027</v>
      </c>
      <c r="H140" s="1" t="s">
        <v>810</v>
      </c>
      <c r="I140" s="1">
        <f>+(38+1/60+2/3600)/360*2*PI()</f>
        <v>0.66352570024013313</v>
      </c>
      <c r="J140" s="1">
        <f>+(38+1/60+2.977478786/3600)/360*2*PI()</f>
        <v>0.66353043919101762</v>
      </c>
      <c r="K140" s="14">
        <v>7.1</v>
      </c>
    </row>
    <row r="141" spans="1:11" x14ac:dyDescent="0.2">
      <c r="A141" s="13" t="s">
        <v>813</v>
      </c>
      <c r="B141" t="s">
        <v>1600</v>
      </c>
      <c r="C141" t="s">
        <v>1749</v>
      </c>
      <c r="D141" s="49" t="s">
        <v>1899</v>
      </c>
      <c r="E141" s="1" t="s">
        <v>814</v>
      </c>
      <c r="F141" s="1">
        <f>(21+55/60+14/3600)/24*2*PI()</f>
        <v>5.7387880246616882</v>
      </c>
      <c r="G141" s="1">
        <f>(21+55/60+13.7693675476/3600)/24*2*PI()</f>
        <v>5.7387712525964529</v>
      </c>
      <c r="H141" s="1" t="s">
        <v>815</v>
      </c>
      <c r="I141" s="1">
        <f>+(50+29/60+50/3600)/360*2*PI()</f>
        <v>0.88134279088902545</v>
      </c>
      <c r="J141" s="1">
        <f>+(50+29/60+49.739740954/3600)/360*2*PI()</f>
        <v>0.88134152911756414</v>
      </c>
      <c r="K141" s="14">
        <v>9.8000000000000007</v>
      </c>
    </row>
    <row r="142" spans="1:11" x14ac:dyDescent="0.2">
      <c r="A142" s="5" t="s">
        <v>818</v>
      </c>
      <c r="B142" t="s">
        <v>1601</v>
      </c>
      <c r="C142" t="s">
        <v>1750</v>
      </c>
      <c r="D142" s="49" t="s">
        <v>1900</v>
      </c>
      <c r="E142" s="1" t="s">
        <v>819</v>
      </c>
      <c r="F142" s="1">
        <f>(21+56/60+22/3600)/24*2*PI()</f>
        <v>5.7437331242090055</v>
      </c>
      <c r="G142" s="1">
        <f>(21+56/60+22.3389655192/3600)/24*2*PI()</f>
        <v>5.7437577744771753</v>
      </c>
      <c r="H142" s="1" t="s">
        <v>820</v>
      </c>
      <c r="I142" s="1">
        <f>+(22+51/60+39/3600)/360*2*PI()</f>
        <v>0.39899681141633703</v>
      </c>
      <c r="J142" s="1">
        <f>+(22+51/60+42.564890934/3600)/360*2*PI()</f>
        <v>0.39901409449530173</v>
      </c>
      <c r="K142" s="14">
        <v>7.7</v>
      </c>
    </row>
    <row r="143" spans="1:11" x14ac:dyDescent="0.2">
      <c r="A143" s="5" t="s">
        <v>825</v>
      </c>
      <c r="B143" t="s">
        <v>1602</v>
      </c>
      <c r="C143" t="s">
        <v>1751</v>
      </c>
      <c r="D143" s="49" t="s">
        <v>1901</v>
      </c>
      <c r="E143" s="1" t="s">
        <v>826</v>
      </c>
      <c r="F143" s="1">
        <f>(22+5/60+52/3600)/24*2*PI()</f>
        <v>5.7851846939438705</v>
      </c>
      <c r="G143" s="1">
        <f>(22+5/60+52.9711216769/3600)/24*2*PI()</f>
        <v>5.7852553159051183</v>
      </c>
      <c r="H143" s="1" t="s">
        <v>827</v>
      </c>
      <c r="I143" s="1">
        <f>+(33+30/60+24/3600)/360*2*PI()</f>
        <v>0.58480165470156664</v>
      </c>
      <c r="J143" s="1">
        <f>+(33+30/60+24.810194832/3600)/360*2*PI()</f>
        <v>0.58480558263695592</v>
      </c>
      <c r="K143" s="14">
        <v>7.6</v>
      </c>
    </row>
    <row r="144" spans="1:11" x14ac:dyDescent="0.2">
      <c r="A144" s="1" t="s">
        <v>831</v>
      </c>
      <c r="B144" t="s">
        <v>1603</v>
      </c>
      <c r="C144" t="s">
        <v>1752</v>
      </c>
      <c r="D144" s="49" t="s">
        <v>1902</v>
      </c>
      <c r="E144" s="1" t="s">
        <v>832</v>
      </c>
      <c r="F144" s="1">
        <f>(22+44/60+11/3600)/24*2*PI()</f>
        <v>5.9523726918744941</v>
      </c>
      <c r="G144" s="1">
        <f>(22+44/60+11.1128529161/3600)/24*2*PI()</f>
        <v>5.952380898770147</v>
      </c>
      <c r="H144" s="1" t="s">
        <v>833</v>
      </c>
      <c r="I144" s="1">
        <f>+(61+43/60+43/3600)/360*2*PI()</f>
        <v>1.0773675065720441</v>
      </c>
      <c r="J144" s="1">
        <f>+(61+43/60+42.559918909/3600)/360*2*PI()</f>
        <v>1.0773653729987072</v>
      </c>
      <c r="K144" s="14">
        <v>8.3000000000000007</v>
      </c>
    </row>
    <row r="145" spans="1:11" x14ac:dyDescent="0.2">
      <c r="A145" s="1" t="s">
        <v>835</v>
      </c>
      <c r="B145" t="s">
        <v>1604</v>
      </c>
      <c r="C145" t="s">
        <v>1753</v>
      </c>
      <c r="D145" s="49" t="s">
        <v>1903</v>
      </c>
      <c r="E145" s="1" t="s">
        <v>836</v>
      </c>
      <c r="F145" s="1">
        <f>(22+56/60+7/3600)/24*2*PI()</f>
        <v>6.0044416812256589</v>
      </c>
      <c r="G145" s="1">
        <f>(22+56/60+7.3853987646/3600)/24*2*PI()</f>
        <v>6.0044697082147227</v>
      </c>
      <c r="H145" s="1" t="s">
        <v>837</v>
      </c>
      <c r="I145" s="1">
        <f>+(54+13/60+46/3600)/360*2*PI()</f>
        <v>0.94648235708290274</v>
      </c>
      <c r="J145" s="1">
        <f>+(54+13/60+45.612013783/3600)/360*2*PI()</f>
        <v>0.94648047607264196</v>
      </c>
      <c r="K145" s="14">
        <v>9.4</v>
      </c>
    </row>
    <row r="146" spans="1:11" x14ac:dyDescent="0.2">
      <c r="A146" s="13" t="s">
        <v>839</v>
      </c>
      <c r="B146" t="s">
        <v>1605</v>
      </c>
      <c r="C146" t="s">
        <v>1754</v>
      </c>
      <c r="D146" s="49" t="s">
        <v>1904</v>
      </c>
      <c r="E146" s="1" t="s">
        <v>840</v>
      </c>
      <c r="F146" s="1">
        <f>(23+1/60+49/3600)/24*2*PI()</f>
        <v>6.0293126230665779</v>
      </c>
      <c r="G146" s="1">
        <f>(23+1/60+49.4655132146/3600)/24*2*PI()</f>
        <v>6.0293464761428535</v>
      </c>
      <c r="H146" s="1" t="s">
        <v>841</v>
      </c>
      <c r="I146" s="1">
        <f>+(45+53/60+9/3600)/360*2*PI()</f>
        <v>0.80085887168803138</v>
      </c>
      <c r="J146" s="1">
        <f>+(45+53/60+9.109460141/3600)/360*2*PI()</f>
        <v>0.80085940236577025</v>
      </c>
      <c r="K146" s="14">
        <v>9.6</v>
      </c>
    </row>
    <row r="147" spans="1:11" x14ac:dyDescent="0.2">
      <c r="A147" s="5" t="s">
        <v>844</v>
      </c>
      <c r="B147" t="s">
        <v>1606</v>
      </c>
      <c r="C147" t="s">
        <v>1755</v>
      </c>
      <c r="D147" s="49" t="s">
        <v>1905</v>
      </c>
      <c r="E147" s="1" t="s">
        <v>845</v>
      </c>
      <c r="F147" s="1">
        <f>(23+24/60+24/3600)/24*2*PI()</f>
        <v>6.1278510037520908</v>
      </c>
      <c r="G147" s="1">
        <f>(23+24/60+24.3075516173/3600)/24*2*PI()</f>
        <v>6.1278733695368475</v>
      </c>
      <c r="H147" s="1" t="s">
        <v>846</v>
      </c>
      <c r="I147" s="1">
        <f>-(17+19/60+8/3600)/360*2*PI()</f>
        <v>-0.30227163389817352</v>
      </c>
      <c r="J147" s="1">
        <f>-(17+19/60+8.713999362/3600)/360*2*PI()</f>
        <v>-0.3022750954647635</v>
      </c>
      <c r="K147" s="14">
        <v>8.5</v>
      </c>
    </row>
    <row r="148" spans="1:11" x14ac:dyDescent="0.2">
      <c r="A148" s="1" t="s">
        <v>851</v>
      </c>
      <c r="B148" t="s">
        <v>1607</v>
      </c>
      <c r="C148" t="s">
        <v>1756</v>
      </c>
      <c r="D148" s="49" t="s">
        <v>1906</v>
      </c>
      <c r="E148" s="1" t="s">
        <v>852</v>
      </c>
      <c r="F148" s="1">
        <f>(23+26/60+57/3600)/24*2*PI()</f>
        <v>6.1389774777335546</v>
      </c>
      <c r="G148" s="1">
        <f>(23+26/60+57.363085147/3600)/24*2*PI()</f>
        <v>6.1390038820305559</v>
      </c>
      <c r="H148" s="1" t="s">
        <v>853</v>
      </c>
      <c r="I148" s="1">
        <f>+(49+30/60+59/3600)/360*2*PI()</f>
        <v>0.86422401980904773</v>
      </c>
      <c r="J148" s="1">
        <f>+(49+30/60+58.983767504/3600)/360*2*PI()</f>
        <v>0.86422394111168643</v>
      </c>
      <c r="K148" s="14">
        <v>9</v>
      </c>
    </row>
    <row r="149" spans="1:11" x14ac:dyDescent="0.2">
      <c r="A149" s="5" t="s">
        <v>855</v>
      </c>
      <c r="B149" t="s">
        <v>1608</v>
      </c>
      <c r="C149" t="s">
        <v>1757</v>
      </c>
      <c r="D149" s="49" t="s">
        <v>1907</v>
      </c>
      <c r="E149" s="1" t="s">
        <v>856</v>
      </c>
      <c r="F149" s="1">
        <f>(23+38/60+45/3600)/24*2*PI()</f>
        <v>6.1904646906673868</v>
      </c>
      <c r="G149" s="1">
        <f>(23+38/60+45.1329122942/3600)/24*2*PI()</f>
        <v>6.1904743563221798</v>
      </c>
      <c r="H149" s="1" t="s">
        <v>857</v>
      </c>
      <c r="I149" s="1">
        <f>+(35+46/60+21/3600)/360*2*PI()</f>
        <v>0.62434790666967155</v>
      </c>
      <c r="J149" s="1">
        <f>+(35+46/60+21.243224718/3600)/360*2*PI()</f>
        <v>0.62434908585638016</v>
      </c>
      <c r="K149" s="14">
        <v>7.7</v>
      </c>
    </row>
    <row r="150" spans="1:11" x14ac:dyDescent="0.2">
      <c r="A150" s="5" t="s">
        <v>861</v>
      </c>
      <c r="B150" t="s">
        <v>1609</v>
      </c>
      <c r="C150" t="s">
        <v>1758</v>
      </c>
      <c r="D150" s="49" t="s">
        <v>1908</v>
      </c>
      <c r="E150" s="1" t="s">
        <v>862</v>
      </c>
      <c r="F150" s="1">
        <f>(23+46/60+23/3600)/24*2*PI()</f>
        <v>6.2237713905596124</v>
      </c>
      <c r="G150" s="1">
        <f>(23+46/60+23.5126056542/3600)/24*2*PI()</f>
        <v>6.2238086682947387</v>
      </c>
      <c r="H150" s="1" t="s">
        <v>863</v>
      </c>
      <c r="I150" s="1">
        <f>+(3+29/60+12/3600)/360*2*PI()</f>
        <v>6.0853813252868955E-2</v>
      </c>
      <c r="J150" s="1">
        <f>+(3+29/60+12.505415198/3600)/360*2*PI()</f>
        <v>6.0856263574895271E-2</v>
      </c>
      <c r="K150" s="14">
        <v>4.8</v>
      </c>
    </row>
    <row r="151" spans="1:11" x14ac:dyDescent="0.2">
      <c r="A151" s="5" t="s">
        <v>867</v>
      </c>
      <c r="B151" t="s">
        <v>1610</v>
      </c>
      <c r="C151" t="s">
        <v>1759</v>
      </c>
      <c r="D151" s="49" t="s">
        <v>1909</v>
      </c>
      <c r="E151" s="1" t="s">
        <v>868</v>
      </c>
      <c r="F151" s="1">
        <f>(23+49/60+5/3600)/24*2*PI()</f>
        <v>6.2355523630105747</v>
      </c>
      <c r="G151" s="1">
        <f>(23+49/60+5.4854759768/3600)/24*2*PI()</f>
        <v>6.2355876678198845</v>
      </c>
      <c r="H151" s="1" t="s">
        <v>869</v>
      </c>
      <c r="I151" s="1">
        <f>+(6+22/60+56/3600)/360*2*PI()</f>
        <v>0.11139079137172699</v>
      </c>
      <c r="J151" s="1">
        <f>+(6+22/60+56.645444133/3600)/360*2*PI()</f>
        <v>0.11139392057318769</v>
      </c>
      <c r="K151" s="14">
        <v>8.5</v>
      </c>
    </row>
    <row r="152" spans="1:11" x14ac:dyDescent="0.2">
      <c r="E152" s="13"/>
      <c r="F152" s="13"/>
      <c r="G152" s="13"/>
      <c r="H152" s="13"/>
      <c r="I152" s="13"/>
      <c r="J152" s="13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Sheet1</vt:lpstr>
      <vt:lpstr>Sheet2</vt:lpstr>
      <vt:lpstr>SIMBAD</vt:lpstr>
      <vt:lpstr>WORK</vt:lpstr>
      <vt:lpstr>Format</vt:lpstr>
      <vt:lpstr>WORK!__Anonymous_Sheet_DB__1</vt:lpstr>
      <vt:lpstr>__Anonymous_Sheet_DB__1</vt:lpstr>
      <vt:lpstr>Sheet1!Print_Area</vt:lpstr>
      <vt:lpstr>WORK!Print_Area</vt:lpstr>
      <vt:lpstr>Sheet1!Print_Titles</vt:lpstr>
      <vt:lpstr>WORK!Print_Titles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naighs</dc:creator>
  <cp:lastModifiedBy>喻园</cp:lastModifiedBy>
  <dcterms:created xsi:type="dcterms:W3CDTF">2020-05-08T07:46:01Z</dcterms:created>
  <dcterms:modified xsi:type="dcterms:W3CDTF">2020-05-08T13:57:07Z</dcterms:modified>
</cp:coreProperties>
</file>