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975" windowWidth="10755" windowHeight="3690" tabRatio="936" activeTab="4"/>
  </bookViews>
  <sheets>
    <sheet name="Contents" sheetId="11" r:id="rId1"/>
    <sheet name="Rev History" sheetId="20" r:id="rId2"/>
    <sheet name="Output Code Calculator" sheetId="13" r:id="rId3"/>
    <sheet name="SampleRateCalc" sheetId="18" r:id="rId4"/>
    <sheet name="FDC131x_Current" sheetId="16" r:id="rId5"/>
  </sheets>
  <definedNames>
    <definedName name="CMAX" localSheetId="4">#REF!</definedName>
    <definedName name="CMAX">#REF!</definedName>
    <definedName name="CMIN" localSheetId="4">#REF!</definedName>
    <definedName name="CMIN">#REF!</definedName>
    <definedName name="Mega">#REF!</definedName>
    <definedName name="micro">#REF!</definedName>
    <definedName name="N">#REF!</definedName>
    <definedName name="pico">#REF!</definedName>
  </definedNames>
  <calcPr calcId="145621"/>
</workbook>
</file>

<file path=xl/calcChain.xml><?xml version="1.0" encoding="utf-8"?>
<calcChain xmlns="http://schemas.openxmlformats.org/spreadsheetml/2006/main">
  <c r="D25" i="16" l="1"/>
  <c r="D22" i="16"/>
  <c r="C21" i="18" l="1"/>
  <c r="D33" i="16" l="1"/>
  <c r="D17" i="16" s="1"/>
  <c r="C23" i="18" l="1"/>
  <c r="F11" i="13"/>
  <c r="F12" i="13"/>
  <c r="D18" i="16"/>
  <c r="D19" i="16" s="1"/>
  <c r="C19" i="18" l="1"/>
  <c r="C24" i="18" l="1"/>
  <c r="C27" i="18"/>
  <c r="D25" i="18" l="1"/>
  <c r="C25" i="18"/>
  <c r="C26" i="18" s="1"/>
  <c r="D15" i="13" l="1"/>
  <c r="D13" i="13"/>
  <c r="C14" i="13"/>
  <c r="C12" i="13"/>
  <c r="E29" i="13" l="1"/>
  <c r="D29" i="13"/>
  <c r="C28" i="13"/>
  <c r="E28" i="13" s="1"/>
  <c r="C27" i="13"/>
  <c r="E27" i="13" s="1"/>
  <c r="D19" i="11"/>
  <c r="E17" i="11"/>
  <c r="C11" i="18" l="1"/>
  <c r="D16" i="13" l="1"/>
  <c r="F17" i="13" s="1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49" i="13"/>
  <c r="D10" i="13"/>
  <c r="D20" i="13" s="1"/>
  <c r="D7" i="16"/>
  <c r="C15" i="18" l="1"/>
  <c r="D26" i="18"/>
  <c r="D18" i="11" l="1"/>
  <c r="D20" i="11" s="1"/>
  <c r="C17" i="11"/>
  <c r="E18" i="11"/>
  <c r="D21" i="13" l="1"/>
  <c r="F20" i="13"/>
  <c r="D22" i="13" l="1"/>
  <c r="D23" i="13" s="1"/>
  <c r="D29" i="16" l="1"/>
  <c r="D34" i="16" l="1"/>
  <c r="D23" i="16"/>
  <c r="D20" i="16" l="1"/>
  <c r="D24" i="16"/>
  <c r="D26" i="16" s="1"/>
  <c r="D30" i="16" s="1"/>
  <c r="D35" i="16"/>
  <c r="D32" i="16" l="1"/>
  <c r="D31" i="16"/>
  <c r="D41" i="16" s="1"/>
  <c r="D38" i="16" l="1"/>
  <c r="E8" i="16" s="1"/>
  <c r="D40" i="16"/>
  <c r="D39" i="16" l="1"/>
  <c r="D42" i="16" s="1"/>
  <c r="D43" i="16"/>
  <c r="D12" i="11"/>
  <c r="E12" i="11"/>
  <c r="C11" i="11"/>
  <c r="E11" i="11" s="1"/>
  <c r="C10" i="11"/>
  <c r="E10" i="11" s="1"/>
</calcChain>
</file>

<file path=xl/comments1.xml><?xml version="1.0" encoding="utf-8"?>
<comments xmlns="http://schemas.openxmlformats.org/spreadsheetml/2006/main">
  <authors>
    <author>Chris Oberhauser</author>
  </authors>
  <commentList>
    <comment ref="C17" authorId="0">
      <text>
        <r>
          <rPr>
            <b/>
            <sz val="9"/>
            <color indexed="81"/>
            <rFont val="Tahoma"/>
            <family val="2"/>
          </rPr>
          <t>Applied to CLKIN input</t>
        </r>
        <r>
          <rPr>
            <sz val="9"/>
            <color indexed="81"/>
            <rFont val="Tahoma"/>
            <family val="2"/>
          </rPr>
          <t xml:space="preserve">
Use 42MHz for Internal divider value.</t>
        </r>
      </text>
    </comment>
  </commentList>
</comments>
</file>

<file path=xl/sharedStrings.xml><?xml version="1.0" encoding="utf-8"?>
<sst xmlns="http://schemas.openxmlformats.org/spreadsheetml/2006/main" count="171" uniqueCount="133">
  <si>
    <t>MHz</t>
  </si>
  <si>
    <t>Hz</t>
  </si>
  <si>
    <t>Sensor Frequency</t>
  </si>
  <si>
    <t>Reference Frequency</t>
  </si>
  <si>
    <t>C</t>
  </si>
  <si>
    <t>pF</t>
  </si>
  <si>
    <t>L</t>
  </si>
  <si>
    <t>Rp</t>
  </si>
  <si>
    <t>Q</t>
  </si>
  <si>
    <t>µH</t>
  </si>
  <si>
    <t>f</t>
  </si>
  <si>
    <t>Return to Main Page</t>
  </si>
  <si>
    <t>Sample Rate</t>
  </si>
  <si>
    <t>number of registers to set</t>
  </si>
  <si>
    <t>Number of channels of measurement</t>
  </si>
  <si>
    <t>Normalized Shutdown current</t>
  </si>
  <si>
    <t>Normalized Sleep current</t>
  </si>
  <si>
    <t>Normalized Active current</t>
  </si>
  <si>
    <t>µs</t>
  </si>
  <si>
    <t>fsensor</t>
  </si>
  <si>
    <t>Device Active current: derived from ref frequency (mA)</t>
  </si>
  <si>
    <t>Total Active current - including sensor (mA)</t>
  </si>
  <si>
    <t>ms</t>
  </si>
  <si>
    <t>Range: 48 to 1048560</t>
  </si>
  <si>
    <t>I2C Datarate</t>
  </si>
  <si>
    <t>kbit/s</t>
  </si>
  <si>
    <t>Desired Sample Rate</t>
  </si>
  <si>
    <t>POR time</t>
  </si>
  <si>
    <t>I2C config time</t>
  </si>
  <si>
    <t>i2C clocks to configure one register</t>
  </si>
  <si>
    <t>Active mode start time</t>
  </si>
  <si>
    <t>channel switching overhead time</t>
  </si>
  <si>
    <t>total active time per second</t>
  </si>
  <si>
    <t>Total I2C IO time (in sleep mode)</t>
  </si>
  <si>
    <t xml:space="preserve">single conversion time  </t>
  </si>
  <si>
    <t>mA</t>
  </si>
  <si>
    <t>sensor current</t>
  </si>
  <si>
    <t>Shutdown current</t>
  </si>
  <si>
    <t>Sleep current</t>
  </si>
  <si>
    <t>Total Shutdown time</t>
  </si>
  <si>
    <t>This assumes the sensor divider and reference dividers are set to 1.</t>
  </si>
  <si>
    <t>settling time per channel</t>
  </si>
  <si>
    <t>Total Sleep time per second</t>
  </si>
  <si>
    <t>Ideal Settle count</t>
  </si>
  <si>
    <r>
      <rPr>
        <sz val="10"/>
        <color theme="1"/>
        <rFont val="Calibri"/>
        <family val="2"/>
      </rPr>
      <t>µ</t>
    </r>
    <r>
      <rPr>
        <sz val="10"/>
        <color theme="1"/>
        <rFont val="Calibri"/>
        <family val="2"/>
        <scheme val="minor"/>
      </rPr>
      <t>A</t>
    </r>
  </si>
  <si>
    <t>fullscale resolution</t>
  </si>
  <si>
    <t>Value programmed into OFFSET_CHx Register</t>
  </si>
  <si>
    <t>Sensor Capacitance</t>
  </si>
  <si>
    <t>Reference Divider</t>
  </si>
  <si>
    <t>Fin Divider</t>
  </si>
  <si>
    <t>CLKIN Frequency</t>
  </si>
  <si>
    <t>Note on usage of these worksheets:</t>
  </si>
  <si>
    <t>Programed settle count</t>
  </si>
  <si>
    <t>Click on a tool from the list below:</t>
  </si>
  <si>
    <t>Quick Sensor L/C/f Calculator:</t>
  </si>
  <si>
    <t>Quick Sensor Rp/Rs/Q Calculator:</t>
  </si>
  <si>
    <t>Sample Rate Calculator</t>
  </si>
  <si>
    <t>Sensor Inductance</t>
  </si>
  <si>
    <t>Calculated Sensor Frequency</t>
  </si>
  <si>
    <t>Settle Count</t>
  </si>
  <si>
    <t>Approx. Measurement Resolution</t>
  </si>
  <si>
    <t>bits</t>
  </si>
  <si>
    <t>Conversion Interval</t>
  </si>
  <si>
    <t>Note: these calculation tools are provided without any warranty. User should independently verify any calculation results.</t>
  </si>
  <si>
    <t xml:space="preserve">Device </t>
  </si>
  <si>
    <t>Reference Count
(assumed same for all channels)</t>
  </si>
  <si>
    <t xml:space="preserve">Note that the resolution calculations are optimum device limitations may not be realized by the system </t>
  </si>
  <si>
    <t>The L and C values can be used to determine the sensor frequency if needed.</t>
  </si>
  <si>
    <t>Enter values or select settings in yellow cells only.</t>
  </si>
  <si>
    <t>Results provided in Orange cells. Do not edit these fields.</t>
  </si>
  <si>
    <t>Intermediate Calculation cells. Do not edit.</t>
  </si>
  <si>
    <t>Rev History</t>
  </si>
  <si>
    <t>Ver</t>
  </si>
  <si>
    <t>Data</t>
  </si>
  <si>
    <t>Comments</t>
  </si>
  <si>
    <t>(registers 0x08:0x0B)</t>
  </si>
  <si>
    <t>(registers 0x10:0x13)</t>
  </si>
  <si>
    <t>Minimum Settle Count Register Setting</t>
  </si>
  <si>
    <t>Channel RCount Setting</t>
  </si>
  <si>
    <t>LDC1000RP_SETTING(kΩ)</t>
  </si>
  <si>
    <t>LDC1101 RP Setting</t>
  </si>
  <si>
    <t>Active RP List</t>
  </si>
  <si>
    <t>Max fCLKIN</t>
  </si>
  <si>
    <t>Hex</t>
  </si>
  <si>
    <t>Decimal</t>
  </si>
  <si>
    <t>decimal</t>
  </si>
  <si>
    <t>Average Reference count</t>
  </si>
  <si>
    <r>
      <rPr>
        <i/>
        <sz val="11"/>
        <color theme="1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REFERENCE</t>
    </r>
    <r>
      <rPr>
        <sz val="11"/>
        <color theme="1"/>
        <rFont val="Calibri"/>
        <family val="2"/>
        <scheme val="minor"/>
      </rPr>
      <t xml:space="preserve"> input to CLKIN</t>
    </r>
  </si>
  <si>
    <t>hex</t>
  </si>
  <si>
    <t>Maximum Device Refence frequency</t>
  </si>
  <si>
    <t>Effective settle count</t>
  </si>
  <si>
    <t>FDC1</t>
  </si>
  <si>
    <t>FDC211x/FDC221x Current Consumption Estimator</t>
  </si>
  <si>
    <t>FDC Current consumption using Shutdown Mode</t>
  </si>
  <si>
    <t>FDC Current consumption using Sleep Mode</t>
  </si>
  <si>
    <t>Sensor IDRIVEx setting</t>
  </si>
  <si>
    <t>FDC Device</t>
  </si>
  <si>
    <t>Baseline Sensor Capacitance</t>
  </si>
  <si>
    <t>Vpk</t>
  </si>
  <si>
    <t>Sensor Amplitude</t>
  </si>
  <si>
    <t>Note: for FDC211x, values greater than 65535 do not provide improved resolution</t>
  </si>
  <si>
    <t>FDC211x, FDC221x Sample Rate Calculator</t>
  </si>
  <si>
    <t>FDC2112</t>
  </si>
  <si>
    <t>FDC211x Output Gain</t>
  </si>
  <si>
    <t>Only applies to FDC211x</t>
  </si>
  <si>
    <t>FDC211x Gain</t>
  </si>
  <si>
    <t>FDC211x/FDC221x Calculator</t>
  </si>
  <si>
    <r>
      <rPr>
        <sz val="9"/>
        <color theme="1"/>
        <rFont val="Calibri"/>
        <family val="2"/>
      </rPr>
      <t>µ</t>
    </r>
    <r>
      <rPr>
        <sz val="10.35"/>
        <color theme="1"/>
        <rFont val="Calibri"/>
        <family val="2"/>
      </rPr>
      <t>H</t>
    </r>
  </si>
  <si>
    <t>FDC221x</t>
  </si>
  <si>
    <t>Select FDC</t>
  </si>
  <si>
    <t>This tool calculates the sensor frequency and measured capacitance for FDC2xxx Devices</t>
  </si>
  <si>
    <t>CHx_FIN_SEL value</t>
  </si>
  <si>
    <t>FDC Output Code Calculator</t>
  </si>
  <si>
    <t>This tool calculates sample rate and resolution for the FDC2xxx devices.</t>
  </si>
  <si>
    <t>Programmed RCOUNT Register Value</t>
  </si>
  <si>
    <t>Capacitance</t>
  </si>
  <si>
    <t>Note: lower settings will reduce the SNR of the sensor</t>
  </si>
  <si>
    <t>FDC Calculations Tool</t>
  </si>
  <si>
    <t>Sensor Capacitance Output Code Converter</t>
  </si>
  <si>
    <t>Current Consumption Estimator</t>
  </si>
  <si>
    <t>rev1.03</t>
  </si>
  <si>
    <t>Calculate the sensor Capacitance based on device output code and device settings.</t>
  </si>
  <si>
    <t>Initial</t>
  </si>
  <si>
    <t>Programmed Settle Count Register value</t>
  </si>
  <si>
    <t>Note: this value is 16x the programmed register value</t>
  </si>
  <si>
    <t>Number of Active Channels</t>
  </si>
  <si>
    <t>Max Number of channels</t>
  </si>
  <si>
    <t>FDC4</t>
  </si>
  <si>
    <t>Changed settle count on sample rate calculator to clearly differentiate settle count vs. register value</t>
  </si>
  <si>
    <t>FDC5</t>
  </si>
  <si>
    <t>tweaked the current estimator to better match the Rachel's measurements</t>
  </si>
  <si>
    <t>Conversion readback time (in active mode)</t>
  </si>
  <si>
    <t>total active time per all channels measurement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</si>
</sst>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</font>
    <font>
      <sz val="9"/>
      <color theme="1"/>
      <name val="Calibri"/>
      <family val="2"/>
    </font>
    <font>
      <b/>
      <sz val="11"/>
      <color rgb="FFFF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0" tint="-0.249977111117893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sz val="1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7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</font>
    <font>
      <sz val="16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0.35"/>
      <color theme="1"/>
      <name val="Calibri"/>
      <family val="2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02">
    <xf numFmtId="0" fontId="0" fillId="0" borderId="0" xfId="0"/>
    <xf numFmtId="0" fontId="1" fillId="0" borderId="0" xfId="0" applyFont="1" applyProtection="1">
      <protection locked="0"/>
    </xf>
    <xf numFmtId="0" fontId="2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/>
    <xf numFmtId="0" fontId="1" fillId="0" borderId="0" xfId="0" applyFont="1"/>
    <xf numFmtId="0" fontId="0" fillId="0" borderId="1" xfId="0" applyBorder="1"/>
    <xf numFmtId="0" fontId="0" fillId="0" borderId="0" xfId="0" applyFill="1"/>
    <xf numFmtId="2" fontId="0" fillId="0" borderId="0" xfId="0" applyNumberFormat="1"/>
    <xf numFmtId="11" fontId="0" fillId="0" borderId="0" xfId="0" applyNumberFormat="1"/>
    <xf numFmtId="0" fontId="0" fillId="2" borderId="1" xfId="0" applyFill="1" applyBorder="1"/>
    <xf numFmtId="0" fontId="14" fillId="0" borderId="0" xfId="0" applyFont="1" applyFill="1"/>
    <xf numFmtId="0" fontId="16" fillId="0" borderId="0" xfId="0" applyFont="1"/>
    <xf numFmtId="0" fontId="6" fillId="0" borderId="0" xfId="0" applyFont="1"/>
    <xf numFmtId="0" fontId="17" fillId="0" borderId="0" xfId="1"/>
    <xf numFmtId="0" fontId="11" fillId="0" borderId="0" xfId="0" applyFont="1"/>
    <xf numFmtId="2" fontId="0" fillId="2" borderId="1" xfId="0" applyNumberFormat="1" applyFill="1" applyBorder="1"/>
    <xf numFmtId="0" fontId="0" fillId="0" borderId="0" xfId="0" applyAlignment="1">
      <alignment vertical="center" wrapText="1"/>
    </xf>
    <xf numFmtId="0" fontId="12" fillId="0" borderId="0" xfId="0" applyFont="1"/>
    <xf numFmtId="0" fontId="18" fillId="0" borderId="0" xfId="0" applyFont="1"/>
    <xf numFmtId="0" fontId="0" fillId="0" borderId="0" xfId="0" applyFill="1" applyBorder="1"/>
    <xf numFmtId="0" fontId="10" fillId="2" borderId="1" xfId="0" applyFont="1" applyFill="1" applyBorder="1"/>
    <xf numFmtId="165" fontId="1" fillId="3" borderId="1" xfId="0" applyNumberFormat="1" applyFont="1" applyFill="1" applyBorder="1"/>
    <xf numFmtId="165" fontId="0" fillId="2" borderId="1" xfId="0" applyNumberFormat="1" applyFill="1" applyBorder="1"/>
    <xf numFmtId="0" fontId="0" fillId="3" borderId="1" xfId="0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2" fontId="1" fillId="3" borderId="1" xfId="0" applyNumberFormat="1" applyFont="1" applyFill="1" applyBorder="1"/>
    <xf numFmtId="164" fontId="0" fillId="2" borderId="1" xfId="0" applyNumberFormat="1" applyFill="1" applyBorder="1"/>
    <xf numFmtId="2" fontId="3" fillId="3" borderId="1" xfId="0" applyNumberFormat="1" applyFont="1" applyFill="1" applyBorder="1"/>
    <xf numFmtId="2" fontId="0" fillId="3" borderId="1" xfId="0" applyNumberFormat="1" applyFill="1" applyBorder="1"/>
    <xf numFmtId="0" fontId="8" fillId="2" borderId="1" xfId="0" applyFont="1" applyFill="1" applyBorder="1"/>
    <xf numFmtId="165" fontId="21" fillId="3" borderId="1" xfId="0" applyNumberFormat="1" applyFont="1" applyFill="1" applyBorder="1"/>
    <xf numFmtId="0" fontId="22" fillId="0" borderId="0" xfId="0" applyFont="1"/>
    <xf numFmtId="0" fontId="1" fillId="0" borderId="0" xfId="0" applyFont="1" applyFill="1"/>
    <xf numFmtId="0" fontId="8" fillId="0" borderId="0" xfId="0" applyFont="1" applyFill="1" applyBorder="1"/>
    <xf numFmtId="0" fontId="5" fillId="0" borderId="0" xfId="0" applyFont="1"/>
    <xf numFmtId="0" fontId="5" fillId="2" borderId="1" xfId="0" applyNumberFormat="1" applyFont="1" applyFill="1" applyBorder="1"/>
    <xf numFmtId="0" fontId="5" fillId="0" borderId="0" xfId="0" applyNumberFormat="1" applyFont="1" applyFill="1" applyBorder="1"/>
    <xf numFmtId="0" fontId="5" fillId="2" borderId="1" xfId="0" applyNumberFormat="1" applyFont="1" applyFill="1" applyBorder="1" applyAlignment="1">
      <alignment horizontal="right"/>
    </xf>
    <xf numFmtId="2" fontId="23" fillId="3" borderId="1" xfId="0" applyNumberFormat="1" applyFont="1" applyFill="1" applyBorder="1" applyAlignment="1">
      <alignment vertical="center"/>
    </xf>
    <xf numFmtId="2" fontId="5" fillId="2" borderId="1" xfId="0" applyNumberFormat="1" applyFont="1" applyFill="1" applyBorder="1"/>
    <xf numFmtId="164" fontId="5" fillId="2" borderId="1" xfId="0" applyNumberFormat="1" applyFont="1" applyFill="1" applyBorder="1"/>
    <xf numFmtId="0" fontId="3" fillId="0" borderId="0" xfId="0" applyFont="1" applyFill="1"/>
    <xf numFmtId="0" fontId="24" fillId="0" borderId="0" xfId="0" applyFont="1"/>
    <xf numFmtId="0" fontId="11" fillId="3" borderId="1" xfId="0" applyFont="1" applyFill="1" applyBorder="1"/>
    <xf numFmtId="0" fontId="9" fillId="3" borderId="1" xfId="0" applyFont="1" applyFill="1" applyBorder="1"/>
    <xf numFmtId="0" fontId="13" fillId="0" borderId="0" xfId="0" applyFont="1"/>
    <xf numFmtId="1" fontId="0" fillId="2" borderId="1" xfId="0" applyNumberFormat="1" applyFill="1" applyBorder="1"/>
    <xf numFmtId="0" fontId="4" fillId="0" borderId="0" xfId="0" applyFont="1" applyFill="1"/>
    <xf numFmtId="0" fontId="19" fillId="0" borderId="0" xfId="0" applyFont="1" applyFill="1"/>
    <xf numFmtId="165" fontId="10" fillId="0" borderId="0" xfId="0" applyNumberFormat="1" applyFont="1"/>
    <xf numFmtId="0" fontId="0" fillId="5" borderId="0" xfId="0" applyFill="1"/>
    <xf numFmtId="0" fontId="0" fillId="5" borderId="1" xfId="0" applyFill="1" applyBorder="1" applyAlignment="1">
      <alignment vertical="center" wrapText="1"/>
    </xf>
    <xf numFmtId="0" fontId="5" fillId="5" borderId="1" xfId="0" applyFont="1" applyFill="1" applyBorder="1"/>
    <xf numFmtId="11" fontId="5" fillId="5" borderId="1" xfId="0" applyNumberFormat="1" applyFont="1" applyFill="1" applyBorder="1"/>
    <xf numFmtId="165" fontId="5" fillId="5" borderId="0" xfId="0" applyNumberFormat="1" applyFont="1" applyFill="1"/>
    <xf numFmtId="2" fontId="5" fillId="5" borderId="1" xfId="0" applyNumberFormat="1" applyFont="1" applyFill="1" applyBorder="1"/>
    <xf numFmtId="1" fontId="0" fillId="5" borderId="0" xfId="0" applyNumberFormat="1" applyFill="1"/>
    <xf numFmtId="165" fontId="0" fillId="5" borderId="0" xfId="0" applyNumberFormat="1" applyFill="1"/>
    <xf numFmtId="2" fontId="0" fillId="5" borderId="0" xfId="0" applyNumberFormat="1" applyFill="1"/>
    <xf numFmtId="166" fontId="5" fillId="5" borderId="0" xfId="0" applyNumberFormat="1" applyFont="1" applyFill="1"/>
    <xf numFmtId="0" fontId="15" fillId="0" borderId="0" xfId="0" applyFont="1"/>
    <xf numFmtId="0" fontId="0" fillId="3" borderId="1" xfId="0" applyFont="1" applyFill="1" applyBorder="1"/>
    <xf numFmtId="0" fontId="6" fillId="3" borderId="1" xfId="0" applyFont="1" applyFill="1" applyBorder="1"/>
    <xf numFmtId="0" fontId="0" fillId="2" borderId="1" xfId="0" applyFont="1" applyFill="1" applyBorder="1"/>
    <xf numFmtId="0" fontId="25" fillId="0" borderId="0" xfId="0" applyFont="1"/>
    <xf numFmtId="0" fontId="26" fillId="0" borderId="0" xfId="0" applyFont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2" fillId="0" borderId="0" xfId="0" applyFont="1" applyFill="1" applyBorder="1"/>
    <xf numFmtId="2" fontId="21" fillId="2" borderId="1" xfId="0" applyNumberFormat="1" applyFont="1" applyFill="1" applyBorder="1"/>
    <xf numFmtId="2" fontId="8" fillId="2" borderId="1" xfId="0" applyNumberFormat="1" applyFont="1" applyFill="1" applyBorder="1"/>
    <xf numFmtId="165" fontId="3" fillId="3" borderId="1" xfId="0" applyNumberFormat="1" applyFont="1" applyFill="1" applyBorder="1"/>
    <xf numFmtId="0" fontId="3" fillId="0" borderId="0" xfId="0" applyFont="1" applyAlignment="1"/>
    <xf numFmtId="0" fontId="0" fillId="0" borderId="0" xfId="0" applyFill="1" applyBorder="1" applyAlignment="1">
      <alignment wrapText="1"/>
    </xf>
    <xf numFmtId="0" fontId="8" fillId="5" borderId="1" xfId="0" applyFont="1" applyFill="1" applyBorder="1"/>
    <xf numFmtId="0" fontId="0" fillId="4" borderId="0" xfId="0" applyFill="1" applyBorder="1"/>
    <xf numFmtId="0" fontId="0" fillId="0" borderId="0" xfId="0" applyFont="1" applyFill="1" applyBorder="1"/>
    <xf numFmtId="0" fontId="0" fillId="0" borderId="0" xfId="0" applyAlignment="1">
      <alignment horizontal="center"/>
    </xf>
    <xf numFmtId="0" fontId="8" fillId="0" borderId="1" xfId="0" applyFont="1" applyBorder="1" applyAlignment="1">
      <alignment wrapText="1"/>
    </xf>
    <xf numFmtId="0" fontId="21" fillId="0" borderId="1" xfId="0" applyFont="1" applyFill="1" applyBorder="1" applyAlignment="1">
      <alignment vertical="center" wrapText="1"/>
    </xf>
    <xf numFmtId="0" fontId="5" fillId="3" borderId="1" xfId="0" applyNumberFormat="1" applyFont="1" applyFill="1" applyBorder="1" applyAlignment="1">
      <alignment horizontal="right"/>
    </xf>
    <xf numFmtId="0" fontId="9" fillId="0" borderId="0" xfId="0" applyFont="1" applyAlignment="1">
      <alignment horizontal="left"/>
    </xf>
    <xf numFmtId="2" fontId="2" fillId="3" borderId="1" xfId="0" applyNumberFormat="1" applyFont="1" applyFill="1" applyBorder="1" applyAlignment="1" applyProtection="1">
      <alignment vertical="center"/>
    </xf>
    <xf numFmtId="0" fontId="0" fillId="5" borderId="1" xfId="0" applyFill="1" applyBorder="1"/>
    <xf numFmtId="2" fontId="1" fillId="0" borderId="0" xfId="0" applyNumberFormat="1" applyFont="1" applyFill="1" applyBorder="1"/>
    <xf numFmtId="0" fontId="0" fillId="6" borderId="0" xfId="0" applyFill="1"/>
    <xf numFmtId="0" fontId="1" fillId="6" borderId="0" xfId="0" applyFont="1" applyFill="1"/>
    <xf numFmtId="0" fontId="3" fillId="3" borderId="1" xfId="0" applyFont="1" applyFill="1" applyBorder="1" applyAlignment="1">
      <alignment horizontal="right"/>
    </xf>
    <xf numFmtId="165" fontId="0" fillId="3" borderId="1" xfId="0" applyNumberFormat="1" applyFill="1" applyBorder="1"/>
    <xf numFmtId="0" fontId="27" fillId="0" borderId="0" xfId="0" applyFont="1"/>
    <xf numFmtId="0" fontId="5" fillId="0" borderId="1" xfId="0" applyFont="1" applyBorder="1"/>
    <xf numFmtId="0" fontId="5" fillId="3" borderId="5" xfId="0" applyNumberFormat="1" applyFont="1" applyFill="1" applyBorder="1"/>
    <xf numFmtId="0" fontId="5" fillId="5" borderId="5" xfId="0" applyNumberFormat="1" applyFont="1" applyFill="1" applyBorder="1"/>
    <xf numFmtId="2" fontId="0" fillId="5" borderId="5" xfId="0" applyNumberFormat="1" applyFill="1" applyBorder="1"/>
    <xf numFmtId="166" fontId="5" fillId="3" borderId="5" xfId="0" applyNumberFormat="1" applyFont="1" applyFill="1" applyBorder="1"/>
    <xf numFmtId="166" fontId="1" fillId="3" borderId="1" xfId="0" applyNumberFormat="1" applyFont="1" applyFill="1" applyBorder="1"/>
    <xf numFmtId="0" fontId="30" fillId="3" borderId="5" xfId="0" applyNumberFormat="1" applyFont="1" applyFill="1" applyBorder="1" applyAlignment="1">
      <alignment horizontal="right"/>
    </xf>
  </cellXfs>
  <cellStyles count="2">
    <cellStyle name="Hyperlink" xfId="1" builtinId="8"/>
    <cellStyle name="Normal" xfId="0" builtinId="0"/>
  </cellStyles>
  <dxfs count="5">
    <dxf>
      <font>
        <color rgb="FFFF0000"/>
      </font>
      <numFmt numFmtId="30" formatCode="@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colors>
    <mruColors>
      <color rgb="FFFF00FF"/>
      <color rgb="FFFFE285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B2:H31"/>
  <sheetViews>
    <sheetView showGridLines="0" showRowColHeaders="0" workbookViewId="0">
      <selection activeCell="I22" sqref="I22"/>
    </sheetView>
  </sheetViews>
  <sheetFormatPr defaultRowHeight="15" x14ac:dyDescent="0.25"/>
  <cols>
    <col min="2" max="2" width="5.140625" customWidth="1"/>
    <col min="3" max="3" width="23" customWidth="1"/>
    <col min="4" max="4" width="9.5703125" bestFit="1" customWidth="1"/>
    <col min="8" max="8" width="27.140625" customWidth="1"/>
  </cols>
  <sheetData>
    <row r="2" spans="2:5" ht="18.75" x14ac:dyDescent="0.3">
      <c r="B2" s="2" t="s">
        <v>117</v>
      </c>
      <c r="E2" t="s">
        <v>120</v>
      </c>
    </row>
    <row r="3" spans="2:5" x14ac:dyDescent="0.25">
      <c r="B3" s="49" t="s">
        <v>63</v>
      </c>
    </row>
    <row r="4" spans="2:5" x14ac:dyDescent="0.25">
      <c r="B4" t="s">
        <v>53</v>
      </c>
    </row>
    <row r="5" spans="2:5" x14ac:dyDescent="0.25">
      <c r="C5" s="16" t="s">
        <v>56</v>
      </c>
    </row>
    <row r="6" spans="2:5" x14ac:dyDescent="0.25">
      <c r="C6" s="16" t="s">
        <v>118</v>
      </c>
    </row>
    <row r="7" spans="2:5" x14ac:dyDescent="0.25">
      <c r="C7" s="16" t="s">
        <v>119</v>
      </c>
    </row>
    <row r="9" spans="2:5" ht="15.75" x14ac:dyDescent="0.25">
      <c r="C9" s="45" t="s">
        <v>54</v>
      </c>
      <c r="D9" s="9"/>
      <c r="E9" s="9"/>
    </row>
    <row r="10" spans="2:5" x14ac:dyDescent="0.25">
      <c r="C10" s="26" t="str">
        <f>IF(C12="L","fsensor","L")</f>
        <v>L</v>
      </c>
      <c r="D10" s="25">
        <v>20</v>
      </c>
      <c r="E10" s="47" t="str">
        <f>IF(C10="fsensor","MHz","µH")</f>
        <v>µH</v>
      </c>
    </row>
    <row r="11" spans="2:5" x14ac:dyDescent="0.25">
      <c r="C11" s="26" t="str">
        <f>IF(C12="C","fsensor","C")</f>
        <v>C</v>
      </c>
      <c r="D11" s="25">
        <v>500</v>
      </c>
      <c r="E11" s="48" t="str">
        <f>IF(C11="fsensor","MHz","pF")</f>
        <v>pF</v>
      </c>
    </row>
    <row r="12" spans="2:5" x14ac:dyDescent="0.25">
      <c r="C12" s="12" t="s">
        <v>19</v>
      </c>
      <c r="D12" s="24">
        <f>IF(C12="fsensor",0.000001/(2*PI()*SQRT(D10*0.000001*D11*0.000000000001)),IF(C12="C",1000000000000/((D10*0.000001)*(2*PI()*D11*1000000)^2),1000000/((D11*0.000000000001)*(2*PI()*D10*1000000)^2)))</f>
        <v>1.5915494309189533</v>
      </c>
      <c r="E12" s="26" t="str">
        <f>IF(C12="fsensor","MHz",IF(C12="L","µH","pF"))</f>
        <v>MHz</v>
      </c>
    </row>
    <row r="13" spans="2:5" x14ac:dyDescent="0.25">
      <c r="C13" s="46"/>
    </row>
    <row r="14" spans="2:5" ht="15.75" x14ac:dyDescent="0.25">
      <c r="C14" s="45" t="s">
        <v>55</v>
      </c>
    </row>
    <row r="15" spans="2:5" x14ac:dyDescent="0.25">
      <c r="C15" s="65" t="s">
        <v>6</v>
      </c>
      <c r="D15" s="18">
        <v>5.47</v>
      </c>
      <c r="E15" s="66" t="s">
        <v>9</v>
      </c>
    </row>
    <row r="16" spans="2:5" x14ac:dyDescent="0.25">
      <c r="C16" s="65" t="s">
        <v>4</v>
      </c>
      <c r="D16" s="18">
        <v>270</v>
      </c>
      <c r="E16" s="26" t="s">
        <v>5</v>
      </c>
    </row>
    <row r="17" spans="2:8" x14ac:dyDescent="0.25">
      <c r="C17" s="65" t="str">
        <f>IF(C18="Rp","Rs","Rp")</f>
        <v>Rs</v>
      </c>
      <c r="D17" s="18">
        <v>3.2</v>
      </c>
      <c r="E17" s="66" t="str">
        <f>IF(C18="Rp","Ω","kΩ")</f>
        <v>Ω</v>
      </c>
    </row>
    <row r="18" spans="2:8" x14ac:dyDescent="0.25">
      <c r="C18" s="67" t="s">
        <v>7</v>
      </c>
      <c r="D18" s="29">
        <f>1000/D17*D15/D16</f>
        <v>6.3310185185185182</v>
      </c>
      <c r="E18" s="26" t="str">
        <f>IF(C18="Rp","kΩ","Ω")</f>
        <v>kΩ</v>
      </c>
    </row>
    <row r="19" spans="2:8" x14ac:dyDescent="0.25">
      <c r="C19" s="65" t="s">
        <v>19</v>
      </c>
      <c r="D19" s="93">
        <f>(0.000001/(2*PI()*SQRT(D15*0.000001*D16*0.000000000001)))</f>
        <v>4.1413752756377997</v>
      </c>
      <c r="E19" s="26" t="s">
        <v>0</v>
      </c>
    </row>
    <row r="20" spans="2:8" x14ac:dyDescent="0.25">
      <c r="C20" s="65" t="s">
        <v>8</v>
      </c>
      <c r="D20" s="32">
        <f>IF(C18="Rs",(1000/D18)*SQRT(D15/D16),(1000/D17)*SQRT(D15/D16))</f>
        <v>44.479695221944105</v>
      </c>
      <c r="E20" s="80"/>
    </row>
    <row r="22" spans="2:8" ht="15.75" x14ac:dyDescent="0.25">
      <c r="B22" s="1"/>
      <c r="C22" s="77" t="s">
        <v>51</v>
      </c>
    </row>
    <row r="23" spans="2:8" ht="45" x14ac:dyDescent="0.25">
      <c r="C23" s="27" t="s">
        <v>68</v>
      </c>
    </row>
    <row r="24" spans="2:8" ht="45" x14ac:dyDescent="0.25">
      <c r="C24" s="28" t="s">
        <v>69</v>
      </c>
    </row>
    <row r="25" spans="2:8" ht="45" x14ac:dyDescent="0.25">
      <c r="C25" s="55" t="s">
        <v>70</v>
      </c>
    </row>
    <row r="28" spans="2:8" x14ac:dyDescent="0.25">
      <c r="H28" s="11"/>
    </row>
    <row r="29" spans="2:8" x14ac:dyDescent="0.25">
      <c r="H29" s="11"/>
    </row>
    <row r="30" spans="2:8" x14ac:dyDescent="0.25">
      <c r="H30" s="11"/>
    </row>
    <row r="31" spans="2:8" x14ac:dyDescent="0.25">
      <c r="H31" s="10"/>
    </row>
  </sheetData>
  <dataValidations count="5">
    <dataValidation type="list" allowBlank="1" showInputMessage="1" showErrorMessage="1" sqref="C12">
      <formula1>"fsensor,L,C"</formula1>
    </dataValidation>
    <dataValidation type="list" allowBlank="1" showInputMessage="1" showErrorMessage="1" sqref="C18">
      <formula1>"Rs,Rp"</formula1>
    </dataValidation>
    <dataValidation type="decimal" operator="greaterThan" allowBlank="1" showInputMessage="1" showErrorMessage="1" sqref="D15:D17">
      <formula1>0</formula1>
    </dataValidation>
    <dataValidation type="decimal" errorStyle="warning" allowBlank="1" showInputMessage="1" showErrorMessage="1" errorTitle="Extreme Value" error="Please verify the value is correct, note the units are μH, pF, and MHz." sqref="D10:D11">
      <formula1>0.001</formula1>
      <formula2>1000000</formula2>
    </dataValidation>
    <dataValidation allowBlank="1" showDropDown="1" showInputMessage="1" showErrorMessage="1" sqref="C19"/>
  </dataValidations>
  <hyperlinks>
    <hyperlink ref="C6" location="'Output Code Calculator'!A1" display="Inductance&amp;Frequency from Output Code"/>
    <hyperlink ref="C7" location="LDC131x_Current!A1" display="LDC161x/LDC131x Current Consumption Estimator"/>
    <hyperlink ref="C5" location="SampleRateCalc!A1" display="Sample Rate Calculator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3:D7"/>
  <sheetViews>
    <sheetView workbookViewId="0">
      <selection activeCell="D10" sqref="D10"/>
    </sheetView>
  </sheetViews>
  <sheetFormatPr defaultRowHeight="15" x14ac:dyDescent="0.25"/>
  <cols>
    <col min="4" max="4" width="75.28515625" customWidth="1"/>
  </cols>
  <sheetData>
    <row r="3" spans="1:4" x14ac:dyDescent="0.25">
      <c r="A3" t="s">
        <v>71</v>
      </c>
    </row>
    <row r="4" spans="1:4" x14ac:dyDescent="0.25">
      <c r="A4" s="7"/>
      <c r="B4" s="7" t="s">
        <v>72</v>
      </c>
      <c r="C4" s="7" t="s">
        <v>73</v>
      </c>
      <c r="D4" s="7" t="s">
        <v>74</v>
      </c>
    </row>
    <row r="5" spans="1:4" x14ac:dyDescent="0.25">
      <c r="B5" t="s">
        <v>91</v>
      </c>
      <c r="D5" t="s">
        <v>122</v>
      </c>
    </row>
    <row r="6" spans="1:4" x14ac:dyDescent="0.25">
      <c r="B6" t="s">
        <v>127</v>
      </c>
      <c r="D6" t="s">
        <v>128</v>
      </c>
    </row>
    <row r="7" spans="1:4" x14ac:dyDescent="0.25">
      <c r="B7" t="s">
        <v>129</v>
      </c>
      <c r="D7" t="s">
        <v>130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theme="4" tint="0.59999389629810485"/>
  </sheetPr>
  <dimension ref="A2:I80"/>
  <sheetViews>
    <sheetView showGridLines="0" showRowColHeaders="0" zoomScaleNormal="100" workbookViewId="0">
      <selection activeCell="C4" sqref="C4"/>
    </sheetView>
  </sheetViews>
  <sheetFormatPr defaultRowHeight="15" x14ac:dyDescent="0.25"/>
  <cols>
    <col min="1" max="1" width="7.28515625" customWidth="1"/>
    <col min="2" max="2" width="4.7109375" customWidth="1"/>
    <col min="3" max="3" width="23.28515625" customWidth="1"/>
    <col min="4" max="4" width="14.28515625" customWidth="1"/>
    <col min="5" max="5" width="7.7109375" customWidth="1"/>
    <col min="6" max="6" width="43.5703125" customWidth="1"/>
  </cols>
  <sheetData>
    <row r="2" spans="2:7" ht="18.75" x14ac:dyDescent="0.3">
      <c r="B2" s="2" t="s">
        <v>112</v>
      </c>
      <c r="F2" s="16" t="s">
        <v>11</v>
      </c>
    </row>
    <row r="3" spans="2:7" x14ac:dyDescent="0.25">
      <c r="C3" t="s">
        <v>121</v>
      </c>
    </row>
    <row r="4" spans="2:7" x14ac:dyDescent="0.25">
      <c r="E4" s="6"/>
    </row>
    <row r="5" spans="2:7" x14ac:dyDescent="0.25">
      <c r="B5" s="7" t="s">
        <v>106</v>
      </c>
      <c r="E5" s="6"/>
    </row>
    <row r="6" spans="2:7" x14ac:dyDescent="0.25">
      <c r="C6" t="s">
        <v>110</v>
      </c>
      <c r="E6" s="6"/>
    </row>
    <row r="7" spans="2:7" x14ac:dyDescent="0.25">
      <c r="E7" s="6"/>
    </row>
    <row r="8" spans="2:7" x14ac:dyDescent="0.25">
      <c r="C8" s="51" t="s">
        <v>109</v>
      </c>
      <c r="D8" s="12" t="s">
        <v>108</v>
      </c>
      <c r="E8" s="6"/>
    </row>
    <row r="9" spans="2:7" x14ac:dyDescent="0.25">
      <c r="C9" s="51" t="s">
        <v>57</v>
      </c>
      <c r="D9" s="12">
        <v>15</v>
      </c>
      <c r="E9" s="20" t="s">
        <v>107</v>
      </c>
    </row>
    <row r="10" spans="2:7" x14ac:dyDescent="0.25">
      <c r="C10" s="51" t="s">
        <v>45</v>
      </c>
      <c r="D10" s="26">
        <f>IF(D8="LDC131x",2^12-1,IF(D8="LDC161x",2^28-1,2^24-1))</f>
        <v>16777215</v>
      </c>
      <c r="E10" s="6"/>
    </row>
    <row r="11" spans="2:7" x14ac:dyDescent="0.25">
      <c r="C11" s="51" t="s">
        <v>105</v>
      </c>
      <c r="D11" s="12">
        <v>0</v>
      </c>
      <c r="E11" s="6"/>
      <c r="F11" t="str">
        <f>IF(D8="FDC211x","Value programmed into OUTPUT_GAIN Field","")</f>
        <v/>
      </c>
    </row>
    <row r="12" spans="2:7" ht="15" customHeight="1" x14ac:dyDescent="0.35">
      <c r="C12" s="51" t="str">
        <f>IF(E12="dec","Output Code","Output Code           0x")</f>
        <v>Output Code           0x</v>
      </c>
      <c r="D12" s="12">
        <v>1571000</v>
      </c>
      <c r="E12" s="23" t="s">
        <v>85</v>
      </c>
      <c r="F12" t="str">
        <f>IF(D8="FDC211x","FDC output from Registers [0x00-0x07]","FDC output from Registers [0x00-0x08]")</f>
        <v>FDC output from Registers [0x00-0x08]</v>
      </c>
      <c r="G12" s="94"/>
    </row>
    <row r="13" spans="2:7" ht="15" hidden="1" customHeight="1" x14ac:dyDescent="0.35">
      <c r="C13" s="51"/>
      <c r="D13" s="88">
        <f>IF(E12="Hex",HEX2DEC(D12),D12)</f>
        <v>1571000</v>
      </c>
      <c r="E13" s="6" t="s">
        <v>84</v>
      </c>
      <c r="G13" s="94"/>
    </row>
    <row r="14" spans="2:7" x14ac:dyDescent="0.25">
      <c r="C14" s="51" t="str">
        <f>IF(E14="dec","Channel Offset","Channel Offset           0x")</f>
        <v>Channel Offset           0x</v>
      </c>
      <c r="D14" s="12">
        <v>0</v>
      </c>
      <c r="E14" s="23" t="s">
        <v>83</v>
      </c>
      <c r="F14" t="s">
        <v>46</v>
      </c>
    </row>
    <row r="15" spans="2:7" hidden="1" x14ac:dyDescent="0.25">
      <c r="C15" s="51"/>
      <c r="D15" s="88">
        <f>IF(E14="Hex",HEX2DEC(D14),D14)</f>
        <v>0</v>
      </c>
      <c r="E15" s="6" t="s">
        <v>84</v>
      </c>
    </row>
    <row r="16" spans="2:7" hidden="1" x14ac:dyDescent="0.25">
      <c r="C16" s="51" t="s">
        <v>82</v>
      </c>
      <c r="D16" s="88">
        <f>IF(D8="LDC1101",16,42)</f>
        <v>42</v>
      </c>
      <c r="E16" s="6" t="s">
        <v>0</v>
      </c>
    </row>
    <row r="17" spans="1:9" x14ac:dyDescent="0.25">
      <c r="C17" s="51" t="s">
        <v>50</v>
      </c>
      <c r="D17" s="30">
        <v>40</v>
      </c>
      <c r="E17" s="6" t="s">
        <v>0</v>
      </c>
      <c r="F17" s="49" t="str">
        <f>IF(D17&gt;D16,"Reference frequency is above maximum spec","")</f>
        <v/>
      </c>
    </row>
    <row r="18" spans="1:9" x14ac:dyDescent="0.25">
      <c r="C18" s="51" t="s">
        <v>48</v>
      </c>
      <c r="D18" s="50">
        <v>1</v>
      </c>
      <c r="E18" s="6"/>
    </row>
    <row r="19" spans="1:9" x14ac:dyDescent="0.25">
      <c r="C19" s="51" t="s">
        <v>49</v>
      </c>
      <c r="D19" s="50">
        <v>2</v>
      </c>
      <c r="E19" s="6" t="s">
        <v>111</v>
      </c>
    </row>
    <row r="20" spans="1:9" x14ac:dyDescent="0.25">
      <c r="C20" s="51" t="s">
        <v>2</v>
      </c>
      <c r="D20" s="24">
        <f>IF(D8="LDC131x",D19*(D17/D18)*(D13/(2^(12+D11))+D15/65536),D19*(D17/D18)*(D13/D10+D15/65536))</f>
        <v>7.4911122018761755</v>
      </c>
      <c r="E20" s="53" t="s">
        <v>0</v>
      </c>
      <c r="F20" s="49" t="str">
        <f>IF(D20&gt;10,"Note: This sensor frequency is higher than specified max"," ")</f>
        <v xml:space="preserve"> </v>
      </c>
      <c r="I20" s="11"/>
    </row>
    <row r="21" spans="1:9" hidden="1" x14ac:dyDescent="0.25">
      <c r="C21" s="52"/>
      <c r="D21" s="56">
        <f>D9*0.000000000001</f>
        <v>1.5E-11</v>
      </c>
      <c r="E21" s="21" t="s">
        <v>10</v>
      </c>
      <c r="F21" s="14"/>
    </row>
    <row r="22" spans="1:9" hidden="1" x14ac:dyDescent="0.25">
      <c r="C22" s="52"/>
      <c r="D22" s="57">
        <f>1/(D21*(D20*1000000*2*PI())^2)</f>
        <v>3.0092370500708332E-5</v>
      </c>
      <c r="E22" s="21" t="s">
        <v>1</v>
      </c>
      <c r="F22" s="14"/>
    </row>
    <row r="23" spans="1:9" x14ac:dyDescent="0.25">
      <c r="C23" s="51" t="s">
        <v>115</v>
      </c>
      <c r="D23" s="100">
        <f>D22*1000000</f>
        <v>30.092370500708331</v>
      </c>
      <c r="E23" s="20" t="s">
        <v>5</v>
      </c>
      <c r="I23" s="11"/>
    </row>
    <row r="24" spans="1:9" x14ac:dyDescent="0.25">
      <c r="C24" s="51"/>
      <c r="D24" s="89"/>
      <c r="E24" s="20"/>
      <c r="I24" s="11"/>
    </row>
    <row r="26" spans="1:9" ht="15.75" x14ac:dyDescent="0.25">
      <c r="A26" s="19"/>
      <c r="B26" s="19"/>
      <c r="C26" s="45" t="s">
        <v>54</v>
      </c>
      <c r="D26" s="9"/>
      <c r="E26" s="9"/>
    </row>
    <row r="27" spans="1:9" x14ac:dyDescent="0.25">
      <c r="A27" s="19"/>
      <c r="B27" s="19"/>
      <c r="C27" s="26" t="str">
        <f>IF(C29="L","fsensor","L")</f>
        <v>fsensor</v>
      </c>
      <c r="D27" s="25">
        <v>21.795999999999999</v>
      </c>
      <c r="E27" s="47" t="str">
        <f>IF(C27="fsensor","MHz","µH")</f>
        <v>MHz</v>
      </c>
    </row>
    <row r="28" spans="1:9" x14ac:dyDescent="0.25">
      <c r="A28" s="19"/>
      <c r="B28" s="19"/>
      <c r="C28" s="26" t="str">
        <f>IF(C29="C","fsensor","C")</f>
        <v>C</v>
      </c>
      <c r="D28" s="25">
        <v>3.5546000000000002</v>
      </c>
      <c r="E28" s="48" t="str">
        <f>IF(C28="fsensor","MHz","pF")</f>
        <v>pF</v>
      </c>
    </row>
    <row r="29" spans="1:9" x14ac:dyDescent="0.25">
      <c r="A29" s="19"/>
      <c r="B29" s="19"/>
      <c r="C29" s="12" t="s">
        <v>6</v>
      </c>
      <c r="D29" s="24">
        <f>IF(C29="fsensor",0.000001/(2*PI()*SQRT(D27*0.000001*D28*0.000000000001)),IF(C29="C",1000000000000/((D27*0.000001)*(2*PI()*D28*1000000)^2),1000000/((D28*0.000000000001)*(2*PI()*D27*1000000)^2)))</f>
        <v>15.000161269735647</v>
      </c>
      <c r="E29" s="26" t="str">
        <f>IF(C29="fsensor","MHz",IF(C29="L","µH","pF"))</f>
        <v>µH</v>
      </c>
    </row>
    <row r="30" spans="1:9" x14ac:dyDescent="0.25">
      <c r="A30" s="19"/>
      <c r="B30" s="19"/>
    </row>
    <row r="31" spans="1:9" x14ac:dyDescent="0.25">
      <c r="A31" s="19"/>
      <c r="B31" s="19"/>
    </row>
    <row r="32" spans="1:9" x14ac:dyDescent="0.25">
      <c r="A32" s="19"/>
      <c r="B32" s="19"/>
    </row>
    <row r="33" spans="1:5" x14ac:dyDescent="0.25">
      <c r="A33" s="19"/>
      <c r="B33" s="19"/>
    </row>
    <row r="34" spans="1:5" x14ac:dyDescent="0.25">
      <c r="A34" s="19"/>
      <c r="B34" s="19"/>
    </row>
    <row r="35" spans="1:5" x14ac:dyDescent="0.25">
      <c r="A35" s="19"/>
      <c r="B35" s="19"/>
    </row>
    <row r="36" spans="1:5" x14ac:dyDescent="0.25">
      <c r="A36" s="19"/>
      <c r="B36" s="19"/>
    </row>
    <row r="37" spans="1:5" x14ac:dyDescent="0.25">
      <c r="A37" s="19"/>
      <c r="B37" s="19"/>
    </row>
    <row r="38" spans="1:5" x14ac:dyDescent="0.25">
      <c r="A38" s="19"/>
      <c r="B38" s="19"/>
    </row>
    <row r="39" spans="1:5" x14ac:dyDescent="0.25">
      <c r="A39" s="19"/>
      <c r="B39" s="19"/>
    </row>
    <row r="40" spans="1:5" x14ac:dyDescent="0.25">
      <c r="A40" s="19"/>
      <c r="B40" s="19"/>
    </row>
    <row r="41" spans="1:5" x14ac:dyDescent="0.25">
      <c r="A41" s="19"/>
      <c r="B41" s="19"/>
    </row>
    <row r="42" spans="1:5" x14ac:dyDescent="0.25">
      <c r="A42" s="19"/>
      <c r="B42" s="19"/>
    </row>
    <row r="48" spans="1:5" hidden="1" x14ac:dyDescent="0.25">
      <c r="C48" s="91" t="s">
        <v>81</v>
      </c>
      <c r="D48" s="91" t="s">
        <v>79</v>
      </c>
      <c r="E48" s="91" t="s">
        <v>80</v>
      </c>
    </row>
    <row r="49" spans="3:5" hidden="1" x14ac:dyDescent="0.25">
      <c r="C49" s="90" t="e">
        <f>IF(#REF!="LDC1101",E49,D49)</f>
        <v>#REF!</v>
      </c>
      <c r="D49" s="90">
        <v>3926.991</v>
      </c>
      <c r="E49" s="90">
        <v>96</v>
      </c>
    </row>
    <row r="50" spans="3:5" hidden="1" x14ac:dyDescent="0.25">
      <c r="C50" s="90" t="e">
        <f>IF(#REF!="LDC1101",E50,D50)</f>
        <v>#REF!</v>
      </c>
      <c r="D50" s="90">
        <v>3141.5929999999998</v>
      </c>
      <c r="E50" s="90">
        <v>48</v>
      </c>
    </row>
    <row r="51" spans="3:5" hidden="1" x14ac:dyDescent="0.25">
      <c r="C51" s="90" t="e">
        <f>IF(#REF!="LDC1101",E51,D51)</f>
        <v>#REF!</v>
      </c>
      <c r="D51" s="90">
        <v>2243.9949999999999</v>
      </c>
      <c r="E51" s="90">
        <v>24</v>
      </c>
    </row>
    <row r="52" spans="3:5" hidden="1" x14ac:dyDescent="0.25">
      <c r="C52" s="90" t="e">
        <f>IF(#REF!="LDC1101",E52,D52)</f>
        <v>#REF!</v>
      </c>
      <c r="D52" s="90">
        <v>1745.329</v>
      </c>
      <c r="E52" s="90">
        <v>12</v>
      </c>
    </row>
    <row r="53" spans="3:5" hidden="1" x14ac:dyDescent="0.25">
      <c r="C53" s="90" t="e">
        <f>IF(#REF!="LDC1101",E53,D53)</f>
        <v>#REF!</v>
      </c>
      <c r="D53" s="90">
        <v>1308.9970000000001</v>
      </c>
      <c r="E53" s="90">
        <v>6</v>
      </c>
    </row>
    <row r="54" spans="3:5" hidden="1" x14ac:dyDescent="0.25">
      <c r="C54" s="90" t="e">
        <f>IF(#REF!="LDC1101",E54,D54)</f>
        <v>#REF!</v>
      </c>
      <c r="D54" s="90">
        <v>981.74800000000005</v>
      </c>
      <c r="E54" s="90">
        <v>3</v>
      </c>
    </row>
    <row r="55" spans="3:5" hidden="1" x14ac:dyDescent="0.25">
      <c r="C55" s="90" t="e">
        <f>IF(#REF!="LDC1101",E55,D55)</f>
        <v>#REF!</v>
      </c>
      <c r="D55" s="90">
        <v>747.99800000000005</v>
      </c>
      <c r="E55" s="90">
        <v>1.5</v>
      </c>
    </row>
    <row r="56" spans="3:5" hidden="1" x14ac:dyDescent="0.25">
      <c r="C56" s="90" t="e">
        <f>IF(#REF!="LDC1101",E56,D56)</f>
        <v>#REF!</v>
      </c>
      <c r="D56" s="90">
        <v>581.77599999999995</v>
      </c>
      <c r="E56" s="90">
        <v>0.75</v>
      </c>
    </row>
    <row r="57" spans="3:5" hidden="1" x14ac:dyDescent="0.25">
      <c r="C57" s="90" t="e">
        <f>IF(#REF!="LDC1101",E57,D57)</f>
        <v>#REF!</v>
      </c>
      <c r="D57" s="90">
        <v>436.33199999999999</v>
      </c>
      <c r="E57" s="90"/>
    </row>
    <row r="58" spans="3:5" hidden="1" x14ac:dyDescent="0.25">
      <c r="C58" s="90" t="e">
        <f>IF(#REF!="LDC1101",E58,D58)</f>
        <v>#REF!</v>
      </c>
      <c r="D58" s="90">
        <v>349.06599999999997</v>
      </c>
      <c r="E58" s="90"/>
    </row>
    <row r="59" spans="3:5" hidden="1" x14ac:dyDescent="0.25">
      <c r="C59" s="90" t="e">
        <f>IF(#REF!="LDC1101",E59,D59)</f>
        <v>#REF!</v>
      </c>
      <c r="D59" s="90">
        <v>249.333</v>
      </c>
      <c r="E59" s="90"/>
    </row>
    <row r="60" spans="3:5" hidden="1" x14ac:dyDescent="0.25">
      <c r="C60" s="90" t="e">
        <f>IF(#REF!="LDC1101",E60,D60)</f>
        <v>#REF!</v>
      </c>
      <c r="D60" s="90">
        <v>193.92599999999999</v>
      </c>
      <c r="E60" s="90"/>
    </row>
    <row r="61" spans="3:5" hidden="1" x14ac:dyDescent="0.25">
      <c r="C61" s="90" t="e">
        <f>IF(#REF!="LDC1101",E61,D61)</f>
        <v>#REF!</v>
      </c>
      <c r="D61" s="90">
        <v>145.44399999999999</v>
      </c>
      <c r="E61" s="90"/>
    </row>
    <row r="62" spans="3:5" hidden="1" x14ac:dyDescent="0.25">
      <c r="C62" s="90" t="e">
        <f>IF(#REF!="LDC1101",E62,D62)</f>
        <v>#REF!</v>
      </c>
      <c r="D62" s="90">
        <v>109.083</v>
      </c>
      <c r="E62" s="90"/>
    </row>
    <row r="63" spans="3:5" hidden="1" x14ac:dyDescent="0.25">
      <c r="C63" s="90" t="e">
        <f>IF(#REF!="LDC1101",E63,D63)</f>
        <v>#REF!</v>
      </c>
      <c r="D63" s="90">
        <v>83.111000000000004</v>
      </c>
      <c r="E63" s="90"/>
    </row>
    <row r="64" spans="3:5" hidden="1" x14ac:dyDescent="0.25">
      <c r="C64" s="90" t="e">
        <f>IF(#REF!="LDC1101",E64,D64)</f>
        <v>#REF!</v>
      </c>
      <c r="D64" s="90">
        <v>64.641999999999996</v>
      </c>
      <c r="E64" s="90"/>
    </row>
    <row r="65" spans="3:5" hidden="1" x14ac:dyDescent="0.25">
      <c r="C65" s="90" t="e">
        <f>IF(#REF!="LDC1101",E65,D65)</f>
        <v>#REF!</v>
      </c>
      <c r="D65" s="90">
        <v>48.481000000000002</v>
      </c>
      <c r="E65" s="90"/>
    </row>
    <row r="66" spans="3:5" hidden="1" x14ac:dyDescent="0.25">
      <c r="C66" s="90" t="e">
        <f>IF(#REF!="LDC1101",E66,D66)</f>
        <v>#REF!</v>
      </c>
      <c r="D66" s="90">
        <v>38.784999999999997</v>
      </c>
      <c r="E66" s="90"/>
    </row>
    <row r="67" spans="3:5" hidden="1" x14ac:dyDescent="0.25">
      <c r="C67" s="90" t="e">
        <f>IF(#REF!="LDC1101",E67,D67)</f>
        <v>#REF!</v>
      </c>
      <c r="D67" s="90">
        <v>27.704000000000001</v>
      </c>
      <c r="E67" s="90"/>
    </row>
    <row r="68" spans="3:5" hidden="1" x14ac:dyDescent="0.25">
      <c r="C68" s="90" t="e">
        <f>IF(#REF!="LDC1101",E68,D68)</f>
        <v>#REF!</v>
      </c>
      <c r="D68" s="90">
        <v>21.547000000000001</v>
      </c>
      <c r="E68" s="90"/>
    </row>
    <row r="69" spans="3:5" hidden="1" x14ac:dyDescent="0.25">
      <c r="C69" s="90" t="e">
        <f>IF(#REF!="LDC1101",E69,D69)</f>
        <v>#REF!</v>
      </c>
      <c r="D69" s="90">
        <v>16.16</v>
      </c>
      <c r="E69" s="90"/>
    </row>
    <row r="70" spans="3:5" hidden="1" x14ac:dyDescent="0.25">
      <c r="C70" s="90" t="e">
        <f>IF(#REF!="LDC1101",E70,D70)</f>
        <v>#REF!</v>
      </c>
      <c r="D70" s="90">
        <v>12.12</v>
      </c>
      <c r="E70" s="90"/>
    </row>
    <row r="71" spans="3:5" hidden="1" x14ac:dyDescent="0.25">
      <c r="C71" s="90" t="e">
        <f>IF(#REF!="LDC1101",E71,D71)</f>
        <v>#REF!</v>
      </c>
      <c r="D71" s="90">
        <v>9.2349999999999994</v>
      </c>
      <c r="E71" s="90"/>
    </row>
    <row r="72" spans="3:5" hidden="1" x14ac:dyDescent="0.25">
      <c r="C72" s="90" t="e">
        <f>IF(#REF!="LDC1101",E72,D72)</f>
        <v>#REF!</v>
      </c>
      <c r="D72" s="90">
        <v>7.1820000000000004</v>
      </c>
      <c r="E72" s="90"/>
    </row>
    <row r="73" spans="3:5" hidden="1" x14ac:dyDescent="0.25">
      <c r="C73" s="90" t="e">
        <f>IF(#REF!="LDC1101",E73,D73)</f>
        <v>#REF!</v>
      </c>
      <c r="D73" s="90">
        <v>5.3869999999999996</v>
      </c>
      <c r="E73" s="90"/>
    </row>
    <row r="74" spans="3:5" hidden="1" x14ac:dyDescent="0.25">
      <c r="C74" s="90" t="e">
        <f>IF(#REF!="LDC1101",E74,D74)</f>
        <v>#REF!</v>
      </c>
      <c r="D74" s="90">
        <v>4.3090000000000002</v>
      </c>
      <c r="E74" s="90"/>
    </row>
    <row r="75" spans="3:5" hidden="1" x14ac:dyDescent="0.25">
      <c r="C75" s="90" t="e">
        <f>IF(#REF!="LDC1101",E75,D75)</f>
        <v>#REF!</v>
      </c>
      <c r="D75" s="90">
        <v>3.0779999999999998</v>
      </c>
      <c r="E75" s="90"/>
    </row>
    <row r="76" spans="3:5" hidden="1" x14ac:dyDescent="0.25">
      <c r="C76" s="90" t="e">
        <f>IF(#REF!="LDC1101",E76,D76)</f>
        <v>#REF!</v>
      </c>
      <c r="D76" s="90">
        <v>2.3940000000000001</v>
      </c>
      <c r="E76" s="90"/>
    </row>
    <row r="77" spans="3:5" hidden="1" x14ac:dyDescent="0.25">
      <c r="C77" s="90" t="e">
        <f>IF(#REF!="LDC1101",E77,D77)</f>
        <v>#REF!</v>
      </c>
      <c r="D77" s="90">
        <v>1.796</v>
      </c>
      <c r="E77" s="90"/>
    </row>
    <row r="78" spans="3:5" hidden="1" x14ac:dyDescent="0.25">
      <c r="C78" s="90" t="e">
        <f>IF(#REF!="LDC1101",E78,D78)</f>
        <v>#REF!</v>
      </c>
      <c r="D78" s="90">
        <v>1.347</v>
      </c>
      <c r="E78" s="90"/>
    </row>
    <row r="79" spans="3:5" hidden="1" x14ac:dyDescent="0.25">
      <c r="C79" s="90" t="e">
        <f>IF(#REF!="LDC1101",E79,D79)</f>
        <v>#REF!</v>
      </c>
      <c r="D79" s="90">
        <v>1.026</v>
      </c>
      <c r="E79" s="90"/>
    </row>
    <row r="80" spans="3:5" hidden="1" x14ac:dyDescent="0.25">
      <c r="C80" s="90" t="e">
        <f>IF(#REF!="LDC1101",E80,D80)</f>
        <v>#REF!</v>
      </c>
      <c r="D80" s="90">
        <v>0.79800000000000004</v>
      </c>
      <c r="E80" s="90"/>
    </row>
  </sheetData>
  <conditionalFormatting sqref="D11">
    <cfRule type="expression" dxfId="4" priority="5">
      <formula>$D$8&lt;&gt;"FDC211x"</formula>
    </cfRule>
  </conditionalFormatting>
  <conditionalFormatting sqref="D17">
    <cfRule type="cellIs" dxfId="3" priority="2" operator="greaterThan">
      <formula>42</formula>
    </cfRule>
    <cfRule type="cellIs" dxfId="2" priority="4" operator="greaterThan">
      <formula>40</formula>
    </cfRule>
  </conditionalFormatting>
  <dataValidations count="13">
    <dataValidation type="decimal" errorStyle="information" allowBlank="1" showInputMessage="1" showErrorMessage="1" sqref="D9">
      <formula1>1.5</formula1>
      <formula2>1000</formula2>
    </dataValidation>
    <dataValidation type="decimal" errorStyle="warning" operator="lessThanOrEqual" allowBlank="1" showInputMessage="1" showErrorMessage="1" errorTitle="Frequency too High" error="This exceeds the maximum CLKIN frequency." sqref="D17">
      <formula1>D16</formula1>
    </dataValidation>
    <dataValidation type="list" allowBlank="1" showInputMessage="1" showErrorMessage="1" sqref="D8">
      <formula1>"FDC211x,FDC221x"</formula1>
    </dataValidation>
    <dataValidation type="decimal" allowBlank="1" showInputMessage="1" showErrorMessage="1" errorTitle="Invalid setting" error="The Offset register programmed value can only be between 0 and 65535." sqref="D14 D16">
      <formula1>0</formula1>
      <formula2>65535</formula2>
    </dataValidation>
    <dataValidation type="decimal" errorStyle="warning" allowBlank="1" showInputMessage="1" showErrorMessage="1" errorTitle="Frequency too High" error="The FDC2xxx devices have a maximum CLKIN divider 1023." sqref="D18">
      <formula1>1</formula1>
      <formula2>1023</formula2>
    </dataValidation>
    <dataValidation type="list" errorStyle="warning" operator="lessThanOrEqual" allowBlank="1" showInputMessage="1" showErrorMessage="1" errorTitle="Frequency too High" error="The FDC2xxx devices have a CHx_FIN_SEL of 1 or 2." sqref="D19">
      <formula1>"1,2"</formula1>
    </dataValidation>
    <dataValidation type="list" allowBlank="1" showInputMessage="1" showErrorMessage="1" errorTitle="Incorrect Gain Setting" sqref="D11">
      <formula1>"0,2,3,4"</formula1>
    </dataValidation>
    <dataValidation allowBlank="1" showInputMessage="1" showErrorMessage="1" errorTitle="Invalid Output Code" error="The output code must be between 0 and the full-scale output code." sqref="D12"/>
    <dataValidation type="whole" allowBlank="1" showInputMessage="1" showErrorMessage="1" sqref="D15">
      <formula1>0</formula1>
      <formula2>20000000</formula2>
    </dataValidation>
    <dataValidation type="decimal" errorStyle="warning" allowBlank="1" showInputMessage="1" showErrorMessage="1" errorTitle="Extreme Value" error="Please verify the value is correct, note the units are μH, pF, and MHz." sqref="D27:D28">
      <formula1>0.001</formula1>
      <formula2>1000000</formula2>
    </dataValidation>
    <dataValidation type="list" allowBlank="1" showInputMessage="1" showErrorMessage="1" sqref="C29">
      <formula1>"fsensor,L,C"</formula1>
    </dataValidation>
    <dataValidation type="list" allowBlank="1" showInputMessage="1" showErrorMessage="1" sqref="E12 E14">
      <formula1>"Hex,decimal"</formula1>
    </dataValidation>
    <dataValidation type="decimal" allowBlank="1" showInputMessage="1" showErrorMessage="1" sqref="D13">
      <formula1>0</formula1>
      <formula2>D10</formula2>
    </dataValidation>
  </dataValidations>
  <hyperlinks>
    <hyperlink ref="F2" location="Contents!A1" display="Return to Main Page"/>
  </hyperlink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4" tint="0.59999389629810485"/>
  </sheetPr>
  <dimension ref="B2:E27"/>
  <sheetViews>
    <sheetView showGridLines="0" showRowColHeaders="0" workbookViewId="0">
      <selection activeCell="K10" sqref="K10"/>
    </sheetView>
  </sheetViews>
  <sheetFormatPr defaultRowHeight="15" x14ac:dyDescent="0.25"/>
  <cols>
    <col min="2" max="2" width="36.140625" customWidth="1"/>
    <col min="3" max="3" width="10.5703125" bestFit="1" customWidth="1"/>
    <col min="4" max="4" width="15.5703125" customWidth="1"/>
  </cols>
  <sheetData>
    <row r="2" spans="2:5" ht="18.75" x14ac:dyDescent="0.3">
      <c r="B2" s="2" t="s">
        <v>56</v>
      </c>
      <c r="C2" s="3"/>
      <c r="D2" s="4"/>
      <c r="E2" s="16" t="s">
        <v>11</v>
      </c>
    </row>
    <row r="3" spans="2:5" ht="15.75" x14ac:dyDescent="0.25">
      <c r="B3" s="5" t="s">
        <v>113</v>
      </c>
      <c r="C3" s="3"/>
      <c r="D3" s="4"/>
    </row>
    <row r="4" spans="2:5" ht="15.75" x14ac:dyDescent="0.25">
      <c r="B4" s="5" t="s">
        <v>67</v>
      </c>
      <c r="C4" s="3"/>
      <c r="D4" s="4"/>
    </row>
    <row r="5" spans="2:5" ht="15.75" x14ac:dyDescent="0.25">
      <c r="B5" s="5" t="s">
        <v>66</v>
      </c>
      <c r="C5" s="3"/>
      <c r="D5" s="4"/>
    </row>
    <row r="6" spans="2:5" ht="15.75" x14ac:dyDescent="0.25">
      <c r="B6" s="5"/>
      <c r="C6" s="3"/>
      <c r="D6" s="4"/>
    </row>
    <row r="9" spans="2:5" ht="18.75" x14ac:dyDescent="0.3">
      <c r="B9" s="73" t="s">
        <v>101</v>
      </c>
    </row>
    <row r="10" spans="2:5" ht="15.75" x14ac:dyDescent="0.25">
      <c r="B10" s="37" t="s">
        <v>64</v>
      </c>
      <c r="C10" s="33" t="s">
        <v>102</v>
      </c>
    </row>
    <row r="11" spans="2:5" ht="15.75" hidden="1" x14ac:dyDescent="0.25">
      <c r="B11" s="37" t="s">
        <v>126</v>
      </c>
      <c r="C11" s="79">
        <f>IF(C10="LDC1101",1,IF(RIGHT(C10,1)="2",2,4))</f>
        <v>2</v>
      </c>
    </row>
    <row r="12" spans="2:5" ht="15.75" x14ac:dyDescent="0.25">
      <c r="B12" s="81" t="s">
        <v>103</v>
      </c>
      <c r="C12" s="33">
        <v>0</v>
      </c>
      <c r="D12" s="4" t="s">
        <v>104</v>
      </c>
    </row>
    <row r="13" spans="2:5" ht="15.75" x14ac:dyDescent="0.25">
      <c r="B13" s="70" t="s">
        <v>57</v>
      </c>
      <c r="C13" s="74">
        <v>20</v>
      </c>
      <c r="D13" s="69" t="s">
        <v>9</v>
      </c>
    </row>
    <row r="14" spans="2:5" ht="15.75" x14ac:dyDescent="0.25">
      <c r="B14" s="71" t="s">
        <v>47</v>
      </c>
      <c r="C14" s="74">
        <v>100</v>
      </c>
      <c r="D14" s="68" t="s">
        <v>5</v>
      </c>
    </row>
    <row r="15" spans="2:5" ht="15.75" x14ac:dyDescent="0.25">
      <c r="B15" s="72" t="s">
        <v>58</v>
      </c>
      <c r="C15" s="34">
        <f>1000/(2*PI()*SQRT(C14*C13))</f>
        <v>3.5588127170858854</v>
      </c>
      <c r="D15" s="68" t="s">
        <v>0</v>
      </c>
    </row>
    <row r="16" spans="2:5" ht="15.75" x14ac:dyDescent="0.25">
      <c r="B16" s="81" t="s">
        <v>89</v>
      </c>
      <c r="C16" s="34">
        <v>40</v>
      </c>
      <c r="D16" s="68"/>
    </row>
    <row r="17" spans="2:4" ht="15.75" x14ac:dyDescent="0.25">
      <c r="B17" s="22" t="s">
        <v>3</v>
      </c>
      <c r="C17" s="75">
        <v>40</v>
      </c>
      <c r="D17" s="4" t="s">
        <v>0</v>
      </c>
    </row>
    <row r="18" spans="2:4" ht="30" x14ac:dyDescent="0.25">
      <c r="B18" s="78" t="s">
        <v>65</v>
      </c>
      <c r="C18" s="33">
        <v>1</v>
      </c>
      <c r="D18" t="s">
        <v>100</v>
      </c>
    </row>
    <row r="19" spans="2:4" ht="15.75" x14ac:dyDescent="0.25">
      <c r="B19" s="78" t="s">
        <v>114</v>
      </c>
      <c r="C19" s="92" t="str">
        <f>"0x"&amp;DEC2HEX(CEILING(C18/16,1),4)</f>
        <v>0x0001</v>
      </c>
      <c r="D19" s="68" t="s">
        <v>88</v>
      </c>
    </row>
    <row r="20" spans="2:4" ht="15.75" x14ac:dyDescent="0.25">
      <c r="B20" s="22" t="s">
        <v>59</v>
      </c>
      <c r="C20" s="33">
        <v>17</v>
      </c>
      <c r="D20" s="68" t="s">
        <v>124</v>
      </c>
    </row>
    <row r="21" spans="2:4" ht="15.75" x14ac:dyDescent="0.25">
      <c r="B21" s="22" t="s">
        <v>123</v>
      </c>
      <c r="C21" s="92" t="str">
        <f>"0x" &amp;(DEC2HEX(C20/16,2))</f>
        <v>0x01</v>
      </c>
    </row>
    <row r="22" spans="2:4" ht="15.75" x14ac:dyDescent="0.25">
      <c r="B22" s="22" t="s">
        <v>125</v>
      </c>
      <c r="C22" s="33">
        <v>2</v>
      </c>
      <c r="D22" s="4"/>
    </row>
    <row r="23" spans="2:4" ht="15.75" hidden="1" x14ac:dyDescent="0.25">
      <c r="B23" s="78" t="s">
        <v>90</v>
      </c>
      <c r="C23" s="79">
        <f>IF(C22=1,0,C20)</f>
        <v>17</v>
      </c>
      <c r="D23" s="4"/>
    </row>
    <row r="24" spans="2:4" ht="15.75" hidden="1" x14ac:dyDescent="0.25">
      <c r="B24" s="78" t="s">
        <v>62</v>
      </c>
      <c r="C24" s="79">
        <f>(C18+C23)/C17</f>
        <v>0.45</v>
      </c>
      <c r="D24" s="17" t="s">
        <v>18</v>
      </c>
    </row>
    <row r="25" spans="2:4" ht="15.75" x14ac:dyDescent="0.25">
      <c r="B25" s="22" t="s">
        <v>62</v>
      </c>
      <c r="C25" s="76">
        <f>IF(C24&gt;1000,C24/1000,C24)</f>
        <v>0.45</v>
      </c>
      <c r="D25" s="47" t="str">
        <f>IF(C24&gt;1000,"ms","µs")</f>
        <v>µs</v>
      </c>
    </row>
    <row r="26" spans="2:4" ht="15.75" x14ac:dyDescent="0.25">
      <c r="B26" s="22" t="s">
        <v>12</v>
      </c>
      <c r="C26" s="76">
        <f>1000/C25/C22</f>
        <v>1111.1111111111111</v>
      </c>
      <c r="D26" s="48" t="str">
        <f>IF(D25="µs","ksps per channel","sps per channel")</f>
        <v>ksps per channel</v>
      </c>
    </row>
    <row r="27" spans="2:4" ht="15.75" x14ac:dyDescent="0.25">
      <c r="B27" s="22" t="s">
        <v>60</v>
      </c>
      <c r="C27" s="31">
        <f>IF(LEFT(C10,6)="LDC131",MIN(LOG(2*2*C18,2),12+C12),LOG(2*2*C18,2))</f>
        <v>2</v>
      </c>
      <c r="D27" s="4" t="s">
        <v>61</v>
      </c>
    </row>
  </sheetData>
  <conditionalFormatting sqref="C22">
    <cfRule type="cellIs" dxfId="1" priority="1" operator="greaterThan">
      <formula>$C$11</formula>
    </cfRule>
  </conditionalFormatting>
  <dataValidations count="9">
    <dataValidation type="decimal" errorStyle="warning" allowBlank="1" showInputMessage="1" showErrorMessage="1" errorTitle="Possible Invalid Reference Freq" error="The Reference Frequency must be greater than the Sensor frequency and also must not exceed the LDC maximum reference frequency." sqref="C17">
      <formula1>1</formula1>
      <formula2>C16</formula2>
    </dataValidation>
    <dataValidation type="whole" allowBlank="1" showInputMessage="1" showErrorMessage="1" errorTitle="Invalid Number of Channels" error="LDC1312 &amp; LDC1612 maximum setting is 2 channels. _x000a_LDC1314 &amp; LDC1614 maximum setting is 4 channels." sqref="C22">
      <formula1>1</formula1>
      <formula2>C11</formula2>
    </dataValidation>
    <dataValidation type="whole" errorStyle="warning" allowBlank="1" showInputMessage="1" showErrorMessage="1" errorTitle="Invalid Settling Count" error="The LDC131x/161x minimum settle count is 0 and the maximum reference count is 65535." sqref="C20">
      <formula1>0</formula1>
      <formula2>65535</formula2>
    </dataValidation>
    <dataValidation type="list" allowBlank="1" showInputMessage="1" showErrorMessage="1" sqref="C12">
      <formula1>"0,2,3,4"</formula1>
    </dataValidation>
    <dataValidation type="list" allowBlank="1" showInputMessage="1" showErrorMessage="1" sqref="C10">
      <formula1>"FDC2112,FDC2114,FDC2212,FDC2214"</formula1>
    </dataValidation>
    <dataValidation type="whole" errorStyle="warning" allowBlank="1" showInputMessage="1" showErrorMessage="1" errorTitle="Invalid Reference Count" error="The LDC131x/161x minimum reference count is 48 and the maximum reference count is 1048560." sqref="C19">
      <formula1>64</formula1>
      <formula2>65535*16</formula2>
    </dataValidation>
    <dataValidation type="whole" errorStyle="warning" allowBlank="1" showInputMessage="1" showErrorMessage="1" errorTitle="Invalid Reference Count" error="The LDC131x/161x minimum reference count is 48 and the maximum reference count is 1048560." sqref="C18">
      <formula1>48</formula1>
      <formula2>65535*16</formula2>
    </dataValidation>
    <dataValidation allowBlank="1" showInputMessage="1" showErrorMessage="1" errorTitle="Invalid Number of Channels" error="LDC1312 &amp; LDC1612 maximum setting is 2 channels. _x000a_LDC1314 &amp; LDC1614 maximum setting is 4 channels." sqref="C23:C24"/>
    <dataValidation errorStyle="warning" allowBlank="1" showInputMessage="1" showErrorMessage="1" errorTitle="Invalid Settling Count" error="The LDC131x/161x minimum settle count is 0 and the maximum reference count is 65535." sqref="C21"/>
  </dataValidations>
  <hyperlinks>
    <hyperlink ref="E2" location="Contents!A1" display="Return to Main Page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4" tint="0.59999389629810485"/>
  </sheetPr>
  <dimension ref="B2:F43"/>
  <sheetViews>
    <sheetView showGridLines="0" showRowColHeaders="0" tabSelected="1" topLeftCell="B1" workbookViewId="0">
      <selection activeCell="C47" sqref="C47"/>
    </sheetView>
  </sheetViews>
  <sheetFormatPr defaultRowHeight="15" x14ac:dyDescent="0.25"/>
  <cols>
    <col min="1" max="2" width="5.7109375" customWidth="1"/>
    <col min="3" max="3" width="46.7109375" customWidth="1"/>
    <col min="4" max="4" width="12.5703125" customWidth="1"/>
    <col min="5" max="5" width="25.28515625" customWidth="1"/>
    <col min="6" max="6" width="12" bestFit="1" customWidth="1"/>
  </cols>
  <sheetData>
    <row r="2" spans="2:6" ht="18.75" x14ac:dyDescent="0.3">
      <c r="B2" s="2" t="s">
        <v>92</v>
      </c>
      <c r="C2" s="2"/>
      <c r="E2" s="16" t="s">
        <v>11</v>
      </c>
    </row>
    <row r="3" spans="2:6" ht="15.75" x14ac:dyDescent="0.25">
      <c r="B3" s="7"/>
      <c r="C3" s="7" t="s">
        <v>40</v>
      </c>
      <c r="D3" s="37"/>
      <c r="E3" s="35"/>
    </row>
    <row r="4" spans="2:6" ht="15.75" x14ac:dyDescent="0.25">
      <c r="B4" s="7"/>
      <c r="C4" s="7"/>
      <c r="D4" s="37"/>
      <c r="E4" s="35"/>
    </row>
    <row r="5" spans="2:6" ht="18" x14ac:dyDescent="0.35">
      <c r="B5" s="7"/>
      <c r="C5" s="8" t="s">
        <v>87</v>
      </c>
      <c r="D5" s="18">
        <v>40</v>
      </c>
      <c r="E5" s="4" t="s">
        <v>0</v>
      </c>
    </row>
    <row r="6" spans="2:6" x14ac:dyDescent="0.25">
      <c r="B6" s="7"/>
      <c r="C6" s="95" t="s">
        <v>86</v>
      </c>
      <c r="D6" s="39">
        <v>4096</v>
      </c>
      <c r="E6" s="4" t="s">
        <v>23</v>
      </c>
    </row>
    <row r="7" spans="2:6" x14ac:dyDescent="0.25">
      <c r="B7" s="7"/>
      <c r="C7" s="95" t="s">
        <v>78</v>
      </c>
      <c r="D7" s="85" t="str">
        <f>"0x"&amp;DEC2HEX(CEILING(D6/16,1),4)</f>
        <v>0x0100</v>
      </c>
      <c r="E7" s="4" t="s">
        <v>75</v>
      </c>
    </row>
    <row r="8" spans="2:6" x14ac:dyDescent="0.25">
      <c r="B8" s="7"/>
      <c r="C8" s="95" t="s">
        <v>26</v>
      </c>
      <c r="D8" s="44">
        <v>10</v>
      </c>
      <c r="E8" s="4" t="str">
        <f>IF(D38&gt;0,"sps","This Sample Rate is too high and cannot use Sleep Mode")</f>
        <v>sps</v>
      </c>
      <c r="F8" s="64"/>
    </row>
    <row r="9" spans="2:6" x14ac:dyDescent="0.25">
      <c r="B9" s="7"/>
      <c r="C9" s="95" t="s">
        <v>14</v>
      </c>
      <c r="D9" s="39">
        <v>1</v>
      </c>
      <c r="E9" s="4"/>
    </row>
    <row r="10" spans="2:6" x14ac:dyDescent="0.25">
      <c r="B10" s="7"/>
      <c r="C10" s="95" t="s">
        <v>2</v>
      </c>
      <c r="D10" s="43">
        <v>1.5</v>
      </c>
      <c r="E10" s="4" t="s">
        <v>0</v>
      </c>
    </row>
    <row r="11" spans="2:6" x14ac:dyDescent="0.25">
      <c r="B11" s="7"/>
      <c r="C11" s="95" t="s">
        <v>99</v>
      </c>
      <c r="D11" s="39">
        <v>1.5</v>
      </c>
      <c r="E11" s="4" t="s">
        <v>98</v>
      </c>
    </row>
    <row r="12" spans="2:6" x14ac:dyDescent="0.25">
      <c r="B12" s="7"/>
      <c r="C12" s="95" t="s">
        <v>95</v>
      </c>
      <c r="D12" s="39">
        <v>31</v>
      </c>
      <c r="E12" s="4" t="s">
        <v>116</v>
      </c>
    </row>
    <row r="13" spans="2:6" x14ac:dyDescent="0.25">
      <c r="B13" s="7"/>
      <c r="C13" s="95" t="s">
        <v>97</v>
      </c>
      <c r="D13" s="39">
        <v>100</v>
      </c>
      <c r="E13" s="4" t="s">
        <v>5</v>
      </c>
    </row>
    <row r="14" spans="2:6" x14ac:dyDescent="0.25">
      <c r="B14" s="7"/>
      <c r="C14" s="95" t="s">
        <v>24</v>
      </c>
      <c r="D14" s="39">
        <v>400</v>
      </c>
      <c r="E14" s="4" t="s">
        <v>25</v>
      </c>
    </row>
    <row r="15" spans="2:6" x14ac:dyDescent="0.25">
      <c r="B15" s="7"/>
      <c r="C15" s="95" t="s">
        <v>96</v>
      </c>
      <c r="D15" s="41" t="s">
        <v>108</v>
      </c>
      <c r="E15" s="4"/>
    </row>
    <row r="16" spans="2:6" x14ac:dyDescent="0.25">
      <c r="B16" s="7"/>
      <c r="C16" s="38"/>
      <c r="D16" s="40"/>
    </row>
    <row r="17" spans="2:6" hidden="1" x14ac:dyDescent="0.25">
      <c r="B17" s="7"/>
      <c r="C17" s="38" t="s">
        <v>43</v>
      </c>
      <c r="D17" s="59">
        <f>D5*D11*1000000*D13*POWER(10,-12)*PI()*PI()/(32*D33*0.001)</f>
        <v>1.1781067437346304</v>
      </c>
    </row>
    <row r="18" spans="2:6" x14ac:dyDescent="0.25">
      <c r="B18" s="7"/>
      <c r="C18" s="95" t="s">
        <v>52</v>
      </c>
      <c r="D18" s="96">
        <f>16*CEILING(D17/16,1)</f>
        <v>16</v>
      </c>
      <c r="E18" s="82"/>
      <c r="F18" s="22"/>
    </row>
    <row r="19" spans="2:6" x14ac:dyDescent="0.25">
      <c r="B19" s="7"/>
      <c r="C19" s="95" t="s">
        <v>77</v>
      </c>
      <c r="D19" s="101" t="str">
        <f>"0x"&amp;(DEC2HEX(D18/16,4))</f>
        <v>0x0001</v>
      </c>
      <c r="E19" s="86" t="s">
        <v>76</v>
      </c>
      <c r="F19" s="22"/>
    </row>
    <row r="20" spans="2:6" hidden="1" x14ac:dyDescent="0.25">
      <c r="B20" s="7"/>
      <c r="C20" s="95" t="s">
        <v>41</v>
      </c>
      <c r="D20" s="97">
        <f>D18/D5</f>
        <v>0.4</v>
      </c>
      <c r="E20" s="15" t="s">
        <v>18</v>
      </c>
    </row>
    <row r="21" spans="2:6" hidden="1" x14ac:dyDescent="0.25">
      <c r="B21" s="36"/>
      <c r="C21" s="8" t="s">
        <v>27</v>
      </c>
      <c r="D21" s="98">
        <v>2</v>
      </c>
      <c r="E21" t="s">
        <v>22</v>
      </c>
    </row>
    <row r="22" spans="2:6" hidden="1" x14ac:dyDescent="0.25">
      <c r="B22" s="36"/>
      <c r="C22" s="8" t="s">
        <v>13</v>
      </c>
      <c r="D22" s="60">
        <f>4*D9+5</f>
        <v>9</v>
      </c>
    </row>
    <row r="23" spans="2:6" hidden="1" x14ac:dyDescent="0.25">
      <c r="B23" s="36"/>
      <c r="C23" s="8" t="s">
        <v>29</v>
      </c>
      <c r="D23" s="60">
        <f>4*8+5</f>
        <v>37</v>
      </c>
    </row>
    <row r="24" spans="2:6" hidden="1" x14ac:dyDescent="0.25">
      <c r="B24" s="36"/>
      <c r="C24" s="8" t="s">
        <v>28</v>
      </c>
      <c r="D24" s="61">
        <f>D22*D23/D14</f>
        <v>0.83250000000000002</v>
      </c>
      <c r="E24" t="s">
        <v>22</v>
      </c>
    </row>
    <row r="25" spans="2:6" hidden="1" x14ac:dyDescent="0.25">
      <c r="B25" s="36"/>
      <c r="C25" s="8" t="s">
        <v>131</v>
      </c>
      <c r="D25" s="61">
        <f>IF(D15="FDC211x",((1+D23+D9*D23)/D14),((1+D23+D9*2*D23)/D14))</f>
        <v>0.28000000000000003</v>
      </c>
      <c r="E25" t="s">
        <v>22</v>
      </c>
    </row>
    <row r="26" spans="2:6" hidden="1" x14ac:dyDescent="0.25">
      <c r="B26" s="36"/>
      <c r="C26" s="8" t="s">
        <v>33</v>
      </c>
      <c r="D26" s="61">
        <f>D24+D21</f>
        <v>2.8325</v>
      </c>
      <c r="E26" t="s">
        <v>22</v>
      </c>
    </row>
    <row r="27" spans="2:6" hidden="1" x14ac:dyDescent="0.25">
      <c r="B27" s="36"/>
      <c r="C27" s="8" t="s">
        <v>30</v>
      </c>
      <c r="D27" s="61">
        <v>0.3</v>
      </c>
      <c r="E27" t="s">
        <v>22</v>
      </c>
    </row>
    <row r="28" spans="2:6" hidden="1" x14ac:dyDescent="0.25">
      <c r="B28" s="13"/>
      <c r="C28" s="8" t="s">
        <v>31</v>
      </c>
      <c r="D28" s="54">
        <v>0.04</v>
      </c>
      <c r="E28" t="s">
        <v>22</v>
      </c>
    </row>
    <row r="29" spans="2:6" x14ac:dyDescent="0.25">
      <c r="B29" s="9"/>
      <c r="C29" s="8" t="s">
        <v>34</v>
      </c>
      <c r="D29" s="99">
        <f>0.001*(D17+D6)/D5</f>
        <v>0.10242945266859338</v>
      </c>
      <c r="E29" t="s">
        <v>22</v>
      </c>
    </row>
    <row r="30" spans="2:6" hidden="1" x14ac:dyDescent="0.25">
      <c r="B30" s="9"/>
      <c r="C30" t="s">
        <v>132</v>
      </c>
      <c r="D30" s="61">
        <f>D9*D29+(D9-1)*D28+D27+D26+D25</f>
        <v>3.5149294526685937</v>
      </c>
      <c r="E30" t="s">
        <v>22</v>
      </c>
    </row>
    <row r="31" spans="2:6" hidden="1" x14ac:dyDescent="0.25">
      <c r="B31" s="9"/>
      <c r="C31" t="s">
        <v>32</v>
      </c>
      <c r="D31" s="58">
        <f>D30*D8</f>
        <v>35.149294526685935</v>
      </c>
      <c r="E31" t="s">
        <v>22</v>
      </c>
    </row>
    <row r="32" spans="2:6" hidden="1" x14ac:dyDescent="0.25">
      <c r="B32" s="9"/>
      <c r="C32" t="s">
        <v>42</v>
      </c>
      <c r="D32" s="58">
        <f>(D26)*D8</f>
        <v>28.324999999999999</v>
      </c>
      <c r="E32" t="s">
        <v>22</v>
      </c>
    </row>
    <row r="33" spans="2:6" hidden="1" x14ac:dyDescent="0.25">
      <c r="B33" s="9"/>
      <c r="C33" t="s">
        <v>36</v>
      </c>
      <c r="D33" s="61">
        <f>PI()*(1.160155^D12)/200</f>
        <v>1.5707836620457312</v>
      </c>
      <c r="E33" t="s">
        <v>35</v>
      </c>
    </row>
    <row r="34" spans="2:6" hidden="1" x14ac:dyDescent="0.25">
      <c r="B34" s="9"/>
      <c r="C34" t="s">
        <v>20</v>
      </c>
      <c r="D34" s="62">
        <f>2.02+D5*0.0365</f>
        <v>3.48</v>
      </c>
      <c r="E34" t="s">
        <v>35</v>
      </c>
    </row>
    <row r="35" spans="2:6" hidden="1" x14ac:dyDescent="0.25">
      <c r="B35" s="9"/>
      <c r="C35" t="s">
        <v>21</v>
      </c>
      <c r="D35" s="62">
        <f>D34+D33</f>
        <v>5.0507836620457311</v>
      </c>
      <c r="E35" t="s">
        <v>35</v>
      </c>
    </row>
    <row r="36" spans="2:6" hidden="1" x14ac:dyDescent="0.25">
      <c r="B36" s="9"/>
      <c r="C36" t="s">
        <v>38</v>
      </c>
      <c r="D36" s="54">
        <v>3.5000000000000003E-2</v>
      </c>
      <c r="E36" t="s">
        <v>35</v>
      </c>
    </row>
    <row r="37" spans="2:6" hidden="1" x14ac:dyDescent="0.25">
      <c r="C37" t="s">
        <v>37</v>
      </c>
      <c r="D37" s="54">
        <v>2.0000000000000001E-4</v>
      </c>
      <c r="E37" t="s">
        <v>35</v>
      </c>
    </row>
    <row r="38" spans="2:6" hidden="1" x14ac:dyDescent="0.25">
      <c r="C38" t="s">
        <v>39</v>
      </c>
      <c r="D38" s="61">
        <f>1000-D31-D32</f>
        <v>936.52570547331402</v>
      </c>
      <c r="E38" t="s">
        <v>22</v>
      </c>
    </row>
    <row r="39" spans="2:6" hidden="1" x14ac:dyDescent="0.25">
      <c r="C39" s="38" t="s">
        <v>15</v>
      </c>
      <c r="D39" s="63">
        <f>D37*D38/1000</f>
        <v>1.8730514109466281E-4</v>
      </c>
    </row>
    <row r="40" spans="2:6" hidden="1" x14ac:dyDescent="0.25">
      <c r="C40" s="38" t="s">
        <v>16</v>
      </c>
      <c r="D40" s="63">
        <f>D36*D32/1000</f>
        <v>9.9137500000000007E-4</v>
      </c>
    </row>
    <row r="41" spans="2:6" hidden="1" x14ac:dyDescent="0.25">
      <c r="C41" s="38" t="s">
        <v>17</v>
      </c>
      <c r="D41" s="63">
        <f>D35*D31/1000</f>
        <v>0.17753148252781875</v>
      </c>
    </row>
    <row r="42" spans="2:6" ht="20.25" customHeight="1" x14ac:dyDescent="0.25">
      <c r="C42" s="83" t="s">
        <v>93</v>
      </c>
      <c r="D42" s="42">
        <f>1000*SUM(D39:D41)</f>
        <v>178.7101626689134</v>
      </c>
      <c r="E42" s="4" t="s">
        <v>44</v>
      </c>
      <c r="F42" s="64"/>
    </row>
    <row r="43" spans="2:6" ht="24.75" customHeight="1" x14ac:dyDescent="0.25">
      <c r="C43" s="84" t="s">
        <v>94</v>
      </c>
      <c r="D43" s="87">
        <f>1000*(D36*D38/1000+D40+D41)</f>
        <v>211.30125721938475</v>
      </c>
      <c r="E43" s="4" t="s">
        <v>44</v>
      </c>
    </row>
  </sheetData>
  <conditionalFormatting sqref="E8">
    <cfRule type="expression" dxfId="0" priority="1">
      <formula>$D$38&lt;0</formula>
    </cfRule>
  </conditionalFormatting>
  <dataValidations count="11">
    <dataValidation type="decimal" allowBlank="1" showInputMessage="1" showErrorMessage="1" sqref="D6">
      <formula1>48</formula1>
      <formula2>1048560</formula2>
    </dataValidation>
    <dataValidation type="decimal" errorStyle="warning" allowBlank="1" showInputMessage="1" showErrorMessage="1" errorTitle="Invalid I2C datarate" error="The LDC can support a datarate of up to 400kbit/s." sqref="D14">
      <formula1>1</formula1>
      <formula2>400</formula2>
    </dataValidation>
    <dataValidation type="decimal" errorStyle="information" allowBlank="1" showInputMessage="1" showErrorMessage="1" errorTitle="Sensor Amplitude" error="The sensor amplitude should be between 0.1V and 1.8V." sqref="D11">
      <formula1>0.1</formula1>
      <formula2>1.8</formula2>
    </dataValidation>
    <dataValidation type="decimal" errorStyle="warning" allowBlank="1" showInputMessage="1" showErrorMessage="1" errorTitle="Invalid Sensor Frequency" error="The LDC is limited to sensor frequencies of 10kHz to 10MHz." sqref="D10">
      <formula1>0.01</formula1>
      <formula2>10</formula2>
    </dataValidation>
    <dataValidation type="decimal" errorStyle="information" allowBlank="1" showInputMessage="1" showErrorMessage="1" errorTitle="Sample Rate out of bounds" error="The sample rate is either extremely low - use the shutdown mode, or the sample rate needed cannot use the low power modes." sqref="D8">
      <formula1>0.1</formula1>
      <formula2>800</formula2>
    </dataValidation>
    <dataValidation type="list" errorStyle="warning" allowBlank="1" showInputMessage="1" showErrorMessage="1" errorTitle="Sample Rate out of bounds" error="The sample rate is either extremely low - use the shutdown mode, or the sample rate needed cannot use the low power modes." sqref="D9">
      <formula1>"1,2,3,4"</formula1>
    </dataValidation>
    <dataValidation errorStyle="warning" allowBlank="1" showInputMessage="1" showErrorMessage="1" errorTitle="Invalid I2C datarate" error="The LDC can support a datarate of up to 400kbit/s." sqref="D16:D20"/>
    <dataValidation type="list" errorStyle="warning" allowBlank="1" showInputMessage="1" showErrorMessage="1" errorTitle="Invalid I2C datarate" error="The LDC can support a datarate of up to 400kbit/s." sqref="D15">
      <formula1>"FDC211x,FDC221x"</formula1>
    </dataValidation>
    <dataValidation type="whole" errorStyle="warning" allowBlank="1" showInputMessage="1" showErrorMessage="1" errorTitle="Invalid Reference Frequency" error="The Reference frequency must be greater than the sensor frequency and not greater than 40MHz." sqref="D5">
      <formula1>D10</formula1>
      <formula2>40</formula2>
    </dataValidation>
    <dataValidation type="decimal" errorStyle="information" allowBlank="1" showInputMessage="1" showErrorMessage="1" errorTitle="Sensor Current Drive" error="The FDC sensor current drive setting should be between 0 and 31." sqref="D12">
      <formula1>0</formula1>
      <formula2>31</formula2>
    </dataValidation>
    <dataValidation type="whole" errorStyle="information" allowBlank="1" showInputMessage="1" showErrorMessage="1" errorTitle="Sensor Base Capacitance" error="The capacitance should be between 1pF and 250nF." sqref="D13">
      <formula1>1</formula1>
      <formula2>250000</formula2>
    </dataValidation>
  </dataValidations>
  <hyperlinks>
    <hyperlink ref="E2" location="Contents!A1" display="Return to Main Page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Contents</vt:lpstr>
      <vt:lpstr>Rev History</vt:lpstr>
      <vt:lpstr>Output Code Calculator</vt:lpstr>
      <vt:lpstr>SampleRateCalc</vt:lpstr>
      <vt:lpstr>FDC131x_Current</vt:lpstr>
    </vt:vector>
  </TitlesOfParts>
  <Company>Texas Instruments Incorporated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Oberhauser</dc:creator>
  <cp:lastModifiedBy>Chris Oberhauser</cp:lastModifiedBy>
  <dcterms:created xsi:type="dcterms:W3CDTF">2014-10-17T20:34:02Z</dcterms:created>
  <dcterms:modified xsi:type="dcterms:W3CDTF">2015-10-20T22:54:25Z</dcterms:modified>
</cp:coreProperties>
</file>