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Z:\Data FDI\Nam 2023\"/>
    </mc:Choice>
  </mc:AlternateContent>
  <xr:revisionPtr revIDLastSave="0" documentId="13_ncr:1_{637BD2E5-A0FC-4EF6-B4D6-B60FF0362BFE}" xr6:coauthVersionLast="47" xr6:coauthVersionMax="47" xr10:uidLastSave="{00000000-0000-0000-0000-000000000000}"/>
  <bookViews>
    <workbookView xWindow="-120" yWindow="-120" windowWidth="20730" windowHeight="11160" activeTab="2" xr2:uid="{00000000-000D-0000-FFFF-FFFF00000000}"/>
  </bookViews>
  <sheets>
    <sheet name="thang 11" sheetId="1" r:id="rId1"/>
    <sheet name="Thang 11 2023" sheetId="2" r:id="rId2"/>
    <sheet name="Luy ke T11 2023" sheetId="3" r:id="rId3"/>
  </sheets>
  <externalReferences>
    <externalReference r:id="rId4"/>
    <externalReference r:id="rId5"/>
  </externalReferences>
  <definedNames>
    <definedName name="_xlnm._FilterDatabase" localSheetId="1" hidden="1">'Thang 11 2023'!$A$149:$O$205</definedName>
    <definedName name="_xlnm.Print_Area" localSheetId="2">'Luy ke T11 2023'!$A$1:$D$327</definedName>
    <definedName name="_xlnm.Print_Area" localSheetId="0">'thang 11'!$A$1:$F$25</definedName>
    <definedName name="_xlnm.Print_Area" localSheetId="1">'Thang 11 2023'!$A$1:$K$282</definedName>
    <definedName name="_xlnm.Print_Titles" localSheetId="2">'Luy ke T11 2023'!$186:$186</definedName>
    <definedName name="_xlnm.Print_Titles" localSheetId="1">'Thang 11 2023'!$148:$148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02" i="3" l="1"/>
  <c r="I38" i="3"/>
  <c r="J8" i="3"/>
  <c r="G7" i="3"/>
  <c r="F188" i="3"/>
  <c r="G188" i="3" s="1"/>
  <c r="F189" i="3"/>
  <c r="G189" i="3" s="1"/>
  <c r="F190" i="3"/>
  <c r="G190" i="3" s="1"/>
  <c r="F191" i="3"/>
  <c r="G191" i="3" s="1"/>
  <c r="F192" i="3"/>
  <c r="G192" i="3" s="1"/>
  <c r="F193" i="3"/>
  <c r="G193" i="3" s="1"/>
  <c r="F194" i="3"/>
  <c r="G194" i="3" s="1"/>
  <c r="F195" i="3"/>
  <c r="G195" i="3" s="1"/>
  <c r="F196" i="3"/>
  <c r="G196" i="3" s="1"/>
  <c r="F197" i="3"/>
  <c r="G197" i="3" s="1"/>
  <c r="F198" i="3"/>
  <c r="G198" i="3" s="1"/>
  <c r="F199" i="3"/>
  <c r="G199" i="3" s="1"/>
  <c r="F200" i="3"/>
  <c r="G200" i="3" s="1"/>
  <c r="F201" i="3"/>
  <c r="G201" i="3" s="1"/>
  <c r="F202" i="3"/>
  <c r="G202" i="3" s="1"/>
  <c r="F203" i="3"/>
  <c r="G203" i="3" s="1"/>
  <c r="F204" i="3"/>
  <c r="G204" i="3" s="1"/>
  <c r="F205" i="3"/>
  <c r="G205" i="3" s="1"/>
  <c r="F187" i="3"/>
  <c r="G187" i="3" s="1"/>
  <c r="F39" i="3"/>
  <c r="F40" i="3"/>
  <c r="G40" i="3" s="1"/>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G167" i="3" s="1"/>
  <c r="F168" i="3"/>
  <c r="F169" i="3"/>
  <c r="G169" i="3" s="1"/>
  <c r="F170" i="3"/>
  <c r="F171" i="3"/>
  <c r="G171" i="3" s="1"/>
  <c r="F172" i="3"/>
  <c r="G172" i="3" s="1"/>
  <c r="F173" i="3"/>
  <c r="F174" i="3"/>
  <c r="G174" i="3" s="1"/>
  <c r="F175" i="3"/>
  <c r="G175" i="3" s="1"/>
  <c r="F176" i="3"/>
  <c r="G176" i="3" s="1"/>
  <c r="F177" i="3"/>
  <c r="G177" i="3" s="1"/>
  <c r="F178" i="3"/>
  <c r="G178" i="3" s="1"/>
  <c r="F179" i="3"/>
  <c r="G179" i="3" s="1"/>
  <c r="F180" i="3"/>
  <c r="G180" i="3" s="1"/>
  <c r="G39"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8" i="3"/>
  <c r="G170" i="3"/>
  <c r="G173" i="3"/>
  <c r="F38" i="3"/>
  <c r="G38" i="3" s="1"/>
  <c r="G10" i="3"/>
  <c r="H10" i="3" s="1"/>
  <c r="G11" i="3"/>
  <c r="H11" i="3" s="1"/>
  <c r="G12" i="3"/>
  <c r="H12" i="3" s="1"/>
  <c r="G13" i="3"/>
  <c r="H13" i="3" s="1"/>
  <c r="G14" i="3"/>
  <c r="H14" i="3" s="1"/>
  <c r="G15" i="3"/>
  <c r="H15" i="3" s="1"/>
  <c r="G16" i="3"/>
  <c r="H16" i="3" s="1"/>
  <c r="G17" i="3"/>
  <c r="H17" i="3" s="1"/>
  <c r="G18" i="3"/>
  <c r="H18" i="3" s="1"/>
  <c r="G19" i="3"/>
  <c r="H19" i="3" s="1"/>
  <c r="G20" i="3"/>
  <c r="H20" i="3" s="1"/>
  <c r="G21" i="3"/>
  <c r="H21" i="3" s="1"/>
  <c r="G22" i="3"/>
  <c r="H22" i="3" s="1"/>
  <c r="G23" i="3"/>
  <c r="H23" i="3" s="1"/>
  <c r="G24" i="3"/>
  <c r="H24" i="3" s="1"/>
  <c r="G25" i="3"/>
  <c r="H25" i="3" s="1"/>
  <c r="G26" i="3"/>
  <c r="H26" i="3" s="1"/>
  <c r="G27" i="3"/>
  <c r="H27" i="3" s="1"/>
  <c r="G9" i="3"/>
  <c r="H9" i="3" s="1"/>
  <c r="E260" i="2" l="1"/>
  <c r="D260" i="2"/>
  <c r="H260" i="2"/>
  <c r="G260" i="2"/>
  <c r="F260" i="2"/>
  <c r="I200" i="2"/>
  <c r="I203" i="2"/>
  <c r="I204" i="2"/>
  <c r="K204" i="2" s="1"/>
  <c r="I260" i="2" l="1"/>
  <c r="I118" i="2" l="1"/>
  <c r="K118" i="2" s="1"/>
  <c r="I69" i="2"/>
  <c r="K69" i="2" s="1"/>
  <c r="L16" i="1"/>
  <c r="J8" i="1" l="1"/>
  <c r="H19" i="1"/>
  <c r="L13" i="1" l="1"/>
  <c r="E124" i="3" l="1"/>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M34" i="1" l="1"/>
  <c r="K34" i="1"/>
  <c r="K26" i="1"/>
  <c r="K25" i="1"/>
  <c r="K24" i="1"/>
  <c r="H237" i="2" l="1"/>
  <c r="F275" i="2"/>
  <c r="G237" i="2"/>
  <c r="E275" i="2"/>
  <c r="D237" i="2"/>
  <c r="C237" i="2"/>
  <c r="I185" i="2"/>
  <c r="I141" i="2"/>
  <c r="I123" i="2"/>
  <c r="I142" i="2"/>
  <c r="I140" i="2"/>
  <c r="K140" i="2" s="1"/>
  <c r="I117" i="2"/>
  <c r="K117" i="2" s="1"/>
  <c r="I57" i="2"/>
  <c r="K57" i="2" s="1"/>
  <c r="I55" i="2"/>
  <c r="K55" i="2" s="1"/>
  <c r="I126" i="2"/>
  <c r="K126" i="2" s="1"/>
  <c r="I135" i="2"/>
  <c r="I237" i="2" l="1"/>
  <c r="H20" i="1" l="1"/>
  <c r="L20" i="1"/>
  <c r="F9" i="1" l="1"/>
  <c r="I130" i="2" l="1"/>
  <c r="K130" i="2" s="1"/>
  <c r="I75" i="2"/>
  <c r="E273" i="2" l="1"/>
  <c r="F241" i="2"/>
  <c r="E241" i="2"/>
  <c r="F273" i="2"/>
  <c r="H241" i="2"/>
  <c r="G241" i="2"/>
  <c r="D241" i="2"/>
  <c r="C241" i="2"/>
  <c r="H275" i="2"/>
  <c r="G275" i="2"/>
  <c r="I198" i="2"/>
  <c r="K198" i="2" s="1"/>
  <c r="I136" i="2"/>
  <c r="K136" i="2" s="1"/>
  <c r="I114" i="2"/>
  <c r="I103" i="2"/>
  <c r="I90" i="2"/>
  <c r="K90" i="2" s="1"/>
  <c r="I67" i="2"/>
  <c r="I62" i="2"/>
  <c r="K62" i="2" s="1"/>
  <c r="I241" i="2" l="1"/>
  <c r="I275" i="2"/>
  <c r="K275" i="2" s="1"/>
  <c r="J4" i="1" l="1"/>
  <c r="M9" i="1"/>
  <c r="O12" i="1"/>
  <c r="M17" i="1" l="1"/>
  <c r="J22" i="1" l="1"/>
  <c r="J18" i="1"/>
  <c r="I19" i="1"/>
  <c r="I125" i="2" l="1"/>
  <c r="I111" i="2"/>
  <c r="K111" i="2" s="1"/>
  <c r="I77" i="2"/>
  <c r="K77" i="2" s="1"/>
  <c r="I82" i="2"/>
  <c r="K82" i="2" s="1"/>
  <c r="G261" i="3" l="1"/>
  <c r="F259" i="2" l="1"/>
  <c r="F240" i="2"/>
  <c r="E239" i="2"/>
  <c r="E279" i="2"/>
  <c r="F238" i="2"/>
  <c r="F264" i="2"/>
  <c r="E259" i="2"/>
  <c r="E238" i="2"/>
  <c r="F239" i="2"/>
  <c r="E264" i="2"/>
  <c r="F279" i="2"/>
  <c r="E240" i="2"/>
  <c r="H264" i="2"/>
  <c r="H259" i="2"/>
  <c r="G264" i="2"/>
  <c r="G259" i="2"/>
  <c r="H240" i="2"/>
  <c r="G239" i="2"/>
  <c r="G240" i="2"/>
  <c r="H238" i="2"/>
  <c r="G238" i="2"/>
  <c r="H239" i="2"/>
  <c r="D273" i="2"/>
  <c r="C273" i="2"/>
  <c r="H279" i="2"/>
  <c r="G279" i="2"/>
  <c r="D240" i="2" l="1"/>
  <c r="I199" i="2"/>
  <c r="K199" i="2" s="1"/>
  <c r="I115" i="2"/>
  <c r="I70" i="2"/>
  <c r="I76" i="2"/>
  <c r="D234" i="2"/>
  <c r="I186" i="2"/>
  <c r="K186" i="2" s="1"/>
  <c r="D238" i="2"/>
  <c r="I238" i="2" s="1"/>
  <c r="K238" i="2" s="1"/>
  <c r="D271" i="2"/>
  <c r="D274" i="2"/>
  <c r="I112" i="2"/>
  <c r="K112" i="2" s="1"/>
  <c r="D250" i="2"/>
  <c r="D253" i="2"/>
  <c r="C236" i="2"/>
  <c r="D264" i="2"/>
  <c r="I174" i="2"/>
  <c r="K174" i="2" s="1"/>
  <c r="C234" i="2"/>
  <c r="D258" i="2"/>
  <c r="C256" i="2"/>
  <c r="C254" i="2"/>
  <c r="I196" i="2"/>
  <c r="K196" i="2" s="1"/>
  <c r="D279" i="2"/>
  <c r="I279" i="2" s="1"/>
  <c r="K279" i="2" s="1"/>
  <c r="C235" i="2"/>
  <c r="D269" i="2"/>
  <c r="D255" i="2"/>
  <c r="C279" i="2"/>
  <c r="D254" i="2"/>
  <c r="C258" i="2"/>
  <c r="C261" i="2"/>
  <c r="I122" i="2"/>
  <c r="K122" i="2" s="1"/>
  <c r="D239" i="2"/>
  <c r="I239" i="2" s="1"/>
  <c r="K239" i="2" s="1"/>
  <c r="I190" i="2"/>
  <c r="K190" i="2" s="1"/>
  <c r="I95" i="2"/>
  <c r="I89" i="2"/>
  <c r="K89" i="2" s="1"/>
  <c r="I194" i="2"/>
  <c r="K194" i="2" s="1"/>
  <c r="D259" i="2"/>
  <c r="I259" i="2" s="1"/>
  <c r="K259" i="2" s="1"/>
  <c r="I102" i="2"/>
  <c r="K102" i="2" s="1"/>
  <c r="C239" i="2"/>
  <c r="C238" i="2"/>
  <c r="I121" i="2"/>
  <c r="K121" i="2" s="1"/>
  <c r="I105" i="2"/>
  <c r="K105" i="2" s="1"/>
  <c r="C271" i="2"/>
  <c r="D251" i="2"/>
  <c r="D257" i="2"/>
  <c r="C252" i="2"/>
  <c r="I131" i="2"/>
  <c r="C255" i="2"/>
  <c r="C253" i="2"/>
  <c r="C250" i="2"/>
  <c r="D235" i="2"/>
  <c r="D278" i="2"/>
  <c r="C272" i="2"/>
  <c r="I100" i="2"/>
  <c r="K100" i="2" s="1"/>
  <c r="D272" i="2"/>
  <c r="C257" i="2"/>
  <c r="C278" i="2"/>
  <c r="D252" i="2"/>
  <c r="D236" i="2"/>
  <c r="C240" i="2"/>
  <c r="I107" i="2"/>
  <c r="K107" i="2" s="1"/>
  <c r="D261" i="2"/>
  <c r="D256" i="2"/>
  <c r="C259" i="2"/>
  <c r="C269" i="2"/>
  <c r="C251" i="2"/>
  <c r="C264" i="2"/>
  <c r="C274" i="2"/>
  <c r="I58" i="2"/>
  <c r="K58" i="2" s="1"/>
  <c r="I264" i="2"/>
  <c r="I240" i="2"/>
  <c r="K240" i="2" s="1"/>
  <c r="K95" i="2" l="1"/>
  <c r="F206" i="3"/>
  <c r="E258" i="2" l="1"/>
  <c r="F258" i="2"/>
  <c r="E272" i="2"/>
  <c r="F272" i="2"/>
  <c r="H258" i="2"/>
  <c r="G258" i="2"/>
  <c r="H272" i="2"/>
  <c r="H273" i="2"/>
  <c r="I273" i="2" s="1"/>
  <c r="K273" i="2" s="1"/>
  <c r="G273" i="2"/>
  <c r="G272" i="2"/>
  <c r="I191" i="2"/>
  <c r="K191" i="2" s="1"/>
  <c r="I197" i="2"/>
  <c r="K197" i="2" s="1"/>
  <c r="I119" i="2"/>
  <c r="K119" i="2" s="1"/>
  <c r="I86" i="2"/>
  <c r="K86" i="2" s="1"/>
  <c r="I116" i="2"/>
  <c r="K116" i="2" s="1"/>
  <c r="I110" i="2"/>
  <c r="K110" i="2" s="1"/>
  <c r="I109" i="2"/>
  <c r="K109" i="2" s="1"/>
  <c r="I18" i="2"/>
  <c r="K18" i="2" s="1"/>
  <c r="I26" i="2"/>
  <c r="K26" i="2" s="1"/>
  <c r="I272" i="2" l="1"/>
  <c r="K272" i="2" s="1"/>
  <c r="I258" i="2"/>
  <c r="I79" i="2" l="1"/>
  <c r="K79" i="2" s="1"/>
  <c r="I93" i="2"/>
  <c r="K93" i="2" s="1"/>
  <c r="I128" i="2"/>
  <c r="K128" i="2" s="1"/>
  <c r="I96" i="2"/>
  <c r="K96" i="2" s="1"/>
  <c r="I98" i="2"/>
  <c r="I139" i="2"/>
  <c r="I104" i="2"/>
  <c r="I59" i="2"/>
  <c r="K59" i="2" s="1"/>
  <c r="D326" i="3" l="1"/>
  <c r="C326" i="3"/>
  <c r="C293" i="3"/>
  <c r="D293" i="3"/>
  <c r="C295" i="3"/>
  <c r="D295" i="3"/>
  <c r="C296" i="3"/>
  <c r="D296" i="3"/>
  <c r="C298" i="3"/>
  <c r="D298" i="3"/>
  <c r="C297" i="3"/>
  <c r="D297" i="3"/>
  <c r="C299" i="3"/>
  <c r="D299" i="3"/>
  <c r="C300" i="3"/>
  <c r="D300" i="3"/>
  <c r="C294" i="3"/>
  <c r="D294" i="3"/>
  <c r="C301" i="3"/>
  <c r="D301" i="3"/>
  <c r="C302" i="3"/>
  <c r="D302" i="3"/>
  <c r="C303" i="3"/>
  <c r="D303" i="3"/>
  <c r="C304" i="3"/>
  <c r="D304" i="3"/>
  <c r="D292" i="3"/>
  <c r="C292" i="3"/>
  <c r="C259" i="3"/>
  <c r="D259" i="3"/>
  <c r="C261" i="3"/>
  <c r="D261" i="3"/>
  <c r="C260" i="3"/>
  <c r="D260" i="3"/>
  <c r="C262" i="3"/>
  <c r="D262" i="3"/>
  <c r="C263" i="3"/>
  <c r="D263" i="3"/>
  <c r="D258" i="3"/>
  <c r="C258" i="3"/>
  <c r="C321" i="3"/>
  <c r="D321" i="3"/>
  <c r="C323" i="3"/>
  <c r="D323" i="3"/>
  <c r="C324" i="3"/>
  <c r="D324" i="3"/>
  <c r="C325" i="3"/>
  <c r="D325" i="3"/>
  <c r="D322" i="3"/>
  <c r="C322" i="3"/>
  <c r="C278" i="3"/>
  <c r="D278" i="3"/>
  <c r="C280" i="3"/>
  <c r="D280" i="3"/>
  <c r="C279" i="3"/>
  <c r="D279" i="3"/>
  <c r="C281" i="3"/>
  <c r="D281" i="3"/>
  <c r="C284" i="3"/>
  <c r="D284" i="3"/>
  <c r="C282" i="3"/>
  <c r="D282" i="3"/>
  <c r="C283" i="3"/>
  <c r="D283" i="3"/>
  <c r="C287" i="3"/>
  <c r="D287" i="3"/>
  <c r="C286" i="3"/>
  <c r="D286" i="3"/>
  <c r="C288" i="3"/>
  <c r="D288" i="3"/>
  <c r="C289" i="3"/>
  <c r="D289" i="3"/>
  <c r="C290" i="3"/>
  <c r="D290" i="3"/>
  <c r="C285" i="3"/>
  <c r="D285" i="3"/>
  <c r="D277" i="3"/>
  <c r="C277" i="3"/>
  <c r="C306" i="3"/>
  <c r="D306" i="3"/>
  <c r="C308" i="3"/>
  <c r="D308" i="3"/>
  <c r="C309" i="3"/>
  <c r="D309" i="3"/>
  <c r="C310" i="3"/>
  <c r="D310" i="3"/>
  <c r="C311" i="3"/>
  <c r="D311" i="3"/>
  <c r="C312" i="3"/>
  <c r="D312" i="3"/>
  <c r="C313" i="3"/>
  <c r="D313" i="3"/>
  <c r="C314" i="3"/>
  <c r="D314" i="3"/>
  <c r="C316" i="3"/>
  <c r="D316" i="3"/>
  <c r="C315" i="3"/>
  <c r="D315" i="3"/>
  <c r="C317" i="3"/>
  <c r="D317" i="3"/>
  <c r="C318" i="3"/>
  <c r="D318" i="3"/>
  <c r="C319" i="3"/>
  <c r="D319" i="3"/>
  <c r="D307" i="3"/>
  <c r="C307" i="3"/>
  <c r="C266" i="3"/>
  <c r="D266" i="3"/>
  <c r="C267" i="3"/>
  <c r="D267" i="3"/>
  <c r="C269" i="3"/>
  <c r="D269" i="3"/>
  <c r="C268" i="3"/>
  <c r="D268" i="3"/>
  <c r="C271" i="3"/>
  <c r="D271" i="3"/>
  <c r="C270" i="3"/>
  <c r="D270" i="3"/>
  <c r="C273" i="3"/>
  <c r="D273" i="3"/>
  <c r="C272" i="3"/>
  <c r="D272" i="3"/>
  <c r="C275" i="3"/>
  <c r="D275" i="3"/>
  <c r="C274" i="3"/>
  <c r="D274" i="3"/>
  <c r="D265" i="3"/>
  <c r="C265" i="3"/>
  <c r="A254" i="3"/>
  <c r="C264" i="3" l="1"/>
  <c r="D257" i="3"/>
  <c r="D291" i="3"/>
  <c r="D276" i="3" s="1"/>
  <c r="C291" i="3"/>
  <c r="C276" i="3" s="1"/>
  <c r="D320" i="3"/>
  <c r="C257" i="3"/>
  <c r="C320" i="3"/>
  <c r="D264" i="3"/>
  <c r="C305" i="3"/>
  <c r="D305" i="3"/>
  <c r="A210" i="2"/>
  <c r="C327" i="3" l="1"/>
  <c r="D327" i="3"/>
  <c r="K264" i="2"/>
  <c r="E269" i="2" l="1"/>
  <c r="E278" i="2"/>
  <c r="F268" i="2"/>
  <c r="F271" i="2"/>
  <c r="F269" i="2"/>
  <c r="E256" i="2"/>
  <c r="F278" i="2"/>
  <c r="E267" i="2"/>
  <c r="E271" i="2"/>
  <c r="F267" i="2"/>
  <c r="F256" i="2"/>
  <c r="E268" i="2"/>
  <c r="G256" i="2"/>
  <c r="H256" i="2"/>
  <c r="H268" i="2"/>
  <c r="G269" i="2"/>
  <c r="H269" i="2"/>
  <c r="G267" i="2"/>
  <c r="G271" i="2"/>
  <c r="H271" i="2"/>
  <c r="G268" i="2"/>
  <c r="H267" i="2"/>
  <c r="C268" i="2"/>
  <c r="G278" i="2"/>
  <c r="D267" i="2"/>
  <c r="C267" i="2"/>
  <c r="D268" i="2"/>
  <c r="H278" i="2"/>
  <c r="I189" i="2"/>
  <c r="K189" i="2" s="1"/>
  <c r="I195" i="2"/>
  <c r="K195" i="2" s="1"/>
  <c r="I192" i="2"/>
  <c r="K192" i="2" s="1"/>
  <c r="I184" i="2"/>
  <c r="K184" i="2" s="1"/>
  <c r="I183" i="2"/>
  <c r="K183" i="2" s="1"/>
  <c r="I187" i="2"/>
  <c r="K187" i="2" s="1"/>
  <c r="I108" i="2"/>
  <c r="K108" i="2" s="1"/>
  <c r="I88" i="2"/>
  <c r="K88" i="2" s="1"/>
  <c r="I99" i="2"/>
  <c r="K99" i="2" s="1"/>
  <c r="I134" i="2"/>
  <c r="K134" i="2" s="1"/>
  <c r="I133" i="2"/>
  <c r="K133" i="2" s="1"/>
  <c r="I132" i="2"/>
  <c r="I71" i="2"/>
  <c r="K71" i="2" s="1"/>
  <c r="I137" i="2"/>
  <c r="I72" i="2"/>
  <c r="K72" i="2" s="1"/>
  <c r="I74" i="2"/>
  <c r="I127" i="2"/>
  <c r="I87" i="2"/>
  <c r="K87" i="2" s="1"/>
  <c r="I78" i="2"/>
  <c r="K78" i="2" l="1"/>
  <c r="K127" i="2"/>
  <c r="I256" i="2"/>
  <c r="K256" i="2" s="1"/>
  <c r="I278" i="2"/>
  <c r="K278" i="2" s="1"/>
  <c r="I269" i="2"/>
  <c r="K269" i="2" s="1"/>
  <c r="I268" i="2"/>
  <c r="K268" i="2" s="1"/>
  <c r="I267" i="2"/>
  <c r="K267" i="2" s="1"/>
  <c r="I271" i="2"/>
  <c r="K271" i="2" s="1"/>
  <c r="A146" i="2"/>
  <c r="F274" i="2" l="1"/>
  <c r="E274" i="2"/>
  <c r="G274" i="2"/>
  <c r="H274" i="2"/>
  <c r="I201" i="2"/>
  <c r="I274" i="2" l="1"/>
  <c r="I94" i="2"/>
  <c r="I19" i="2"/>
  <c r="K19" i="2" s="1"/>
  <c r="K94" i="2" l="1"/>
  <c r="G254" i="2" l="1"/>
  <c r="H257" i="2"/>
  <c r="H255" i="2"/>
  <c r="H261" i="2"/>
  <c r="G257" i="2"/>
  <c r="G253" i="2"/>
  <c r="H253" i="2"/>
  <c r="H250" i="2"/>
  <c r="G252" i="2"/>
  <c r="H252" i="2"/>
  <c r="G261" i="2"/>
  <c r="G265" i="2"/>
  <c r="G248" i="2"/>
  <c r="G250" i="2"/>
  <c r="H248" i="2"/>
  <c r="H265" i="2"/>
  <c r="G255" i="2"/>
  <c r="H251" i="2"/>
  <c r="G251" i="2"/>
  <c r="H254" i="2"/>
  <c r="H236" i="2"/>
  <c r="G236" i="2"/>
  <c r="H234" i="2"/>
  <c r="H235" i="2"/>
  <c r="G234" i="2"/>
  <c r="G235" i="2"/>
  <c r="G221" i="2"/>
  <c r="H221" i="2"/>
  <c r="H214" i="2"/>
  <c r="G217" i="2"/>
  <c r="H217" i="2"/>
  <c r="H215" i="2"/>
  <c r="G218" i="2"/>
  <c r="G215" i="2"/>
  <c r="G224" i="2"/>
  <c r="G219" i="2"/>
  <c r="H219" i="2"/>
  <c r="H224" i="2"/>
  <c r="G222" i="2"/>
  <c r="H222" i="2"/>
  <c r="H218" i="2"/>
  <c r="G214" i="2"/>
  <c r="G223" i="2"/>
  <c r="H223" i="2"/>
  <c r="G220" i="2"/>
  <c r="H220" i="2"/>
  <c r="G230" i="2"/>
  <c r="H229" i="2"/>
  <c r="G216" i="2"/>
  <c r="G231" i="2"/>
  <c r="G249" i="2"/>
  <c r="H228" i="2"/>
  <c r="H266" i="2"/>
  <c r="G228" i="2"/>
  <c r="G266" i="2"/>
  <c r="H249" i="2"/>
  <c r="G227" i="2"/>
  <c r="H227" i="2"/>
  <c r="G270" i="2"/>
  <c r="H263" i="2"/>
  <c r="H230" i="2"/>
  <c r="H270" i="2"/>
  <c r="G229" i="2"/>
  <c r="G263" i="2"/>
  <c r="H231" i="2"/>
  <c r="H233" i="2"/>
  <c r="G277" i="2"/>
  <c r="H277" i="2"/>
  <c r="H276" i="2" s="1"/>
  <c r="G233" i="2"/>
  <c r="H216" i="2"/>
  <c r="I124" i="2"/>
  <c r="D28" i="3"/>
  <c r="E39" i="3" l="1"/>
  <c r="E40" i="3"/>
  <c r="E38" i="3"/>
  <c r="K124" i="2"/>
  <c r="H213" i="2"/>
  <c r="H247" i="2"/>
  <c r="G262" i="2"/>
  <c r="H262" i="2"/>
  <c r="H232" i="2"/>
  <c r="E22" i="3"/>
  <c r="E16" i="3"/>
  <c r="E10" i="3"/>
  <c r="E26" i="3"/>
  <c r="E14" i="3"/>
  <c r="E25" i="3"/>
  <c r="E13" i="3"/>
  <c r="E24" i="3"/>
  <c r="E12" i="3"/>
  <c r="E23" i="3"/>
  <c r="E11" i="3"/>
  <c r="E27" i="3"/>
  <c r="E21" i="3"/>
  <c r="E15" i="3"/>
  <c r="E9" i="3"/>
  <c r="E20" i="3"/>
  <c r="E19" i="3"/>
  <c r="E18" i="3"/>
  <c r="E17" i="3"/>
  <c r="A30" i="2"/>
  <c r="I129" i="2" l="1"/>
  <c r="K129" i="2" l="1"/>
  <c r="A184" i="3" l="1"/>
  <c r="C181" i="3" l="1"/>
  <c r="D181" i="3"/>
  <c r="F182" i="3" l="1"/>
  <c r="F34" i="3"/>
  <c r="E188" i="3"/>
  <c r="E212" i="3"/>
  <c r="E189" i="3"/>
  <c r="E195" i="3"/>
  <c r="E201" i="3"/>
  <c r="E207" i="3"/>
  <c r="E213" i="3"/>
  <c r="E219" i="3"/>
  <c r="E225" i="3"/>
  <c r="E231" i="3"/>
  <c r="E237" i="3"/>
  <c r="E243" i="3"/>
  <c r="E249" i="3"/>
  <c r="E204" i="3"/>
  <c r="E222" i="3"/>
  <c r="E206" i="3"/>
  <c r="E236" i="3"/>
  <c r="E190" i="3"/>
  <c r="E196" i="3"/>
  <c r="E202" i="3"/>
  <c r="E208" i="3"/>
  <c r="E214" i="3"/>
  <c r="E220" i="3"/>
  <c r="E226" i="3"/>
  <c r="E232" i="3"/>
  <c r="E238" i="3"/>
  <c r="E244" i="3"/>
  <c r="E250" i="3"/>
  <c r="E210" i="3"/>
  <c r="E216" i="3"/>
  <c r="E234" i="3"/>
  <c r="E240" i="3"/>
  <c r="E200" i="3"/>
  <c r="E230" i="3"/>
  <c r="E248" i="3"/>
  <c r="E191" i="3"/>
  <c r="E197" i="3"/>
  <c r="E203" i="3"/>
  <c r="E209" i="3"/>
  <c r="E215" i="3"/>
  <c r="E221" i="3"/>
  <c r="E227" i="3"/>
  <c r="E233" i="3"/>
  <c r="E239" i="3"/>
  <c r="E245" i="3"/>
  <c r="E187" i="3"/>
  <c r="E198" i="3"/>
  <c r="E228" i="3"/>
  <c r="E246" i="3"/>
  <c r="E194" i="3"/>
  <c r="E224" i="3"/>
  <c r="E242" i="3"/>
  <c r="E192" i="3"/>
  <c r="E193" i="3"/>
  <c r="E199" i="3"/>
  <c r="E205" i="3"/>
  <c r="E211" i="3"/>
  <c r="E217" i="3"/>
  <c r="E223" i="3"/>
  <c r="E229" i="3"/>
  <c r="E235" i="3"/>
  <c r="E241" i="3"/>
  <c r="E247" i="3"/>
  <c r="E218" i="3"/>
  <c r="I92" i="2" l="1"/>
  <c r="K92" i="2" s="1"/>
  <c r="F251" i="2" l="1"/>
  <c r="I251" i="2" s="1"/>
  <c r="E251" i="2"/>
  <c r="I172" i="2"/>
  <c r="K172" i="2" s="1"/>
  <c r="I113" i="2"/>
  <c r="K113" i="2" s="1"/>
  <c r="K251" i="2" l="1"/>
  <c r="E253" i="2" l="1"/>
  <c r="E270" i="2"/>
  <c r="F253" i="2"/>
  <c r="F270" i="2"/>
  <c r="C270" i="2"/>
  <c r="D270" i="2"/>
  <c r="I193" i="2"/>
  <c r="K193" i="2" s="1"/>
  <c r="I176" i="2"/>
  <c r="K176" i="2" s="1"/>
  <c r="I106" i="2"/>
  <c r="K106" i="2" l="1"/>
  <c r="I270" i="2"/>
  <c r="K270" i="2" s="1"/>
  <c r="I253" i="2"/>
  <c r="K253" i="2" s="1"/>
  <c r="I84" i="2" l="1"/>
  <c r="K84" i="2" s="1"/>
  <c r="I60" i="2"/>
  <c r="K60" i="2" s="1"/>
  <c r="I120" i="2"/>
  <c r="K120" i="2" s="1"/>
  <c r="I66" i="2"/>
  <c r="K66" i="2" s="1"/>
  <c r="E257" i="2" l="1"/>
  <c r="F250" i="2"/>
  <c r="I250" i="2" s="1"/>
  <c r="F257" i="2"/>
  <c r="I257" i="2" s="1"/>
  <c r="E261" i="2"/>
  <c r="F261" i="2"/>
  <c r="I261" i="2" s="1"/>
  <c r="E250" i="2"/>
  <c r="I171" i="2"/>
  <c r="K171" i="2" s="1"/>
  <c r="I202" i="2"/>
  <c r="K202" i="2" s="1"/>
  <c r="I188" i="2"/>
  <c r="K188" i="2" s="1"/>
  <c r="K257" i="2" l="1"/>
  <c r="K261" i="2"/>
  <c r="K250" i="2"/>
  <c r="G143" i="2"/>
  <c r="I80" i="2"/>
  <c r="K80" i="2" s="1"/>
  <c r="I91" i="2"/>
  <c r="K91" i="2" s="1"/>
  <c r="I101" i="2"/>
  <c r="K101" i="2" s="1"/>
  <c r="I68" i="2"/>
  <c r="K68" i="2" s="1"/>
  <c r="H143" i="2"/>
  <c r="I24" i="2" l="1"/>
  <c r="K24" i="2" s="1"/>
  <c r="I25" i="2"/>
  <c r="K25" i="2" s="1"/>
  <c r="E252" i="2" l="1"/>
  <c r="F254" i="2"/>
  <c r="I254" i="2" s="1"/>
  <c r="E254" i="2"/>
  <c r="F252" i="2"/>
  <c r="I252" i="2" s="1"/>
  <c r="F220" i="2"/>
  <c r="F231" i="2"/>
  <c r="F224" i="2"/>
  <c r="E224" i="2"/>
  <c r="E220" i="2"/>
  <c r="C220" i="2"/>
  <c r="C231" i="2"/>
  <c r="D231" i="2"/>
  <c r="D224" i="2"/>
  <c r="C224" i="2"/>
  <c r="E231" i="2"/>
  <c r="D220" i="2"/>
  <c r="C143" i="2"/>
  <c r="M149" i="2" s="1"/>
  <c r="I175" i="2"/>
  <c r="K175" i="2" s="1"/>
  <c r="I22" i="2"/>
  <c r="K22" i="2" s="1"/>
  <c r="I63" i="2"/>
  <c r="K63" i="2" s="1"/>
  <c r="I56" i="2"/>
  <c r="K56" i="2" s="1"/>
  <c r="I97" i="2"/>
  <c r="K97" i="2" s="1"/>
  <c r="I163" i="2"/>
  <c r="K163" i="2" s="1"/>
  <c r="I173" i="2"/>
  <c r="K173" i="2" s="1"/>
  <c r="I180" i="2"/>
  <c r="K180" i="2" s="1"/>
  <c r="I164" i="2"/>
  <c r="K164" i="2" s="1"/>
  <c r="I48" i="2"/>
  <c r="K48" i="2" s="1"/>
  <c r="I138" i="2"/>
  <c r="K138" i="2" s="1"/>
  <c r="I51" i="2"/>
  <c r="K51" i="2" s="1"/>
  <c r="I231" i="2" l="1"/>
  <c r="K231" i="2" s="1"/>
  <c r="I220" i="2"/>
  <c r="K220" i="2" s="1"/>
  <c r="I224" i="2"/>
  <c r="K224" i="2" s="1"/>
  <c r="K252" i="2"/>
  <c r="K254" i="2"/>
  <c r="K258" i="2"/>
  <c r="I81" i="2" l="1"/>
  <c r="K81" i="2" s="1"/>
  <c r="D251" i="3" l="1"/>
  <c r="O149" i="2" l="1"/>
  <c r="G226" i="2"/>
  <c r="G225" i="2" s="1"/>
  <c r="H226" i="2"/>
  <c r="H225" i="2" s="1"/>
  <c r="H282" i="2" s="1"/>
  <c r="H205" i="2"/>
  <c r="G205" i="2"/>
  <c r="I85" i="2" l="1"/>
  <c r="K85" i="2" s="1"/>
  <c r="I73" i="2" l="1"/>
  <c r="K73" i="2" s="1"/>
  <c r="E266" i="2" l="1"/>
  <c r="E249" i="2"/>
  <c r="F266" i="2"/>
  <c r="F249" i="2"/>
  <c r="C277" i="2"/>
  <c r="D266" i="2"/>
  <c r="E277" i="2"/>
  <c r="D249" i="2"/>
  <c r="F277" i="2"/>
  <c r="F276" i="2" s="1"/>
  <c r="C266" i="2"/>
  <c r="D277" i="2"/>
  <c r="C249" i="2"/>
  <c r="I168" i="2"/>
  <c r="K168" i="2" s="1"/>
  <c r="I179" i="2"/>
  <c r="K179" i="2" s="1"/>
  <c r="I177" i="2"/>
  <c r="K177" i="2" s="1"/>
  <c r="I83" i="2"/>
  <c r="K83" i="2" s="1"/>
  <c r="I266" i="2" l="1"/>
  <c r="K266" i="2" s="1"/>
  <c r="I249" i="2"/>
  <c r="K249" i="2" s="1"/>
  <c r="I277" i="2"/>
  <c r="K277" i="2" s="1"/>
  <c r="E255" i="2" l="1"/>
  <c r="E265" i="2"/>
  <c r="E229" i="2"/>
  <c r="E214" i="2"/>
  <c r="F214" i="2"/>
  <c r="F265" i="2"/>
  <c r="F229" i="2"/>
  <c r="F255" i="2"/>
  <c r="I255" i="2" s="1"/>
  <c r="F215" i="2"/>
  <c r="F219" i="2"/>
  <c r="F235" i="2"/>
  <c r="I235" i="2" s="1"/>
  <c r="K235" i="2" s="1"/>
  <c r="F233" i="2"/>
  <c r="F236" i="2"/>
  <c r="F217" i="2"/>
  <c r="F228" i="2"/>
  <c r="F222" i="2"/>
  <c r="F218" i="2"/>
  <c r="F230" i="2"/>
  <c r="F234" i="2"/>
  <c r="I234" i="2" s="1"/>
  <c r="K234" i="2" s="1"/>
  <c r="F223" i="2"/>
  <c r="F227" i="2"/>
  <c r="F221" i="2"/>
  <c r="E235" i="2"/>
  <c r="E215" i="2"/>
  <c r="E217" i="2"/>
  <c r="E223" i="2"/>
  <c r="E222" i="2"/>
  <c r="E218" i="2"/>
  <c r="E221" i="2"/>
  <c r="E248" i="2"/>
  <c r="E219" i="2"/>
  <c r="E236" i="2"/>
  <c r="E234" i="2"/>
  <c r="C214" i="2"/>
  <c r="F248" i="2"/>
  <c r="C265" i="2"/>
  <c r="F226" i="2"/>
  <c r="D219" i="2"/>
  <c r="C223" i="2"/>
  <c r="D221" i="2"/>
  <c r="E230" i="2"/>
  <c r="C229" i="2"/>
  <c r="D226" i="2"/>
  <c r="D229" i="2"/>
  <c r="E233" i="2"/>
  <c r="C219" i="2"/>
  <c r="D233" i="2"/>
  <c r="D227" i="2"/>
  <c r="D223" i="2"/>
  <c r="E228" i="2"/>
  <c r="C233" i="2"/>
  <c r="C228" i="2"/>
  <c r="D230" i="2"/>
  <c r="C230" i="2"/>
  <c r="E227" i="2"/>
  <c r="D263" i="2"/>
  <c r="D217" i="2"/>
  <c r="C248" i="2"/>
  <c r="D218" i="2"/>
  <c r="C221" i="2"/>
  <c r="D214" i="2"/>
  <c r="C226" i="2"/>
  <c r="D216" i="2"/>
  <c r="C227" i="2"/>
  <c r="C216" i="2"/>
  <c r="F216" i="2"/>
  <c r="D248" i="2"/>
  <c r="E263" i="2"/>
  <c r="F263" i="2"/>
  <c r="D228" i="2"/>
  <c r="E216" i="2"/>
  <c r="D222" i="2"/>
  <c r="C222" i="2"/>
  <c r="C263" i="2"/>
  <c r="C217" i="2"/>
  <c r="C215" i="2"/>
  <c r="E226" i="2"/>
  <c r="D215" i="2"/>
  <c r="C218" i="2"/>
  <c r="D265" i="2"/>
  <c r="I37" i="2"/>
  <c r="K37" i="2" s="1"/>
  <c r="I65" i="2"/>
  <c r="K65" i="2" s="1"/>
  <c r="I50" i="2"/>
  <c r="K50" i="2" s="1"/>
  <c r="I49" i="2"/>
  <c r="K49" i="2" s="1"/>
  <c r="I47" i="2"/>
  <c r="K47" i="2" s="1"/>
  <c r="I38" i="2"/>
  <c r="K38" i="2" s="1"/>
  <c r="I42" i="2"/>
  <c r="K42" i="2" s="1"/>
  <c r="I39" i="2"/>
  <c r="K39" i="2" s="1"/>
  <c r="I34" i="2"/>
  <c r="K34" i="2" s="1"/>
  <c r="I46" i="2"/>
  <c r="K46" i="2" s="1"/>
  <c r="I45" i="2"/>
  <c r="K45" i="2" s="1"/>
  <c r="I44" i="2"/>
  <c r="K44" i="2" s="1"/>
  <c r="I43" i="2"/>
  <c r="K43" i="2" s="1"/>
  <c r="I64" i="2"/>
  <c r="K64" i="2" s="1"/>
  <c r="I36" i="2"/>
  <c r="K36" i="2" s="1"/>
  <c r="I53" i="2"/>
  <c r="K53" i="2" s="1"/>
  <c r="I35" i="2"/>
  <c r="K35" i="2" s="1"/>
  <c r="I61" i="2"/>
  <c r="K61" i="2" s="1"/>
  <c r="I52" i="2"/>
  <c r="K52" i="2" s="1"/>
  <c r="I40" i="2"/>
  <c r="K40" i="2" s="1"/>
  <c r="I54" i="2"/>
  <c r="K54" i="2" s="1"/>
  <c r="I41" i="2"/>
  <c r="K41" i="2" s="1"/>
  <c r="I181" i="2"/>
  <c r="K181" i="2" s="1"/>
  <c r="I161" i="2"/>
  <c r="K161" i="2" s="1"/>
  <c r="I165" i="2"/>
  <c r="K165" i="2" s="1"/>
  <c r="I160" i="2"/>
  <c r="K160" i="2" s="1"/>
  <c r="I166" i="2"/>
  <c r="K166" i="2" s="1"/>
  <c r="I153" i="2"/>
  <c r="K153" i="2" s="1"/>
  <c r="I158" i="2"/>
  <c r="K158" i="2" s="1"/>
  <c r="I182" i="2"/>
  <c r="K182" i="2" s="1"/>
  <c r="I178" i="2"/>
  <c r="K178" i="2" s="1"/>
  <c r="I150" i="2"/>
  <c r="K150" i="2" s="1"/>
  <c r="I169" i="2"/>
  <c r="K169" i="2" s="1"/>
  <c r="I149" i="2"/>
  <c r="I156" i="2"/>
  <c r="K156" i="2" s="1"/>
  <c r="I159" i="2"/>
  <c r="K159" i="2" s="1"/>
  <c r="I151" i="2"/>
  <c r="K151" i="2" s="1"/>
  <c r="I155" i="2"/>
  <c r="K155" i="2" s="1"/>
  <c r="I152" i="2"/>
  <c r="K152" i="2" s="1"/>
  <c r="I167" i="2"/>
  <c r="K167" i="2" s="1"/>
  <c r="I170" i="2"/>
  <c r="K170" i="2" s="1"/>
  <c r="I154" i="2"/>
  <c r="K154" i="2" s="1"/>
  <c r="I162" i="2"/>
  <c r="K162" i="2" s="1"/>
  <c r="I157" i="2"/>
  <c r="K157" i="2" s="1"/>
  <c r="K149" i="2" l="1"/>
  <c r="I265" i="2"/>
  <c r="K265" i="2" s="1"/>
  <c r="F247" i="2"/>
  <c r="I217" i="2"/>
  <c r="K217" i="2" s="1"/>
  <c r="I222" i="2"/>
  <c r="K222" i="2" s="1"/>
  <c r="F262" i="2"/>
  <c r="I214" i="2"/>
  <c r="K214" i="2" s="1"/>
  <c r="I227" i="2"/>
  <c r="K227" i="2" s="1"/>
  <c r="F213" i="2"/>
  <c r="I229" i="2"/>
  <c r="K229" i="2" s="1"/>
  <c r="F232" i="2"/>
  <c r="I236" i="2"/>
  <c r="K236" i="2" s="1"/>
  <c r="I219" i="2"/>
  <c r="K219" i="2" s="1"/>
  <c r="I218" i="2"/>
  <c r="K218" i="2" s="1"/>
  <c r="F225" i="2"/>
  <c r="I230" i="2"/>
  <c r="K230" i="2" s="1"/>
  <c r="I223" i="2"/>
  <c r="K223" i="2" s="1"/>
  <c r="I228" i="2"/>
  <c r="K228" i="2" s="1"/>
  <c r="I221" i="2"/>
  <c r="K221" i="2" s="1"/>
  <c r="I215" i="2"/>
  <c r="K215" i="2" s="1"/>
  <c r="E247" i="2"/>
  <c r="I248" i="2"/>
  <c r="K248" i="2" s="1"/>
  <c r="I233" i="2"/>
  <c r="K233" i="2" s="1"/>
  <c r="K255" i="2"/>
  <c r="E225" i="2"/>
  <c r="C225" i="2"/>
  <c r="C262" i="2"/>
  <c r="E262" i="2"/>
  <c r="D262" i="2"/>
  <c r="I263" i="2"/>
  <c r="I226" i="2"/>
  <c r="K226" i="2" s="1"/>
  <c r="D225" i="2"/>
  <c r="F282" i="2" l="1"/>
  <c r="K263" i="2"/>
  <c r="I225" i="2"/>
  <c r="K225" i="2" s="1"/>
  <c r="I262" i="2"/>
  <c r="G27" i="2"/>
  <c r="M35" i="2" s="1"/>
  <c r="E27" i="2"/>
  <c r="M34" i="2" s="1"/>
  <c r="F27" i="2"/>
  <c r="E12" i="1" s="1"/>
  <c r="H27" i="2"/>
  <c r="E13" i="1" s="1"/>
  <c r="C27" i="2"/>
  <c r="D27" i="2"/>
  <c r="E11" i="1" s="1"/>
  <c r="E143" i="2"/>
  <c r="N149" i="2" s="1"/>
  <c r="F143" i="2"/>
  <c r="I10" i="2"/>
  <c r="K10" i="2" s="1"/>
  <c r="I21" i="2"/>
  <c r="K21" i="2" s="1"/>
  <c r="I20" i="2"/>
  <c r="K20" i="2" s="1"/>
  <c r="I11" i="2"/>
  <c r="K11" i="2" s="1"/>
  <c r="I13" i="2"/>
  <c r="K13" i="2" s="1"/>
  <c r="I23" i="2"/>
  <c r="K23" i="2" s="1"/>
  <c r="I17" i="2"/>
  <c r="K17" i="2" s="1"/>
  <c r="I15" i="2"/>
  <c r="K15" i="2" s="1"/>
  <c r="I16" i="2"/>
  <c r="K16" i="2" s="1"/>
  <c r="I9" i="2"/>
  <c r="I14" i="2"/>
  <c r="K14" i="2" s="1"/>
  <c r="I12" i="2"/>
  <c r="K12" i="2" s="1"/>
  <c r="I33" i="2"/>
  <c r="D143" i="2"/>
  <c r="M33" i="2" l="1"/>
  <c r="M9" i="2"/>
  <c r="M12" i="2"/>
  <c r="N9" i="2"/>
  <c r="E17" i="1"/>
  <c r="M8" i="1" s="1"/>
  <c r="E16" i="1"/>
  <c r="E10" i="1"/>
  <c r="K5" i="1" s="1"/>
  <c r="E15" i="1"/>
  <c r="K262" i="2"/>
  <c r="K9" i="2"/>
  <c r="K33" i="2"/>
  <c r="I143" i="2"/>
  <c r="I27" i="2"/>
  <c r="L17" i="2" s="1"/>
  <c r="C251" i="3"/>
  <c r="A35" i="3"/>
  <c r="C28" i="3"/>
  <c r="F21" i="1"/>
  <c r="J21" i="1" s="1"/>
  <c r="F20" i="1"/>
  <c r="J20" i="1" s="1"/>
  <c r="F19" i="1"/>
  <c r="J19" i="1" s="1"/>
  <c r="J9" i="1"/>
  <c r="L154" i="2" l="1"/>
  <c r="L149" i="2"/>
  <c r="L152" i="2"/>
  <c r="L151" i="2"/>
  <c r="L150" i="2"/>
  <c r="L153" i="2"/>
  <c r="L22" i="2"/>
  <c r="L24" i="2"/>
  <c r="K27" i="2"/>
  <c r="N33" i="2"/>
  <c r="L34" i="2"/>
  <c r="L33" i="2"/>
  <c r="L37" i="2"/>
  <c r="L35" i="2"/>
  <c r="L38" i="2"/>
  <c r="L39" i="2"/>
  <c r="L36" i="2"/>
  <c r="L19" i="2"/>
  <c r="L18" i="2"/>
  <c r="L20" i="2"/>
  <c r="L25" i="2"/>
  <c r="L26" i="2"/>
  <c r="L23" i="2"/>
  <c r="L15" i="2"/>
  <c r="L10" i="2"/>
  <c r="L14" i="2"/>
  <c r="L9" i="2"/>
  <c r="L16" i="2"/>
  <c r="L13" i="2"/>
  <c r="L21" i="2"/>
  <c r="L12" i="2"/>
  <c r="L11" i="2"/>
  <c r="M18" i="1"/>
  <c r="O11" i="1"/>
  <c r="C205" i="2"/>
  <c r="E205" i="2"/>
  <c r="D205" i="2"/>
  <c r="F205" i="2"/>
  <c r="F16" i="1" l="1"/>
  <c r="J16" i="1" s="1"/>
  <c r="F15" i="1"/>
  <c r="J15" i="1" s="1"/>
  <c r="F12" i="1"/>
  <c r="J12" i="1" s="1"/>
  <c r="F11" i="1"/>
  <c r="J11" i="1" s="1"/>
  <c r="I205" i="2"/>
  <c r="K205" i="2" s="1"/>
  <c r="K143" i="2" l="1"/>
  <c r="F10" i="1"/>
  <c r="J10" i="1" s="1"/>
  <c r="F17" i="1"/>
  <c r="J17" i="1" s="1"/>
  <c r="F13" i="1"/>
  <c r="J13" i="1" s="1"/>
  <c r="C213" i="2"/>
  <c r="C232" i="2"/>
  <c r="C247" i="2"/>
  <c r="C276" i="2"/>
  <c r="I216" i="2"/>
  <c r="K216" i="2" s="1"/>
  <c r="D213" i="2"/>
  <c r="G213" i="2"/>
  <c r="E213" i="2"/>
  <c r="I213" i="2" l="1"/>
  <c r="C282" i="2"/>
  <c r="D276" i="2"/>
  <c r="E276" i="2"/>
  <c r="G276" i="2"/>
  <c r="I276" i="2"/>
  <c r="G247" i="2"/>
  <c r="D247" i="2"/>
  <c r="I247" i="2"/>
  <c r="K247" i="2" s="1"/>
  <c r="K276" i="2" l="1"/>
  <c r="K213" i="2"/>
  <c r="G232" i="2"/>
  <c r="G282" i="2" s="1"/>
  <c r="D232" i="2"/>
  <c r="D282" i="2" s="1"/>
  <c r="E232" i="2"/>
  <c r="E282" i="2" s="1"/>
  <c r="I232" i="2"/>
  <c r="K232" i="2" s="1"/>
  <c r="I282" i="2" l="1"/>
  <c r="K28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C23" authorId="0" shapeId="0" xr:uid="{74F49030-7BDD-45BE-AC19-0994A96D154D}">
      <text>
        <r>
          <rPr>
            <b/>
            <sz val="9"/>
            <color indexed="81"/>
            <rFont val="Tahoma"/>
            <family val="2"/>
          </rPr>
          <t>PC:
1 dự án của Grenada ở HCM giải thể</t>
        </r>
      </text>
    </comment>
  </commentList>
</comments>
</file>

<file path=xl/sharedStrings.xml><?xml version="1.0" encoding="utf-8"?>
<sst xmlns="http://schemas.openxmlformats.org/spreadsheetml/2006/main" count="697" uniqueCount="328">
  <si>
    <t>CỤC ĐẦU TƯ NƯỚC NGOÀI</t>
  </si>
  <si>
    <t>TT</t>
  </si>
  <si>
    <t>Chỉ tiêu</t>
  </si>
  <si>
    <t>Đơn vị tính</t>
  </si>
  <si>
    <t>So cùng kỳ</t>
  </si>
  <si>
    <t>Vốn thực hiện</t>
  </si>
  <si>
    <t>triệu USD</t>
  </si>
  <si>
    <t>Vốn đăng ký*</t>
  </si>
  <si>
    <t>2.1</t>
  </si>
  <si>
    <t xml:space="preserve">   Đăng ký cấp mới</t>
  </si>
  <si>
    <t>2.2</t>
  </si>
  <si>
    <t xml:space="preserve">   Đăng ký tăng thêm</t>
  </si>
  <si>
    <t>2.3</t>
  </si>
  <si>
    <t xml:space="preserve">   Góp vốn, mua cổ phần</t>
  </si>
  <si>
    <t>Số dự án*</t>
  </si>
  <si>
    <t>3.1</t>
  </si>
  <si>
    <t xml:space="preserve">   Cấp mới</t>
  </si>
  <si>
    <t>dự án</t>
  </si>
  <si>
    <t>3.2</t>
  </si>
  <si>
    <t xml:space="preserve">   Tăng vốn</t>
  </si>
  <si>
    <t>lượt dự án</t>
  </si>
  <si>
    <t>3.3</t>
  </si>
  <si>
    <t>Xuất khẩu</t>
  </si>
  <si>
    <t>4.1</t>
  </si>
  <si>
    <t xml:space="preserve">   Xuất khẩu (kể cả dầu thô)</t>
  </si>
  <si>
    <t>4.2</t>
  </si>
  <si>
    <t xml:space="preserve">   Xuất khẩu (không kể dầu thô)</t>
  </si>
  <si>
    <t>Nhập khẩu</t>
  </si>
  <si>
    <t>Ghi chú:</t>
  </si>
  <si>
    <t>Lũy kế đến 20/4/2013</t>
  </si>
  <si>
    <t xml:space="preserve">Vốn thực hiện </t>
  </si>
  <si>
    <t>103,3 tỷ USD</t>
  </si>
  <si>
    <t xml:space="preserve">Vốn đăng ký  </t>
  </si>
  <si>
    <t xml:space="preserve">214,4 tỷ USD </t>
  </si>
  <si>
    <t xml:space="preserve">Số dự án </t>
  </si>
  <si>
    <t>Cục Đầu tư nước ngoài</t>
  </si>
  <si>
    <t>Ngành</t>
  </si>
  <si>
    <t>Số dự án cấp mới</t>
  </si>
  <si>
    <t>Vốn đăng ký cấp mới (triệu USD)</t>
  </si>
  <si>
    <t>Số lượt dự án điều chỉnh</t>
  </si>
  <si>
    <t>Vốn đăng ký điều chỉnh
(triệu USD)</t>
  </si>
  <si>
    <t>Số lượt góp vốn mua cổ phần</t>
  </si>
  <si>
    <t>Giá trị góp vốn, mua cổ phần 
(triệu USD)</t>
  </si>
  <si>
    <t>Tổng vốn đăng ký (triệu USD)</t>
  </si>
  <si>
    <t>Sản xuất, phân phối điện, khí, nước, điều hòa</t>
  </si>
  <si>
    <t>Công nghiệp chế biến, chế tạo</t>
  </si>
  <si>
    <t>Bán buôn và bán lẻ; sửa chữa ô tô, mô tô, xe máy</t>
  </si>
  <si>
    <t>Hoạt động kinh doanh bất động sản</t>
  </si>
  <si>
    <t>Hoạt động chuyên môn, khoa học công nghệ</t>
  </si>
  <si>
    <t>Dịch vụ lưu trú và ăn uống</t>
  </si>
  <si>
    <t>Vận tải kho bãi</t>
  </si>
  <si>
    <t>Hoạt động tài chính, ngân hàng và bảo hiểm</t>
  </si>
  <si>
    <t>Xây dựng</t>
  </si>
  <si>
    <t>Nông nghiêp, lâm nghiệp và thủy sản</t>
  </si>
  <si>
    <t>Thông tin và truyền thông</t>
  </si>
  <si>
    <t>Giáo dục và đào tạo</t>
  </si>
  <si>
    <t>Hoạt động hành chính và dịch vụ hỗ trợ</t>
  </si>
  <si>
    <t>Cấp nước và xử lý chất thải</t>
  </si>
  <si>
    <t>Y tế và hoạt động trợ giúp xã hội</t>
  </si>
  <si>
    <t>Khai khoáng</t>
  </si>
  <si>
    <t>Nghệ thuật, vui chơi và giải trí</t>
  </si>
  <si>
    <t>Hoạt động dịch vụ khác</t>
  </si>
  <si>
    <t>Tổng số</t>
  </si>
  <si>
    <t>Đối tác</t>
  </si>
  <si>
    <t>Singapore</t>
  </si>
  <si>
    <t>Trung Quốc</t>
  </si>
  <si>
    <t>Nhật Bản</t>
  </si>
  <si>
    <t>Hàn Quốc</t>
  </si>
  <si>
    <t>Đài Loan</t>
  </si>
  <si>
    <t>Hồng Kông</t>
  </si>
  <si>
    <t>BritishVirginIslands</t>
  </si>
  <si>
    <t>Malaysia</t>
  </si>
  <si>
    <t>Ba Lan</t>
  </si>
  <si>
    <t>Hà Lan</t>
  </si>
  <si>
    <t>Vương quốc Anh</t>
  </si>
  <si>
    <t>Hoa Kỳ</t>
  </si>
  <si>
    <t>Thái Lan</t>
  </si>
  <si>
    <t>Australia</t>
  </si>
  <si>
    <t>Pháp</t>
  </si>
  <si>
    <t>Samoa</t>
  </si>
  <si>
    <t>Anguilla</t>
  </si>
  <si>
    <t>Cayman Islands</t>
  </si>
  <si>
    <t>Seychelles</t>
  </si>
  <si>
    <t>Canada</t>
  </si>
  <si>
    <t>CHLB Đức</t>
  </si>
  <si>
    <t>Luxembourg</t>
  </si>
  <si>
    <t>Belize</t>
  </si>
  <si>
    <t>Marshall Islands</t>
  </si>
  <si>
    <t>Ấn Độ</t>
  </si>
  <si>
    <t>Thụy Sỹ</t>
  </si>
  <si>
    <t>Afghanistan</t>
  </si>
  <si>
    <t>Các tiểu vương quốc Ả Rập thống nhất</t>
  </si>
  <si>
    <t>British West Indies</t>
  </si>
  <si>
    <t>Pakistan</t>
  </si>
  <si>
    <t>Philippines</t>
  </si>
  <si>
    <t>Liên bang Nga</t>
  </si>
  <si>
    <t>Ukraina</t>
  </si>
  <si>
    <t>Israel</t>
  </si>
  <si>
    <t>Campuchia</t>
  </si>
  <si>
    <t>Nigeria</t>
  </si>
  <si>
    <t>Đan Mạch</t>
  </si>
  <si>
    <t>Thổ Nhĩ Kỳ</t>
  </si>
  <si>
    <t>Ả Rập Xê Út</t>
  </si>
  <si>
    <t>Italia</t>
  </si>
  <si>
    <t>Ethiopia</t>
  </si>
  <si>
    <t>Bỉ</t>
  </si>
  <si>
    <t>Saint Kitts and Nevis</t>
  </si>
  <si>
    <t>Syrian Arab Republic</t>
  </si>
  <si>
    <t>Sri Lanka</t>
  </si>
  <si>
    <t>Lào</t>
  </si>
  <si>
    <t>Phần Lan</t>
  </si>
  <si>
    <t>Iceland</t>
  </si>
  <si>
    <t>New Zealand</t>
  </si>
  <si>
    <t>Áo</t>
  </si>
  <si>
    <t>Ireland</t>
  </si>
  <si>
    <t>Indonesia</t>
  </si>
  <si>
    <t>Kazakhstan</t>
  </si>
  <si>
    <t>Thụy Điển</t>
  </si>
  <si>
    <t>Ai Cập</t>
  </si>
  <si>
    <t>Cộng hòa Séc</t>
  </si>
  <si>
    <t>Tây Ban Nha</t>
  </si>
  <si>
    <t>Cộng Hòa Síp</t>
  </si>
  <si>
    <t>Jordan</t>
  </si>
  <si>
    <t>Hy Lạp</t>
  </si>
  <si>
    <t>Ma Cao</t>
  </si>
  <si>
    <t>Iran (Islamic Republic of)</t>
  </si>
  <si>
    <t>Irắc</t>
  </si>
  <si>
    <t>Nam Phi</t>
  </si>
  <si>
    <t>Mali</t>
  </si>
  <si>
    <t>Dominica</t>
  </si>
  <si>
    <t>Slovakia</t>
  </si>
  <si>
    <t>Ma rốc</t>
  </si>
  <si>
    <t>Bangladesh</t>
  </si>
  <si>
    <t>Venezuela</t>
  </si>
  <si>
    <t>Libya</t>
  </si>
  <si>
    <t>Brazil</t>
  </si>
  <si>
    <t>Nepal</t>
  </si>
  <si>
    <t>Hungary</t>
  </si>
  <si>
    <t>Chile</t>
  </si>
  <si>
    <t>Belarus</t>
  </si>
  <si>
    <t>Bồ Đào Nha</t>
  </si>
  <si>
    <t>Guinea</t>
  </si>
  <si>
    <t>Lithuania</t>
  </si>
  <si>
    <t>Mexico</t>
  </si>
  <si>
    <t>Rumani</t>
  </si>
  <si>
    <t>Địa phương</t>
  </si>
  <si>
    <t>Bạc Liêu</t>
  </si>
  <si>
    <t>TP. Hồ Chí Minh</t>
  </si>
  <si>
    <t>Tây Ninh</t>
  </si>
  <si>
    <t>Hà Nội</t>
  </si>
  <si>
    <t>Bình Dương</t>
  </si>
  <si>
    <t>Bà Rịa - Vũng Tàu</t>
  </si>
  <si>
    <t>Đồng Nai</t>
  </si>
  <si>
    <t>Hải Phòng</t>
  </si>
  <si>
    <t>Bắc Ninh</t>
  </si>
  <si>
    <t>Hưng Yên</t>
  </si>
  <si>
    <t>Hà Nam</t>
  </si>
  <si>
    <t>Long An</t>
  </si>
  <si>
    <t>Thanh Hóa</t>
  </si>
  <si>
    <t>Bắc Giang</t>
  </si>
  <si>
    <t>Đà Nẵng</t>
  </si>
  <si>
    <t>Hải Dương</t>
  </si>
  <si>
    <t>Bình Phước</t>
  </si>
  <si>
    <t>Nam Định</t>
  </si>
  <si>
    <t>Quảng Ngãi</t>
  </si>
  <si>
    <t>Thái Bình</t>
  </si>
  <si>
    <t>Quảng Nam</t>
  </si>
  <si>
    <t>Phú Thọ</t>
  </si>
  <si>
    <t>Vĩnh Phúc</t>
  </si>
  <si>
    <t>Thái Nguyên</t>
  </si>
  <si>
    <t>Trà Vinh</t>
  </si>
  <si>
    <t>Vĩnh Long</t>
  </si>
  <si>
    <t>Tiền Giang</t>
  </si>
  <si>
    <t>Bình Thuận</t>
  </si>
  <si>
    <t>Ninh Thuận</t>
  </si>
  <si>
    <t>Ninh Bình</t>
  </si>
  <si>
    <t>Quảng Ninh</t>
  </si>
  <si>
    <t>Hòa Bình</t>
  </si>
  <si>
    <t>Bình Định</t>
  </si>
  <si>
    <t>Nghệ An</t>
  </si>
  <si>
    <t>Thừa Thiên Huế</t>
  </si>
  <si>
    <t>Kiên Giang</t>
  </si>
  <si>
    <t>Lâm Đồng</t>
  </si>
  <si>
    <t>Đồng Tháp</t>
  </si>
  <si>
    <t>Đăk Lăk</t>
  </si>
  <si>
    <t>Khánh Hòa</t>
  </si>
  <si>
    <t>Hậu Giang</t>
  </si>
  <si>
    <t>Yên Bái</t>
  </si>
  <si>
    <t>An Giang</t>
  </si>
  <si>
    <t>Gia Lai</t>
  </si>
  <si>
    <t>Hà Tĩnh</t>
  </si>
  <si>
    <t>Sóc Trăng</t>
  </si>
  <si>
    <t>Bến Tre</t>
  </si>
  <si>
    <t>Tuyên Quang</t>
  </si>
  <si>
    <t>Phú Yên</t>
  </si>
  <si>
    <t>Kon Tum</t>
  </si>
  <si>
    <t>Cần Thơ</t>
  </si>
  <si>
    <t>Cao Bằng</t>
  </si>
  <si>
    <t>Lạng Sơn</t>
  </si>
  <si>
    <t>Cà Mau</t>
  </si>
  <si>
    <t>Lào Cai</t>
  </si>
  <si>
    <t>STT</t>
  </si>
  <si>
    <t xml:space="preserve"> Chuyên ngành </t>
  </si>
  <si>
    <t xml:space="preserve"> Số dự án </t>
  </si>
  <si>
    <t xml:space="preserve"> Tổng vốn đầu tư đăng ký 
(Triệu USD) </t>
  </si>
  <si>
    <t>Hoạt đông làm thuê các công việc trong các hộ gia đình</t>
  </si>
  <si>
    <t>Tổng</t>
  </si>
  <si>
    <t xml:space="preserve"> Đối tác</t>
  </si>
  <si>
    <t xml:space="preserve"> Tổng vốn đầu tư đăng ký
(Triệu USD) </t>
  </si>
  <si>
    <t>Brunei Darussalam</t>
  </si>
  <si>
    <t>Mauritius</t>
  </si>
  <si>
    <t>Bermuda</t>
  </si>
  <si>
    <t>Nauy</t>
  </si>
  <si>
    <t>Cook Islands</t>
  </si>
  <si>
    <t>Bahamas</t>
  </si>
  <si>
    <t>Angola</t>
  </si>
  <si>
    <t>Barbados</t>
  </si>
  <si>
    <t>Ecuador</t>
  </si>
  <si>
    <t>Saint Vincent and the Grenadines</t>
  </si>
  <si>
    <t>Swaziland</t>
  </si>
  <si>
    <t>Panama</t>
  </si>
  <si>
    <t>Channel Islands</t>
  </si>
  <si>
    <t>Isle of Man</t>
  </si>
  <si>
    <t>Bulgaria</t>
  </si>
  <si>
    <t>El Salvador</t>
  </si>
  <si>
    <t>Oman</t>
  </si>
  <si>
    <t>Costa Rica</t>
  </si>
  <si>
    <t>Armenia</t>
  </si>
  <si>
    <t>Island of Nevis</t>
  </si>
  <si>
    <t>Cu Ba</t>
  </si>
  <si>
    <t>United States Virgin Islands</t>
  </si>
  <si>
    <t>Andorra</t>
  </si>
  <si>
    <t>Guatemala</t>
  </si>
  <si>
    <t>Turks &amp; Caicos Islands</t>
  </si>
  <si>
    <t>Slovenia</t>
  </si>
  <si>
    <t>Serbia</t>
  </si>
  <si>
    <t>Kuwait</t>
  </si>
  <si>
    <t>CHDCND Triều Tiên</t>
  </si>
  <si>
    <t>Mông Cổ</t>
  </si>
  <si>
    <t>Ghana</t>
  </si>
  <si>
    <t>Myanmar</t>
  </si>
  <si>
    <t>Libăng</t>
  </si>
  <si>
    <t>Guam</t>
  </si>
  <si>
    <t>Sudan</t>
  </si>
  <si>
    <t>Estonia</t>
  </si>
  <si>
    <t>Maldives</t>
  </si>
  <si>
    <t>Monaco</t>
  </si>
  <si>
    <t>Latvia</t>
  </si>
  <si>
    <t>Antigua and Barbuda</t>
  </si>
  <si>
    <t>Argentina</t>
  </si>
  <si>
    <t>Uruguay</t>
  </si>
  <si>
    <t>British Isles</t>
  </si>
  <si>
    <t>Palestine</t>
  </si>
  <si>
    <t>Yemen</t>
  </si>
  <si>
    <t>Turkmenistan</t>
  </si>
  <si>
    <t>Uganda</t>
  </si>
  <si>
    <t>Sierra Leone</t>
  </si>
  <si>
    <t>Djibouti</t>
  </si>
  <si>
    <t>Cameroon</t>
  </si>
  <si>
    <t xml:space="preserve"> Địa phương </t>
  </si>
  <si>
    <t>Dầu khí</t>
  </si>
  <si>
    <t>Quảng Bình</t>
  </si>
  <si>
    <t>Đăk Nông</t>
  </si>
  <si>
    <t>Sơn La</t>
  </si>
  <si>
    <t>Quảng Trị</t>
  </si>
  <si>
    <t>Bắc Kạn</t>
  </si>
  <si>
    <t>Hà Giang</t>
  </si>
  <si>
    <t>Điện Biên</t>
  </si>
  <si>
    <t>Lai Châu</t>
  </si>
  <si>
    <t>Kenya</t>
  </si>
  <si>
    <t>Phụ lục I</t>
  </si>
  <si>
    <t>Phụ lục II</t>
  </si>
  <si>
    <t>Phụ lục III</t>
  </si>
  <si>
    <t>Malta</t>
  </si>
  <si>
    <t>Lesotho</t>
  </si>
  <si>
    <t>Colombia</t>
  </si>
  <si>
    <t>Congo</t>
  </si>
  <si>
    <t>Albania</t>
  </si>
  <si>
    <t>ĐẦU TƯ NƯỚC NGOÀI TẠI VIỆT NAM THEO NGÀNH</t>
  </si>
  <si>
    <t>ĐẦU TƯ NƯỚC NGOÀI TẠI VIỆT NAM THEO ĐỐI TÁC</t>
  </si>
  <si>
    <t>ĐẦU TƯ NƯỚC NGOÀI TẠI VIỆT NAM THEO ĐỊA PHƯƠNG</t>
  </si>
  <si>
    <t>Guernsey</t>
  </si>
  <si>
    <t>Côte d'Ivoire</t>
  </si>
  <si>
    <t xml:space="preserve"> </t>
  </si>
  <si>
    <t>Qatar</t>
  </si>
  <si>
    <t>Republic of Moldova</t>
  </si>
  <si>
    <t>*Số liệu tính từ 1/1 đến ngày 20 tháng báo cáo</t>
  </si>
  <si>
    <t>Honduras</t>
  </si>
  <si>
    <t>So với cùng kỳ (%)</t>
  </si>
  <si>
    <t>Vanuatu</t>
  </si>
  <si>
    <t>Georgia</t>
  </si>
  <si>
    <t>Số lượt dự án tăng vốn</t>
  </si>
  <si>
    <t>Vốn đăng ký tăng thêm 
(triệu USD)</t>
  </si>
  <si>
    <t>Giá trị góp vốn, mua cổ phần</t>
  </si>
  <si>
    <t>I</t>
  </si>
  <si>
    <t>Đồng bằng sông Hồng</t>
  </si>
  <si>
    <t>II</t>
  </si>
  <si>
    <t>Trung du và miền núi phía Bắc</t>
  </si>
  <si>
    <t>III</t>
  </si>
  <si>
    <t>Bắc Trung Bộ và duyên hải miền Trung</t>
  </si>
  <si>
    <t>IV</t>
  </si>
  <si>
    <t>Tây Nguyên</t>
  </si>
  <si>
    <t>V</t>
  </si>
  <si>
    <t>Đông Nam Bộ</t>
  </si>
  <si>
    <t>VI</t>
  </si>
  <si>
    <t>Đồng bằng sông Cửu Long</t>
  </si>
  <si>
    <t>ĐẦU TƯ TRỰC TIẾP NƯỚC NGOÀI TẠI VIỆT NAM THEO VÙNG</t>
  </si>
  <si>
    <t>VII</t>
  </si>
  <si>
    <t>Vùng</t>
  </si>
  <si>
    <t>Algeria</t>
  </si>
  <si>
    <t>Cộng hoà Trung Phi</t>
  </si>
  <si>
    <t>Liberia</t>
  </si>
  <si>
    <t>Liechtenstein</t>
  </si>
  <si>
    <t>9T/2022</t>
  </si>
  <si>
    <t>Burkina Faso</t>
  </si>
  <si>
    <t>THU HÚT ĐẦU TƯ NƯỚC NGOÀI 10 THÁNG NĂM 2023 THEO VÙNG</t>
  </si>
  <si>
    <t>THU HÚT ĐẦU TƯ NƯỚC NGOÀI 11 THÁNG NĂM 2023 THEO NGÀNH</t>
  </si>
  <si>
    <t>Tính từ 01/01/2023 đến 20/11/2023</t>
  </si>
  <si>
    <t>THU HÚT ĐẦU TƯ NƯỚC NGOÀI 11 THÁNG NĂM 2023 THEO ĐỐI TÁC</t>
  </si>
  <si>
    <t>THU HÚT ĐẦU TƯ NƯỚC NGOÀI 11 THÁNG NĂM 2023 THEO ĐỊA PHƯƠNG</t>
  </si>
  <si>
    <t>BÁO CÁO NHANH ĐẦU TƯ NƯỚC NGOÀI 11 THÁNG NĂM 2023</t>
  </si>
  <si>
    <t>Hà Nội, ngày 23 tháng 11 năm 2023</t>
  </si>
  <si>
    <t>11 tháng năm 2022</t>
  </si>
  <si>
    <t>11 tháng năm 2023</t>
  </si>
  <si>
    <t>11T/2022</t>
  </si>
  <si>
    <t>(Lũy kế các dự án còn hiệu lực đến ngày 20/11/2023)</t>
  </si>
  <si>
    <t>Luỹ kế đến 20/11/2023:</t>
  </si>
  <si>
    <t xml:space="preserve">143 quốc gia, vùng lãnh thổ có đầu tư tại Việt Nam với 38.844 dự án, tổng vốn đăng ký 462,4 tỷ USD. Hàn Quốc dẫn đầu, tiếp theo là Singapore, Nhật Bản, Đài Loan.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</si>
</sst>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3" formatCode="_(* #,##0.00_);_(* \(#,##0.00\);_(* &quot;-&quot;??_);_(@_)"/>
    <numFmt numFmtId="164" formatCode="_-* #,##0.00\ _₫_-;\-* #,##0.00\ _₫_-;_-* &quot;-&quot;??\ _₫_-;_-@_-"/>
    <numFmt numFmtId="165" formatCode="#,##0.0"/>
    <numFmt numFmtId="166" formatCode="0.0%"/>
    <numFmt numFmtId="167" formatCode="_(* #,##0_);_(* \(#,##0\);_(* &quot;-&quot;??_);_(@_)"/>
    <numFmt numFmtId="168" formatCode="_(* #,##0.000_);_(* \(#,##0.000\);_(* &quot;-&quot;??_);_(@_)"/>
    <numFmt numFmtId="169" formatCode="#.##0"/>
    <numFmt numFmtId="170" formatCode="0.000"/>
    <numFmt numFmtId="171" formatCode="\$#,##0\ ;\(\$#,##0\)"/>
    <numFmt numFmtId="172" formatCode="&quot;\&quot;#,##0;[Red]&quot;\&quot;&quot;\&quot;\-#,##0"/>
    <numFmt numFmtId="173" formatCode="&quot;\&quot;#,##0.00;[Red]&quot;\&quot;&quot;\&quot;&quot;\&quot;&quot;\&quot;&quot;\&quot;&quot;\&quot;\-#,##0.00"/>
    <numFmt numFmtId="174" formatCode="&quot;\&quot;#,##0.00;[Red]&quot;\&quot;\-#,##0.00"/>
    <numFmt numFmtId="175" formatCode="&quot;\&quot;#,##0;[Red]&quot;\&quot;\-#,##0"/>
    <numFmt numFmtId="176" formatCode="_-* #,##0.00_-;\-* #,##0.00_-;_-* &quot;-&quot;??_-;_-@_-"/>
    <numFmt numFmtId="177" formatCode="_-&quot;£&quot;* #,##0_-;\-&quot;£&quot;* #,##0_-;_-&quot;£&quot;* &quot;-&quot;_-;_-@_-"/>
    <numFmt numFmtId="178" formatCode="_-* #,##0_-;\-* #,##0_-;_-* &quot;-&quot;_-;_-@_-"/>
    <numFmt numFmtId="179" formatCode="_-&quot;$&quot;* #,##0_-;\-&quot;$&quot;* #,##0_-;_-&quot;$&quot;* &quot;-&quot;_-;_-@_-"/>
    <numFmt numFmtId="180" formatCode="_-&quot;$&quot;* #,##0.00_-;\-&quot;$&quot;* #,##0.00_-;_-&quot;$&quot;* &quot;-&quot;??_-;_-@_-"/>
    <numFmt numFmtId="181" formatCode="#,##0\ &quot;F&quot;;[Red]\-#,##0\ &quot;F&quot;"/>
    <numFmt numFmtId="182" formatCode="0.00_)"/>
    <numFmt numFmtId="183" formatCode="#.##"/>
    <numFmt numFmtId="184" formatCode="0.00E+00;\许"/>
    <numFmt numFmtId="185" formatCode="0.00E+00;\趰"/>
    <numFmt numFmtId="186" formatCode="0.0E+00;\趰"/>
    <numFmt numFmtId="187" formatCode="0E+00;\趰"/>
    <numFmt numFmtId="188" formatCode="#,##0.0;[Red]\-#,##0.0"/>
    <numFmt numFmtId="190" formatCode="_(* #,##0.0_);_(* \(#,##0.0\);_(* &quot;-&quot;??_);_(@_)"/>
  </numFmts>
  <fonts count="75">
    <font>
      <sz val="11"/>
      <color theme="1"/>
      <name val="Calibri"/>
      <family val="2"/>
      <scheme val="minor"/>
    </font>
    <font>
      <sz val="11"/>
      <color theme="1"/>
      <name val="Calibri"/>
      <family val="2"/>
      <charset val="163"/>
      <scheme val="minor"/>
    </font>
    <font>
      <sz val="11"/>
      <color theme="1"/>
      <name val="Calibri"/>
      <family val="2"/>
      <scheme val="minor"/>
    </font>
    <font>
      <b/>
      <sz val="11"/>
      <name val="Arial"/>
      <family val="2"/>
    </font>
    <font>
      <sz val="10"/>
      <name val="Arial"/>
      <family val="2"/>
      <charset val="163"/>
    </font>
    <font>
      <sz val="10"/>
      <name val="Arial"/>
      <family val="2"/>
    </font>
    <font>
      <b/>
      <sz val="13"/>
      <color indexed="8"/>
      <name val="Times New Roman"/>
      <family val="1"/>
    </font>
    <font>
      <sz val="11"/>
      <color indexed="8"/>
      <name val="Arial"/>
      <family val="2"/>
      <charset val="163"/>
    </font>
    <font>
      <b/>
      <sz val="12"/>
      <name val="Arial"/>
      <family val="2"/>
    </font>
    <font>
      <b/>
      <sz val="12"/>
      <name val="Times New Roman"/>
      <family val="1"/>
    </font>
    <font>
      <sz val="12"/>
      <color indexed="8"/>
      <name val="Times New Roman"/>
      <family val="1"/>
    </font>
    <font>
      <i/>
      <sz val="12"/>
      <name val="Times New Roman"/>
      <family val="1"/>
    </font>
    <font>
      <b/>
      <sz val="12"/>
      <color indexed="8"/>
      <name val="Times New Roman"/>
      <family val="1"/>
    </font>
    <font>
      <sz val="11"/>
      <color theme="1"/>
      <name val="Calibri"/>
      <family val="2"/>
      <charset val="163"/>
    </font>
    <font>
      <sz val="10"/>
      <name val="Arial"/>
      <family val="2"/>
    </font>
    <font>
      <sz val="12"/>
      <name val="Arial"/>
      <family val="2"/>
    </font>
    <font>
      <sz val="11"/>
      <name val="VNtimes new roman"/>
      <family val="2"/>
    </font>
    <font>
      <sz val="14"/>
      <name val="??"/>
      <family val="3"/>
    </font>
    <font>
      <sz val="12"/>
      <name val=".VnTime"/>
      <family val="2"/>
    </font>
    <font>
      <sz val="12"/>
      <name val="????"/>
      <charset val="136"/>
    </font>
    <font>
      <sz val="12"/>
      <name val="???"/>
      <family val="3"/>
    </font>
    <font>
      <sz val="10"/>
      <name val="???"/>
      <family val="3"/>
    </font>
    <font>
      <sz val="10"/>
      <name val=".VnTime"/>
      <family val="2"/>
    </font>
    <font>
      <b/>
      <u/>
      <sz val="14"/>
      <color indexed="8"/>
      <name val=".VnBook-AntiquaH"/>
      <family val="2"/>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2"/>
      <name val="¹UAAA¼"/>
      <family val="3"/>
      <charset val="129"/>
    </font>
    <font>
      <sz val="12"/>
      <name val="Helv"/>
      <family val="2"/>
    </font>
    <font>
      <sz val="10"/>
      <name val="±¼¸²A¼"/>
      <family val="3"/>
      <charset val="129"/>
    </font>
    <font>
      <b/>
      <sz val="18"/>
      <name val="Arial"/>
      <family val="2"/>
    </font>
    <font>
      <b/>
      <i/>
      <sz val="16"/>
      <name val="Helv"/>
    </font>
    <font>
      <sz val="12"/>
      <color indexed="8"/>
      <name val="Times New Roman"/>
      <family val="2"/>
    </font>
    <font>
      <sz val="12"/>
      <name val="Times New Roman"/>
      <family val="1"/>
    </font>
    <font>
      <sz val="14"/>
      <name val=".VnArial"/>
      <family val="2"/>
    </font>
    <font>
      <sz val="14"/>
      <name val="뼻뮝"/>
      <family val="3"/>
      <charset val="129"/>
    </font>
    <font>
      <sz val="12"/>
      <name val="바탕체"/>
      <family val="3"/>
    </font>
    <font>
      <sz val="12"/>
      <name val="뼻뮝"/>
      <family val="1"/>
      <charset val="129"/>
    </font>
    <font>
      <sz val="9"/>
      <name val="Arial"/>
      <family val="2"/>
    </font>
    <font>
      <sz val="12"/>
      <name val="바탕체"/>
      <family val="1"/>
      <charset val="129"/>
    </font>
    <font>
      <sz val="10"/>
      <name val="굴림체"/>
      <family val="3"/>
      <charset val="129"/>
    </font>
    <font>
      <sz val="12"/>
      <name val="Courier"/>
      <family val="3"/>
    </font>
    <font>
      <sz val="10"/>
      <name val=" "/>
      <family val="1"/>
      <charset val="136"/>
    </font>
    <font>
      <sz val="18"/>
      <color theme="3"/>
      <name val="Calibri Light"/>
      <family val="2"/>
      <charset val="163"/>
      <scheme val="major"/>
    </font>
    <font>
      <b/>
      <sz val="15"/>
      <color theme="3"/>
      <name val="Calibri"/>
      <family val="2"/>
      <charset val="163"/>
      <scheme val="minor"/>
    </font>
    <font>
      <b/>
      <sz val="13"/>
      <color theme="3"/>
      <name val="Calibri"/>
      <family val="2"/>
      <charset val="163"/>
      <scheme val="minor"/>
    </font>
    <font>
      <b/>
      <sz val="11"/>
      <color theme="3"/>
      <name val="Calibri"/>
      <family val="2"/>
      <charset val="163"/>
      <scheme val="minor"/>
    </font>
    <font>
      <sz val="11"/>
      <color rgb="FF006100"/>
      <name val="Calibri"/>
      <family val="2"/>
      <charset val="163"/>
      <scheme val="minor"/>
    </font>
    <font>
      <sz val="11"/>
      <color rgb="FF9C0006"/>
      <name val="Calibri"/>
      <family val="2"/>
      <charset val="163"/>
      <scheme val="minor"/>
    </font>
    <font>
      <sz val="11"/>
      <color rgb="FF9C6500"/>
      <name val="Calibri"/>
      <family val="2"/>
      <charset val="163"/>
      <scheme val="minor"/>
    </font>
    <font>
      <sz val="11"/>
      <color rgb="FF3F3F76"/>
      <name val="Calibri"/>
      <family val="2"/>
      <charset val="163"/>
      <scheme val="minor"/>
    </font>
    <font>
      <b/>
      <sz val="11"/>
      <color rgb="FF3F3F3F"/>
      <name val="Calibri"/>
      <family val="2"/>
      <charset val="163"/>
      <scheme val="minor"/>
    </font>
    <font>
      <b/>
      <sz val="11"/>
      <color rgb="FFFA7D00"/>
      <name val="Calibri"/>
      <family val="2"/>
      <charset val="163"/>
      <scheme val="minor"/>
    </font>
    <font>
      <sz val="11"/>
      <color rgb="FFFA7D00"/>
      <name val="Calibri"/>
      <family val="2"/>
      <charset val="163"/>
      <scheme val="minor"/>
    </font>
    <font>
      <b/>
      <sz val="11"/>
      <color theme="0"/>
      <name val="Calibri"/>
      <family val="2"/>
      <charset val="163"/>
      <scheme val="minor"/>
    </font>
    <font>
      <sz val="11"/>
      <color rgb="FFFF0000"/>
      <name val="Calibri"/>
      <family val="2"/>
      <charset val="163"/>
      <scheme val="minor"/>
    </font>
    <font>
      <i/>
      <sz val="11"/>
      <color rgb="FF7F7F7F"/>
      <name val="Calibri"/>
      <family val="2"/>
      <charset val="163"/>
      <scheme val="minor"/>
    </font>
    <font>
      <b/>
      <sz val="11"/>
      <color theme="1"/>
      <name val="Calibri"/>
      <family val="2"/>
      <charset val="163"/>
      <scheme val="minor"/>
    </font>
    <font>
      <sz val="11"/>
      <color theme="0"/>
      <name val="Calibri"/>
      <family val="2"/>
      <charset val="163"/>
      <scheme val="minor"/>
    </font>
    <font>
      <b/>
      <sz val="11"/>
      <color indexed="8"/>
      <name val="Times New Roman"/>
      <family val="1"/>
    </font>
    <font>
      <b/>
      <sz val="11"/>
      <name val="Times New Roman"/>
      <family val="1"/>
    </font>
    <font>
      <sz val="11"/>
      <color indexed="8"/>
      <name val="Times New Roman"/>
      <family val="1"/>
    </font>
    <font>
      <sz val="11"/>
      <name val="Times New Roman"/>
      <family val="1"/>
    </font>
    <font>
      <sz val="11"/>
      <color theme="1"/>
      <name val="Times New Roman"/>
      <family val="1"/>
    </font>
    <font>
      <i/>
      <sz val="11"/>
      <name val="Times New Roman"/>
      <family val="1"/>
    </font>
    <font>
      <b/>
      <sz val="10"/>
      <name val="Times New Roman"/>
      <family val="1"/>
    </font>
    <font>
      <sz val="10"/>
      <name val="Times New Roman"/>
      <family val="1"/>
    </font>
    <font>
      <b/>
      <sz val="14"/>
      <name val="Times New Roman"/>
      <family val="1"/>
    </font>
    <font>
      <b/>
      <i/>
      <u/>
      <sz val="11"/>
      <color indexed="8"/>
      <name val="Times New Roman"/>
      <family val="1"/>
    </font>
    <font>
      <sz val="10"/>
      <color indexed="8"/>
      <name val="Times New Roman"/>
      <family val="1"/>
    </font>
    <font>
      <b/>
      <i/>
      <sz val="11"/>
      <color indexed="8"/>
      <name val="Times New Roman"/>
      <family val="1"/>
    </font>
    <font>
      <sz val="11"/>
      <color indexed="8"/>
      <name val="Arial"/>
      <family val="2"/>
    </font>
    <font>
      <b/>
      <sz val="10"/>
      <color theme="1"/>
      <name val="Times New Roman"/>
      <family val="1"/>
    </font>
    <font>
      <b/>
      <sz val="9"/>
      <color indexed="81"/>
      <name val="Tahoma"/>
      <family val="2"/>
    </font>
  </fonts>
  <fills count="37">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2">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top style="double">
        <color indexed="64"/>
      </top>
      <bottom/>
      <diagonal/>
    </border>
    <border>
      <left/>
      <right style="hair">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s>
  <cellStyleXfs count="208">
    <xf numFmtId="0" fontId="0" fillId="0" borderId="0"/>
    <xf numFmtId="43"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0" fontId="5" fillId="0" borderId="0"/>
    <xf numFmtId="0" fontId="14" fillId="0" borderId="0"/>
    <xf numFmtId="188" fontId="16" fillId="0" borderId="0" applyFont="0" applyFill="0" applyBorder="0" applyAlignment="0" applyProtection="0"/>
    <xf numFmtId="0" fontId="17" fillId="0" borderId="0" applyFont="0" applyFill="0" applyBorder="0" applyAlignment="0" applyProtection="0"/>
    <xf numFmtId="183" fontId="18" fillId="0" borderId="0" applyFont="0" applyFill="0" applyBorder="0" applyAlignment="0" applyProtection="0"/>
    <xf numFmtId="40" fontId="17" fillId="0" borderId="0" applyFont="0" applyFill="0" applyBorder="0" applyAlignment="0" applyProtection="0"/>
    <xf numFmtId="38" fontId="17" fillId="0" borderId="0" applyFont="0" applyFill="0" applyBorder="0" applyAlignment="0" applyProtection="0"/>
    <xf numFmtId="178" fontId="19" fillId="0" borderId="0" applyFont="0" applyFill="0" applyBorder="0" applyAlignment="0" applyProtection="0"/>
    <xf numFmtId="9" fontId="20" fillId="0" borderId="0" applyFont="0" applyFill="0" applyBorder="0" applyAlignment="0" applyProtection="0"/>
    <xf numFmtId="0" fontId="21" fillId="0" borderId="0"/>
    <xf numFmtId="0" fontId="22" fillId="0" borderId="0" applyNumberFormat="0" applyFill="0" applyBorder="0" applyAlignment="0" applyProtection="0"/>
    <xf numFmtId="0" fontId="23" fillId="5" borderId="0"/>
    <xf numFmtId="0" fontId="24" fillId="5" borderId="0"/>
    <xf numFmtId="0" fontId="26" fillId="5" borderId="0"/>
    <xf numFmtId="0" fontId="27" fillId="0" borderId="0">
      <alignment wrapText="1"/>
    </xf>
    <xf numFmtId="0" fontId="28" fillId="0" borderId="0" applyFont="0" applyFill="0" applyBorder="0" applyAlignment="0" applyProtection="0"/>
    <xf numFmtId="187" fontId="18" fillId="0" borderId="0" applyFont="0" applyFill="0" applyBorder="0" applyAlignment="0" applyProtection="0"/>
    <xf numFmtId="0" fontId="28" fillId="0" borderId="0" applyFont="0" applyFill="0" applyBorder="0" applyAlignment="0" applyProtection="0"/>
    <xf numFmtId="186" fontId="18" fillId="0" borderId="0" applyFont="0" applyFill="0" applyBorder="0" applyAlignment="0" applyProtection="0"/>
    <xf numFmtId="0" fontId="28" fillId="0" borderId="0" applyFont="0" applyFill="0" applyBorder="0" applyAlignment="0" applyProtection="0"/>
    <xf numFmtId="184" fontId="18" fillId="0" borderId="0" applyFont="0" applyFill="0" applyBorder="0" applyAlignment="0" applyProtection="0"/>
    <xf numFmtId="0" fontId="28" fillId="0" borderId="0" applyFont="0" applyFill="0" applyBorder="0" applyAlignment="0" applyProtection="0"/>
    <xf numFmtId="185" fontId="18" fillId="0" borderId="0" applyFont="0" applyFill="0" applyBorder="0" applyAlignment="0" applyProtection="0"/>
    <xf numFmtId="0" fontId="28" fillId="0" borderId="0"/>
    <xf numFmtId="0" fontId="28" fillId="0" borderId="0"/>
    <xf numFmtId="37" fontId="29" fillId="0" borderId="0"/>
    <xf numFmtId="0" fontId="30" fillId="0" borderId="0"/>
    <xf numFmtId="170" fontId="14" fillId="0" borderId="0" applyFill="0" applyBorder="0" applyAlignment="0"/>
    <xf numFmtId="170" fontId="4" fillId="0" borderId="0" applyFill="0" applyBorder="0" applyAlignment="0"/>
    <xf numFmtId="170" fontId="4" fillId="0" borderId="0" applyFill="0" applyBorder="0" applyAlignment="0"/>
    <xf numFmtId="164" fontId="14" fillId="0" borderId="0" applyFont="0" applyFill="0" applyBorder="0" applyAlignment="0" applyProtection="0"/>
    <xf numFmtId="164" fontId="2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25"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14" fillId="0" borderId="0" applyFont="0" applyFill="0" applyBorder="0" applyAlignment="0" applyProtection="0"/>
    <xf numFmtId="3" fontId="5" fillId="0" borderId="0" applyFont="0" applyFill="0" applyBorder="0" applyAlignment="0" applyProtection="0"/>
    <xf numFmtId="171" fontId="5" fillId="0" borderId="0" applyFont="0" applyFill="0" applyBorder="0" applyAlignment="0" applyProtection="0"/>
    <xf numFmtId="0" fontId="5" fillId="0" borderId="0" applyFont="0" applyFill="0" applyBorder="0" applyAlignment="0" applyProtection="0"/>
    <xf numFmtId="2" fontId="5" fillId="0" borderId="0" applyFont="0" applyFill="0" applyBorder="0" applyAlignment="0" applyProtection="0"/>
    <xf numFmtId="0" fontId="8" fillId="0" borderId="20" applyNumberFormat="0" applyAlignment="0" applyProtection="0">
      <alignment horizontal="left" vertical="center"/>
    </xf>
    <xf numFmtId="0" fontId="8" fillId="0" borderId="21">
      <alignment horizontal="left" vertical="center"/>
    </xf>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177" fontId="14" fillId="0" borderId="22"/>
    <xf numFmtId="177" fontId="4" fillId="0" borderId="22"/>
    <xf numFmtId="177" fontId="4" fillId="0" borderId="22"/>
    <xf numFmtId="0" fontId="15" fillId="0" borderId="0" applyNumberFormat="0" applyFont="0" applyFill="0" applyAlignment="0"/>
    <xf numFmtId="182" fontId="32" fillId="0" borderId="0"/>
    <xf numFmtId="0" fontId="25" fillId="0" borderId="0"/>
    <xf numFmtId="0" fontId="4" fillId="0" borderId="0"/>
    <xf numFmtId="0" fontId="4" fillId="0" borderId="0"/>
    <xf numFmtId="0" fontId="4" fillId="0" borderId="0"/>
    <xf numFmtId="0" fontId="4" fillId="0" borderId="0"/>
    <xf numFmtId="0" fontId="13" fillId="0" borderId="0"/>
    <xf numFmtId="0" fontId="4" fillId="0" borderId="0"/>
    <xf numFmtId="0" fontId="4" fillId="0" borderId="0"/>
    <xf numFmtId="0" fontId="4" fillId="0" borderId="0"/>
    <xf numFmtId="0" fontId="5" fillId="0" borderId="0"/>
    <xf numFmtId="0" fontId="25" fillId="0" borderId="0"/>
    <xf numFmtId="0" fontId="25" fillId="0" borderId="0"/>
    <xf numFmtId="0" fontId="4" fillId="0" borderId="0"/>
    <xf numFmtId="0" fontId="4"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13" fillId="0" borderId="0"/>
    <xf numFmtId="0" fontId="5" fillId="0" borderId="0"/>
    <xf numFmtId="0" fontId="5" fillId="0" borderId="0"/>
    <xf numFmtId="0" fontId="5" fillId="0" borderId="0"/>
    <xf numFmtId="0" fontId="4" fillId="0" borderId="0"/>
    <xf numFmtId="0" fontId="4" fillId="0" borderId="0"/>
    <xf numFmtId="0" fontId="3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5" fillId="0" borderId="0"/>
    <xf numFmtId="0" fontId="18" fillId="0" borderId="0"/>
    <xf numFmtId="0" fontId="18" fillId="0" borderId="0"/>
    <xf numFmtId="0" fontId="18" fillId="0" borderId="0"/>
    <xf numFmtId="9" fontId="14" fillId="0" borderId="0" applyFont="0" applyFill="0" applyBorder="0" applyAlignment="0" applyProtection="0"/>
    <xf numFmtId="9" fontId="4" fillId="0" borderId="0" applyFont="0" applyFill="0" applyBorder="0" applyAlignment="0" applyProtection="0"/>
    <xf numFmtId="0" fontId="14" fillId="0" borderId="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4" fillId="0" borderId="0" applyFont="0" applyFill="0" applyBorder="0" applyAlignment="0" applyProtection="0"/>
    <xf numFmtId="0" fontId="34" fillId="0" borderId="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35" fillId="0" borderId="0" applyNumberFormat="0" applyFill="0" applyBorder="0" applyAlignment="0" applyProtection="0"/>
    <xf numFmtId="0" fontId="43" fillId="0" borderId="0" applyFont="0" applyFill="0" applyBorder="0" applyAlignment="0" applyProtection="0"/>
    <xf numFmtId="0" fontId="43" fillId="0" borderId="0" applyFont="0" applyFill="0" applyBorder="0" applyAlignment="0" applyProtection="0"/>
    <xf numFmtId="0" fontId="34" fillId="0" borderId="0">
      <alignment vertical="center"/>
    </xf>
    <xf numFmtId="40" fontId="36" fillId="0" borderId="0" applyFont="0" applyFill="0" applyBorder="0" applyAlignment="0" applyProtection="0"/>
    <xf numFmtId="38" fontId="36" fillId="0" borderId="0" applyFon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9" fontId="37" fillId="0" borderId="0" applyFont="0" applyFill="0" applyBorder="0" applyAlignment="0" applyProtection="0"/>
    <xf numFmtId="0" fontId="38" fillId="0" borderId="0"/>
    <xf numFmtId="172" fontId="5" fillId="0" borderId="0" applyFont="0" applyFill="0" applyBorder="0" applyAlignment="0" applyProtection="0"/>
    <xf numFmtId="173" fontId="5" fillId="0" borderId="0" applyFont="0" applyFill="0" applyBorder="0" applyAlignment="0" applyProtection="0"/>
    <xf numFmtId="174" fontId="40" fillId="0" borderId="0" applyFont="0" applyFill="0" applyBorder="0" applyAlignment="0" applyProtection="0"/>
    <xf numFmtId="175" fontId="40" fillId="0" borderId="0" applyFont="0" applyFill="0" applyBorder="0" applyAlignment="0" applyProtection="0"/>
    <xf numFmtId="0" fontId="41" fillId="0" borderId="0"/>
    <xf numFmtId="0" fontId="15" fillId="0" borderId="0"/>
    <xf numFmtId="178" fontId="39" fillId="0" borderId="0" applyFont="0" applyFill="0" applyBorder="0" applyAlignment="0" applyProtection="0"/>
    <xf numFmtId="176" fontId="39" fillId="0" borderId="0" applyFont="0" applyFill="0" applyBorder="0" applyAlignment="0" applyProtection="0"/>
    <xf numFmtId="179" fontId="39" fillId="0" borderId="0" applyFont="0" applyFill="0" applyBorder="0" applyAlignment="0" applyProtection="0"/>
    <xf numFmtId="181" fontId="42" fillId="0" borderId="0" applyFont="0" applyFill="0" applyBorder="0" applyAlignment="0" applyProtection="0"/>
    <xf numFmtId="180" fontId="39" fillId="0" borderId="0" applyFont="0" applyFill="0" applyBorder="0" applyAlignment="0" applyProtection="0"/>
    <xf numFmtId="0" fontId="14" fillId="0" borderId="0"/>
    <xf numFmtId="0" fontId="14" fillId="0" borderId="0"/>
    <xf numFmtId="0" fontId="44" fillId="0" borderId="0" applyNumberFormat="0" applyFill="0" applyBorder="0" applyAlignment="0" applyProtection="0"/>
    <xf numFmtId="0" fontId="45" fillId="0" borderId="27" applyNumberFormat="0" applyFill="0" applyAlignment="0" applyProtection="0"/>
    <xf numFmtId="0" fontId="46" fillId="0" borderId="28" applyNumberFormat="0" applyFill="0" applyAlignment="0" applyProtection="0"/>
    <xf numFmtId="0" fontId="47" fillId="0" borderId="29" applyNumberFormat="0" applyFill="0" applyAlignment="0" applyProtection="0"/>
    <xf numFmtId="0" fontId="47" fillId="0" borderId="0" applyNumberFormat="0" applyFill="0" applyBorder="0" applyAlignment="0" applyProtection="0"/>
    <xf numFmtId="0" fontId="48" fillId="6" borderId="0" applyNumberFormat="0" applyBorder="0" applyAlignment="0" applyProtection="0"/>
    <xf numFmtId="0" fontId="49" fillId="7" borderId="0" applyNumberFormat="0" applyBorder="0" applyAlignment="0" applyProtection="0"/>
    <xf numFmtId="0" fontId="50" fillId="8" borderId="0" applyNumberFormat="0" applyBorder="0" applyAlignment="0" applyProtection="0"/>
    <xf numFmtId="0" fontId="51" fillId="9" borderId="30" applyNumberFormat="0" applyAlignment="0" applyProtection="0"/>
    <xf numFmtId="0" fontId="52" fillId="10" borderId="31" applyNumberFormat="0" applyAlignment="0" applyProtection="0"/>
    <xf numFmtId="0" fontId="53" fillId="10" borderId="30" applyNumberFormat="0" applyAlignment="0" applyProtection="0"/>
    <xf numFmtId="0" fontId="54" fillId="0" borderId="32" applyNumberFormat="0" applyFill="0" applyAlignment="0" applyProtection="0"/>
    <xf numFmtId="0" fontId="55" fillId="11" borderId="33" applyNumberFormat="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8" fillId="0" borderId="35" applyNumberFormat="0" applyFill="0" applyAlignment="0" applyProtection="0"/>
    <xf numFmtId="0" fontId="5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59" fillId="16" borderId="0" applyNumberFormat="0" applyBorder="0" applyAlignment="0" applyProtection="0"/>
    <xf numFmtId="0" fontId="5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59" fillId="20" borderId="0" applyNumberFormat="0" applyBorder="0" applyAlignment="0" applyProtection="0"/>
    <xf numFmtId="0" fontId="5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59" fillId="24" borderId="0" applyNumberFormat="0" applyBorder="0" applyAlignment="0" applyProtection="0"/>
    <xf numFmtId="0" fontId="5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59" fillId="28" borderId="0" applyNumberFormat="0" applyBorder="0" applyAlignment="0" applyProtection="0"/>
    <xf numFmtId="0" fontId="5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59" fillId="32" borderId="0" applyNumberFormat="0" applyBorder="0" applyAlignment="0" applyProtection="0"/>
    <xf numFmtId="0" fontId="59"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59" fillId="36" borderId="0" applyNumberFormat="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0" fontId="1" fillId="12" borderId="34" applyNumberFormat="0" applyFont="0" applyAlignment="0" applyProtection="0"/>
  </cellStyleXfs>
  <cellXfs count="214">
    <xf numFmtId="0" fontId="0" fillId="0" borderId="0" xfId="0"/>
    <xf numFmtId="166" fontId="6" fillId="0" borderId="0" xfId="3" applyNumberFormat="1" applyFont="1"/>
    <xf numFmtId="167" fontId="10" fillId="3" borderId="0" xfId="5" applyNumberFormat="1" applyFont="1" applyFill="1"/>
    <xf numFmtId="168" fontId="11" fillId="3" borderId="0" xfId="5" applyNumberFormat="1" applyFont="1" applyFill="1" applyAlignment="1">
      <alignment horizontal="right"/>
    </xf>
    <xf numFmtId="0" fontId="10" fillId="3" borderId="0" xfId="0" applyFont="1" applyFill="1"/>
    <xf numFmtId="168" fontId="10" fillId="3" borderId="0" xfId="5" applyNumberFormat="1" applyFont="1" applyFill="1"/>
    <xf numFmtId="169" fontId="9" fillId="3" borderId="5" xfId="0" applyNumberFormat="1" applyFont="1" applyFill="1" applyBorder="1" applyAlignment="1">
      <alignment horizontal="center" vertical="center" wrapText="1"/>
    </xf>
    <xf numFmtId="0" fontId="9" fillId="3" borderId="5" xfId="6" applyFont="1" applyFill="1" applyBorder="1" applyAlignment="1">
      <alignment horizontal="center" vertical="center" wrapText="1"/>
    </xf>
    <xf numFmtId="167" fontId="9" fillId="3" borderId="5" xfId="5" applyNumberFormat="1" applyFont="1" applyFill="1" applyBorder="1" applyAlignment="1">
      <alignment horizontal="center" vertical="center" wrapText="1"/>
    </xf>
    <xf numFmtId="168" fontId="9" fillId="3" borderId="5" xfId="5" applyNumberFormat="1" applyFont="1" applyFill="1" applyBorder="1" applyAlignment="1">
      <alignment horizontal="center" vertical="center" wrapText="1"/>
    </xf>
    <xf numFmtId="0" fontId="10" fillId="3" borderId="5" xfId="0" applyFont="1" applyFill="1" applyBorder="1" applyAlignment="1">
      <alignment wrapText="1"/>
    </xf>
    <xf numFmtId="167" fontId="10" fillId="3" borderId="5" xfId="5" applyNumberFormat="1" applyFont="1" applyFill="1" applyBorder="1"/>
    <xf numFmtId="43" fontId="10" fillId="3" borderId="5" xfId="5" applyFont="1" applyFill="1" applyBorder="1"/>
    <xf numFmtId="167" fontId="9" fillId="4" borderId="5" xfId="5" applyNumberFormat="1" applyFont="1" applyFill="1" applyBorder="1" applyAlignment="1">
      <alignment horizontal="right" vertical="center" wrapText="1"/>
    </xf>
    <xf numFmtId="43" fontId="9" fillId="4" borderId="5" xfId="5" applyFont="1" applyFill="1" applyBorder="1" applyAlignment="1">
      <alignment horizontal="right" vertical="center" wrapText="1"/>
    </xf>
    <xf numFmtId="0" fontId="9" fillId="3" borderId="0" xfId="0" applyFont="1" applyFill="1" applyAlignment="1">
      <alignment horizontal="center" vertical="center" wrapText="1"/>
    </xf>
    <xf numFmtId="167" fontId="9" fillId="3" borderId="0" xfId="5" applyNumberFormat="1" applyFont="1" applyFill="1" applyBorder="1" applyAlignment="1">
      <alignment horizontal="right" vertical="center" wrapText="1"/>
    </xf>
    <xf numFmtId="168" fontId="9" fillId="3" borderId="0" xfId="5" applyNumberFormat="1" applyFont="1" applyFill="1" applyBorder="1" applyAlignment="1">
      <alignment horizontal="right" vertical="center" wrapText="1"/>
    </xf>
    <xf numFmtId="169" fontId="10" fillId="3" borderId="0" xfId="0" applyNumberFormat="1" applyFont="1" applyFill="1" applyAlignment="1">
      <alignment horizontal="center"/>
    </xf>
    <xf numFmtId="1" fontId="10" fillId="3" borderId="5" xfId="0" applyNumberFormat="1" applyFont="1" applyFill="1" applyBorder="1" applyAlignment="1">
      <alignment horizontal="center"/>
    </xf>
    <xf numFmtId="0" fontId="34" fillId="0" borderId="5" xfId="0" applyFont="1" applyBorder="1" applyAlignment="1">
      <alignment wrapText="1"/>
    </xf>
    <xf numFmtId="0" fontId="64" fillId="0" borderId="0" xfId="0" applyFont="1"/>
    <xf numFmtId="0" fontId="61" fillId="0" borderId="0" xfId="0" applyFont="1" applyAlignment="1">
      <alignment horizontal="left"/>
    </xf>
    <xf numFmtId="167" fontId="64" fillId="0" borderId="0" xfId="1" applyNumberFormat="1" applyFont="1"/>
    <xf numFmtId="43" fontId="64" fillId="0" borderId="0" xfId="1" applyFont="1"/>
    <xf numFmtId="167" fontId="65" fillId="0" borderId="0" xfId="1" applyNumberFormat="1" applyFont="1" applyAlignment="1">
      <alignment horizontal="right"/>
    </xf>
    <xf numFmtId="43" fontId="65" fillId="0" borderId="0" xfId="1" applyFont="1" applyAlignment="1">
      <alignment horizontal="right"/>
    </xf>
    <xf numFmtId="0" fontId="66" fillId="2" borderId="10" xfId="0" applyFont="1" applyFill="1" applyBorder="1" applyAlignment="1">
      <alignment horizontal="center" vertical="center" wrapText="1"/>
    </xf>
    <xf numFmtId="0" fontId="66" fillId="2" borderId="11" xfId="0" applyFont="1" applyFill="1" applyBorder="1" applyAlignment="1">
      <alignment horizontal="center" vertical="center" wrapText="1"/>
    </xf>
    <xf numFmtId="167" fontId="66" fillId="2" borderId="11" xfId="1" applyNumberFormat="1" applyFont="1" applyFill="1" applyBorder="1" applyAlignment="1">
      <alignment horizontal="center" vertical="center" wrapText="1"/>
    </xf>
    <xf numFmtId="43" fontId="66" fillId="2" borderId="11" xfId="1" applyFont="1" applyFill="1" applyBorder="1" applyAlignment="1">
      <alignment horizontal="center" vertical="center" wrapText="1"/>
    </xf>
    <xf numFmtId="0" fontId="66" fillId="2" borderId="0" xfId="0" applyFont="1" applyFill="1" applyAlignment="1">
      <alignment horizontal="center" vertical="center" wrapText="1"/>
    </xf>
    <xf numFmtId="0" fontId="64" fillId="0" borderId="13" xfId="0" applyFont="1" applyBorder="1" applyAlignment="1">
      <alignment vertical="center" wrapText="1"/>
    </xf>
    <xf numFmtId="0" fontId="64" fillId="0" borderId="14" xfId="0" applyFont="1" applyBorder="1" applyAlignment="1">
      <alignment vertical="center" wrapText="1"/>
    </xf>
    <xf numFmtId="167" fontId="64" fillId="0" borderId="14" xfId="1" applyNumberFormat="1" applyFont="1" applyBorder="1" applyAlignment="1">
      <alignment vertical="center"/>
    </xf>
    <xf numFmtId="43" fontId="64" fillId="0" borderId="14" xfId="1" applyFont="1" applyBorder="1" applyAlignment="1">
      <alignment vertical="center"/>
    </xf>
    <xf numFmtId="0" fontId="64" fillId="0" borderId="0" xfId="0" applyFont="1" applyAlignment="1">
      <alignment vertical="center"/>
    </xf>
    <xf numFmtId="0" fontId="64" fillId="0" borderId="16" xfId="0" applyFont="1" applyBorder="1" applyAlignment="1">
      <alignment vertical="center" wrapText="1"/>
    </xf>
    <xf numFmtId="167" fontId="66" fillId="2" borderId="18" xfId="1" applyNumberFormat="1" applyFont="1" applyFill="1" applyBorder="1" applyAlignment="1">
      <alignment vertical="center"/>
    </xf>
    <xf numFmtId="43" fontId="66" fillId="2" borderId="18" xfId="1" applyFont="1" applyFill="1" applyBorder="1" applyAlignment="1">
      <alignment vertical="center"/>
    </xf>
    <xf numFmtId="0" fontId="66" fillId="2" borderId="0" xfId="0" applyFont="1" applyFill="1" applyAlignment="1">
      <alignment vertical="center"/>
    </xf>
    <xf numFmtId="0" fontId="66" fillId="0" borderId="0" xfId="0" applyFont="1" applyAlignment="1">
      <alignment horizontal="center" vertical="center"/>
    </xf>
    <xf numFmtId="167" fontId="66" fillId="0" borderId="0" xfId="1" applyNumberFormat="1" applyFont="1" applyFill="1" applyBorder="1" applyAlignment="1">
      <alignment vertical="center"/>
    </xf>
    <xf numFmtId="43" fontId="66" fillId="0" borderId="0" xfId="1" applyFont="1" applyFill="1" applyBorder="1" applyAlignment="1">
      <alignment vertical="center"/>
    </xf>
    <xf numFmtId="0" fontId="66" fillId="0" borderId="0" xfId="0" applyFont="1" applyAlignment="1">
      <alignment vertical="center"/>
    </xf>
    <xf numFmtId="0" fontId="64" fillId="0" borderId="0" xfId="0" applyFont="1" applyAlignment="1">
      <alignment horizontal="center"/>
    </xf>
    <xf numFmtId="0" fontId="64" fillId="0" borderId="13" xfId="0" applyFont="1" applyBorder="1" applyAlignment="1">
      <alignment horizontal="center" vertical="center"/>
    </xf>
    <xf numFmtId="43" fontId="64" fillId="0" borderId="14" xfId="1" applyFont="1" applyBorder="1" applyAlignment="1">
      <alignment horizontal="left" vertical="center"/>
    </xf>
    <xf numFmtId="43" fontId="64" fillId="0" borderId="14" xfId="1" applyFont="1" applyFill="1" applyBorder="1" applyAlignment="1">
      <alignment horizontal="left" vertical="center"/>
    </xf>
    <xf numFmtId="43" fontId="64" fillId="0" borderId="16" xfId="1" applyFont="1" applyBorder="1" applyAlignment="1">
      <alignment horizontal="left" vertical="center"/>
    </xf>
    <xf numFmtId="167" fontId="66" fillId="4" borderId="18" xfId="1" applyNumberFormat="1" applyFont="1" applyFill="1" applyBorder="1" applyAlignment="1">
      <alignment vertical="center"/>
    </xf>
    <xf numFmtId="43" fontId="66" fillId="4" borderId="18" xfId="1" applyFont="1" applyFill="1" applyBorder="1" applyAlignment="1">
      <alignment vertical="center"/>
    </xf>
    <xf numFmtId="0" fontId="63" fillId="0" borderId="0" xfId="0" applyFont="1"/>
    <xf numFmtId="0" fontId="61" fillId="0" borderId="0" xfId="0" applyFont="1" applyAlignment="1">
      <alignment horizontal="center"/>
    </xf>
    <xf numFmtId="165" fontId="63" fillId="0" borderId="0" xfId="0" applyNumberFormat="1" applyFont="1"/>
    <xf numFmtId="165" fontId="62" fillId="0" borderId="0" xfId="0" applyNumberFormat="1" applyFont="1"/>
    <xf numFmtId="166" fontId="65" fillId="0" borderId="0" xfId="3" applyNumberFormat="1" applyFont="1" applyAlignment="1">
      <alignment horizontal="right"/>
    </xf>
    <xf numFmtId="166" fontId="63" fillId="0" borderId="0" xfId="3" applyNumberFormat="1" applyFont="1"/>
    <xf numFmtId="0" fontId="60" fillId="2" borderId="1" xfId="0" applyFont="1" applyFill="1" applyBorder="1" applyAlignment="1">
      <alignment horizontal="center" vertical="center" wrapText="1"/>
    </xf>
    <xf numFmtId="0" fontId="60" fillId="2" borderId="2" xfId="0" applyFont="1" applyFill="1" applyBorder="1" applyAlignment="1">
      <alignment horizontal="center" vertical="center" wrapText="1"/>
    </xf>
    <xf numFmtId="49" fontId="60" fillId="2" borderId="2" xfId="0" applyNumberFormat="1" applyFont="1" applyFill="1" applyBorder="1" applyAlignment="1">
      <alignment horizontal="center" vertical="center" wrapText="1"/>
    </xf>
    <xf numFmtId="166" fontId="60" fillId="2" borderId="3" xfId="3" applyNumberFormat="1" applyFont="1" applyFill="1" applyBorder="1" applyAlignment="1">
      <alignment horizontal="center" vertical="center" wrapText="1"/>
    </xf>
    <xf numFmtId="0" fontId="60" fillId="2" borderId="0" xfId="0" applyFont="1" applyFill="1" applyAlignment="1">
      <alignment horizontal="center" vertical="center" wrapText="1"/>
    </xf>
    <xf numFmtId="0" fontId="62" fillId="0" borderId="4" xfId="0" applyFont="1" applyBorder="1" applyAlignment="1">
      <alignment horizontal="left"/>
    </xf>
    <xf numFmtId="0" fontId="62" fillId="0" borderId="5" xfId="0" applyFont="1" applyBorder="1"/>
    <xf numFmtId="0" fontId="62" fillId="0" borderId="5" xfId="0" applyFont="1" applyBorder="1" applyAlignment="1">
      <alignment horizontal="center"/>
    </xf>
    <xf numFmtId="3" fontId="62" fillId="0" borderId="5" xfId="0" applyNumberFormat="1" applyFont="1" applyBorder="1"/>
    <xf numFmtId="166" fontId="62" fillId="0" borderId="6" xfId="3" applyNumberFormat="1" applyFont="1" applyFill="1" applyBorder="1"/>
    <xf numFmtId="0" fontId="62" fillId="0" borderId="0" xfId="0" applyFont="1"/>
    <xf numFmtId="4" fontId="62" fillId="0" borderId="5" xfId="1" applyNumberFormat="1" applyFont="1" applyFill="1" applyBorder="1" applyAlignment="1">
      <alignment horizontal="right"/>
    </xf>
    <xf numFmtId="166" fontId="62" fillId="0" borderId="6" xfId="3" applyNumberFormat="1" applyFont="1" applyBorder="1"/>
    <xf numFmtId="0" fontId="62" fillId="0" borderId="0" xfId="0" applyFont="1" applyAlignment="1">
      <alignment horizontal="left"/>
    </xf>
    <xf numFmtId="0" fontId="62" fillId="0" borderId="0" xfId="0" applyFont="1" applyAlignment="1">
      <alignment horizontal="center"/>
    </xf>
    <xf numFmtId="3" fontId="62" fillId="0" borderId="0" xfId="0" applyNumberFormat="1" applyFont="1"/>
    <xf numFmtId="166" fontId="62" fillId="0" borderId="0" xfId="3" applyNumberFormat="1" applyFont="1" applyFill="1" applyBorder="1"/>
    <xf numFmtId="0" fontId="60" fillId="0" borderId="0" xfId="0" applyFont="1" applyAlignment="1">
      <alignment vertical="center"/>
    </xf>
    <xf numFmtId="0" fontId="69" fillId="0" borderId="0" xfId="0" applyFont="1"/>
    <xf numFmtId="167" fontId="70" fillId="0" borderId="0" xfId="4" applyNumberFormat="1" applyFont="1"/>
    <xf numFmtId="166" fontId="62" fillId="0" borderId="0" xfId="3" applyNumberFormat="1" applyFont="1"/>
    <xf numFmtId="10" fontId="62" fillId="0" borderId="0" xfId="2" applyNumberFormat="1" applyFont="1"/>
    <xf numFmtId="4" fontId="60" fillId="0" borderId="0" xfId="0" applyNumberFormat="1" applyFont="1"/>
    <xf numFmtId="165" fontId="60" fillId="0" borderId="0" xfId="0" applyNumberFormat="1" applyFont="1"/>
    <xf numFmtId="9" fontId="60" fillId="0" borderId="0" xfId="3" applyFont="1"/>
    <xf numFmtId="166" fontId="60" fillId="0" borderId="0" xfId="3" applyNumberFormat="1" applyFont="1"/>
    <xf numFmtId="166" fontId="60" fillId="0" borderId="0" xfId="3" applyNumberFormat="1" applyFont="1" applyAlignment="1"/>
    <xf numFmtId="165" fontId="61" fillId="0" borderId="0" xfId="0" applyNumberFormat="1" applyFont="1"/>
    <xf numFmtId="166" fontId="61" fillId="0" borderId="0" xfId="3" applyNumberFormat="1" applyFont="1" applyAlignment="1"/>
    <xf numFmtId="1" fontId="63" fillId="0" borderId="0" xfId="4" applyNumberFormat="1" applyFont="1" applyAlignment="1">
      <alignment horizontal="left"/>
    </xf>
    <xf numFmtId="165" fontId="60" fillId="0" borderId="0" xfId="0" applyNumberFormat="1" applyFont="1" applyAlignment="1">
      <alignment horizontal="center"/>
    </xf>
    <xf numFmtId="166" fontId="61" fillId="0" borderId="0" xfId="3" applyNumberFormat="1" applyFont="1"/>
    <xf numFmtId="9" fontId="61" fillId="0" borderId="0" xfId="3" applyFont="1"/>
    <xf numFmtId="43" fontId="61" fillId="0" borderId="0" xfId="4" applyFont="1"/>
    <xf numFmtId="9" fontId="63" fillId="0" borderId="0" xfId="2" applyFont="1"/>
    <xf numFmtId="43" fontId="64" fillId="0" borderId="16" xfId="1" applyFont="1" applyFill="1" applyBorder="1" applyAlignment="1">
      <alignment horizontal="left" vertical="center"/>
    </xf>
    <xf numFmtId="4" fontId="62" fillId="0" borderId="0" xfId="0" applyNumberFormat="1" applyFont="1"/>
    <xf numFmtId="168" fontId="64" fillId="0" borderId="14" xfId="1" applyNumberFormat="1" applyFont="1" applyBorder="1" applyAlignment="1">
      <alignment vertical="center"/>
    </xf>
    <xf numFmtId="166" fontId="62" fillId="0" borderId="0" xfId="0" applyNumberFormat="1" applyFont="1"/>
    <xf numFmtId="43" fontId="66" fillId="2" borderId="39" xfId="1" applyFont="1" applyFill="1" applyBorder="1" applyAlignment="1">
      <alignment vertical="center"/>
    </xf>
    <xf numFmtId="190" fontId="65" fillId="0" borderId="0" xfId="1" applyNumberFormat="1" applyFont="1" applyAlignment="1">
      <alignment horizontal="right"/>
    </xf>
    <xf numFmtId="190" fontId="66" fillId="2" borderId="12" xfId="1" applyNumberFormat="1" applyFont="1" applyFill="1" applyBorder="1" applyAlignment="1">
      <alignment horizontal="center" vertical="center" wrapText="1"/>
    </xf>
    <xf numFmtId="190" fontId="64" fillId="0" borderId="15" xfId="1" applyNumberFormat="1" applyFont="1" applyBorder="1" applyAlignment="1">
      <alignment vertical="center"/>
    </xf>
    <xf numFmtId="190" fontId="66" fillId="2" borderId="19" xfId="1" applyNumberFormat="1" applyFont="1" applyFill="1" applyBorder="1" applyAlignment="1">
      <alignment vertical="center"/>
    </xf>
    <xf numFmtId="190" fontId="66" fillId="0" borderId="0" xfId="1" applyNumberFormat="1" applyFont="1" applyFill="1" applyBorder="1" applyAlignment="1">
      <alignment vertical="center"/>
    </xf>
    <xf numFmtId="190" fontId="64" fillId="0" borderId="0" xfId="1" applyNumberFormat="1" applyFont="1"/>
    <xf numFmtId="190" fontId="66" fillId="4" borderId="19" xfId="1" applyNumberFormat="1" applyFont="1" applyFill="1" applyBorder="1" applyAlignment="1">
      <alignment vertical="center"/>
    </xf>
    <xf numFmtId="3" fontId="64" fillId="0" borderId="0" xfId="0" applyNumberFormat="1" applyFont="1"/>
    <xf numFmtId="3" fontId="66" fillId="2" borderId="11" xfId="0" applyNumberFormat="1" applyFont="1" applyFill="1" applyBorder="1" applyAlignment="1">
      <alignment horizontal="center" vertical="center" wrapText="1"/>
    </xf>
    <xf numFmtId="0" fontId="66" fillId="0" borderId="13" xfId="0" applyFont="1" applyBorder="1" applyAlignment="1">
      <alignment horizontal="center" vertical="center"/>
    </xf>
    <xf numFmtId="0" fontId="66" fillId="0" borderId="14" xfId="0" applyFont="1" applyBorder="1" applyAlignment="1">
      <alignment vertical="center"/>
    </xf>
    <xf numFmtId="167" fontId="66" fillId="0" borderId="14" xfId="1" applyNumberFormat="1" applyFont="1" applyBorder="1" applyAlignment="1">
      <alignment vertical="center"/>
    </xf>
    <xf numFmtId="2" fontId="66" fillId="0" borderId="14" xfId="0" applyNumberFormat="1" applyFont="1" applyBorder="1" applyAlignment="1">
      <alignment vertical="center"/>
    </xf>
    <xf numFmtId="43" fontId="66" fillId="0" borderId="14" xfId="1" applyFont="1" applyBorder="1" applyAlignment="1">
      <alignment vertical="center"/>
    </xf>
    <xf numFmtId="0" fontId="64" fillId="0" borderId="14" xfId="0" applyFont="1" applyBorder="1" applyAlignment="1">
      <alignment horizontal="left" vertical="center"/>
    </xf>
    <xf numFmtId="0" fontId="64" fillId="0" borderId="14" xfId="0" applyFont="1" applyBorder="1" applyAlignment="1">
      <alignment vertical="center"/>
    </xf>
    <xf numFmtId="2" fontId="64" fillId="0" borderId="14" xfId="0" applyNumberFormat="1" applyFont="1" applyBorder="1" applyAlignment="1">
      <alignment vertical="center"/>
    </xf>
    <xf numFmtId="0" fontId="67" fillId="0" borderId="14" xfId="0" applyFont="1" applyBorder="1" applyAlignment="1">
      <alignment vertical="center"/>
    </xf>
    <xf numFmtId="0" fontId="64" fillId="0" borderId="40" xfId="0" applyFont="1" applyBorder="1" applyAlignment="1">
      <alignment horizontal="center" vertical="center"/>
    </xf>
    <xf numFmtId="0" fontId="64" fillId="0" borderId="16" xfId="0" applyFont="1" applyBorder="1" applyAlignment="1">
      <alignment vertical="center"/>
    </xf>
    <xf numFmtId="0" fontId="66" fillId="0" borderId="10" xfId="0" applyFont="1" applyBorder="1" applyAlignment="1">
      <alignment horizontal="center" vertical="center"/>
    </xf>
    <xf numFmtId="0" fontId="66" fillId="0" borderId="11" xfId="0" applyFont="1" applyBorder="1" applyAlignment="1">
      <alignment vertical="center"/>
    </xf>
    <xf numFmtId="2" fontId="66" fillId="0" borderId="11" xfId="0" applyNumberFormat="1" applyFont="1" applyBorder="1" applyAlignment="1">
      <alignment vertical="center"/>
    </xf>
    <xf numFmtId="43" fontId="66" fillId="0" borderId="11" xfId="1" applyFont="1" applyBorder="1" applyAlignment="1">
      <alignment vertical="center"/>
    </xf>
    <xf numFmtId="0" fontId="67" fillId="0" borderId="16" xfId="0" applyFont="1" applyBorder="1" applyAlignment="1">
      <alignment vertical="center"/>
    </xf>
    <xf numFmtId="43" fontId="64" fillId="0" borderId="38" xfId="1" applyFont="1" applyBorder="1" applyAlignment="1">
      <alignment vertical="center"/>
    </xf>
    <xf numFmtId="0" fontId="67" fillId="0" borderId="0" xfId="0" applyFont="1"/>
    <xf numFmtId="0" fontId="67" fillId="0" borderId="0" xfId="0" applyFont="1" applyAlignment="1">
      <alignment horizontal="center"/>
    </xf>
    <xf numFmtId="167" fontId="67" fillId="0" borderId="0" xfId="5" applyNumberFormat="1" applyFont="1"/>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167" fontId="9" fillId="2" borderId="11" xfId="5" applyNumberFormat="1" applyFont="1" applyFill="1" applyBorder="1" applyAlignment="1">
      <alignment horizontal="center" vertical="center" wrapText="1"/>
    </xf>
    <xf numFmtId="0" fontId="9" fillId="2" borderId="12" xfId="0" applyFont="1" applyFill="1" applyBorder="1" applyAlignment="1">
      <alignment horizontal="center" vertical="center" wrapText="1"/>
    </xf>
    <xf numFmtId="0" fontId="10" fillId="3" borderId="14" xfId="0" applyFont="1" applyFill="1" applyBorder="1" applyAlignment="1">
      <alignment wrapText="1"/>
    </xf>
    <xf numFmtId="167" fontId="10" fillId="3" borderId="14" xfId="5" applyNumberFormat="1" applyFont="1" applyFill="1" applyBorder="1" applyAlignment="1">
      <alignment wrapText="1"/>
    </xf>
    <xf numFmtId="0" fontId="34" fillId="0" borderId="14" xfId="0" applyFont="1" applyBorder="1" applyAlignment="1">
      <alignment vertical="center"/>
    </xf>
    <xf numFmtId="0" fontId="10" fillId="3" borderId="18" xfId="0" applyFont="1" applyFill="1" applyBorder="1" applyAlignment="1">
      <alignment wrapText="1"/>
    </xf>
    <xf numFmtId="0" fontId="34" fillId="0" borderId="16" xfId="0" applyFont="1" applyBorder="1" applyAlignment="1">
      <alignment vertical="center"/>
    </xf>
    <xf numFmtId="0" fontId="9" fillId="0" borderId="11" xfId="0" applyFont="1" applyBorder="1" applyAlignment="1">
      <alignment vertical="center"/>
    </xf>
    <xf numFmtId="167" fontId="9" fillId="0" borderId="11" xfId="5" applyNumberFormat="1" applyFont="1" applyBorder="1" applyAlignment="1">
      <alignment vertical="center"/>
    </xf>
    <xf numFmtId="0" fontId="34" fillId="0" borderId="14" xfId="0" applyFont="1" applyBorder="1" applyAlignment="1">
      <alignment horizontal="left" vertical="center"/>
    </xf>
    <xf numFmtId="167" fontId="9" fillId="4" borderId="18" xfId="5" applyNumberFormat="1" applyFont="1" applyFill="1" applyBorder="1" applyAlignment="1">
      <alignment vertical="center"/>
    </xf>
    <xf numFmtId="43" fontId="10" fillId="3" borderId="15" xfId="5" applyFont="1" applyFill="1" applyBorder="1" applyAlignment="1">
      <alignment wrapText="1"/>
    </xf>
    <xf numFmtId="43" fontId="9" fillId="4" borderId="19" xfId="1" applyFont="1" applyFill="1" applyBorder="1" applyAlignment="1">
      <alignment vertical="center"/>
    </xf>
    <xf numFmtId="43" fontId="9" fillId="0" borderId="12" xfId="1" applyFont="1" applyBorder="1" applyAlignment="1">
      <alignment vertical="center"/>
    </xf>
    <xf numFmtId="190" fontId="66" fillId="0" borderId="12" xfId="0" applyNumberFormat="1" applyFont="1" applyBorder="1" applyAlignment="1">
      <alignment vertical="center"/>
    </xf>
    <xf numFmtId="190" fontId="64" fillId="0" borderId="0" xfId="0" applyNumberFormat="1" applyFont="1"/>
    <xf numFmtId="43" fontId="10" fillId="3" borderId="0" xfId="0" applyNumberFormat="1" applyFont="1" applyFill="1"/>
    <xf numFmtId="190" fontId="73" fillId="0" borderId="15" xfId="1" applyNumberFormat="1" applyFont="1" applyBorder="1" applyAlignment="1">
      <alignment vertical="center"/>
    </xf>
    <xf numFmtId="190" fontId="73" fillId="0" borderId="12" xfId="1" applyNumberFormat="1" applyFont="1" applyBorder="1" applyAlignment="1">
      <alignment vertical="center"/>
    </xf>
    <xf numFmtId="167" fontId="10" fillId="3" borderId="16" xfId="5" applyNumberFormat="1" applyFont="1" applyFill="1" applyBorder="1" applyAlignment="1">
      <alignment wrapText="1"/>
    </xf>
    <xf numFmtId="43" fontId="10" fillId="3" borderId="41" xfId="5" applyFont="1" applyFill="1" applyBorder="1" applyAlignment="1">
      <alignment wrapText="1"/>
    </xf>
    <xf numFmtId="0" fontId="34" fillId="0" borderId="13" xfId="0" applyFont="1" applyBorder="1" applyAlignment="1">
      <alignment horizontal="center" vertical="center"/>
    </xf>
    <xf numFmtId="0" fontId="34" fillId="0" borderId="40" xfId="0" applyFont="1" applyBorder="1" applyAlignment="1">
      <alignment horizontal="center" vertical="center"/>
    </xf>
    <xf numFmtId="0" fontId="9" fillId="0" borderId="10" xfId="0" applyFont="1" applyBorder="1" applyAlignment="1">
      <alignment horizontal="center" vertical="center"/>
    </xf>
    <xf numFmtId="0" fontId="10" fillId="3" borderId="13" xfId="0" applyFont="1" applyFill="1" applyBorder="1" applyAlignment="1">
      <alignment horizontal="center" wrapText="1"/>
    </xf>
    <xf numFmtId="0" fontId="10" fillId="3" borderId="17" xfId="0" applyFont="1" applyFill="1" applyBorder="1" applyAlignment="1">
      <alignment horizontal="center" wrapText="1"/>
    </xf>
    <xf numFmtId="43" fontId="64" fillId="0" borderId="16" xfId="1" applyFont="1" applyBorder="1" applyAlignment="1">
      <alignment horizontal="left" vertical="center" wrapText="1"/>
    </xf>
    <xf numFmtId="0" fontId="66" fillId="0" borderId="10" xfId="0" applyFont="1" applyBorder="1" applyAlignment="1">
      <alignment horizontal="center" vertical="center" wrapText="1"/>
    </xf>
    <xf numFmtId="0" fontId="66" fillId="0" borderId="11" xfId="0" applyFont="1" applyBorder="1" applyAlignment="1">
      <alignment horizontal="left" vertical="center" wrapText="1"/>
    </xf>
    <xf numFmtId="190" fontId="73" fillId="0" borderId="12" xfId="1" applyNumberFormat="1" applyFont="1" applyFill="1" applyBorder="1" applyAlignment="1">
      <alignment vertical="center"/>
    </xf>
    <xf numFmtId="0" fontId="9" fillId="0" borderId="10" xfId="0" applyFont="1" applyBorder="1" applyAlignment="1">
      <alignment horizontal="center" vertical="center" wrapText="1"/>
    </xf>
    <xf numFmtId="0" fontId="9" fillId="0" borderId="11" xfId="0" applyFont="1" applyBorder="1" applyAlignment="1">
      <alignment horizontal="left" vertical="center" wrapText="1"/>
    </xf>
    <xf numFmtId="167" fontId="9" fillId="0" borderId="11" xfId="5" applyNumberFormat="1" applyFont="1" applyFill="1" applyBorder="1" applyAlignment="1">
      <alignment vertical="center"/>
    </xf>
    <xf numFmtId="43" fontId="9" fillId="0" borderId="12" xfId="1" applyFont="1" applyFill="1" applyBorder="1" applyAlignment="1">
      <alignment vertical="center"/>
    </xf>
    <xf numFmtId="0" fontId="10" fillId="0" borderId="0" xfId="0" applyFont="1"/>
    <xf numFmtId="164" fontId="10" fillId="3" borderId="0" xfId="0" applyNumberFormat="1" applyFont="1" applyFill="1"/>
    <xf numFmtId="0" fontId="60" fillId="0" borderId="4" xfId="0" applyFont="1" applyBorder="1" applyAlignment="1">
      <alignment horizontal="left"/>
    </xf>
    <xf numFmtId="0" fontId="60" fillId="0" borderId="5" xfId="0" applyFont="1" applyBorder="1"/>
    <xf numFmtId="0" fontId="60" fillId="0" borderId="5" xfId="0" applyFont="1" applyBorder="1" applyAlignment="1">
      <alignment horizontal="center"/>
    </xf>
    <xf numFmtId="3" fontId="60" fillId="0" borderId="5" xfId="0" applyNumberFormat="1" applyFont="1" applyBorder="1"/>
    <xf numFmtId="0" fontId="60" fillId="0" borderId="0" xfId="0" applyFont="1"/>
    <xf numFmtId="166" fontId="60" fillId="0" borderId="6" xfId="3" applyNumberFormat="1" applyFont="1" applyBorder="1"/>
    <xf numFmtId="0" fontId="60" fillId="0" borderId="36" xfId="0" applyFont="1" applyBorder="1" applyAlignment="1">
      <alignment horizontal="left"/>
    </xf>
    <xf numFmtId="0" fontId="60" fillId="0" borderId="26" xfId="0" applyFont="1" applyBorder="1"/>
    <xf numFmtId="0" fontId="60" fillId="0" borderId="26" xfId="0" applyFont="1" applyBorder="1" applyAlignment="1">
      <alignment horizontal="center"/>
    </xf>
    <xf numFmtId="3" fontId="60" fillId="0" borderId="26" xfId="0" applyNumberFormat="1" applyFont="1" applyBorder="1"/>
    <xf numFmtId="166" fontId="60" fillId="0" borderId="37" xfId="3" applyNumberFormat="1" applyFont="1" applyBorder="1"/>
    <xf numFmtId="166" fontId="60" fillId="0" borderId="0" xfId="0" applyNumberFormat="1" applyFont="1"/>
    <xf numFmtId="0" fontId="60" fillId="0" borderId="7" xfId="0" applyFont="1" applyBorder="1" applyAlignment="1">
      <alignment horizontal="left"/>
    </xf>
    <xf numFmtId="0" fontId="60" fillId="0" borderId="8" xfId="0" applyFont="1" applyBorder="1"/>
    <xf numFmtId="0" fontId="60" fillId="0" borderId="8" xfId="0" applyFont="1" applyBorder="1" applyAlignment="1">
      <alignment horizontal="center"/>
    </xf>
    <xf numFmtId="3" fontId="60" fillId="0" borderId="8" xfId="0" applyNumberFormat="1" applyFont="1" applyBorder="1"/>
    <xf numFmtId="166" fontId="60" fillId="0" borderId="9" xfId="3" applyNumberFormat="1" applyFont="1" applyFill="1" applyBorder="1"/>
    <xf numFmtId="0" fontId="0" fillId="0" borderId="14" xfId="0" applyBorder="1"/>
    <xf numFmtId="43" fontId="64" fillId="0" borderId="14" xfId="0" applyNumberFormat="1" applyFont="1" applyBorder="1" applyAlignment="1">
      <alignment vertical="center"/>
    </xf>
    <xf numFmtId="43" fontId="66" fillId="0" borderId="11" xfId="0" applyNumberFormat="1" applyFont="1" applyBorder="1" applyAlignment="1">
      <alignment vertical="center"/>
    </xf>
    <xf numFmtId="166" fontId="60" fillId="0" borderId="0" xfId="2" applyNumberFormat="1" applyFont="1"/>
    <xf numFmtId="170" fontId="63" fillId="0" borderId="0" xfId="0" applyNumberFormat="1" applyFont="1"/>
    <xf numFmtId="43" fontId="64" fillId="0" borderId="16" xfId="1" applyFont="1" applyBorder="1" applyAlignment="1">
      <alignment vertical="center"/>
    </xf>
    <xf numFmtId="167" fontId="64" fillId="0" borderId="14" xfId="1" applyNumberFormat="1" applyFont="1" applyFill="1" applyBorder="1" applyAlignment="1">
      <alignment vertical="center"/>
    </xf>
    <xf numFmtId="43" fontId="64" fillId="0" borderId="14" xfId="1" applyFont="1" applyFill="1" applyBorder="1" applyAlignment="1">
      <alignment vertical="center"/>
    </xf>
    <xf numFmtId="0" fontId="64" fillId="0" borderId="14" xfId="0" applyFont="1" applyBorder="1" applyAlignment="1">
      <alignment horizontal="left" vertical="center" wrapText="1"/>
    </xf>
    <xf numFmtId="2" fontId="60" fillId="2" borderId="0" xfId="0" applyNumberFormat="1" applyFont="1" applyFill="1" applyAlignment="1">
      <alignment horizontal="center" vertical="center" wrapText="1"/>
    </xf>
    <xf numFmtId="4" fontId="10" fillId="3" borderId="0" xfId="0" applyNumberFormat="1" applyFont="1" applyFill="1"/>
    <xf numFmtId="0" fontId="68" fillId="0" borderId="0" xfId="0" applyFont="1" applyAlignment="1">
      <alignment horizontal="center" vertical="center" wrapText="1" shrinkToFit="1"/>
    </xf>
    <xf numFmtId="0" fontId="72" fillId="0" borderId="0" xfId="0" applyFont="1" applyAlignment="1">
      <alignment horizontal="left" vertical="center" wrapText="1"/>
    </xf>
    <xf numFmtId="0" fontId="71" fillId="0" borderId="0" xfId="0" applyFont="1" applyAlignment="1">
      <alignment horizontal="center"/>
    </xf>
    <xf numFmtId="0" fontId="61" fillId="0" borderId="0" xfId="0" applyFont="1" applyAlignment="1">
      <alignment horizontal="center"/>
    </xf>
    <xf numFmtId="0" fontId="68" fillId="0" borderId="0" xfId="0" applyFont="1" applyAlignment="1">
      <alignment horizontal="center"/>
    </xf>
    <xf numFmtId="0" fontId="66" fillId="4" borderId="17" xfId="0" applyFont="1" applyFill="1" applyBorder="1" applyAlignment="1">
      <alignment horizontal="center" vertical="center"/>
    </xf>
    <xf numFmtId="0" fontId="66" fillId="4" borderId="18" xfId="0" applyFont="1" applyFill="1" applyBorder="1" applyAlignment="1">
      <alignment horizontal="center" vertical="center"/>
    </xf>
    <xf numFmtId="0" fontId="9" fillId="0" borderId="0" xfId="0" applyFont="1" applyAlignment="1">
      <alignment horizontal="center"/>
    </xf>
    <xf numFmtId="0" fontId="65" fillId="0" borderId="0" xfId="0" applyFont="1" applyAlignment="1">
      <alignment horizontal="center"/>
    </xf>
    <xf numFmtId="0" fontId="66" fillId="2" borderId="25" xfId="0" applyFont="1" applyFill="1" applyBorder="1" applyAlignment="1">
      <alignment horizontal="center" vertical="center"/>
    </xf>
    <xf numFmtId="0" fontId="66" fillId="2" borderId="24" xfId="0" applyFont="1" applyFill="1" applyBorder="1" applyAlignment="1">
      <alignment horizontal="center" vertical="center"/>
    </xf>
    <xf numFmtId="0" fontId="66" fillId="2" borderId="17" xfId="0" applyFont="1" applyFill="1" applyBorder="1" applyAlignment="1">
      <alignment horizontal="center" vertical="center"/>
    </xf>
    <xf numFmtId="0" fontId="66" fillId="2" borderId="18"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3" fillId="0" borderId="0" xfId="0" applyFont="1" applyAlignment="1">
      <alignment horizontal="center"/>
    </xf>
    <xf numFmtId="0" fontId="9" fillId="4" borderId="5" xfId="0" applyFont="1" applyFill="1" applyBorder="1" applyAlignment="1">
      <alignment horizontal="center" vertical="center" wrapText="1"/>
    </xf>
    <xf numFmtId="0" fontId="9" fillId="3" borderId="0" xfId="6" applyFont="1" applyFill="1" applyAlignment="1">
      <alignment horizontal="center"/>
    </xf>
    <xf numFmtId="0" fontId="9" fillId="3" borderId="0" xfId="0" applyFont="1" applyFill="1" applyAlignment="1">
      <alignment horizontal="left"/>
    </xf>
    <xf numFmtId="0" fontId="9" fillId="3" borderId="0" xfId="6" applyFont="1" applyFill="1" applyAlignment="1">
      <alignment horizontal="center" vertical="center"/>
    </xf>
    <xf numFmtId="0" fontId="12" fillId="3" borderId="0" xfId="0" applyFont="1" applyFill="1" applyAlignment="1">
      <alignment horizontal="center"/>
    </xf>
  </cellXfs>
  <cellStyles count="208">
    <cellStyle name="??" xfId="8" xr:uid="{00000000-0005-0000-0000-000000000000}"/>
    <cellStyle name="?? [0.00]_PRODUCT DETAIL Q1" xfId="9" xr:uid="{00000000-0005-0000-0000-000001000000}"/>
    <cellStyle name="?? [0]" xfId="10" xr:uid="{00000000-0005-0000-0000-000002000000}"/>
    <cellStyle name="???? [0.00]_PRODUCT DETAIL Q1" xfId="11" xr:uid="{00000000-0005-0000-0000-000003000000}"/>
    <cellStyle name="????_PRODUCT DETAIL Q1" xfId="12" xr:uid="{00000000-0005-0000-0000-000004000000}"/>
    <cellStyle name="???[0]_Book1" xfId="13" xr:uid="{00000000-0005-0000-0000-000005000000}"/>
    <cellStyle name="???_95" xfId="14" xr:uid="{00000000-0005-0000-0000-000006000000}"/>
    <cellStyle name="??_(????)??????" xfId="15" xr:uid="{00000000-0005-0000-0000-000007000000}"/>
    <cellStyle name="_Book1" xfId="16" xr:uid="{00000000-0005-0000-0000-000008000000}"/>
    <cellStyle name="1" xfId="17" xr:uid="{00000000-0005-0000-0000-000009000000}"/>
    <cellStyle name="2" xfId="18" xr:uid="{00000000-0005-0000-0000-00000A000000}"/>
    <cellStyle name="20% - Accent1" xfId="180" builtinId="30" customBuiltin="1"/>
    <cellStyle name="20% - Accent2" xfId="184" builtinId="34" customBuiltin="1"/>
    <cellStyle name="20% - Accent3" xfId="188" builtinId="38" customBuiltin="1"/>
    <cellStyle name="20% - Accent4" xfId="192" builtinId="42" customBuiltin="1"/>
    <cellStyle name="20% - Accent5" xfId="196" builtinId="46" customBuiltin="1"/>
    <cellStyle name="20% - Accent6" xfId="200" builtinId="50" customBuiltin="1"/>
    <cellStyle name="3" xfId="19" xr:uid="{00000000-0005-0000-0000-000011000000}"/>
    <cellStyle name="4" xfId="20" xr:uid="{00000000-0005-0000-0000-000012000000}"/>
    <cellStyle name="40% - Accent1" xfId="181" builtinId="31" customBuiltin="1"/>
    <cellStyle name="40% - Accent2" xfId="185" builtinId="35" customBuiltin="1"/>
    <cellStyle name="40% - Accent3" xfId="189" builtinId="39" customBuiltin="1"/>
    <cellStyle name="40% - Accent4" xfId="193" builtinId="43" customBuiltin="1"/>
    <cellStyle name="40% - Accent5" xfId="197" builtinId="47" customBuiltin="1"/>
    <cellStyle name="40% - Accent6" xfId="201" builtinId="51" customBuiltin="1"/>
    <cellStyle name="60% - Accent1" xfId="182" builtinId="32" customBuiltin="1"/>
    <cellStyle name="60% - Accent2" xfId="186" builtinId="36" customBuiltin="1"/>
    <cellStyle name="60% - Accent3" xfId="190" builtinId="40" customBuiltin="1"/>
    <cellStyle name="60% - Accent4" xfId="194" builtinId="44" customBuiltin="1"/>
    <cellStyle name="60% - Accent5" xfId="198" builtinId="48" customBuiltin="1"/>
    <cellStyle name="60% - Accent6" xfId="202" builtinId="52" customBuiltin="1"/>
    <cellStyle name="Accent1" xfId="179" builtinId="29" customBuiltin="1"/>
    <cellStyle name="Accent2" xfId="183" builtinId="33" customBuiltin="1"/>
    <cellStyle name="Accent3" xfId="187" builtinId="37" customBuiltin="1"/>
    <cellStyle name="Accent4" xfId="191" builtinId="41" customBuiltin="1"/>
    <cellStyle name="Accent5" xfId="195" builtinId="45" customBuiltin="1"/>
    <cellStyle name="Accent6" xfId="199" builtinId="49" customBuiltin="1"/>
    <cellStyle name="AeE­ [0]_INQUIRY ¿μ¾÷AßAø " xfId="21" xr:uid="{00000000-0005-0000-0000-000025000000}"/>
    <cellStyle name="ÅëÈ­ [0]_S" xfId="22" xr:uid="{00000000-0005-0000-0000-000026000000}"/>
    <cellStyle name="AeE­_INQUIRY ¿μ¾÷AßAø " xfId="23" xr:uid="{00000000-0005-0000-0000-000027000000}"/>
    <cellStyle name="ÅëÈ­_S" xfId="24" xr:uid="{00000000-0005-0000-0000-000028000000}"/>
    <cellStyle name="AÞ¸¶ [0]_INQUIRY ¿?¾÷AßAø " xfId="25" xr:uid="{00000000-0005-0000-0000-000029000000}"/>
    <cellStyle name="ÄÞ¸¶ [0]_S" xfId="26" xr:uid="{00000000-0005-0000-0000-00002A000000}"/>
    <cellStyle name="AÞ¸¶_INQUIRY ¿?¾÷AßAø " xfId="27" xr:uid="{00000000-0005-0000-0000-00002B000000}"/>
    <cellStyle name="ÄÞ¸¶_S" xfId="28" xr:uid="{00000000-0005-0000-0000-00002C000000}"/>
    <cellStyle name="Bad" xfId="169" builtinId="27" customBuiltin="1"/>
    <cellStyle name="C?AØ_¿?¾÷CoE² " xfId="29" xr:uid="{00000000-0005-0000-0000-00002E000000}"/>
    <cellStyle name="C￥AØ_¿μ¾÷CoE² " xfId="30" xr:uid="{00000000-0005-0000-0000-00002F000000}"/>
    <cellStyle name="Ç¥ÁØ_S" xfId="31" xr:uid="{00000000-0005-0000-0000-000030000000}"/>
    <cellStyle name="C￥AØ_Sheet1_¿μ¾÷CoE² " xfId="32" xr:uid="{00000000-0005-0000-0000-000031000000}"/>
    <cellStyle name="Calc Currency (0)" xfId="33" xr:uid="{00000000-0005-0000-0000-000032000000}"/>
    <cellStyle name="Calc Currency (0) 2" xfId="34" xr:uid="{00000000-0005-0000-0000-000033000000}"/>
    <cellStyle name="Calc Currency (0) 3" xfId="35" xr:uid="{00000000-0005-0000-0000-000034000000}"/>
    <cellStyle name="Calculation" xfId="173" builtinId="22" customBuiltin="1"/>
    <cellStyle name="Check Cell" xfId="175" builtinId="23" customBuiltin="1"/>
    <cellStyle name="Comma" xfId="1" builtinId="3"/>
    <cellStyle name="Comma 2" xfId="37" xr:uid="{00000000-0005-0000-0000-000037000000}"/>
    <cellStyle name="Comma 2 2" xfId="38" xr:uid="{00000000-0005-0000-0000-000038000000}"/>
    <cellStyle name="Comma 2 2 2" xfId="39" xr:uid="{00000000-0005-0000-0000-000039000000}"/>
    <cellStyle name="Comma 2 2 3" xfId="4" xr:uid="{00000000-0005-0000-0000-00003A000000}"/>
    <cellStyle name="Comma 2 2 3 2" xfId="40" xr:uid="{00000000-0005-0000-0000-00003B000000}"/>
    <cellStyle name="Comma 2 2 4" xfId="41" xr:uid="{00000000-0005-0000-0000-00003C000000}"/>
    <cellStyle name="Comma 2 3" xfId="42" xr:uid="{00000000-0005-0000-0000-00003D000000}"/>
    <cellStyle name="Comma 2 4" xfId="43" xr:uid="{00000000-0005-0000-0000-00003E000000}"/>
    <cellStyle name="Comma 2 5" xfId="44" xr:uid="{00000000-0005-0000-0000-00003F000000}"/>
    <cellStyle name="Comma 3" xfId="45" xr:uid="{00000000-0005-0000-0000-000040000000}"/>
    <cellStyle name="Comma 3 2" xfId="46" xr:uid="{00000000-0005-0000-0000-000041000000}"/>
    <cellStyle name="Comma 3 3" xfId="47" xr:uid="{00000000-0005-0000-0000-000042000000}"/>
    <cellStyle name="Comma 3 4" xfId="48" xr:uid="{00000000-0005-0000-0000-000043000000}"/>
    <cellStyle name="Comma 4" xfId="5" xr:uid="{00000000-0005-0000-0000-000044000000}"/>
    <cellStyle name="Comma 4 2" xfId="49" xr:uid="{00000000-0005-0000-0000-000045000000}"/>
    <cellStyle name="Comma 5" xfId="36" xr:uid="{00000000-0005-0000-0000-000046000000}"/>
    <cellStyle name="Comma 6" xfId="204" xr:uid="{00000000-0005-0000-0000-000047000000}"/>
    <cellStyle name="Comma0" xfId="50" xr:uid="{00000000-0005-0000-0000-000048000000}"/>
    <cellStyle name="Currency0" xfId="51" xr:uid="{00000000-0005-0000-0000-000049000000}"/>
    <cellStyle name="Date" xfId="52" xr:uid="{00000000-0005-0000-0000-00004B000000}"/>
    <cellStyle name="Explanatory Text" xfId="177" builtinId="53" customBuiltin="1"/>
    <cellStyle name="Fixed" xfId="53" xr:uid="{00000000-0005-0000-0000-00004D000000}"/>
    <cellStyle name="Good" xfId="168" builtinId="26" customBuiltin="1"/>
    <cellStyle name="Header1" xfId="54" xr:uid="{00000000-0005-0000-0000-00004F000000}"/>
    <cellStyle name="Header2" xfId="55" xr:uid="{00000000-0005-0000-0000-000050000000}"/>
    <cellStyle name="Heading 1" xfId="164" builtinId="16" customBuiltin="1"/>
    <cellStyle name="Heading 1 2" xfId="56" xr:uid="{00000000-0005-0000-0000-000052000000}"/>
    <cellStyle name="Heading 1 3" xfId="57" xr:uid="{00000000-0005-0000-0000-000053000000}"/>
    <cellStyle name="Heading 1 4" xfId="58" xr:uid="{00000000-0005-0000-0000-000054000000}"/>
    <cellStyle name="Heading 1 5" xfId="59" xr:uid="{00000000-0005-0000-0000-000055000000}"/>
    <cellStyle name="Heading 1 6" xfId="60" xr:uid="{00000000-0005-0000-0000-000056000000}"/>
    <cellStyle name="Heading 1 7" xfId="61" xr:uid="{00000000-0005-0000-0000-000057000000}"/>
    <cellStyle name="Heading 1 8" xfId="62" xr:uid="{00000000-0005-0000-0000-000058000000}"/>
    <cellStyle name="Heading 1 9" xfId="63" xr:uid="{00000000-0005-0000-0000-000059000000}"/>
    <cellStyle name="Heading 2" xfId="165" builtinId="17" customBuiltin="1"/>
    <cellStyle name="Heading 2 2" xfId="64" xr:uid="{00000000-0005-0000-0000-00005B000000}"/>
    <cellStyle name="Heading 2 3" xfId="65" xr:uid="{00000000-0005-0000-0000-00005C000000}"/>
    <cellStyle name="Heading 2 4" xfId="66" xr:uid="{00000000-0005-0000-0000-00005D000000}"/>
    <cellStyle name="Heading 2 5" xfId="67" xr:uid="{00000000-0005-0000-0000-00005E000000}"/>
    <cellStyle name="Heading 2 6" xfId="68" xr:uid="{00000000-0005-0000-0000-00005F000000}"/>
    <cellStyle name="Heading 2 7" xfId="69" xr:uid="{00000000-0005-0000-0000-000060000000}"/>
    <cellStyle name="Heading 2 8" xfId="70" xr:uid="{00000000-0005-0000-0000-000061000000}"/>
    <cellStyle name="Heading 2 9" xfId="71" xr:uid="{00000000-0005-0000-0000-000062000000}"/>
    <cellStyle name="Heading 3" xfId="166" builtinId="18" customBuiltin="1"/>
    <cellStyle name="Heading 4" xfId="167" builtinId="19" customBuiltin="1"/>
    <cellStyle name="Input" xfId="171" builtinId="20" customBuiltin="1"/>
    <cellStyle name="Ledger 17 x 11 in" xfId="72" xr:uid="{00000000-0005-0000-0000-000066000000}"/>
    <cellStyle name="Linked Cell" xfId="174" builtinId="24" customBuiltin="1"/>
    <cellStyle name="moi" xfId="73" xr:uid="{00000000-0005-0000-0000-000068000000}"/>
    <cellStyle name="moi 2" xfId="74" xr:uid="{00000000-0005-0000-0000-000069000000}"/>
    <cellStyle name="moi 3" xfId="75" xr:uid="{00000000-0005-0000-0000-00006A000000}"/>
    <cellStyle name="n" xfId="76" xr:uid="{00000000-0005-0000-0000-00006B000000}"/>
    <cellStyle name="Neutral" xfId="170" builtinId="28" customBuiltin="1"/>
    <cellStyle name="Normal" xfId="0" builtinId="0"/>
    <cellStyle name="Normal - Style1" xfId="77" xr:uid="{00000000-0005-0000-0000-00006E000000}"/>
    <cellStyle name="Normal 10" xfId="6" xr:uid="{00000000-0005-0000-0000-00006F000000}"/>
    <cellStyle name="Normal 11" xfId="78" xr:uid="{00000000-0005-0000-0000-000070000000}"/>
    <cellStyle name="Normal 12" xfId="79" xr:uid="{00000000-0005-0000-0000-000071000000}"/>
    <cellStyle name="Normal 13" xfId="80" xr:uid="{00000000-0005-0000-0000-000072000000}"/>
    <cellStyle name="Normal 14" xfId="81" xr:uid="{00000000-0005-0000-0000-000073000000}"/>
    <cellStyle name="Normal 15" xfId="82" xr:uid="{00000000-0005-0000-0000-000074000000}"/>
    <cellStyle name="Normal 16" xfId="83" xr:uid="{00000000-0005-0000-0000-000075000000}"/>
    <cellStyle name="Normal 17" xfId="84" xr:uid="{00000000-0005-0000-0000-000076000000}"/>
    <cellStyle name="Normal 18" xfId="85" xr:uid="{00000000-0005-0000-0000-000077000000}"/>
    <cellStyle name="Normal 19" xfId="86" xr:uid="{00000000-0005-0000-0000-000078000000}"/>
    <cellStyle name="Normal 2" xfId="87" xr:uid="{00000000-0005-0000-0000-000079000000}"/>
    <cellStyle name="Normal 2 2" xfId="88" xr:uid="{00000000-0005-0000-0000-00007A000000}"/>
    <cellStyle name="Normal 2 2 2" xfId="89" xr:uid="{00000000-0005-0000-0000-00007B000000}"/>
    <cellStyle name="Normal 2 2 3" xfId="90" xr:uid="{00000000-0005-0000-0000-00007C000000}"/>
    <cellStyle name="Normal 2 2 4" xfId="91" xr:uid="{00000000-0005-0000-0000-00007D000000}"/>
    <cellStyle name="Normal 2 3" xfId="92" xr:uid="{00000000-0005-0000-0000-00007E000000}"/>
    <cellStyle name="Normal 2 4" xfId="93" xr:uid="{00000000-0005-0000-0000-00007F000000}"/>
    <cellStyle name="Normal 2 5" xfId="94" xr:uid="{00000000-0005-0000-0000-000080000000}"/>
    <cellStyle name="Normal 2 6" xfId="95" xr:uid="{00000000-0005-0000-0000-000081000000}"/>
    <cellStyle name="Normal 2 7" xfId="96" xr:uid="{00000000-0005-0000-0000-000082000000}"/>
    <cellStyle name="Normal 20" xfId="97" xr:uid="{00000000-0005-0000-0000-000083000000}"/>
    <cellStyle name="Normal 21" xfId="98" xr:uid="{00000000-0005-0000-0000-000084000000}"/>
    <cellStyle name="Normal 22" xfId="99" xr:uid="{00000000-0005-0000-0000-000085000000}"/>
    <cellStyle name="Normal 23" xfId="100" xr:uid="{00000000-0005-0000-0000-000086000000}"/>
    <cellStyle name="Normal 24" xfId="7" xr:uid="{00000000-0005-0000-0000-000087000000}"/>
    <cellStyle name="Normal 25" xfId="126" xr:uid="{00000000-0005-0000-0000-000088000000}"/>
    <cellStyle name="Normal 26" xfId="162" xr:uid="{00000000-0005-0000-0000-000089000000}"/>
    <cellStyle name="Normal 27" xfId="161" xr:uid="{00000000-0005-0000-0000-00008A000000}"/>
    <cellStyle name="Normal 28" xfId="203" xr:uid="{00000000-0005-0000-0000-00008B000000}"/>
    <cellStyle name="Normal 29" xfId="206" xr:uid="{00000000-0005-0000-0000-00008C000000}"/>
    <cellStyle name="Normal 3" xfId="101" xr:uid="{00000000-0005-0000-0000-00008D000000}"/>
    <cellStyle name="Normal 3 2" xfId="102" xr:uid="{00000000-0005-0000-0000-00008E000000}"/>
    <cellStyle name="Normal 3 3" xfId="103" xr:uid="{00000000-0005-0000-0000-00008F000000}"/>
    <cellStyle name="Normal 3 4" xfId="104" xr:uid="{00000000-0005-0000-0000-000090000000}"/>
    <cellStyle name="Normal 3 5" xfId="105" xr:uid="{00000000-0005-0000-0000-000091000000}"/>
    <cellStyle name="Normal 3_Book1" xfId="106" xr:uid="{00000000-0005-0000-0000-000092000000}"/>
    <cellStyle name="Normal 30" xfId="205" xr:uid="{00000000-0005-0000-0000-000093000000}"/>
    <cellStyle name="Normal 4" xfId="107" xr:uid="{00000000-0005-0000-0000-000094000000}"/>
    <cellStyle name="Normal 4 2" xfId="108" xr:uid="{00000000-0005-0000-0000-000095000000}"/>
    <cellStyle name="Normal 4 3" xfId="109" xr:uid="{00000000-0005-0000-0000-000096000000}"/>
    <cellStyle name="Normal 4 4" xfId="110" xr:uid="{00000000-0005-0000-0000-000097000000}"/>
    <cellStyle name="Normal 4 5" xfId="111" xr:uid="{00000000-0005-0000-0000-000098000000}"/>
    <cellStyle name="Normal 5" xfId="112" xr:uid="{00000000-0005-0000-0000-000099000000}"/>
    <cellStyle name="Normal 5 2" xfId="113" xr:uid="{00000000-0005-0000-0000-00009A000000}"/>
    <cellStyle name="Normal 5 3" xfId="114" xr:uid="{00000000-0005-0000-0000-00009B000000}"/>
    <cellStyle name="Normal 5 4" xfId="115" xr:uid="{00000000-0005-0000-0000-00009C000000}"/>
    <cellStyle name="Normal 5 5" xfId="116" xr:uid="{00000000-0005-0000-0000-00009D000000}"/>
    <cellStyle name="Normal 6" xfId="117" xr:uid="{00000000-0005-0000-0000-00009E000000}"/>
    <cellStyle name="Normal 7" xfId="118" xr:uid="{00000000-0005-0000-0000-00009F000000}"/>
    <cellStyle name="Normal 8" xfId="119" xr:uid="{00000000-0005-0000-0000-0000A0000000}"/>
    <cellStyle name="Normal 9" xfId="120" xr:uid="{00000000-0005-0000-0000-0000A1000000}"/>
    <cellStyle name="Normal1" xfId="121" xr:uid="{00000000-0005-0000-0000-0000A2000000}"/>
    <cellStyle name="Normal1 2" xfId="122" xr:uid="{00000000-0005-0000-0000-0000A3000000}"/>
    <cellStyle name="Normal1 3" xfId="123" xr:uid="{00000000-0005-0000-0000-0000A4000000}"/>
    <cellStyle name="Note 2" xfId="207" xr:uid="{00000000-0005-0000-0000-0000A5000000}"/>
    <cellStyle name="Output" xfId="172" builtinId="21" customBuiltin="1"/>
    <cellStyle name="Percent" xfId="2" builtinId="5"/>
    <cellStyle name="Percent 2" xfId="125" xr:uid="{00000000-0005-0000-0000-0000A8000000}"/>
    <cellStyle name="Percent 2 2" xfId="3" xr:uid="{00000000-0005-0000-0000-0000A9000000}"/>
    <cellStyle name="Percent 3" xfId="127" xr:uid="{00000000-0005-0000-0000-0000AA000000}"/>
    <cellStyle name="Percent 4" xfId="128" xr:uid="{00000000-0005-0000-0000-0000AB000000}"/>
    <cellStyle name="Percent 5" xfId="129" xr:uid="{00000000-0005-0000-0000-0000AC000000}"/>
    <cellStyle name="Percent 6" xfId="130" xr:uid="{00000000-0005-0000-0000-0000AD000000}"/>
    <cellStyle name="Percent 7" xfId="124" xr:uid="{00000000-0005-0000-0000-0000AE000000}"/>
    <cellStyle name="Style 1" xfId="131" xr:uid="{00000000-0005-0000-0000-0000AF000000}"/>
    <cellStyle name="Title" xfId="163" builtinId="15" customBuiltin="1"/>
    <cellStyle name="Total" xfId="178" builtinId="25" customBuiltin="1"/>
    <cellStyle name="Total 2" xfId="132" xr:uid="{00000000-0005-0000-0000-0000B2000000}"/>
    <cellStyle name="Total 3" xfId="133" xr:uid="{00000000-0005-0000-0000-0000B3000000}"/>
    <cellStyle name="Total 4" xfId="134" xr:uid="{00000000-0005-0000-0000-0000B4000000}"/>
    <cellStyle name="Total 5" xfId="135" xr:uid="{00000000-0005-0000-0000-0000B5000000}"/>
    <cellStyle name="Total 6" xfId="136" xr:uid="{00000000-0005-0000-0000-0000B6000000}"/>
    <cellStyle name="Total 7" xfId="137" xr:uid="{00000000-0005-0000-0000-0000B7000000}"/>
    <cellStyle name="Total 8" xfId="138" xr:uid="{00000000-0005-0000-0000-0000B8000000}"/>
    <cellStyle name="Total 9" xfId="139" xr:uid="{00000000-0005-0000-0000-0000B9000000}"/>
    <cellStyle name="Warning Text" xfId="176" builtinId="11" customBuiltin="1"/>
    <cellStyle name="xuan" xfId="140" xr:uid="{00000000-0005-0000-0000-0000BB000000}"/>
    <cellStyle name=" [0.00]_ Att. 1- Cover" xfId="141" xr:uid="{00000000-0005-0000-0000-0000BC000000}"/>
    <cellStyle name="_ Att. 1- Cover" xfId="142" xr:uid="{00000000-0005-0000-0000-0000BD000000}"/>
    <cellStyle name="?_ Att. 1- Cover" xfId="143" xr:uid="{00000000-0005-0000-0000-0000BE000000}"/>
    <cellStyle name="똿뗦먛귟 [0.00]_PRODUCT DETAIL Q1" xfId="144" xr:uid="{00000000-0005-0000-0000-0000BF000000}"/>
    <cellStyle name="똿뗦먛귟_PRODUCT DETAIL Q1" xfId="145" xr:uid="{00000000-0005-0000-0000-0000C0000000}"/>
    <cellStyle name="믅됞 [0.00]_PRODUCT DETAIL Q1" xfId="146" xr:uid="{00000000-0005-0000-0000-0000C1000000}"/>
    <cellStyle name="믅됞_PRODUCT DETAIL Q1" xfId="147" xr:uid="{00000000-0005-0000-0000-0000C2000000}"/>
    <cellStyle name="백분율_95" xfId="148" xr:uid="{00000000-0005-0000-0000-0000C3000000}"/>
    <cellStyle name="뷭?_BOOKSHIP" xfId="149" xr:uid="{00000000-0005-0000-0000-0000C4000000}"/>
    <cellStyle name="콤마 [0]_1202" xfId="150" xr:uid="{00000000-0005-0000-0000-0000C5000000}"/>
    <cellStyle name="콤마_1202" xfId="151" xr:uid="{00000000-0005-0000-0000-0000C6000000}"/>
    <cellStyle name="통화 [0]_1202" xfId="152" xr:uid="{00000000-0005-0000-0000-0000C7000000}"/>
    <cellStyle name="통화_1202" xfId="153" xr:uid="{00000000-0005-0000-0000-0000C8000000}"/>
    <cellStyle name="표준_(정보부문)월별인원계획" xfId="154" xr:uid="{00000000-0005-0000-0000-0000C9000000}"/>
    <cellStyle name="一般_00Q3902REV.1" xfId="155" xr:uid="{00000000-0005-0000-0000-0000CA000000}"/>
    <cellStyle name="千分位[0]_00Q3902REV.1" xfId="156" xr:uid="{00000000-0005-0000-0000-0000CB000000}"/>
    <cellStyle name="千分位_00Q3902REV.1" xfId="157" xr:uid="{00000000-0005-0000-0000-0000CC000000}"/>
    <cellStyle name="貨幣 [0]_00Q3902REV.1" xfId="158" xr:uid="{00000000-0005-0000-0000-0000CD000000}"/>
    <cellStyle name="貨幣[0]_BRE" xfId="159" xr:uid="{00000000-0005-0000-0000-0000CE000000}"/>
    <cellStyle name="貨幣_00Q3902REV.1" xfId="160" xr:uid="{00000000-0005-0000-0000-0000CF000000}"/>
  </cellStyles>
  <dxfs count="23">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000099"/>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Z:\Data%20FDI\Nam%202023\Data%2010.2023.xlsx" TargetMode="External"/><Relationship Id="rId1" Type="http://schemas.openxmlformats.org/officeDocument/2006/relationships/externalLinkPath" Target="Data%2010.2023.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Z:\Data%20FDI\Nam%202023\FDI%209.2023.xlsx" TargetMode="External"/><Relationship Id="rId1" Type="http://schemas.openxmlformats.org/officeDocument/2006/relationships/externalLinkPath" Target="FDI%209.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hang 10"/>
      <sheetName val="Thang 10 2023"/>
      <sheetName val="vẽ biểu đồ"/>
      <sheetName val="Luy ke T10 2023"/>
      <sheetName val="Sheet4"/>
      <sheetName val="DM moi 10 2023"/>
      <sheetName val="Sheet6"/>
      <sheetName val="DM TV 10 2023"/>
      <sheetName val="Sheet8"/>
      <sheetName val="GVMCP 10 2023"/>
    </sheetNames>
    <sheetDataSet>
      <sheetData sheetId="0"/>
      <sheetData sheetId="1"/>
      <sheetData sheetId="2"/>
      <sheetData sheetId="3">
        <row r="9">
          <cell r="B9" t="str">
            <v>Công nghiệp chế biến, chế tạo</v>
          </cell>
          <cell r="C9">
            <v>16676</v>
          </cell>
          <cell r="D9">
            <v>278597.28926474001</v>
          </cell>
        </row>
        <row r="10">
          <cell r="B10" t="str">
            <v>Hoạt động kinh doanh bất động sản</v>
          </cell>
          <cell r="C10">
            <v>1117</v>
          </cell>
          <cell r="D10">
            <v>67436.310968379999</v>
          </cell>
        </row>
        <row r="11">
          <cell r="B11" t="str">
            <v>Sản xuất, phân phối điện, khí, nước, điều hòa</v>
          </cell>
          <cell r="C11">
            <v>194</v>
          </cell>
          <cell r="D11">
            <v>38392.054138109997</v>
          </cell>
        </row>
        <row r="12">
          <cell r="B12" t="str">
            <v>Dịch vụ lưu trú và ăn uống</v>
          </cell>
          <cell r="C12">
            <v>979</v>
          </cell>
          <cell r="D12">
            <v>12848.01657908</v>
          </cell>
        </row>
        <row r="13">
          <cell r="B13" t="str">
            <v>Xây dựng</v>
          </cell>
          <cell r="C13">
            <v>1814</v>
          </cell>
          <cell r="D13">
            <v>11005.460927919998</v>
          </cell>
        </row>
        <row r="14">
          <cell r="B14" t="str">
            <v>Bán buôn và bán lẻ; sửa chữa ô tô, mô tô, xe máy</v>
          </cell>
          <cell r="C14">
            <v>6839</v>
          </cell>
          <cell r="D14">
            <v>10877.472093650002</v>
          </cell>
        </row>
        <row r="15">
          <cell r="B15" t="str">
            <v>Vận tải kho bãi</v>
          </cell>
          <cell r="C15">
            <v>1083</v>
          </cell>
          <cell r="D15">
            <v>6081.3433496499993</v>
          </cell>
        </row>
        <row r="16">
          <cell r="B16" t="str">
            <v>Hoạt động chuyên môn, khoa học công nghệ</v>
          </cell>
          <cell r="C16">
            <v>4445</v>
          </cell>
          <cell r="D16">
            <v>5403.5858590099997</v>
          </cell>
        </row>
        <row r="17">
          <cell r="B17" t="str">
            <v>Thông tin và truyền thông</v>
          </cell>
          <cell r="C17">
            <v>2902</v>
          </cell>
          <cell r="D17">
            <v>5102.9547700399999</v>
          </cell>
        </row>
        <row r="18">
          <cell r="B18" t="str">
            <v>Khai khoáng</v>
          </cell>
          <cell r="C18">
            <v>109</v>
          </cell>
          <cell r="D18">
            <v>4994.5726729999997</v>
          </cell>
        </row>
        <row r="19">
          <cell r="B19" t="str">
            <v>Giáo dục và đào tạo</v>
          </cell>
          <cell r="C19">
            <v>681</v>
          </cell>
          <cell r="D19">
            <v>4602.8095990100001</v>
          </cell>
        </row>
        <row r="20">
          <cell r="B20" t="str">
            <v>Nông nghiêp, lâm nghiệp và thủy sản</v>
          </cell>
          <cell r="C20">
            <v>535</v>
          </cell>
          <cell r="D20">
            <v>3883.9603681900003</v>
          </cell>
        </row>
        <row r="21">
          <cell r="B21" t="str">
            <v>Nghệ thuật, vui chơi và giải trí</v>
          </cell>
          <cell r="C21">
            <v>144</v>
          </cell>
          <cell r="D21">
            <v>3165.9888256700001</v>
          </cell>
        </row>
        <row r="22">
          <cell r="B22" t="str">
            <v>Cấp nước và xử lý chất thải</v>
          </cell>
          <cell r="C22">
            <v>86</v>
          </cell>
          <cell r="D22">
            <v>3158.2156260000002</v>
          </cell>
        </row>
        <row r="23">
          <cell r="B23" t="str">
            <v>Y tế và hoạt động trợ giúp xã hội</v>
          </cell>
          <cell r="C23">
            <v>156</v>
          </cell>
          <cell r="D23">
            <v>1758.4304807400001</v>
          </cell>
        </row>
        <row r="24">
          <cell r="B24" t="str">
            <v>Hoạt động hành chính và dịch vụ hỗ trợ</v>
          </cell>
          <cell r="C24">
            <v>609</v>
          </cell>
          <cell r="D24">
            <v>1057.7985421600001</v>
          </cell>
        </row>
        <row r="25">
          <cell r="B25" t="str">
            <v>Hoạt động tài chính, ngân hàng và bảo hiểm</v>
          </cell>
          <cell r="C25">
            <v>94</v>
          </cell>
          <cell r="D25">
            <v>927.22770600000001</v>
          </cell>
        </row>
        <row r="26">
          <cell r="B26" t="str">
            <v>Hoạt động dịch vụ khác</v>
          </cell>
          <cell r="C26">
            <v>152</v>
          </cell>
          <cell r="D26">
            <v>766.48437200000001</v>
          </cell>
        </row>
        <row r="27">
          <cell r="B27" t="str">
            <v>Hoạt đông làm thuê các công việc trong các hộ gia đình</v>
          </cell>
          <cell r="C27">
            <v>7</v>
          </cell>
          <cell r="D27">
            <v>11.071044000000001</v>
          </cell>
        </row>
        <row r="38">
          <cell r="B38" t="str">
            <v>Hàn Quốc</v>
          </cell>
          <cell r="C38">
            <v>9795</v>
          </cell>
          <cell r="D38">
            <v>84105.822760480019</v>
          </cell>
        </row>
        <row r="39">
          <cell r="B39" t="str">
            <v>Singapore</v>
          </cell>
          <cell r="C39">
            <v>3412</v>
          </cell>
          <cell r="D39">
            <v>73408.574452669985</v>
          </cell>
        </row>
        <row r="40">
          <cell r="B40" t="str">
            <v>Nhật Bản</v>
          </cell>
          <cell r="C40">
            <v>5227</v>
          </cell>
          <cell r="D40">
            <v>71414.406628650002</v>
          </cell>
        </row>
        <row r="41">
          <cell r="B41" t="str">
            <v>Đài Loan</v>
          </cell>
          <cell r="C41">
            <v>3071</v>
          </cell>
          <cell r="D41">
            <v>38958.151071629996</v>
          </cell>
        </row>
        <row r="42">
          <cell r="B42" t="str">
            <v>Hồng Kông</v>
          </cell>
          <cell r="C42">
            <v>2400</v>
          </cell>
          <cell r="D42">
            <v>32929.687432449995</v>
          </cell>
        </row>
        <row r="43">
          <cell r="B43" t="str">
            <v>Trung Quốc</v>
          </cell>
          <cell r="C43">
            <v>4105</v>
          </cell>
          <cell r="D43">
            <v>26502.157231690006</v>
          </cell>
        </row>
        <row r="44">
          <cell r="B44" t="str">
            <v>BritishVirginIslands</v>
          </cell>
          <cell r="C44">
            <v>908</v>
          </cell>
          <cell r="D44">
            <v>22702.710715360001</v>
          </cell>
        </row>
        <row r="45">
          <cell r="B45" t="str">
            <v>Hà Lan</v>
          </cell>
          <cell r="C45">
            <v>432</v>
          </cell>
          <cell r="D45">
            <v>14300.18338568</v>
          </cell>
        </row>
        <row r="46">
          <cell r="B46" t="str">
            <v>Thái Lan</v>
          </cell>
          <cell r="C46">
            <v>726</v>
          </cell>
          <cell r="D46">
            <v>13842.952141739994</v>
          </cell>
        </row>
        <row r="47">
          <cell r="B47" t="str">
            <v>Malaysia</v>
          </cell>
          <cell r="C47">
            <v>729</v>
          </cell>
          <cell r="D47">
            <v>13096.183188590001</v>
          </cell>
        </row>
        <row r="48">
          <cell r="B48" t="str">
            <v>Hoa Kỳ</v>
          </cell>
          <cell r="C48">
            <v>1306</v>
          </cell>
          <cell r="D48">
            <v>11813.798642510001</v>
          </cell>
        </row>
        <row r="49">
          <cell r="B49" t="str">
            <v>Samoa</v>
          </cell>
          <cell r="C49">
            <v>458</v>
          </cell>
          <cell r="D49">
            <v>9853.28015676</v>
          </cell>
        </row>
        <row r="50">
          <cell r="B50" t="str">
            <v>Cayman Islands</v>
          </cell>
          <cell r="C50">
            <v>133</v>
          </cell>
          <cell r="D50">
            <v>6807.8469130000003</v>
          </cell>
        </row>
        <row r="51">
          <cell r="B51" t="str">
            <v>Canada</v>
          </cell>
          <cell r="C51">
            <v>258</v>
          </cell>
          <cell r="D51">
            <v>4810.03235537</v>
          </cell>
        </row>
        <row r="52">
          <cell r="B52" t="str">
            <v>Vương quốc Anh</v>
          </cell>
          <cell r="C52">
            <v>550</v>
          </cell>
          <cell r="D52">
            <v>4283.03500687</v>
          </cell>
        </row>
        <row r="53">
          <cell r="B53" t="str">
            <v>Pháp</v>
          </cell>
          <cell r="C53">
            <v>676</v>
          </cell>
          <cell r="D53">
            <v>3811.3437081100001</v>
          </cell>
        </row>
        <row r="54">
          <cell r="B54" t="str">
            <v>Luxembourg</v>
          </cell>
          <cell r="C54">
            <v>61</v>
          </cell>
          <cell r="D54">
            <v>2624.3413869999999</v>
          </cell>
        </row>
        <row r="55">
          <cell r="B55" t="str">
            <v>CHLB Đức</v>
          </cell>
          <cell r="C55">
            <v>459</v>
          </cell>
          <cell r="D55">
            <v>2543.81465002</v>
          </cell>
        </row>
        <row r="56">
          <cell r="B56" t="str">
            <v>Seychelles</v>
          </cell>
          <cell r="C56">
            <v>304</v>
          </cell>
          <cell r="D56">
            <v>2165.4105623200003</v>
          </cell>
        </row>
        <row r="57">
          <cell r="B57" t="str">
            <v>Australia</v>
          </cell>
          <cell r="C57">
            <v>616</v>
          </cell>
          <cell r="D57">
            <v>2022.3696360199999</v>
          </cell>
        </row>
        <row r="58">
          <cell r="B58" t="str">
            <v>Đan Mạch</v>
          </cell>
          <cell r="C58">
            <v>166</v>
          </cell>
          <cell r="D58">
            <v>1979.313979</v>
          </cell>
        </row>
        <row r="59">
          <cell r="B59" t="str">
            <v>Thụy Sỹ</v>
          </cell>
          <cell r="C59">
            <v>210</v>
          </cell>
          <cell r="D59">
            <v>1913.05640578</v>
          </cell>
        </row>
        <row r="60">
          <cell r="B60" t="str">
            <v>Bỉ</v>
          </cell>
          <cell r="C60">
            <v>94</v>
          </cell>
          <cell r="D60">
            <v>1099.4050772999999</v>
          </cell>
        </row>
        <row r="61">
          <cell r="B61" t="str">
            <v>Ấn Độ</v>
          </cell>
          <cell r="C61">
            <v>384</v>
          </cell>
          <cell r="D61">
            <v>1070.4276053800002</v>
          </cell>
        </row>
        <row r="62">
          <cell r="B62" t="str">
            <v>British West Indies</v>
          </cell>
          <cell r="C62">
            <v>21</v>
          </cell>
          <cell r="D62">
            <v>987.65800000000002</v>
          </cell>
        </row>
        <row r="63">
          <cell r="B63" t="str">
            <v>Thổ Nhĩ Kỳ</v>
          </cell>
          <cell r="C63">
            <v>36</v>
          </cell>
          <cell r="D63">
            <v>974.29347249</v>
          </cell>
        </row>
        <row r="64">
          <cell r="B64" t="str">
            <v>Liên bang Nga</v>
          </cell>
          <cell r="C64">
            <v>186</v>
          </cell>
          <cell r="D64">
            <v>971.91842886999996</v>
          </cell>
        </row>
        <row r="65">
          <cell r="B65" t="str">
            <v>Brunei Darussalam</v>
          </cell>
          <cell r="C65">
            <v>156</v>
          </cell>
          <cell r="D65">
            <v>964.81889799999999</v>
          </cell>
        </row>
        <row r="66">
          <cell r="B66" t="str">
            <v>Thụy Điển</v>
          </cell>
          <cell r="C66">
            <v>107</v>
          </cell>
          <cell r="D66">
            <v>722.15524400000004</v>
          </cell>
        </row>
        <row r="67">
          <cell r="B67" t="str">
            <v>Indonesia</v>
          </cell>
          <cell r="C67">
            <v>119</v>
          </cell>
          <cell r="D67">
            <v>651.26396485999999</v>
          </cell>
        </row>
        <row r="68">
          <cell r="B68" t="str">
            <v>Philippines</v>
          </cell>
          <cell r="C68">
            <v>94</v>
          </cell>
          <cell r="D68">
            <v>608.19639280999991</v>
          </cell>
        </row>
        <row r="69">
          <cell r="B69" t="str">
            <v>Bermuda</v>
          </cell>
          <cell r="C69">
            <v>13</v>
          </cell>
          <cell r="D69">
            <v>587.43466699999999</v>
          </cell>
        </row>
        <row r="70">
          <cell r="B70" t="str">
            <v>Italia</v>
          </cell>
          <cell r="C70">
            <v>147</v>
          </cell>
          <cell r="D70">
            <v>519.10205563</v>
          </cell>
        </row>
        <row r="71">
          <cell r="B71" t="str">
            <v>Cộng Hòa Síp</v>
          </cell>
          <cell r="C71">
            <v>26</v>
          </cell>
          <cell r="D71">
            <v>469.54490700000002</v>
          </cell>
        </row>
        <row r="72">
          <cell r="B72" t="str">
            <v>Mauritius</v>
          </cell>
          <cell r="C72">
            <v>65</v>
          </cell>
          <cell r="D72">
            <v>439.34775300000001</v>
          </cell>
        </row>
        <row r="73">
          <cell r="B73" t="str">
            <v>Ba Lan</v>
          </cell>
          <cell r="C73">
            <v>32</v>
          </cell>
          <cell r="D73">
            <v>422.99829799999998</v>
          </cell>
        </row>
        <row r="74">
          <cell r="B74" t="str">
            <v>Marshall Islands</v>
          </cell>
          <cell r="C74">
            <v>23</v>
          </cell>
          <cell r="D74">
            <v>340.35158899999999</v>
          </cell>
        </row>
        <row r="75">
          <cell r="B75" t="str">
            <v>Belize</v>
          </cell>
          <cell r="C75">
            <v>34</v>
          </cell>
          <cell r="D75">
            <v>302.69260300000002</v>
          </cell>
        </row>
        <row r="76">
          <cell r="B76" t="str">
            <v>New Zealand</v>
          </cell>
          <cell r="C76">
            <v>51</v>
          </cell>
          <cell r="D76">
            <v>208.32735</v>
          </cell>
        </row>
        <row r="77">
          <cell r="B77" t="str">
            <v>Nauy</v>
          </cell>
          <cell r="C77">
            <v>56</v>
          </cell>
          <cell r="D77">
            <v>193.859129</v>
          </cell>
        </row>
        <row r="78">
          <cell r="B78" t="str">
            <v>Ma Cao</v>
          </cell>
          <cell r="C78">
            <v>18</v>
          </cell>
          <cell r="D78">
            <v>193.468389</v>
          </cell>
        </row>
        <row r="79">
          <cell r="B79" t="str">
            <v>Anguilla</v>
          </cell>
          <cell r="C79">
            <v>24</v>
          </cell>
          <cell r="D79">
            <v>180.09</v>
          </cell>
        </row>
        <row r="80">
          <cell r="B80" t="str">
            <v>Cook Islands</v>
          </cell>
          <cell r="C80">
            <v>2</v>
          </cell>
          <cell r="D80">
            <v>172</v>
          </cell>
        </row>
        <row r="81">
          <cell r="B81" t="str">
            <v>Israel</v>
          </cell>
          <cell r="C81">
            <v>41</v>
          </cell>
          <cell r="D81">
            <v>151.12897699999999</v>
          </cell>
        </row>
        <row r="82">
          <cell r="B82" t="str">
            <v>Áo</v>
          </cell>
          <cell r="C82">
            <v>43</v>
          </cell>
          <cell r="D82">
            <v>150.147333</v>
          </cell>
        </row>
        <row r="83">
          <cell r="B83" t="str">
            <v>Tây Ban Nha</v>
          </cell>
          <cell r="C83">
            <v>94</v>
          </cell>
          <cell r="D83">
            <v>143.73478399999999</v>
          </cell>
        </row>
        <row r="84">
          <cell r="B84" t="str">
            <v>Slovakia</v>
          </cell>
          <cell r="C84">
            <v>16</v>
          </cell>
          <cell r="D84">
            <v>140.88177400000001</v>
          </cell>
        </row>
        <row r="85">
          <cell r="B85" t="str">
            <v>Angola</v>
          </cell>
          <cell r="C85">
            <v>4</v>
          </cell>
          <cell r="D85">
            <v>118.4</v>
          </cell>
        </row>
        <row r="86">
          <cell r="B86" t="str">
            <v>Bahamas</v>
          </cell>
          <cell r="C86">
            <v>8</v>
          </cell>
          <cell r="D86">
            <v>106.313075</v>
          </cell>
        </row>
        <row r="87">
          <cell r="B87" t="str">
            <v>Cộng hòa Séc</v>
          </cell>
          <cell r="C87">
            <v>41</v>
          </cell>
          <cell r="D87">
            <v>92.383690000000001</v>
          </cell>
        </row>
        <row r="88">
          <cell r="B88" t="str">
            <v>Campuchia</v>
          </cell>
          <cell r="C88">
            <v>31</v>
          </cell>
          <cell r="D88">
            <v>73.570048999999997</v>
          </cell>
        </row>
        <row r="89">
          <cell r="B89" t="str">
            <v>Hungary</v>
          </cell>
          <cell r="C89">
            <v>22</v>
          </cell>
          <cell r="D89">
            <v>72.281854999999993</v>
          </cell>
        </row>
        <row r="90">
          <cell r="B90" t="str">
            <v>Các tiểu vương quốc Ả Rập thống nhất</v>
          </cell>
          <cell r="C90">
            <v>39</v>
          </cell>
          <cell r="D90">
            <v>71.510588999999996</v>
          </cell>
        </row>
        <row r="91">
          <cell r="B91" t="str">
            <v>Lào</v>
          </cell>
          <cell r="C91">
            <v>11</v>
          </cell>
          <cell r="D91">
            <v>71.128528000000003</v>
          </cell>
        </row>
        <row r="92">
          <cell r="B92" t="str">
            <v>Ecuador</v>
          </cell>
          <cell r="C92">
            <v>4</v>
          </cell>
          <cell r="D92">
            <v>56.703420000000001</v>
          </cell>
        </row>
        <row r="93">
          <cell r="B93" t="str">
            <v>Panama</v>
          </cell>
          <cell r="C93">
            <v>14</v>
          </cell>
          <cell r="D93">
            <v>52.49</v>
          </cell>
        </row>
        <row r="94">
          <cell r="B94" t="str">
            <v>Saint Vincent and the Grenadines</v>
          </cell>
          <cell r="C94">
            <v>4</v>
          </cell>
          <cell r="D94">
            <v>47.6</v>
          </cell>
        </row>
        <row r="95">
          <cell r="B95" t="str">
            <v>Phần Lan</v>
          </cell>
          <cell r="C95">
            <v>35</v>
          </cell>
          <cell r="D95">
            <v>46.775760939999998</v>
          </cell>
        </row>
        <row r="96">
          <cell r="B96" t="str">
            <v>Pakistan</v>
          </cell>
          <cell r="C96">
            <v>73</v>
          </cell>
          <cell r="D96">
            <v>45.030920999999999</v>
          </cell>
        </row>
        <row r="97">
          <cell r="B97" t="str">
            <v>Swaziland</v>
          </cell>
          <cell r="C97">
            <v>1</v>
          </cell>
          <cell r="D97">
            <v>45</v>
          </cell>
        </row>
        <row r="98">
          <cell r="B98" t="str">
            <v>Ireland</v>
          </cell>
          <cell r="C98">
            <v>40</v>
          </cell>
          <cell r="D98">
            <v>44.202746579999996</v>
          </cell>
        </row>
        <row r="99">
          <cell r="B99" t="str">
            <v>Sri Lanka</v>
          </cell>
          <cell r="C99">
            <v>30</v>
          </cell>
          <cell r="D99">
            <v>42.918663799999997</v>
          </cell>
        </row>
        <row r="100">
          <cell r="B100" t="str">
            <v>United States Virgin Islands</v>
          </cell>
          <cell r="C100">
            <v>4</v>
          </cell>
          <cell r="D100">
            <v>42.423756210000001</v>
          </cell>
        </row>
        <row r="101">
          <cell r="B101" t="str">
            <v>Kenya</v>
          </cell>
          <cell r="C101">
            <v>1</v>
          </cell>
          <cell r="D101">
            <v>40.772531999999998</v>
          </cell>
        </row>
        <row r="102">
          <cell r="B102" t="str">
            <v>Saint Kitts and Nevis</v>
          </cell>
          <cell r="C102">
            <v>4</v>
          </cell>
          <cell r="D102">
            <v>39.905000000000001</v>
          </cell>
        </row>
        <row r="103">
          <cell r="B103" t="str">
            <v>Channel Islands</v>
          </cell>
          <cell r="C103">
            <v>9</v>
          </cell>
          <cell r="D103">
            <v>38.076000000000001</v>
          </cell>
        </row>
        <row r="104">
          <cell r="B104" t="str">
            <v>Isle of Man</v>
          </cell>
          <cell r="C104">
            <v>1</v>
          </cell>
          <cell r="D104">
            <v>35</v>
          </cell>
        </row>
        <row r="105">
          <cell r="B105" t="str">
            <v>Belarus</v>
          </cell>
          <cell r="C105">
            <v>3</v>
          </cell>
          <cell r="D105">
            <v>32.252552000000001</v>
          </cell>
        </row>
        <row r="106">
          <cell r="B106" t="str">
            <v>Bulgaria</v>
          </cell>
          <cell r="C106">
            <v>14</v>
          </cell>
          <cell r="D106">
            <v>31.320467000000001</v>
          </cell>
        </row>
        <row r="107">
          <cell r="B107" t="str">
            <v>Ukraina</v>
          </cell>
          <cell r="C107">
            <v>27</v>
          </cell>
          <cell r="D107">
            <v>30.48178901</v>
          </cell>
        </row>
        <row r="108">
          <cell r="B108" t="str">
            <v>Irắc</v>
          </cell>
          <cell r="C108">
            <v>6</v>
          </cell>
          <cell r="D108">
            <v>27.283180999999999</v>
          </cell>
        </row>
        <row r="109">
          <cell r="B109" t="str">
            <v>Armenia</v>
          </cell>
          <cell r="C109">
            <v>4</v>
          </cell>
          <cell r="D109">
            <v>22.58</v>
          </cell>
        </row>
        <row r="110">
          <cell r="B110" t="str">
            <v>El Salvador</v>
          </cell>
          <cell r="C110">
            <v>2</v>
          </cell>
          <cell r="D110">
            <v>22.5</v>
          </cell>
        </row>
        <row r="111">
          <cell r="B111" t="str">
            <v>Lithuania</v>
          </cell>
          <cell r="C111">
            <v>9</v>
          </cell>
          <cell r="D111">
            <v>21.118303000000001</v>
          </cell>
        </row>
        <row r="112">
          <cell r="B112" t="str">
            <v>Oman</v>
          </cell>
          <cell r="C112">
            <v>3</v>
          </cell>
          <cell r="D112">
            <v>20.774493</v>
          </cell>
        </row>
        <row r="113">
          <cell r="B113" t="str">
            <v>Iceland</v>
          </cell>
          <cell r="C113">
            <v>3</v>
          </cell>
          <cell r="D113">
            <v>20.315000000000001</v>
          </cell>
        </row>
        <row r="114">
          <cell r="B114" t="str">
            <v>Costa Rica</v>
          </cell>
          <cell r="C114">
            <v>4</v>
          </cell>
          <cell r="D114">
            <v>16.598061999999999</v>
          </cell>
        </row>
        <row r="115">
          <cell r="B115" t="str">
            <v>Island of Nevis</v>
          </cell>
          <cell r="C115">
            <v>2</v>
          </cell>
          <cell r="D115">
            <v>10.278</v>
          </cell>
        </row>
        <row r="116">
          <cell r="B116" t="str">
            <v>Ả Rập Xê Út</v>
          </cell>
          <cell r="C116">
            <v>7</v>
          </cell>
          <cell r="D116">
            <v>8.2663989999999998</v>
          </cell>
        </row>
        <row r="117">
          <cell r="B117" t="str">
            <v>Dominica</v>
          </cell>
          <cell r="C117">
            <v>2</v>
          </cell>
          <cell r="D117">
            <v>8.0431500000000007</v>
          </cell>
        </row>
        <row r="118">
          <cell r="B118" t="str">
            <v>Cu Ba</v>
          </cell>
          <cell r="C118">
            <v>4</v>
          </cell>
          <cell r="D118">
            <v>7.0309999999999997</v>
          </cell>
        </row>
        <row r="119">
          <cell r="B119" t="str">
            <v>Liechtenstein</v>
          </cell>
          <cell r="C119">
            <v>1</v>
          </cell>
          <cell r="D119">
            <v>4</v>
          </cell>
        </row>
        <row r="120">
          <cell r="B120" t="str">
            <v>Nigeria</v>
          </cell>
          <cell r="C120">
            <v>40</v>
          </cell>
          <cell r="D120">
            <v>3.8912499999999999</v>
          </cell>
        </row>
        <row r="121">
          <cell r="B121" t="str">
            <v>Brazil</v>
          </cell>
          <cell r="C121">
            <v>7</v>
          </cell>
          <cell r="D121">
            <v>3.8475060000000001</v>
          </cell>
        </row>
        <row r="122">
          <cell r="B122" t="str">
            <v>Andorra</v>
          </cell>
          <cell r="C122">
            <v>1</v>
          </cell>
          <cell r="D122">
            <v>3.8</v>
          </cell>
        </row>
        <row r="123">
          <cell r="B123" t="str">
            <v>Qatar</v>
          </cell>
          <cell r="C123">
            <v>1</v>
          </cell>
          <cell r="D123">
            <v>3.225806</v>
          </cell>
        </row>
        <row r="124">
          <cell r="B124" t="str">
            <v>Guatemala</v>
          </cell>
          <cell r="C124">
            <v>4</v>
          </cell>
          <cell r="D124">
            <v>3.2161849999999998</v>
          </cell>
        </row>
        <row r="125">
          <cell r="B125" t="str">
            <v>Turks &amp; Caicos Islands</v>
          </cell>
          <cell r="C125">
            <v>2</v>
          </cell>
          <cell r="D125">
            <v>3.1</v>
          </cell>
        </row>
        <row r="126">
          <cell r="B126" t="str">
            <v>Ai Cập</v>
          </cell>
          <cell r="C126">
            <v>22</v>
          </cell>
          <cell r="D126">
            <v>2.8710100000000001</v>
          </cell>
        </row>
        <row r="127">
          <cell r="B127" t="str">
            <v>Barbados</v>
          </cell>
          <cell r="C127">
            <v>2</v>
          </cell>
          <cell r="D127">
            <v>2.75</v>
          </cell>
        </row>
        <row r="128">
          <cell r="B128" t="str">
            <v>Slovenia</v>
          </cell>
          <cell r="C128">
            <v>3</v>
          </cell>
          <cell r="D128">
            <v>2.27</v>
          </cell>
        </row>
        <row r="129">
          <cell r="B129" t="str">
            <v>Serbia</v>
          </cell>
          <cell r="C129">
            <v>2</v>
          </cell>
          <cell r="D129">
            <v>1.5845</v>
          </cell>
        </row>
        <row r="130">
          <cell r="B130" t="str">
            <v>Rumani</v>
          </cell>
          <cell r="C130">
            <v>5</v>
          </cell>
          <cell r="D130">
            <v>1.556643</v>
          </cell>
        </row>
        <row r="131">
          <cell r="B131" t="str">
            <v>Kuwait</v>
          </cell>
          <cell r="C131">
            <v>3</v>
          </cell>
          <cell r="D131">
            <v>1.4043000000000001</v>
          </cell>
        </row>
        <row r="132">
          <cell r="B132" t="str">
            <v>Syrian Arab Republic</v>
          </cell>
          <cell r="C132">
            <v>6</v>
          </cell>
          <cell r="D132">
            <v>1.2845420000000001</v>
          </cell>
        </row>
        <row r="133">
          <cell r="B133" t="str">
            <v>Albania</v>
          </cell>
          <cell r="C133">
            <v>1</v>
          </cell>
          <cell r="D133">
            <v>1.239743</v>
          </cell>
        </row>
        <row r="134">
          <cell r="B134" t="str">
            <v>CHDCND Triều Tiên</v>
          </cell>
          <cell r="C134">
            <v>5</v>
          </cell>
          <cell r="D134">
            <v>1.2</v>
          </cell>
        </row>
        <row r="135">
          <cell r="B135" t="str">
            <v>Mông Cổ</v>
          </cell>
          <cell r="C135">
            <v>4</v>
          </cell>
          <cell r="D135">
            <v>1.1100000000000001</v>
          </cell>
        </row>
        <row r="136">
          <cell r="B136" t="str">
            <v>Ma rốc</v>
          </cell>
          <cell r="C136">
            <v>3</v>
          </cell>
          <cell r="D136">
            <v>1.07</v>
          </cell>
        </row>
        <row r="137">
          <cell r="B137" t="str">
            <v>Ghana</v>
          </cell>
          <cell r="C137">
            <v>2</v>
          </cell>
          <cell r="D137">
            <v>1.0149999999999999</v>
          </cell>
        </row>
        <row r="138">
          <cell r="B138" t="str">
            <v>Jordan</v>
          </cell>
          <cell r="C138">
            <v>5</v>
          </cell>
          <cell r="D138">
            <v>1.003787</v>
          </cell>
        </row>
        <row r="139">
          <cell r="B139" t="str">
            <v>Myanmar</v>
          </cell>
          <cell r="C139">
            <v>4</v>
          </cell>
          <cell r="D139">
            <v>0.95206999999999997</v>
          </cell>
        </row>
        <row r="140">
          <cell r="B140" t="str">
            <v>Bangladesh</v>
          </cell>
          <cell r="C140">
            <v>19</v>
          </cell>
          <cell r="D140">
            <v>0.94168799999999997</v>
          </cell>
        </row>
        <row r="141">
          <cell r="B141" t="str">
            <v>Libăng</v>
          </cell>
          <cell r="C141">
            <v>8</v>
          </cell>
          <cell r="D141">
            <v>0.82611859999999993</v>
          </cell>
        </row>
        <row r="142">
          <cell r="B142" t="str">
            <v>Malta</v>
          </cell>
          <cell r="C142">
            <v>3</v>
          </cell>
          <cell r="D142">
            <v>0.71</v>
          </cell>
        </row>
        <row r="143">
          <cell r="B143" t="str">
            <v>Nam Phi</v>
          </cell>
          <cell r="C143">
            <v>19</v>
          </cell>
          <cell r="D143">
            <v>0.62115200000000004</v>
          </cell>
        </row>
        <row r="144">
          <cell r="B144" t="str">
            <v>Kazakhstan</v>
          </cell>
          <cell r="C144">
            <v>6</v>
          </cell>
          <cell r="D144">
            <v>0.56370699999999996</v>
          </cell>
        </row>
        <row r="145">
          <cell r="B145" t="str">
            <v>Venezuela</v>
          </cell>
          <cell r="C145">
            <v>3</v>
          </cell>
          <cell r="D145">
            <v>0.52214300000000002</v>
          </cell>
        </row>
        <row r="146">
          <cell r="B146" t="str">
            <v>Guam</v>
          </cell>
          <cell r="C146">
            <v>1</v>
          </cell>
          <cell r="D146">
            <v>0.5</v>
          </cell>
        </row>
        <row r="147">
          <cell r="B147" t="str">
            <v>Afghanistan</v>
          </cell>
          <cell r="C147">
            <v>5</v>
          </cell>
          <cell r="D147">
            <v>0.43293700000000002</v>
          </cell>
        </row>
        <row r="148">
          <cell r="B148" t="str">
            <v>Nepal</v>
          </cell>
          <cell r="C148">
            <v>5</v>
          </cell>
          <cell r="D148">
            <v>0.34545500000000001</v>
          </cell>
        </row>
        <row r="149">
          <cell r="B149" t="str">
            <v>Mali</v>
          </cell>
          <cell r="C149">
            <v>2</v>
          </cell>
          <cell r="D149">
            <v>0.32</v>
          </cell>
        </row>
        <row r="150">
          <cell r="B150" t="str">
            <v>Sudan</v>
          </cell>
          <cell r="C150">
            <v>3</v>
          </cell>
          <cell r="D150">
            <v>0.31282902000000001</v>
          </cell>
        </row>
        <row r="151">
          <cell r="B151" t="str">
            <v>Antigua and Barbuda</v>
          </cell>
          <cell r="C151">
            <v>2</v>
          </cell>
          <cell r="D151">
            <v>0.30685699999999999</v>
          </cell>
        </row>
        <row r="152">
          <cell r="B152" t="str">
            <v>Chile</v>
          </cell>
          <cell r="C152">
            <v>4</v>
          </cell>
          <cell r="D152">
            <v>0.29499999999999998</v>
          </cell>
        </row>
        <row r="153">
          <cell r="B153" t="str">
            <v>Estonia</v>
          </cell>
          <cell r="C153">
            <v>5</v>
          </cell>
          <cell r="D153">
            <v>0.27500000000000002</v>
          </cell>
        </row>
        <row r="154">
          <cell r="B154" t="str">
            <v>Libya</v>
          </cell>
          <cell r="C154">
            <v>3</v>
          </cell>
          <cell r="D154">
            <v>0.247</v>
          </cell>
        </row>
        <row r="155">
          <cell r="B155" t="str">
            <v>Maldives</v>
          </cell>
          <cell r="C155">
            <v>1</v>
          </cell>
          <cell r="D155">
            <v>0.22500000000000001</v>
          </cell>
        </row>
        <row r="156">
          <cell r="B156" t="str">
            <v>Mexico</v>
          </cell>
          <cell r="C156">
            <v>6</v>
          </cell>
          <cell r="D156">
            <v>0.21290500000000001</v>
          </cell>
        </row>
        <row r="157">
          <cell r="B157" t="str">
            <v>Monaco</v>
          </cell>
          <cell r="C157">
            <v>1</v>
          </cell>
          <cell r="D157">
            <v>0.21</v>
          </cell>
        </row>
        <row r="158">
          <cell r="B158" t="str">
            <v>Cameroon</v>
          </cell>
          <cell r="C158">
            <v>5</v>
          </cell>
          <cell r="D158">
            <v>0.202795</v>
          </cell>
        </row>
        <row r="159">
          <cell r="B159" t="str">
            <v>Yemen</v>
          </cell>
          <cell r="C159">
            <v>4</v>
          </cell>
          <cell r="D159">
            <v>0.17447299999999999</v>
          </cell>
        </row>
        <row r="160">
          <cell r="B160" t="str">
            <v>Argentina</v>
          </cell>
          <cell r="C160">
            <v>5</v>
          </cell>
          <cell r="D160">
            <v>0.15781999999999999</v>
          </cell>
        </row>
        <row r="161">
          <cell r="B161" t="str">
            <v>Uruguay</v>
          </cell>
          <cell r="C161">
            <v>2</v>
          </cell>
          <cell r="D161">
            <v>0.14291799999999999</v>
          </cell>
        </row>
        <row r="162">
          <cell r="B162" t="str">
            <v>Iran (Islamic Republic of)</v>
          </cell>
          <cell r="C162">
            <v>9</v>
          </cell>
          <cell r="D162">
            <v>0.13753014999999999</v>
          </cell>
        </row>
        <row r="163">
          <cell r="B163" t="str">
            <v>Palestine</v>
          </cell>
          <cell r="C163">
            <v>2</v>
          </cell>
          <cell r="D163">
            <v>0.129</v>
          </cell>
        </row>
        <row r="164">
          <cell r="B164" t="str">
            <v>Hy Lạp</v>
          </cell>
          <cell r="C164">
            <v>6</v>
          </cell>
          <cell r="D164">
            <v>0.11526</v>
          </cell>
        </row>
        <row r="165">
          <cell r="B165" t="str">
            <v>Honduras</v>
          </cell>
          <cell r="C165">
            <v>1</v>
          </cell>
          <cell r="D165">
            <v>0.1</v>
          </cell>
        </row>
        <row r="166">
          <cell r="B166" t="str">
            <v>British Isles</v>
          </cell>
          <cell r="C166">
            <v>1</v>
          </cell>
          <cell r="D166">
            <v>0.1</v>
          </cell>
        </row>
        <row r="167">
          <cell r="B167" t="str">
            <v>Latvia</v>
          </cell>
          <cell r="C167">
            <v>2</v>
          </cell>
          <cell r="D167">
            <v>9.7000000000000003E-2</v>
          </cell>
        </row>
        <row r="168">
          <cell r="B168" t="str">
            <v>Uganda</v>
          </cell>
          <cell r="C168">
            <v>3</v>
          </cell>
          <cell r="D168">
            <v>8.9399999999999993E-2</v>
          </cell>
        </row>
        <row r="169">
          <cell r="B169" t="str">
            <v>Bồ Đào Nha</v>
          </cell>
          <cell r="C169">
            <v>2</v>
          </cell>
          <cell r="D169">
            <v>8.8900000000000007E-2</v>
          </cell>
        </row>
        <row r="170">
          <cell r="B170" t="str">
            <v>Turkmenistan</v>
          </cell>
          <cell r="C170">
            <v>1</v>
          </cell>
          <cell r="D170">
            <v>7.0935999999999999E-2</v>
          </cell>
        </row>
        <row r="171">
          <cell r="B171" t="str">
            <v>Sierra Leone</v>
          </cell>
          <cell r="C171">
            <v>1</v>
          </cell>
          <cell r="D171">
            <v>3.3184999999999999E-2</v>
          </cell>
        </row>
        <row r="172">
          <cell r="B172" t="str">
            <v>Congo</v>
          </cell>
          <cell r="C172">
            <v>1</v>
          </cell>
          <cell r="D172">
            <v>2.4464E-2</v>
          </cell>
        </row>
        <row r="173">
          <cell r="B173" t="str">
            <v>Djibouti</v>
          </cell>
          <cell r="C173">
            <v>1</v>
          </cell>
          <cell r="D173">
            <v>0.02</v>
          </cell>
        </row>
        <row r="174">
          <cell r="B174" t="str">
            <v>Vanuatu</v>
          </cell>
          <cell r="C174">
            <v>1</v>
          </cell>
          <cell r="D174">
            <v>0.01</v>
          </cell>
        </row>
        <row r="175">
          <cell r="B175" t="str">
            <v>Lesotho</v>
          </cell>
          <cell r="C175">
            <v>1</v>
          </cell>
          <cell r="D175">
            <v>0.01</v>
          </cell>
        </row>
        <row r="176">
          <cell r="B176" t="str">
            <v>Guinea</v>
          </cell>
          <cell r="C176">
            <v>1</v>
          </cell>
          <cell r="D176">
            <v>0.01</v>
          </cell>
        </row>
        <row r="177">
          <cell r="B177" t="str">
            <v>Ethiopia</v>
          </cell>
          <cell r="C177">
            <v>1</v>
          </cell>
          <cell r="D177">
            <v>0.01</v>
          </cell>
        </row>
        <row r="178">
          <cell r="B178" t="str">
            <v>Republic of Moldova</v>
          </cell>
          <cell r="C178">
            <v>1</v>
          </cell>
          <cell r="D178">
            <v>5.2859999999999999E-3</v>
          </cell>
        </row>
        <row r="179">
          <cell r="B179" t="str">
            <v>Guernsey</v>
          </cell>
          <cell r="C179">
            <v>1</v>
          </cell>
          <cell r="D179">
            <v>5.0000000000000001E-3</v>
          </cell>
        </row>
        <row r="180">
          <cell r="B180" t="str">
            <v>Colombia</v>
          </cell>
          <cell r="C180">
            <v>1</v>
          </cell>
          <cell r="D180">
            <v>5.0000000000000001E-3</v>
          </cell>
        </row>
        <row r="187">
          <cell r="B187" t="str">
            <v>TP. Hồ Chí Minh</v>
          </cell>
          <cell r="C187">
            <v>12218</v>
          </cell>
          <cell r="D187">
            <v>57149.536689259978</v>
          </cell>
        </row>
        <row r="188">
          <cell r="B188" t="str">
            <v>Bình Dương</v>
          </cell>
          <cell r="C188">
            <v>4187</v>
          </cell>
          <cell r="D188">
            <v>40224.082053219994</v>
          </cell>
        </row>
        <row r="189">
          <cell r="B189" t="str">
            <v>Hà Nội</v>
          </cell>
          <cell r="C189">
            <v>7302</v>
          </cell>
          <cell r="D189">
            <v>39540.037511909999</v>
          </cell>
        </row>
        <row r="190">
          <cell r="B190" t="str">
            <v>Đồng Nai</v>
          </cell>
          <cell r="C190">
            <v>1884</v>
          </cell>
          <cell r="D190">
            <v>36432.007683470001</v>
          </cell>
        </row>
        <row r="191">
          <cell r="B191" t="str">
            <v>Bà Rịa - Vũng Tàu</v>
          </cell>
          <cell r="C191">
            <v>551</v>
          </cell>
          <cell r="D191">
            <v>33875.09147485</v>
          </cell>
        </row>
        <row r="192">
          <cell r="B192" t="str">
            <v>Hải Phòng</v>
          </cell>
          <cell r="C192">
            <v>1083</v>
          </cell>
          <cell r="D192">
            <v>28113.577904459999</v>
          </cell>
        </row>
        <row r="193">
          <cell r="B193" t="str">
            <v>Bắc Ninh</v>
          </cell>
          <cell r="C193">
            <v>2082</v>
          </cell>
          <cell r="D193">
            <v>24432.800041480008</v>
          </cell>
        </row>
        <row r="194">
          <cell r="B194" t="str">
            <v>Thanh Hóa</v>
          </cell>
          <cell r="C194">
            <v>190</v>
          </cell>
          <cell r="D194">
            <v>15082.07727</v>
          </cell>
        </row>
        <row r="195">
          <cell r="B195" t="str">
            <v>Long An</v>
          </cell>
          <cell r="C195">
            <v>1367</v>
          </cell>
          <cell r="D195">
            <v>13507.228906869997</v>
          </cell>
        </row>
        <row r="196">
          <cell r="B196" t="str">
            <v>Quảng Ninh</v>
          </cell>
          <cell r="C196">
            <v>177</v>
          </cell>
          <cell r="D196">
            <v>12933.63574724</v>
          </cell>
        </row>
        <row r="197">
          <cell r="B197" t="str">
            <v>Hà Tĩnh</v>
          </cell>
          <cell r="C197">
            <v>84</v>
          </cell>
          <cell r="D197">
            <v>12087.984806</v>
          </cell>
        </row>
        <row r="198">
          <cell r="B198" t="str">
            <v>Bắc Giang</v>
          </cell>
          <cell r="C198">
            <v>662</v>
          </cell>
          <cell r="D198">
            <v>11338.085794370001</v>
          </cell>
        </row>
        <row r="199">
          <cell r="B199" t="str">
            <v>Thái Nguyên</v>
          </cell>
          <cell r="C199">
            <v>222</v>
          </cell>
          <cell r="D199">
            <v>10690.278382009999</v>
          </cell>
        </row>
        <row r="200">
          <cell r="B200" t="str">
            <v>Hải Dương</v>
          </cell>
          <cell r="C200">
            <v>564</v>
          </cell>
          <cell r="D200">
            <v>9768.70275468</v>
          </cell>
        </row>
        <row r="201">
          <cell r="B201" t="str">
            <v>Tây Ninh</v>
          </cell>
          <cell r="C201">
            <v>365</v>
          </cell>
          <cell r="D201">
            <v>9641.189211779998</v>
          </cell>
        </row>
        <row r="202">
          <cell r="B202" t="str">
            <v>Hưng Yên</v>
          </cell>
          <cell r="C202">
            <v>566</v>
          </cell>
          <cell r="D202">
            <v>7294.3487900399996</v>
          </cell>
        </row>
        <row r="203">
          <cell r="B203" t="str">
            <v>Vĩnh Phúc</v>
          </cell>
          <cell r="C203">
            <v>526</v>
          </cell>
          <cell r="D203">
            <v>7002.2106540500008</v>
          </cell>
        </row>
        <row r="204">
          <cell r="B204" t="str">
            <v>Đà Nẵng</v>
          </cell>
          <cell r="C204">
            <v>1009</v>
          </cell>
          <cell r="D204">
            <v>6477.931046929999</v>
          </cell>
        </row>
        <row r="205">
          <cell r="B205" t="str">
            <v>Quảng Nam</v>
          </cell>
          <cell r="C205">
            <v>223</v>
          </cell>
          <cell r="D205">
            <v>6321.2349164699999</v>
          </cell>
        </row>
        <row r="206">
          <cell r="B206" t="str">
            <v>Hà Nam</v>
          </cell>
          <cell r="C206">
            <v>400</v>
          </cell>
          <cell r="D206">
            <v>5714.3899662200001</v>
          </cell>
        </row>
        <row r="207">
          <cell r="B207" t="str">
            <v>Kiên Giang</v>
          </cell>
          <cell r="C207">
            <v>64</v>
          </cell>
          <cell r="D207">
            <v>4810.3202350000001</v>
          </cell>
        </row>
        <row r="208">
          <cell r="B208" t="str">
            <v>Bình Phước</v>
          </cell>
          <cell r="C208">
            <v>451</v>
          </cell>
          <cell r="D208">
            <v>4670.9183062600014</v>
          </cell>
        </row>
        <row r="209">
          <cell r="B209" t="str">
            <v>Bạc Liêu</v>
          </cell>
          <cell r="C209">
            <v>15</v>
          </cell>
          <cell r="D209">
            <v>4496.0433999999996</v>
          </cell>
        </row>
        <row r="210">
          <cell r="B210" t="str">
            <v>Khánh Hòa</v>
          </cell>
          <cell r="C210">
            <v>120</v>
          </cell>
          <cell r="D210">
            <v>4365.1988709999996</v>
          </cell>
        </row>
        <row r="211">
          <cell r="B211" t="str">
            <v>Thừa Thiên Huế</v>
          </cell>
          <cell r="C211">
            <v>136</v>
          </cell>
          <cell r="D211">
            <v>4273.2816380000004</v>
          </cell>
        </row>
        <row r="212">
          <cell r="B212" t="str">
            <v>Nam Định</v>
          </cell>
          <cell r="C212">
            <v>138</v>
          </cell>
          <cell r="D212">
            <v>3953.371901</v>
          </cell>
        </row>
        <row r="213">
          <cell r="B213" t="str">
            <v>Nghệ An</v>
          </cell>
          <cell r="C213">
            <v>145</v>
          </cell>
          <cell r="D213">
            <v>3874.2472230100002</v>
          </cell>
        </row>
        <row r="214">
          <cell r="B214" t="str">
            <v>Bình Thuận</v>
          </cell>
          <cell r="C214">
            <v>160</v>
          </cell>
          <cell r="D214">
            <v>3850.7315979999998</v>
          </cell>
        </row>
        <row r="215">
          <cell r="B215" t="str">
            <v>Phú Thọ</v>
          </cell>
          <cell r="C215">
            <v>221</v>
          </cell>
          <cell r="D215">
            <v>3328.950257</v>
          </cell>
        </row>
        <row r="216">
          <cell r="B216" t="str">
            <v>Trà Vinh</v>
          </cell>
          <cell r="C216">
            <v>40</v>
          </cell>
          <cell r="D216">
            <v>3198.402427</v>
          </cell>
        </row>
        <row r="217">
          <cell r="B217" t="str">
            <v>Dầu khí</v>
          </cell>
          <cell r="C217">
            <v>50</v>
          </cell>
          <cell r="D217">
            <v>2768.6918150000001</v>
          </cell>
        </row>
        <row r="218">
          <cell r="B218" t="str">
            <v>Tiền Giang</v>
          </cell>
          <cell r="C218">
            <v>139</v>
          </cell>
          <cell r="D218">
            <v>2753.829252</v>
          </cell>
        </row>
        <row r="219">
          <cell r="B219" t="str">
            <v>Quảng Trị</v>
          </cell>
          <cell r="C219">
            <v>26</v>
          </cell>
          <cell r="D219">
            <v>2524.2635248299998</v>
          </cell>
        </row>
        <row r="220">
          <cell r="B220" t="str">
            <v>Thái Bình</v>
          </cell>
          <cell r="C220">
            <v>133</v>
          </cell>
          <cell r="D220">
            <v>2479.5075171500002</v>
          </cell>
        </row>
        <row r="221">
          <cell r="B221" t="str">
            <v>Cần Thơ</v>
          </cell>
          <cell r="C221">
            <v>83</v>
          </cell>
          <cell r="D221">
            <v>2269.3871477400003</v>
          </cell>
        </row>
        <row r="222">
          <cell r="B222" t="str">
            <v>Quảng Ngãi</v>
          </cell>
          <cell r="C222">
            <v>65</v>
          </cell>
          <cell r="D222">
            <v>2079.502927</v>
          </cell>
        </row>
        <row r="223">
          <cell r="B223" t="str">
            <v>Phú Yên</v>
          </cell>
          <cell r="C223">
            <v>53</v>
          </cell>
          <cell r="D223">
            <v>2038.3972040000001</v>
          </cell>
        </row>
        <row r="224">
          <cell r="B224" t="str">
            <v>Ninh Bình</v>
          </cell>
          <cell r="C224">
            <v>102</v>
          </cell>
          <cell r="D224">
            <v>1751.1357399999999</v>
          </cell>
        </row>
        <row r="225">
          <cell r="B225" t="str">
            <v>Ninh Thuận</v>
          </cell>
          <cell r="C225">
            <v>57</v>
          </cell>
          <cell r="D225">
            <v>1729.931728</v>
          </cell>
        </row>
        <row r="226">
          <cell r="B226" t="str">
            <v>Bến Tre</v>
          </cell>
          <cell r="C226">
            <v>67</v>
          </cell>
          <cell r="D226">
            <v>1590.35706957</v>
          </cell>
        </row>
        <row r="227">
          <cell r="B227" t="str">
            <v>Bình Định</v>
          </cell>
          <cell r="C227">
            <v>104</v>
          </cell>
          <cell r="D227">
            <v>1258.23347928</v>
          </cell>
        </row>
        <row r="228">
          <cell r="B228" t="str">
            <v>Quảng Bình</v>
          </cell>
          <cell r="C228">
            <v>24</v>
          </cell>
          <cell r="D228">
            <v>1116.2776690000001</v>
          </cell>
        </row>
        <row r="229">
          <cell r="B229" t="str">
            <v>Vĩnh Long</v>
          </cell>
          <cell r="C229">
            <v>71</v>
          </cell>
          <cell r="D229">
            <v>1048.4426582000001</v>
          </cell>
        </row>
        <row r="230">
          <cell r="B230" t="str">
            <v>Hòa Bình</v>
          </cell>
          <cell r="C230">
            <v>51</v>
          </cell>
          <cell r="D230">
            <v>720.141302</v>
          </cell>
        </row>
        <row r="231">
          <cell r="B231" t="str">
            <v>Đăk Lăk</v>
          </cell>
          <cell r="C231">
            <v>30</v>
          </cell>
          <cell r="D231">
            <v>706.827808</v>
          </cell>
        </row>
        <row r="232">
          <cell r="B232" t="str">
            <v>Hậu Giang</v>
          </cell>
          <cell r="C232">
            <v>31</v>
          </cell>
          <cell r="D232">
            <v>687.11769311</v>
          </cell>
        </row>
        <row r="233">
          <cell r="B233" t="str">
            <v>Lào Cai</v>
          </cell>
          <cell r="C233">
            <v>33</v>
          </cell>
          <cell r="D233">
            <v>655.75248099999999</v>
          </cell>
        </row>
        <row r="234">
          <cell r="B234" t="str">
            <v>Lâm Đồng</v>
          </cell>
          <cell r="C234">
            <v>102</v>
          </cell>
          <cell r="D234">
            <v>514.47372221000001</v>
          </cell>
        </row>
        <row r="235">
          <cell r="B235" t="str">
            <v>Yên Bái</v>
          </cell>
          <cell r="C235">
            <v>35</v>
          </cell>
          <cell r="D235">
            <v>478.25191100000001</v>
          </cell>
        </row>
        <row r="236">
          <cell r="B236" t="str">
            <v>Sóc Trăng</v>
          </cell>
          <cell r="C236">
            <v>17</v>
          </cell>
          <cell r="D236">
            <v>431.86485599999997</v>
          </cell>
        </row>
        <row r="237">
          <cell r="B237" t="str">
            <v>An Giang</v>
          </cell>
          <cell r="C237">
            <v>30</v>
          </cell>
          <cell r="D237">
            <v>317.28799900000001</v>
          </cell>
        </row>
        <row r="238">
          <cell r="B238" t="str">
            <v>Đăk Nông</v>
          </cell>
          <cell r="C238">
            <v>20</v>
          </cell>
          <cell r="D238">
            <v>311.87284799999998</v>
          </cell>
        </row>
        <row r="239">
          <cell r="B239" t="str">
            <v>Kon Tum</v>
          </cell>
          <cell r="C239">
            <v>9</v>
          </cell>
          <cell r="D239">
            <v>245.35986299999999</v>
          </cell>
        </row>
        <row r="240">
          <cell r="B240" t="str">
            <v>Lạng Sơn</v>
          </cell>
          <cell r="C240">
            <v>42</v>
          </cell>
          <cell r="D240">
            <v>240.36246</v>
          </cell>
        </row>
        <row r="241">
          <cell r="B241" t="str">
            <v>Đồng Tháp</v>
          </cell>
          <cell r="C241">
            <v>21</v>
          </cell>
          <cell r="D241">
            <v>231.58128487000002</v>
          </cell>
        </row>
        <row r="242">
          <cell r="B242" t="str">
            <v>Tuyên Quang</v>
          </cell>
          <cell r="C242">
            <v>20</v>
          </cell>
          <cell r="D242">
            <v>230.53464199999999</v>
          </cell>
        </row>
        <row r="243">
          <cell r="B243" t="str">
            <v>Cà Mau</v>
          </cell>
          <cell r="C243">
            <v>11</v>
          </cell>
          <cell r="D243">
            <v>153.67383799999999</v>
          </cell>
        </row>
        <row r="244">
          <cell r="B244" t="str">
            <v>Sơn La</v>
          </cell>
          <cell r="C244">
            <v>10</v>
          </cell>
          <cell r="D244">
            <v>135.72999999999999</v>
          </cell>
        </row>
        <row r="245">
          <cell r="B245" t="str">
            <v>Gia Lai</v>
          </cell>
          <cell r="C245">
            <v>8</v>
          </cell>
          <cell r="D245">
            <v>92.086029999999994</v>
          </cell>
        </row>
        <row r="246">
          <cell r="B246" t="str">
            <v>Bắc Kạn</v>
          </cell>
          <cell r="C246">
            <v>5</v>
          </cell>
          <cell r="D246">
            <v>32.901261810000001</v>
          </cell>
        </row>
        <row r="247">
          <cell r="B247" t="str">
            <v>Cao Bằng</v>
          </cell>
          <cell r="C247">
            <v>13</v>
          </cell>
          <cell r="D247">
            <v>20.725000000000001</v>
          </cell>
        </row>
        <row r="248">
          <cell r="B248" t="str">
            <v>Hà Giang</v>
          </cell>
          <cell r="C248">
            <v>6</v>
          </cell>
          <cell r="D248">
            <v>4.1469940000000003</v>
          </cell>
        </row>
        <row r="249">
          <cell r="B249" t="str">
            <v>Điện Biên</v>
          </cell>
          <cell r="C249">
            <v>1</v>
          </cell>
          <cell r="D249">
            <v>3</v>
          </cell>
        </row>
        <row r="250">
          <cell r="B250" t="str">
            <v>Lai Châu</v>
          </cell>
          <cell r="C250">
            <v>1</v>
          </cell>
          <cell r="D250">
            <v>1.5</v>
          </cell>
        </row>
      </sheetData>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hang 9"/>
      <sheetName val="Thang 9 2023"/>
      <sheetName val="Luy ke T9 2023"/>
    </sheetNames>
    <sheetDataSet>
      <sheetData sheetId="0"/>
      <sheetData sheetId="1"/>
      <sheetData sheetId="2">
        <row r="38">
          <cell r="B38" t="str">
            <v>Hàn Quốc</v>
          </cell>
          <cell r="C38">
            <v>9786</v>
          </cell>
          <cell r="D38">
            <v>82998.269658180026</v>
          </cell>
        </row>
        <row r="39">
          <cell r="B39" t="str">
            <v>Singapore</v>
          </cell>
          <cell r="C39">
            <v>3384</v>
          </cell>
          <cell r="D39">
            <v>72979.021442180005</v>
          </cell>
        </row>
        <row r="40">
          <cell r="B40" t="str">
            <v>Nhật Bản</v>
          </cell>
          <cell r="C40">
            <v>5203</v>
          </cell>
          <cell r="D40">
            <v>71337.237328110001</v>
          </cell>
        </row>
        <row r="41">
          <cell r="B41" t="str">
            <v>Đài Loan</v>
          </cell>
          <cell r="C41">
            <v>3052</v>
          </cell>
          <cell r="D41">
            <v>37955.538065910005</v>
          </cell>
        </row>
        <row r="42">
          <cell r="B42" t="str">
            <v>Hồng Kông</v>
          </cell>
          <cell r="C42">
            <v>2368</v>
          </cell>
          <cell r="D42">
            <v>31335.750526449996</v>
          </cell>
        </row>
        <row r="43">
          <cell r="B43" t="str">
            <v>Trung Quốc</v>
          </cell>
          <cell r="C43">
            <v>4023</v>
          </cell>
          <cell r="D43">
            <v>26043.15080743</v>
          </cell>
        </row>
        <row r="44">
          <cell r="B44" t="str">
            <v>BritishVirginIslands</v>
          </cell>
          <cell r="C44">
            <v>908</v>
          </cell>
          <cell r="D44">
            <v>22707.210715360001</v>
          </cell>
        </row>
        <row r="45">
          <cell r="B45" t="str">
            <v>Hà Lan</v>
          </cell>
          <cell r="C45">
            <v>431</v>
          </cell>
          <cell r="D45">
            <v>14194.789941680001</v>
          </cell>
        </row>
        <row r="46">
          <cell r="B46" t="str">
            <v>Thái Lan</v>
          </cell>
          <cell r="C46">
            <v>716</v>
          </cell>
          <cell r="D46">
            <v>13734.363186139997</v>
          </cell>
        </row>
        <row r="47">
          <cell r="B47" t="str">
            <v>Malaysia</v>
          </cell>
          <cell r="C47">
            <v>730</v>
          </cell>
          <cell r="D47">
            <v>13098.376728589999</v>
          </cell>
        </row>
        <row r="48">
          <cell r="B48" t="str">
            <v>Hoa Kỳ</v>
          </cell>
          <cell r="C48">
            <v>1301</v>
          </cell>
          <cell r="D48">
            <v>11809.312315509998</v>
          </cell>
        </row>
        <row r="49">
          <cell r="B49" t="str">
            <v>Samoa</v>
          </cell>
          <cell r="C49">
            <v>450</v>
          </cell>
          <cell r="D49">
            <v>9786.2219567600005</v>
          </cell>
        </row>
        <row r="50">
          <cell r="B50" t="str">
            <v>Cayman Islands</v>
          </cell>
          <cell r="C50">
            <v>133</v>
          </cell>
          <cell r="D50">
            <v>6807.8469130000003</v>
          </cell>
        </row>
        <row r="51">
          <cell r="B51" t="str">
            <v>Canada</v>
          </cell>
          <cell r="C51">
            <v>255</v>
          </cell>
          <cell r="D51">
            <v>4809.9193553699997</v>
          </cell>
        </row>
        <row r="52">
          <cell r="B52" t="str">
            <v>Vương quốc Anh</v>
          </cell>
          <cell r="C52">
            <v>546</v>
          </cell>
          <cell r="D52">
            <v>4281.40660587</v>
          </cell>
        </row>
        <row r="53">
          <cell r="B53" t="str">
            <v>Pháp</v>
          </cell>
          <cell r="C53">
            <v>674</v>
          </cell>
          <cell r="D53">
            <v>3811.8481700000002</v>
          </cell>
        </row>
        <row r="54">
          <cell r="B54" t="str">
            <v>Luxembourg</v>
          </cell>
          <cell r="C54">
            <v>61</v>
          </cell>
          <cell r="D54">
            <v>2617.1178500000001</v>
          </cell>
        </row>
        <row r="55">
          <cell r="B55" t="str">
            <v>CHLB Đức</v>
          </cell>
          <cell r="C55">
            <v>462</v>
          </cell>
          <cell r="D55">
            <v>2564.9309976399995</v>
          </cell>
        </row>
        <row r="56">
          <cell r="B56" t="str">
            <v>Seychelles</v>
          </cell>
          <cell r="C56">
            <v>303</v>
          </cell>
          <cell r="D56">
            <v>2162.9335873200002</v>
          </cell>
        </row>
        <row r="57">
          <cell r="B57" t="str">
            <v>Australia</v>
          </cell>
          <cell r="C57">
            <v>615</v>
          </cell>
          <cell r="D57">
            <v>2021.7901020199999</v>
          </cell>
        </row>
        <row r="58">
          <cell r="B58" t="str">
            <v>Đan Mạch</v>
          </cell>
          <cell r="C58">
            <v>166</v>
          </cell>
          <cell r="D58">
            <v>1979.793979</v>
          </cell>
        </row>
        <row r="59">
          <cell r="B59" t="str">
            <v>Thụy Sỹ</v>
          </cell>
          <cell r="C59">
            <v>209</v>
          </cell>
          <cell r="D59">
            <v>1909.6982657799999</v>
          </cell>
        </row>
        <row r="60">
          <cell r="B60" t="str">
            <v>Bỉ</v>
          </cell>
          <cell r="C60">
            <v>93</v>
          </cell>
          <cell r="D60">
            <v>1099.2880772999999</v>
          </cell>
        </row>
        <row r="61">
          <cell r="B61" t="str">
            <v>Ấn Độ</v>
          </cell>
          <cell r="C61">
            <v>383</v>
          </cell>
          <cell r="D61">
            <v>1070.3697053800001</v>
          </cell>
        </row>
        <row r="62">
          <cell r="B62" t="str">
            <v>British West Indies</v>
          </cell>
          <cell r="C62">
            <v>21</v>
          </cell>
          <cell r="D62">
            <v>987.65800000000002</v>
          </cell>
        </row>
        <row r="63">
          <cell r="B63" t="str">
            <v>Thổ Nhĩ Kỳ</v>
          </cell>
          <cell r="C63">
            <v>36</v>
          </cell>
          <cell r="D63">
            <v>974.29347249</v>
          </cell>
        </row>
        <row r="64">
          <cell r="B64" t="str">
            <v>Liên bang Nga</v>
          </cell>
          <cell r="C64">
            <v>184</v>
          </cell>
          <cell r="D64">
            <v>971.77842986999997</v>
          </cell>
        </row>
        <row r="65">
          <cell r="B65" t="str">
            <v>Brunei Darussalam</v>
          </cell>
          <cell r="C65">
            <v>156</v>
          </cell>
          <cell r="D65">
            <v>949.81889799999999</v>
          </cell>
        </row>
        <row r="66">
          <cell r="B66" t="str">
            <v>Thụy Điển</v>
          </cell>
          <cell r="C66">
            <v>106</v>
          </cell>
          <cell r="D66">
            <v>722.13024399999995</v>
          </cell>
        </row>
        <row r="67">
          <cell r="B67" t="str">
            <v>Indonesia</v>
          </cell>
          <cell r="C67">
            <v>119</v>
          </cell>
          <cell r="D67">
            <v>646.56396486000006</v>
          </cell>
        </row>
        <row r="68">
          <cell r="B68" t="str">
            <v>Philippines</v>
          </cell>
          <cell r="C68">
            <v>93</v>
          </cell>
          <cell r="D68">
            <v>607.55639280999992</v>
          </cell>
        </row>
        <row r="69">
          <cell r="B69" t="str">
            <v>Bermuda</v>
          </cell>
          <cell r="C69">
            <v>13</v>
          </cell>
          <cell r="D69">
            <v>587.43466699999999</v>
          </cell>
        </row>
        <row r="70">
          <cell r="B70" t="str">
            <v>Italia</v>
          </cell>
          <cell r="C70">
            <v>147</v>
          </cell>
          <cell r="D70">
            <v>514.12705562999997</v>
          </cell>
        </row>
        <row r="71">
          <cell r="B71" t="str">
            <v>Cộng Hòa Síp</v>
          </cell>
          <cell r="C71">
            <v>27</v>
          </cell>
          <cell r="D71">
            <v>469.59490699999998</v>
          </cell>
        </row>
        <row r="72">
          <cell r="B72" t="str">
            <v>Mauritius</v>
          </cell>
          <cell r="C72">
            <v>64</v>
          </cell>
          <cell r="D72">
            <v>436.34775300000001</v>
          </cell>
        </row>
        <row r="73">
          <cell r="B73" t="str">
            <v>Ba Lan</v>
          </cell>
          <cell r="C73">
            <v>31</v>
          </cell>
          <cell r="D73">
            <v>422.99416400000001</v>
          </cell>
        </row>
        <row r="74">
          <cell r="B74" t="str">
            <v>Marshall Islands</v>
          </cell>
          <cell r="C74">
            <v>23</v>
          </cell>
          <cell r="D74">
            <v>340.35158899999999</v>
          </cell>
        </row>
        <row r="75">
          <cell r="B75" t="str">
            <v>Belize</v>
          </cell>
          <cell r="C75">
            <v>34</v>
          </cell>
          <cell r="D75">
            <v>302.69260300000002</v>
          </cell>
        </row>
        <row r="76">
          <cell r="B76" t="str">
            <v>New Zealand</v>
          </cell>
          <cell r="C76">
            <v>51</v>
          </cell>
          <cell r="D76">
            <v>208.32735</v>
          </cell>
        </row>
        <row r="77">
          <cell r="B77" t="str">
            <v>Nauy</v>
          </cell>
          <cell r="C77">
            <v>56</v>
          </cell>
          <cell r="D77">
            <v>193.75400300000001</v>
          </cell>
        </row>
        <row r="78">
          <cell r="B78" t="str">
            <v>Ma Cao</v>
          </cell>
          <cell r="C78">
            <v>18</v>
          </cell>
          <cell r="D78">
            <v>193.468389</v>
          </cell>
        </row>
        <row r="79">
          <cell r="B79" t="str">
            <v>Anguilla</v>
          </cell>
          <cell r="C79">
            <v>24</v>
          </cell>
          <cell r="D79">
            <v>180.09</v>
          </cell>
        </row>
        <row r="80">
          <cell r="B80" t="str">
            <v>Cook Islands</v>
          </cell>
          <cell r="C80">
            <v>2</v>
          </cell>
          <cell r="D80">
            <v>172</v>
          </cell>
        </row>
        <row r="81">
          <cell r="B81" t="str">
            <v>Israel</v>
          </cell>
          <cell r="C81">
            <v>41</v>
          </cell>
          <cell r="D81">
            <v>151.12897699999999</v>
          </cell>
        </row>
        <row r="82">
          <cell r="B82" t="str">
            <v>Áo</v>
          </cell>
          <cell r="C82">
            <v>43</v>
          </cell>
          <cell r="D82">
            <v>150.147333</v>
          </cell>
        </row>
        <row r="83">
          <cell r="B83" t="str">
            <v>Tây Ban Nha</v>
          </cell>
          <cell r="C83">
            <v>92</v>
          </cell>
          <cell r="D83">
            <v>143.683717</v>
          </cell>
        </row>
        <row r="84">
          <cell r="B84" t="str">
            <v>Slovakia</v>
          </cell>
          <cell r="C84">
            <v>16</v>
          </cell>
          <cell r="D84">
            <v>140.88177400000001</v>
          </cell>
        </row>
        <row r="85">
          <cell r="B85" t="str">
            <v>Angola</v>
          </cell>
          <cell r="C85">
            <v>4</v>
          </cell>
          <cell r="D85">
            <v>118.4</v>
          </cell>
        </row>
        <row r="86">
          <cell r="B86" t="str">
            <v>Bahamas</v>
          </cell>
          <cell r="C86">
            <v>8</v>
          </cell>
          <cell r="D86">
            <v>106.313075</v>
          </cell>
        </row>
        <row r="87">
          <cell r="B87" t="str">
            <v>Cộng hòa Séc</v>
          </cell>
          <cell r="C87">
            <v>41</v>
          </cell>
          <cell r="D87">
            <v>92.383690000000001</v>
          </cell>
        </row>
        <row r="88">
          <cell r="B88" t="str">
            <v>Hungary</v>
          </cell>
          <cell r="C88">
            <v>22</v>
          </cell>
          <cell r="D88">
            <v>72.281854999999993</v>
          </cell>
        </row>
        <row r="89">
          <cell r="B89" t="str">
            <v>Các tiểu vương quốc Ả Rập thống nhất</v>
          </cell>
          <cell r="C89">
            <v>38</v>
          </cell>
          <cell r="D89">
            <v>71.410589000000002</v>
          </cell>
        </row>
        <row r="90">
          <cell r="B90" t="str">
            <v>Lào</v>
          </cell>
          <cell r="C90">
            <v>10</v>
          </cell>
          <cell r="D90">
            <v>71.108528000000007</v>
          </cell>
        </row>
        <row r="91">
          <cell r="B91" t="str">
            <v>Campuchia</v>
          </cell>
          <cell r="C91">
            <v>31</v>
          </cell>
          <cell r="D91">
            <v>69.855048999999994</v>
          </cell>
        </row>
        <row r="92">
          <cell r="B92" t="str">
            <v>Ecuador</v>
          </cell>
          <cell r="C92">
            <v>4</v>
          </cell>
          <cell r="D92">
            <v>56.703420000000001</v>
          </cell>
        </row>
        <row r="93">
          <cell r="B93" t="str">
            <v>Panama</v>
          </cell>
          <cell r="C93">
            <v>14</v>
          </cell>
          <cell r="D93">
            <v>52.49</v>
          </cell>
        </row>
        <row r="94">
          <cell r="B94" t="str">
            <v>Saint Vincent and the Grenadines</v>
          </cell>
          <cell r="C94">
            <v>4</v>
          </cell>
          <cell r="D94">
            <v>47.6</v>
          </cell>
        </row>
        <row r="95">
          <cell r="B95" t="str">
            <v>Swaziland</v>
          </cell>
          <cell r="C95">
            <v>1</v>
          </cell>
          <cell r="D95">
            <v>45</v>
          </cell>
        </row>
        <row r="96">
          <cell r="B96" t="str">
            <v>Ireland</v>
          </cell>
          <cell r="C96">
            <v>40</v>
          </cell>
          <cell r="D96">
            <v>44.122746579999998</v>
          </cell>
        </row>
        <row r="97">
          <cell r="B97" t="str">
            <v>Sri Lanka</v>
          </cell>
          <cell r="C97">
            <v>30</v>
          </cell>
          <cell r="D97">
            <v>42.918663799999997</v>
          </cell>
        </row>
        <row r="98">
          <cell r="B98" t="str">
            <v>United States Virgin Islands</v>
          </cell>
          <cell r="C98">
            <v>4</v>
          </cell>
          <cell r="D98">
            <v>42.423756210000001</v>
          </cell>
        </row>
        <row r="99">
          <cell r="B99" t="str">
            <v>Kenya</v>
          </cell>
          <cell r="C99">
            <v>1</v>
          </cell>
          <cell r="D99">
            <v>40.772531999999998</v>
          </cell>
        </row>
        <row r="100">
          <cell r="B100" t="str">
            <v>Saint Kitts and Nevis</v>
          </cell>
          <cell r="C100">
            <v>4</v>
          </cell>
          <cell r="D100">
            <v>39.905000000000001</v>
          </cell>
        </row>
        <row r="101">
          <cell r="B101" t="str">
            <v>Channel Islands</v>
          </cell>
          <cell r="C101">
            <v>9</v>
          </cell>
          <cell r="D101">
            <v>38.076000000000001</v>
          </cell>
        </row>
        <row r="102">
          <cell r="B102" t="str">
            <v>Isle of Man</v>
          </cell>
          <cell r="C102">
            <v>1</v>
          </cell>
          <cell r="D102">
            <v>35</v>
          </cell>
        </row>
        <row r="103">
          <cell r="B103" t="str">
            <v>Pakistan</v>
          </cell>
          <cell r="C103">
            <v>69</v>
          </cell>
          <cell r="D103">
            <v>34.435094999999997</v>
          </cell>
        </row>
        <row r="104">
          <cell r="B104" t="str">
            <v>Belarus</v>
          </cell>
          <cell r="C104">
            <v>3</v>
          </cell>
          <cell r="D104">
            <v>32.252552000000001</v>
          </cell>
        </row>
        <row r="105">
          <cell r="B105" t="str">
            <v>Bulgaria</v>
          </cell>
          <cell r="C105">
            <v>14</v>
          </cell>
          <cell r="D105">
            <v>31.320467000000001</v>
          </cell>
        </row>
        <row r="106">
          <cell r="B106" t="str">
            <v>Ukraina</v>
          </cell>
          <cell r="C106">
            <v>27</v>
          </cell>
          <cell r="D106">
            <v>30.48178901</v>
          </cell>
        </row>
        <row r="107">
          <cell r="B107" t="str">
            <v>Irắc</v>
          </cell>
          <cell r="C107">
            <v>6</v>
          </cell>
          <cell r="D107">
            <v>27.283180999999999</v>
          </cell>
        </row>
        <row r="108">
          <cell r="B108" t="str">
            <v>Phần Lan</v>
          </cell>
          <cell r="C108">
            <v>34</v>
          </cell>
          <cell r="D108">
            <v>24.439590940000002</v>
          </cell>
        </row>
        <row r="109">
          <cell r="B109" t="str">
            <v>Armenia</v>
          </cell>
          <cell r="C109">
            <v>4</v>
          </cell>
          <cell r="D109">
            <v>22.58</v>
          </cell>
        </row>
        <row r="110">
          <cell r="B110" t="str">
            <v>El Salvador</v>
          </cell>
          <cell r="C110">
            <v>2</v>
          </cell>
          <cell r="D110">
            <v>22.5</v>
          </cell>
        </row>
        <row r="111">
          <cell r="B111" t="str">
            <v>Lithuania</v>
          </cell>
          <cell r="C111">
            <v>9</v>
          </cell>
          <cell r="D111">
            <v>21.118303000000001</v>
          </cell>
        </row>
        <row r="112">
          <cell r="B112" t="str">
            <v>Oman</v>
          </cell>
          <cell r="C112">
            <v>3</v>
          </cell>
          <cell r="D112">
            <v>20.774493</v>
          </cell>
        </row>
        <row r="113">
          <cell r="B113" t="str">
            <v>Iceland</v>
          </cell>
          <cell r="C113">
            <v>3</v>
          </cell>
          <cell r="D113">
            <v>20.315000000000001</v>
          </cell>
        </row>
        <row r="114">
          <cell r="B114" t="str">
            <v>Costa Rica</v>
          </cell>
          <cell r="C114">
            <v>4</v>
          </cell>
          <cell r="D114">
            <v>16.598061999999999</v>
          </cell>
        </row>
        <row r="115">
          <cell r="B115" t="str">
            <v>Island of Nevis</v>
          </cell>
          <cell r="C115">
            <v>2</v>
          </cell>
          <cell r="D115">
            <v>10.278</v>
          </cell>
        </row>
        <row r="116">
          <cell r="B116" t="str">
            <v>Ả Rập Xê Út</v>
          </cell>
          <cell r="C116">
            <v>7</v>
          </cell>
          <cell r="D116">
            <v>8.2663989999999998</v>
          </cell>
        </row>
        <row r="117">
          <cell r="B117" t="str">
            <v>Dominica</v>
          </cell>
          <cell r="C117">
            <v>2</v>
          </cell>
          <cell r="D117">
            <v>8.0431500000000007</v>
          </cell>
        </row>
        <row r="118">
          <cell r="B118" t="str">
            <v>Cu Ba</v>
          </cell>
          <cell r="C118">
            <v>4</v>
          </cell>
          <cell r="D118">
            <v>7.0309999999999997</v>
          </cell>
        </row>
        <row r="119">
          <cell r="B119" t="str">
            <v>Liechtenstein</v>
          </cell>
          <cell r="C119">
            <v>1</v>
          </cell>
          <cell r="D119">
            <v>4</v>
          </cell>
        </row>
        <row r="120">
          <cell r="B120" t="str">
            <v>Nigeria</v>
          </cell>
          <cell r="C120">
            <v>40</v>
          </cell>
          <cell r="D120">
            <v>3.8912499999999999</v>
          </cell>
        </row>
        <row r="121">
          <cell r="B121" t="str">
            <v>Brazil</v>
          </cell>
          <cell r="C121">
            <v>6</v>
          </cell>
          <cell r="D121">
            <v>3.8275060000000001</v>
          </cell>
        </row>
        <row r="122">
          <cell r="B122" t="str">
            <v>Andorra</v>
          </cell>
          <cell r="C122">
            <v>1</v>
          </cell>
          <cell r="D122">
            <v>3.8</v>
          </cell>
        </row>
        <row r="123">
          <cell r="B123" t="str">
            <v>Qatar</v>
          </cell>
          <cell r="C123">
            <v>1</v>
          </cell>
          <cell r="D123">
            <v>3.225806</v>
          </cell>
        </row>
        <row r="124">
          <cell r="B124" t="str">
            <v>Guatemala</v>
          </cell>
          <cell r="C124">
            <v>4</v>
          </cell>
          <cell r="D124">
            <v>3.2161849999999998</v>
          </cell>
        </row>
        <row r="125">
          <cell r="B125" t="str">
            <v>Turks &amp; Caicos Islands</v>
          </cell>
          <cell r="C125">
            <v>2</v>
          </cell>
          <cell r="D125">
            <v>3.1</v>
          </cell>
        </row>
        <row r="126">
          <cell r="B126" t="str">
            <v>Ai Cập</v>
          </cell>
          <cell r="C126">
            <v>22</v>
          </cell>
          <cell r="D126">
            <v>2.8710100000000001</v>
          </cell>
        </row>
        <row r="127">
          <cell r="B127" t="str">
            <v>Barbados</v>
          </cell>
          <cell r="C127">
            <v>2</v>
          </cell>
          <cell r="D127">
            <v>2.75</v>
          </cell>
        </row>
        <row r="128">
          <cell r="B128" t="str">
            <v>Slovenia</v>
          </cell>
          <cell r="C128">
            <v>3</v>
          </cell>
          <cell r="D128">
            <v>2.27</v>
          </cell>
        </row>
        <row r="129">
          <cell r="B129" t="str">
            <v>Serbia</v>
          </cell>
          <cell r="C129">
            <v>2</v>
          </cell>
          <cell r="D129">
            <v>1.5845</v>
          </cell>
        </row>
        <row r="130">
          <cell r="B130" t="str">
            <v>Rumani</v>
          </cell>
          <cell r="C130">
            <v>5</v>
          </cell>
          <cell r="D130">
            <v>1.556643</v>
          </cell>
        </row>
        <row r="131">
          <cell r="B131" t="str">
            <v>Kuwait</v>
          </cell>
          <cell r="C131">
            <v>3</v>
          </cell>
          <cell r="D131">
            <v>1.4043000000000001</v>
          </cell>
        </row>
        <row r="132">
          <cell r="B132" t="str">
            <v>Syrian Arab Republic</v>
          </cell>
          <cell r="C132">
            <v>6</v>
          </cell>
          <cell r="D132">
            <v>1.2845420000000001</v>
          </cell>
        </row>
        <row r="133">
          <cell r="B133" t="str">
            <v>Albania</v>
          </cell>
          <cell r="C133">
            <v>1</v>
          </cell>
          <cell r="D133">
            <v>1.239743</v>
          </cell>
        </row>
        <row r="134">
          <cell r="B134" t="str">
            <v>CHDCND Triều Tiên</v>
          </cell>
          <cell r="C134">
            <v>5</v>
          </cell>
          <cell r="D134">
            <v>1.2</v>
          </cell>
        </row>
        <row r="135">
          <cell r="B135" t="str">
            <v>Mông Cổ</v>
          </cell>
          <cell r="C135">
            <v>4</v>
          </cell>
          <cell r="D135">
            <v>1.1100000000000001</v>
          </cell>
        </row>
        <row r="136">
          <cell r="B136" t="str">
            <v>Ma rốc</v>
          </cell>
          <cell r="C136">
            <v>3</v>
          </cell>
          <cell r="D136">
            <v>1.07</v>
          </cell>
        </row>
        <row r="137">
          <cell r="B137" t="str">
            <v>Ghana</v>
          </cell>
          <cell r="C137">
            <v>2</v>
          </cell>
          <cell r="D137">
            <v>1.0149999999999999</v>
          </cell>
        </row>
        <row r="138">
          <cell r="B138" t="str">
            <v>Jordan</v>
          </cell>
          <cell r="C138">
            <v>5</v>
          </cell>
          <cell r="D138">
            <v>1.003787</v>
          </cell>
        </row>
        <row r="139">
          <cell r="B139" t="str">
            <v>Myanmar</v>
          </cell>
          <cell r="C139">
            <v>4</v>
          </cell>
          <cell r="D139">
            <v>0.95206999999999997</v>
          </cell>
        </row>
        <row r="140">
          <cell r="B140" t="str">
            <v>Bangladesh</v>
          </cell>
          <cell r="C140">
            <v>19</v>
          </cell>
          <cell r="D140">
            <v>0.94168799999999997</v>
          </cell>
        </row>
        <row r="141">
          <cell r="B141" t="str">
            <v>Libăng</v>
          </cell>
          <cell r="C141">
            <v>8</v>
          </cell>
          <cell r="D141">
            <v>0.82611859999999993</v>
          </cell>
        </row>
        <row r="142">
          <cell r="B142" t="str">
            <v>Malta</v>
          </cell>
          <cell r="C142">
            <v>3</v>
          </cell>
          <cell r="D142">
            <v>0.71</v>
          </cell>
        </row>
        <row r="143">
          <cell r="B143" t="str">
            <v>Nam Phi</v>
          </cell>
          <cell r="C143">
            <v>19</v>
          </cell>
          <cell r="D143">
            <v>0.62115200000000004</v>
          </cell>
        </row>
        <row r="144">
          <cell r="B144" t="str">
            <v>Kazakhstan</v>
          </cell>
          <cell r="C144">
            <v>6</v>
          </cell>
          <cell r="D144">
            <v>0.56370699999999996</v>
          </cell>
        </row>
        <row r="145">
          <cell r="B145" t="str">
            <v>Venezuela</v>
          </cell>
          <cell r="C145">
            <v>3</v>
          </cell>
          <cell r="D145">
            <v>0.52214300000000002</v>
          </cell>
        </row>
        <row r="146">
          <cell r="B146" t="str">
            <v>Guam</v>
          </cell>
          <cell r="C146">
            <v>1</v>
          </cell>
          <cell r="D146">
            <v>0.5</v>
          </cell>
        </row>
        <row r="147">
          <cell r="B147" t="str">
            <v>Afghanistan</v>
          </cell>
          <cell r="C147">
            <v>5</v>
          </cell>
          <cell r="D147">
            <v>0.43293700000000002</v>
          </cell>
        </row>
        <row r="148">
          <cell r="B148" t="str">
            <v>Nepal</v>
          </cell>
          <cell r="C148">
            <v>5</v>
          </cell>
          <cell r="D148">
            <v>0.34545500000000001</v>
          </cell>
        </row>
        <row r="149">
          <cell r="B149" t="str">
            <v>Mali</v>
          </cell>
          <cell r="C149">
            <v>2</v>
          </cell>
          <cell r="D149">
            <v>0.32</v>
          </cell>
        </row>
        <row r="150">
          <cell r="B150" t="str">
            <v>Sudan</v>
          </cell>
          <cell r="C150">
            <v>3</v>
          </cell>
          <cell r="D150">
            <v>0.31282902000000001</v>
          </cell>
        </row>
        <row r="151">
          <cell r="B151" t="str">
            <v>Antigua and Barbuda</v>
          </cell>
          <cell r="C151">
            <v>2</v>
          </cell>
          <cell r="D151">
            <v>0.30685699999999999</v>
          </cell>
        </row>
        <row r="152">
          <cell r="B152" t="str">
            <v>Chile</v>
          </cell>
          <cell r="C152">
            <v>4</v>
          </cell>
          <cell r="D152">
            <v>0.29499999999999998</v>
          </cell>
        </row>
        <row r="153">
          <cell r="B153" t="str">
            <v>Estonia</v>
          </cell>
          <cell r="C153">
            <v>5</v>
          </cell>
          <cell r="D153">
            <v>0.27500000000000002</v>
          </cell>
        </row>
        <row r="154">
          <cell r="B154" t="str">
            <v>Libya</v>
          </cell>
          <cell r="C154">
            <v>3</v>
          </cell>
          <cell r="D154">
            <v>0.247</v>
          </cell>
        </row>
        <row r="155">
          <cell r="B155" t="str">
            <v>Maldives</v>
          </cell>
          <cell r="C155">
            <v>1</v>
          </cell>
          <cell r="D155">
            <v>0.22500000000000001</v>
          </cell>
        </row>
        <row r="156">
          <cell r="B156" t="str">
            <v>Monaco</v>
          </cell>
          <cell r="C156">
            <v>1</v>
          </cell>
          <cell r="D156">
            <v>0.21</v>
          </cell>
        </row>
        <row r="157">
          <cell r="B157" t="str">
            <v>Cameroon</v>
          </cell>
          <cell r="C157">
            <v>5</v>
          </cell>
          <cell r="D157">
            <v>0.202795</v>
          </cell>
        </row>
        <row r="158">
          <cell r="B158" t="str">
            <v>Mexico</v>
          </cell>
          <cell r="C158">
            <v>5</v>
          </cell>
          <cell r="D158">
            <v>0.19290499999999999</v>
          </cell>
        </row>
        <row r="159">
          <cell r="B159" t="str">
            <v>Yemen</v>
          </cell>
          <cell r="C159">
            <v>4</v>
          </cell>
          <cell r="D159">
            <v>0.17447299999999999</v>
          </cell>
        </row>
        <row r="160">
          <cell r="B160" t="str">
            <v>Argentina</v>
          </cell>
          <cell r="C160">
            <v>5</v>
          </cell>
          <cell r="D160">
            <v>0.15781999999999999</v>
          </cell>
        </row>
        <row r="161">
          <cell r="B161" t="str">
            <v>Grenada</v>
          </cell>
          <cell r="C161">
            <v>1</v>
          </cell>
          <cell r="D161">
            <v>0.14893600000000001</v>
          </cell>
        </row>
        <row r="162">
          <cell r="B162" t="str">
            <v>Uruguay</v>
          </cell>
          <cell r="C162">
            <v>2</v>
          </cell>
          <cell r="D162">
            <v>0.14291799999999999</v>
          </cell>
        </row>
        <row r="163">
          <cell r="B163" t="str">
            <v>Iran (Islamic Republic of)</v>
          </cell>
          <cell r="C163">
            <v>9</v>
          </cell>
          <cell r="D163">
            <v>0.13753014999999999</v>
          </cell>
        </row>
        <row r="164">
          <cell r="B164" t="str">
            <v>Palestine</v>
          </cell>
          <cell r="C164">
            <v>2</v>
          </cell>
          <cell r="D164">
            <v>0.129</v>
          </cell>
        </row>
        <row r="165">
          <cell r="B165" t="str">
            <v>Hy Lạp</v>
          </cell>
          <cell r="C165">
            <v>6</v>
          </cell>
          <cell r="D165">
            <v>0.11526</v>
          </cell>
        </row>
        <row r="166">
          <cell r="B166" t="str">
            <v>Honduras</v>
          </cell>
          <cell r="C166">
            <v>1</v>
          </cell>
          <cell r="D166">
            <v>0.1</v>
          </cell>
        </row>
        <row r="167">
          <cell r="B167" t="str">
            <v>British Isles</v>
          </cell>
          <cell r="C167">
            <v>1</v>
          </cell>
          <cell r="D167">
            <v>0.1</v>
          </cell>
        </row>
        <row r="168">
          <cell r="B168" t="str">
            <v>Latvia</v>
          </cell>
          <cell r="C168">
            <v>2</v>
          </cell>
          <cell r="D168">
            <v>9.7000000000000003E-2</v>
          </cell>
        </row>
        <row r="169">
          <cell r="B169" t="str">
            <v>Uganda</v>
          </cell>
          <cell r="C169">
            <v>3</v>
          </cell>
          <cell r="D169">
            <v>8.9399999999999993E-2</v>
          </cell>
        </row>
        <row r="170">
          <cell r="B170" t="str">
            <v>Bồ Đào Nha</v>
          </cell>
          <cell r="C170">
            <v>2</v>
          </cell>
          <cell r="D170">
            <v>8.8900000000000007E-2</v>
          </cell>
        </row>
        <row r="171">
          <cell r="B171" t="str">
            <v>Turkmenistan</v>
          </cell>
          <cell r="C171">
            <v>1</v>
          </cell>
          <cell r="D171">
            <v>7.0935999999999999E-2</v>
          </cell>
        </row>
        <row r="172">
          <cell r="B172" t="str">
            <v>Sierra Leone</v>
          </cell>
          <cell r="C172">
            <v>1</v>
          </cell>
          <cell r="D172">
            <v>3.3184999999999999E-2</v>
          </cell>
        </row>
        <row r="173">
          <cell r="B173" t="str">
            <v>Congo</v>
          </cell>
          <cell r="C173">
            <v>1</v>
          </cell>
          <cell r="D173">
            <v>2.4464E-2</v>
          </cell>
        </row>
        <row r="174">
          <cell r="B174" t="str">
            <v>Djibouti</v>
          </cell>
          <cell r="C174">
            <v>1</v>
          </cell>
          <cell r="D174">
            <v>0.02</v>
          </cell>
        </row>
        <row r="175">
          <cell r="B175" t="str">
            <v>Vanuatu</v>
          </cell>
          <cell r="C175">
            <v>1</v>
          </cell>
          <cell r="D175">
            <v>0.01</v>
          </cell>
        </row>
        <row r="176">
          <cell r="B176" t="str">
            <v>Lesotho</v>
          </cell>
          <cell r="C176">
            <v>1</v>
          </cell>
          <cell r="D176">
            <v>0.01</v>
          </cell>
        </row>
        <row r="177">
          <cell r="B177" t="str">
            <v>Guinea</v>
          </cell>
          <cell r="C177">
            <v>1</v>
          </cell>
          <cell r="D177">
            <v>0.01</v>
          </cell>
        </row>
        <row r="178">
          <cell r="B178" t="str">
            <v>Ethiopia</v>
          </cell>
          <cell r="C178">
            <v>1</v>
          </cell>
          <cell r="D178">
            <v>0.01</v>
          </cell>
        </row>
        <row r="179">
          <cell r="B179" t="str">
            <v>Republic of Moldova</v>
          </cell>
          <cell r="C179">
            <v>1</v>
          </cell>
          <cell r="D179">
            <v>5.2859999999999999E-3</v>
          </cell>
        </row>
        <row r="180">
          <cell r="B180" t="str">
            <v>Guernsey</v>
          </cell>
          <cell r="C180">
            <v>1</v>
          </cell>
          <cell r="D180">
            <v>5.0000000000000001E-3</v>
          </cell>
        </row>
        <row r="181">
          <cell r="B181" t="str">
            <v>Colombia</v>
          </cell>
          <cell r="C181">
            <v>1</v>
          </cell>
          <cell r="D181">
            <v>5.0000000000000001E-3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6"/>
  <sheetViews>
    <sheetView topLeftCell="A8" workbookViewId="0">
      <selection activeCell="I15" sqref="I15"/>
    </sheetView>
  </sheetViews>
  <sheetFormatPr defaultColWidth="9.140625" defaultRowHeight="15"/>
  <cols>
    <col min="1" max="1" width="6.140625" style="52" customWidth="1"/>
    <col min="2" max="2" width="32.28515625" style="52" customWidth="1"/>
    <col min="3" max="3" width="16.5703125" style="52" customWidth="1"/>
    <col min="4" max="4" width="16.28515625" style="54" customWidth="1"/>
    <col min="5" max="5" width="16.28515625" style="55" customWidth="1"/>
    <col min="6" max="6" width="16.28515625" style="57" customWidth="1"/>
    <col min="7" max="9" width="9.140625" style="52"/>
    <col min="10" max="10" width="10.28515625" style="52" bestFit="1" customWidth="1"/>
    <col min="11" max="12" width="9.140625" style="52"/>
    <col min="13" max="13" width="13.140625" style="52" bestFit="1" customWidth="1"/>
    <col min="14" max="14" width="9.140625" style="52"/>
    <col min="15" max="15" width="9.42578125" style="52" bestFit="1" customWidth="1"/>
    <col min="16" max="16384" width="9.140625" style="52"/>
  </cols>
  <sheetData>
    <row r="1" spans="1:15" hidden="1">
      <c r="A1" s="196" t="s">
        <v>270</v>
      </c>
      <c r="B1" s="196"/>
      <c r="C1" s="196"/>
      <c r="D1" s="196"/>
      <c r="E1" s="196"/>
      <c r="F1" s="196"/>
    </row>
    <row r="2" spans="1:15">
      <c r="A2" s="53"/>
      <c r="B2" s="53"/>
      <c r="C2" s="53"/>
      <c r="D2" s="53"/>
      <c r="E2" s="53"/>
      <c r="F2" s="53"/>
    </row>
    <row r="3" spans="1:15">
      <c r="A3" s="22" t="s">
        <v>0</v>
      </c>
      <c r="F3" s="56" t="s">
        <v>321</v>
      </c>
    </row>
    <row r="4" spans="1:15">
      <c r="J4" s="186">
        <f>26.7-13.7</f>
        <v>13</v>
      </c>
    </row>
    <row r="5" spans="1:15" ht="18.75">
      <c r="A5" s="193" t="s">
        <v>320</v>
      </c>
      <c r="B5" s="193"/>
      <c r="C5" s="193"/>
      <c r="D5" s="193"/>
      <c r="E5" s="193"/>
      <c r="F5" s="193"/>
      <c r="K5" s="52">
        <f>12693/E10*100</f>
        <v>43.996670359641961</v>
      </c>
    </row>
    <row r="6" spans="1:15" ht="18.75">
      <c r="A6" s="197"/>
      <c r="B6" s="197"/>
      <c r="C6" s="197"/>
      <c r="D6" s="197"/>
      <c r="E6" s="197"/>
      <c r="F6" s="197"/>
    </row>
    <row r="7" spans="1:15" ht="15.75" thickBot="1"/>
    <row r="8" spans="1:15" s="62" customFormat="1" ht="29.25" thickTop="1">
      <c r="A8" s="58" t="s">
        <v>1</v>
      </c>
      <c r="B8" s="59" t="s">
        <v>2</v>
      </c>
      <c r="C8" s="59" t="s">
        <v>3</v>
      </c>
      <c r="D8" s="60" t="s">
        <v>322</v>
      </c>
      <c r="E8" s="60" t="s">
        <v>323</v>
      </c>
      <c r="F8" s="61" t="s">
        <v>4</v>
      </c>
      <c r="J8" s="191">
        <f>14.7-7.7</f>
        <v>6.9999999999999991</v>
      </c>
      <c r="M8" s="62">
        <f>E13/E17</f>
        <v>1.8852367389829428</v>
      </c>
    </row>
    <row r="9" spans="1:15" s="169" customFormat="1">
      <c r="A9" s="165">
        <v>1</v>
      </c>
      <c r="B9" s="166" t="s">
        <v>5</v>
      </c>
      <c r="C9" s="65" t="s">
        <v>6</v>
      </c>
      <c r="D9" s="66">
        <v>19684.2</v>
      </c>
      <c r="E9" s="66">
        <v>20250</v>
      </c>
      <c r="F9" s="67">
        <f>E9/D9</f>
        <v>1.0287438656384307</v>
      </c>
      <c r="J9" s="185">
        <f>100%-F9</f>
        <v>-2.8743865638430677E-2</v>
      </c>
      <c r="M9" s="169">
        <f>D13/D17</f>
        <v>1.2365589962037595</v>
      </c>
    </row>
    <row r="10" spans="1:15" s="169" customFormat="1">
      <c r="A10" s="165">
        <v>2</v>
      </c>
      <c r="B10" s="166" t="s">
        <v>7</v>
      </c>
      <c r="C10" s="65" t="s">
        <v>6</v>
      </c>
      <c r="D10" s="69">
        <v>25135.242043358747</v>
      </c>
      <c r="E10" s="69">
        <f>E11+E12+E13</f>
        <v>28849.910450594594</v>
      </c>
      <c r="F10" s="70">
        <f>E10/D10</f>
        <v>1.147787254279389</v>
      </c>
      <c r="H10" s="80"/>
      <c r="J10" s="185">
        <f t="shared" ref="J10:J22" si="0">100%-F10</f>
        <v>-0.14778725427938899</v>
      </c>
    </row>
    <row r="11" spans="1:15" s="68" customFormat="1">
      <c r="A11" s="63" t="s">
        <v>8</v>
      </c>
      <c r="B11" s="64" t="s">
        <v>9</v>
      </c>
      <c r="C11" s="65" t="s">
        <v>6</v>
      </c>
      <c r="D11" s="69">
        <v>11521.124461189995</v>
      </c>
      <c r="E11" s="69">
        <f>'Thang 11 2023'!D27</f>
        <v>16410.342054889996</v>
      </c>
      <c r="F11" s="70">
        <f>E11/D11</f>
        <v>1.4243698269357123</v>
      </c>
      <c r="J11" s="185">
        <f t="shared" si="0"/>
        <v>-0.42436982693571235</v>
      </c>
      <c r="O11" s="68">
        <f>1129/E15*100</f>
        <v>39.406631762652708</v>
      </c>
    </row>
    <row r="12" spans="1:15" s="68" customFormat="1">
      <c r="A12" s="63" t="s">
        <v>10</v>
      </c>
      <c r="B12" s="64" t="s">
        <v>11</v>
      </c>
      <c r="C12" s="65" t="s">
        <v>6</v>
      </c>
      <c r="D12" s="69">
        <v>9535.9460126887516</v>
      </c>
      <c r="E12" s="69">
        <f>'Thang 11 2023'!F27</f>
        <v>6470.9088800846002</v>
      </c>
      <c r="F12" s="70">
        <f t="shared" ref="F12:F21" si="1">E12/D12</f>
        <v>0.67858069576676072</v>
      </c>
      <c r="H12" s="96"/>
      <c r="J12" s="185">
        <f t="shared" si="0"/>
        <v>0.32141930423323928</v>
      </c>
      <c r="O12" s="68" t="e">
        <f>211.811/M8E11*100</f>
        <v>#NAME?</v>
      </c>
    </row>
    <row r="13" spans="1:15" s="68" customFormat="1">
      <c r="A13" s="63" t="s">
        <v>12</v>
      </c>
      <c r="B13" s="64" t="s">
        <v>13</v>
      </c>
      <c r="C13" s="65" t="s">
        <v>6</v>
      </c>
      <c r="D13" s="69">
        <v>4078.1715694799991</v>
      </c>
      <c r="E13" s="69">
        <f>'Thang 11 2023'!H27</f>
        <v>5968.6595156199965</v>
      </c>
      <c r="F13" s="70">
        <f t="shared" si="1"/>
        <v>1.4635626319127741</v>
      </c>
      <c r="J13" s="185">
        <f t="shared" si="0"/>
        <v>-0.46356263191277414</v>
      </c>
      <c r="L13" s="68">
        <f>291.996/460.07*100</f>
        <v>63.467733171039185</v>
      </c>
    </row>
    <row r="14" spans="1:15" s="169" customFormat="1" ht="14.25">
      <c r="A14" s="165">
        <v>3</v>
      </c>
      <c r="B14" s="166" t="s">
        <v>14</v>
      </c>
      <c r="C14" s="167"/>
      <c r="D14" s="168"/>
      <c r="E14" s="168"/>
      <c r="F14" s="170" t="s">
        <v>283</v>
      </c>
      <c r="J14" s="185"/>
    </row>
    <row r="15" spans="1:15" s="68" customFormat="1">
      <c r="A15" s="63" t="s">
        <v>15</v>
      </c>
      <c r="B15" s="64" t="s">
        <v>16</v>
      </c>
      <c r="C15" s="65" t="s">
        <v>17</v>
      </c>
      <c r="D15" s="66">
        <v>1812</v>
      </c>
      <c r="E15" s="66">
        <f>'Thang 11 2023'!C27</f>
        <v>2865</v>
      </c>
      <c r="F15" s="70">
        <f t="shared" si="1"/>
        <v>1.5811258278145695</v>
      </c>
      <c r="J15" s="185">
        <f t="shared" si="0"/>
        <v>-0.58112582781456945</v>
      </c>
    </row>
    <row r="16" spans="1:15" s="68" customFormat="1">
      <c r="A16" s="63" t="s">
        <v>18</v>
      </c>
      <c r="B16" s="64" t="s">
        <v>19</v>
      </c>
      <c r="C16" s="65" t="s">
        <v>20</v>
      </c>
      <c r="D16" s="66">
        <v>994</v>
      </c>
      <c r="E16" s="66">
        <f>'Thang 11 2023'!E27</f>
        <v>1152</v>
      </c>
      <c r="F16" s="70">
        <f t="shared" si="1"/>
        <v>1.1589537223340041</v>
      </c>
      <c r="J16" s="185">
        <f t="shared" si="0"/>
        <v>-0.15895372233400407</v>
      </c>
      <c r="L16" s="68">
        <f>41.6-18.46</f>
        <v>23.14</v>
      </c>
    </row>
    <row r="17" spans="1:13" s="68" customFormat="1">
      <c r="A17" s="63" t="s">
        <v>21</v>
      </c>
      <c r="B17" s="64" t="s">
        <v>13</v>
      </c>
      <c r="C17" s="65" t="s">
        <v>20</v>
      </c>
      <c r="D17" s="66">
        <v>3298</v>
      </c>
      <c r="E17" s="66">
        <f>'Thang 11 2023'!G27</f>
        <v>3166</v>
      </c>
      <c r="F17" s="70">
        <f t="shared" si="1"/>
        <v>0.95997574287446941</v>
      </c>
      <c r="I17" s="73"/>
      <c r="J17" s="185">
        <f t="shared" si="0"/>
        <v>4.0024257125530593E-2</v>
      </c>
      <c r="M17" s="68">
        <f>100-95.7+4.5</f>
        <v>8.7999999999999972</v>
      </c>
    </row>
    <row r="18" spans="1:13" s="169" customFormat="1" ht="14.25" customHeight="1">
      <c r="A18" s="171">
        <v>4</v>
      </c>
      <c r="B18" s="172" t="s">
        <v>22</v>
      </c>
      <c r="C18" s="173"/>
      <c r="D18" s="174"/>
      <c r="E18" s="174"/>
      <c r="F18" s="175"/>
      <c r="J18" s="185">
        <f t="shared" si="0"/>
        <v>1</v>
      </c>
      <c r="M18" s="176">
        <f>1129/E15*100</f>
        <v>39.406631762652708</v>
      </c>
    </row>
    <row r="19" spans="1:13" s="68" customFormat="1" ht="14.25" customHeight="1">
      <c r="A19" s="63" t="s">
        <v>23</v>
      </c>
      <c r="B19" s="64" t="s">
        <v>24</v>
      </c>
      <c r="C19" s="65" t="s">
        <v>6</v>
      </c>
      <c r="D19" s="66">
        <v>254743</v>
      </c>
      <c r="E19" s="66">
        <v>237159</v>
      </c>
      <c r="F19" s="67">
        <f t="shared" si="1"/>
        <v>0.93097356944057341</v>
      </c>
      <c r="H19" s="73">
        <f>E19-E21</f>
        <v>45125</v>
      </c>
      <c r="I19" s="68">
        <f>285.58/452.7*100</f>
        <v>63.083719902805392</v>
      </c>
      <c r="J19" s="185">
        <f t="shared" si="0"/>
        <v>6.9026430559426588E-2</v>
      </c>
    </row>
    <row r="20" spans="1:13" s="68" customFormat="1" ht="14.25" customHeight="1">
      <c r="A20" s="63" t="s">
        <v>25</v>
      </c>
      <c r="B20" s="64" t="s">
        <v>26</v>
      </c>
      <c r="C20" s="65" t="s">
        <v>6</v>
      </c>
      <c r="D20" s="66">
        <v>252683</v>
      </c>
      <c r="E20" s="66">
        <v>235416</v>
      </c>
      <c r="F20" s="67">
        <f t="shared" si="1"/>
        <v>0.93166536727836857</v>
      </c>
      <c r="H20" s="73">
        <f>E20-E21</f>
        <v>43382</v>
      </c>
      <c r="J20" s="185">
        <f t="shared" si="0"/>
        <v>6.8334632721631428E-2</v>
      </c>
      <c r="L20" s="68">
        <f>289.9/455.06*100</f>
        <v>63.705884938249888</v>
      </c>
    </row>
    <row r="21" spans="1:13" s="169" customFormat="1" ht="15" customHeight="1" thickBot="1">
      <c r="A21" s="177">
        <v>5</v>
      </c>
      <c r="B21" s="178" t="s">
        <v>27</v>
      </c>
      <c r="C21" s="179" t="s">
        <v>6</v>
      </c>
      <c r="D21" s="180">
        <v>216088</v>
      </c>
      <c r="E21" s="180">
        <v>192034</v>
      </c>
      <c r="F21" s="181">
        <f t="shared" si="1"/>
        <v>0.88868423975417421</v>
      </c>
      <c r="J21" s="185">
        <f t="shared" si="0"/>
        <v>0.11131576024582579</v>
      </c>
    </row>
    <row r="22" spans="1:13" s="68" customFormat="1" ht="15.75" thickTop="1">
      <c r="A22" s="71"/>
      <c r="C22" s="72"/>
      <c r="D22" s="73"/>
      <c r="E22" s="55"/>
      <c r="F22" s="74"/>
      <c r="J22" s="185">
        <f t="shared" si="0"/>
        <v>1</v>
      </c>
    </row>
    <row r="23" spans="1:13" s="68" customFormat="1" ht="53.25" customHeight="1">
      <c r="A23" s="71"/>
      <c r="B23" s="75" t="s">
        <v>326</v>
      </c>
      <c r="C23" s="194" t="s">
        <v>327</v>
      </c>
      <c r="D23" s="194"/>
      <c r="E23" s="194"/>
      <c r="F23" s="194"/>
      <c r="I23" s="94"/>
    </row>
    <row r="24" spans="1:13" s="68" customFormat="1">
      <c r="A24" s="76" t="s">
        <v>28</v>
      </c>
      <c r="C24" s="77"/>
      <c r="D24" s="77"/>
      <c r="E24" s="55"/>
      <c r="F24" s="78"/>
      <c r="K24" s="68">
        <f>7+8.5+7+6</f>
        <v>28.5</v>
      </c>
    </row>
    <row r="25" spans="1:13" s="68" customFormat="1" ht="16.5">
      <c r="B25" s="71" t="s">
        <v>286</v>
      </c>
      <c r="D25" s="55"/>
      <c r="E25" s="55"/>
      <c r="F25" s="1"/>
      <c r="K25" s="68">
        <f>K24/4</f>
        <v>7.125</v>
      </c>
    </row>
    <row r="26" spans="1:13" s="68" customFormat="1" ht="16.5">
      <c r="B26" s="71"/>
      <c r="D26" s="79"/>
      <c r="E26" s="80"/>
      <c r="F26" s="1"/>
      <c r="K26" s="68">
        <f>8.5+7+6+6</f>
        <v>27.5</v>
      </c>
    </row>
    <row r="27" spans="1:13" s="68" customFormat="1" hidden="1">
      <c r="A27" s="195" t="s">
        <v>29</v>
      </c>
      <c r="B27" s="195"/>
      <c r="D27" s="81"/>
      <c r="E27" s="82"/>
      <c r="F27" s="83"/>
    </row>
    <row r="28" spans="1:13" s="68" customFormat="1" hidden="1">
      <c r="B28" s="71" t="s">
        <v>30</v>
      </c>
      <c r="C28" s="68" t="s">
        <v>31</v>
      </c>
      <c r="D28" s="55"/>
      <c r="E28" s="81"/>
      <c r="F28" s="84"/>
    </row>
    <row r="29" spans="1:13" hidden="1">
      <c r="A29" s="68"/>
      <c r="B29" s="68" t="s">
        <v>32</v>
      </c>
      <c r="C29" s="68" t="s">
        <v>33</v>
      </c>
      <c r="D29" s="81"/>
      <c r="E29" s="85"/>
      <c r="F29" s="86"/>
    </row>
    <row r="30" spans="1:13" hidden="1">
      <c r="B30" s="52" t="s">
        <v>34</v>
      </c>
      <c r="C30" s="87">
        <v>14716</v>
      </c>
      <c r="D30" s="85"/>
      <c r="E30" s="88"/>
      <c r="F30" s="89"/>
    </row>
    <row r="31" spans="1:13" hidden="1">
      <c r="D31" s="90"/>
      <c r="E31" s="88"/>
      <c r="F31" s="91"/>
    </row>
    <row r="32" spans="1:13" hidden="1"/>
    <row r="33" spans="6:13" hidden="1"/>
    <row r="34" spans="6:13">
      <c r="K34" s="52">
        <f>K26/4</f>
        <v>6.875</v>
      </c>
      <c r="M34" s="52">
        <f>7-K34</f>
        <v>0.125</v>
      </c>
    </row>
    <row r="36" spans="6:13">
      <c r="F36" s="92"/>
    </row>
  </sheetData>
  <mergeCells count="5">
    <mergeCell ref="A5:F5"/>
    <mergeCell ref="C23:F23"/>
    <mergeCell ref="A27:B27"/>
    <mergeCell ref="A1:F1"/>
    <mergeCell ref="A6:F6"/>
  </mergeCells>
  <pageMargins left="1.45" right="0.7" top="1"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283"/>
  <sheetViews>
    <sheetView showZeros="0" topLeftCell="A189" zoomScaleNormal="100" workbookViewId="0">
      <selection activeCell="L152" sqref="L152"/>
    </sheetView>
  </sheetViews>
  <sheetFormatPr defaultColWidth="8.7109375" defaultRowHeight="15"/>
  <cols>
    <col min="1" max="1" width="4.85546875" style="45" customWidth="1"/>
    <col min="2" max="2" width="47.42578125" style="21" customWidth="1"/>
    <col min="3" max="3" width="7.28515625" style="23" customWidth="1"/>
    <col min="4" max="4" width="10.7109375" style="24" customWidth="1"/>
    <col min="5" max="5" width="9" style="23" customWidth="1"/>
    <col min="6" max="6" width="10.7109375" style="24" customWidth="1"/>
    <col min="7" max="7" width="9.5703125" style="23" customWidth="1"/>
    <col min="8" max="9" width="14" style="24" customWidth="1"/>
    <col min="10" max="10" width="13.85546875" style="24" hidden="1" customWidth="1"/>
    <col min="11" max="11" width="10.140625" style="103" customWidth="1"/>
    <col min="12" max="16384" width="8.7109375" style="21"/>
  </cols>
  <sheetData>
    <row r="1" spans="1:14">
      <c r="A1" s="196" t="s">
        <v>271</v>
      </c>
      <c r="B1" s="196"/>
      <c r="C1" s="196"/>
      <c r="D1" s="196"/>
      <c r="E1" s="196"/>
      <c r="F1" s="196"/>
      <c r="G1" s="196"/>
      <c r="H1" s="196"/>
      <c r="I1" s="196"/>
      <c r="J1" s="196"/>
      <c r="K1" s="196"/>
    </row>
    <row r="3" spans="1:14">
      <c r="A3" s="22" t="s">
        <v>35</v>
      </c>
      <c r="G3" s="25"/>
      <c r="H3" s="26"/>
      <c r="I3" s="26"/>
      <c r="J3" s="26"/>
      <c r="K3" s="98"/>
    </row>
    <row r="5" spans="1:14" ht="15.75">
      <c r="A5" s="200" t="s">
        <v>316</v>
      </c>
      <c r="B5" s="200"/>
      <c r="C5" s="200"/>
      <c r="D5" s="200"/>
      <c r="E5" s="200"/>
      <c r="F5" s="200"/>
      <c r="G5" s="200"/>
      <c r="H5" s="200"/>
      <c r="I5" s="200"/>
      <c r="J5" s="200"/>
      <c r="K5" s="200"/>
    </row>
    <row r="6" spans="1:14">
      <c r="A6" s="201" t="s">
        <v>317</v>
      </c>
      <c r="B6" s="201"/>
      <c r="C6" s="201"/>
      <c r="D6" s="201"/>
      <c r="E6" s="201"/>
      <c r="F6" s="201"/>
      <c r="G6" s="201"/>
      <c r="H6" s="201"/>
      <c r="I6" s="201"/>
      <c r="J6" s="201"/>
      <c r="K6" s="201"/>
    </row>
    <row r="8" spans="1:14" s="31" customFormat="1" ht="51">
      <c r="A8" s="27" t="s">
        <v>1</v>
      </c>
      <c r="B8" s="28" t="s">
        <v>36</v>
      </c>
      <c r="C8" s="29" t="s">
        <v>37</v>
      </c>
      <c r="D8" s="30" t="s">
        <v>38</v>
      </c>
      <c r="E8" s="29" t="s">
        <v>39</v>
      </c>
      <c r="F8" s="30" t="s">
        <v>40</v>
      </c>
      <c r="G8" s="29" t="s">
        <v>41</v>
      </c>
      <c r="H8" s="30" t="s">
        <v>42</v>
      </c>
      <c r="I8" s="30" t="s">
        <v>43</v>
      </c>
      <c r="J8" s="30" t="s">
        <v>324</v>
      </c>
      <c r="K8" s="99" t="s">
        <v>288</v>
      </c>
    </row>
    <row r="9" spans="1:14" s="36" customFormat="1">
      <c r="A9" s="32">
        <v>1</v>
      </c>
      <c r="B9" s="33" t="s">
        <v>45</v>
      </c>
      <c r="C9" s="34">
        <v>942</v>
      </c>
      <c r="D9" s="35">
        <v>14256.069939699999</v>
      </c>
      <c r="E9" s="34">
        <v>623</v>
      </c>
      <c r="F9" s="35">
        <v>5285.5297122996872</v>
      </c>
      <c r="G9" s="34">
        <v>493</v>
      </c>
      <c r="H9" s="35">
        <v>1431.5105749999987</v>
      </c>
      <c r="I9" s="35">
        <f>D9+F9+H9</f>
        <v>20973.110226999685</v>
      </c>
      <c r="J9" s="123">
        <v>14964.307512299378</v>
      </c>
      <c r="K9" s="100">
        <f>I9/J9*100</f>
        <v>140.15423172613626</v>
      </c>
      <c r="L9" s="36">
        <f>I9/$I$27*100</f>
        <v>72.697314825001229</v>
      </c>
      <c r="M9" s="36">
        <f>C9/C27*100</f>
        <v>32.879581151832461</v>
      </c>
      <c r="N9" s="36">
        <f>E9/E27*100</f>
        <v>54.079861111111114</v>
      </c>
    </row>
    <row r="10" spans="1:14" s="36" customFormat="1">
      <c r="A10" s="32">
        <v>2</v>
      </c>
      <c r="B10" s="33" t="s">
        <v>47</v>
      </c>
      <c r="C10" s="34">
        <v>61</v>
      </c>
      <c r="D10" s="35">
        <v>858.44455901999993</v>
      </c>
      <c r="E10" s="34">
        <v>39</v>
      </c>
      <c r="F10" s="35">
        <v>183.27034792749023</v>
      </c>
      <c r="G10" s="34">
        <v>94</v>
      </c>
      <c r="H10" s="35">
        <v>1832.5609256999999</v>
      </c>
      <c r="I10" s="35">
        <f>D10+F10+H10</f>
        <v>2874.27583264749</v>
      </c>
      <c r="J10" s="123">
        <v>4188.7815395299995</v>
      </c>
      <c r="K10" s="100">
        <f>I10/J10*100</f>
        <v>68.61842293570642</v>
      </c>
      <c r="L10" s="36">
        <f t="shared" ref="L10:L26" si="0">I10/$I$27*100</f>
        <v>9.9628587671690703</v>
      </c>
    </row>
    <row r="11" spans="1:14" s="36" customFormat="1">
      <c r="A11" s="32">
        <v>3</v>
      </c>
      <c r="B11" s="33" t="s">
        <v>51</v>
      </c>
      <c r="C11" s="34">
        <v>9</v>
      </c>
      <c r="D11" s="35">
        <v>7.074033</v>
      </c>
      <c r="E11" s="34">
        <v>0</v>
      </c>
      <c r="F11" s="35">
        <v>0</v>
      </c>
      <c r="G11" s="34">
        <v>22</v>
      </c>
      <c r="H11" s="35">
        <v>1535.4487242499999</v>
      </c>
      <c r="I11" s="35">
        <f>D11+F11+H11</f>
        <v>1542.52275725</v>
      </c>
      <c r="J11" s="123">
        <v>26.366725949999999</v>
      </c>
      <c r="K11" s="100">
        <f>I11/J11*100</f>
        <v>5850.2627902119184</v>
      </c>
      <c r="L11" s="36">
        <f t="shared" si="0"/>
        <v>5.3467159279109948</v>
      </c>
    </row>
    <row r="12" spans="1:14" s="36" customFormat="1">
      <c r="A12" s="32">
        <v>4</v>
      </c>
      <c r="B12" s="33" t="s">
        <v>46</v>
      </c>
      <c r="C12" s="34">
        <v>844</v>
      </c>
      <c r="D12" s="35">
        <v>404.43095911000006</v>
      </c>
      <c r="E12" s="34">
        <v>195</v>
      </c>
      <c r="F12" s="35">
        <v>208.99784357617187</v>
      </c>
      <c r="G12" s="34">
        <v>1296</v>
      </c>
      <c r="H12" s="35">
        <v>422.3492206599995</v>
      </c>
      <c r="I12" s="35">
        <f>D12+F12+H12</f>
        <v>1035.7780233461715</v>
      </c>
      <c r="J12" s="123">
        <v>917.39851498890607</v>
      </c>
      <c r="K12" s="100">
        <f>I12/J12*100</f>
        <v>112.90382602796092</v>
      </c>
      <c r="L12" s="36">
        <f t="shared" si="0"/>
        <v>3.59022959575538</v>
      </c>
      <c r="M12" s="36">
        <f>G12/G27*100</f>
        <v>40.934933670246366</v>
      </c>
    </row>
    <row r="13" spans="1:14" s="36" customFormat="1">
      <c r="A13" s="32">
        <v>5</v>
      </c>
      <c r="B13" s="33" t="s">
        <v>48</v>
      </c>
      <c r="C13" s="34">
        <v>367</v>
      </c>
      <c r="D13" s="35">
        <v>170.10741423000002</v>
      </c>
      <c r="E13" s="34">
        <v>98</v>
      </c>
      <c r="F13" s="35">
        <v>328.90086346875</v>
      </c>
      <c r="G13" s="34">
        <v>489</v>
      </c>
      <c r="H13" s="35">
        <v>349.39393640999987</v>
      </c>
      <c r="I13" s="35">
        <f>D13+F13+H13</f>
        <v>848.40221410874983</v>
      </c>
      <c r="J13" s="123">
        <v>1027.1387083640625</v>
      </c>
      <c r="K13" s="100">
        <f>I13/J13*100</f>
        <v>82.598602038863021</v>
      </c>
      <c r="L13" s="36">
        <f t="shared" si="0"/>
        <v>2.9407447054701836</v>
      </c>
    </row>
    <row r="14" spans="1:14" s="36" customFormat="1">
      <c r="A14" s="32">
        <v>6</v>
      </c>
      <c r="B14" s="33" t="s">
        <v>50</v>
      </c>
      <c r="C14" s="34">
        <v>110</v>
      </c>
      <c r="D14" s="35">
        <v>216.79544686</v>
      </c>
      <c r="E14" s="34">
        <v>36</v>
      </c>
      <c r="F14" s="35">
        <v>92.614438070312502</v>
      </c>
      <c r="G14" s="34">
        <v>126</v>
      </c>
      <c r="H14" s="35">
        <v>75.828508259999992</v>
      </c>
      <c r="I14" s="35">
        <f>D14+F14+H14</f>
        <v>385.23839319031248</v>
      </c>
      <c r="J14" s="123">
        <v>432.55817665000006</v>
      </c>
      <c r="K14" s="100">
        <f>I14/J14*100</f>
        <v>89.06048110657359</v>
      </c>
      <c r="L14" s="36">
        <f t="shared" si="0"/>
        <v>1.3353191991705913</v>
      </c>
    </row>
    <row r="15" spans="1:14" s="36" customFormat="1">
      <c r="A15" s="32">
        <v>7</v>
      </c>
      <c r="B15" s="33" t="s">
        <v>54</v>
      </c>
      <c r="C15" s="34">
        <v>269</v>
      </c>
      <c r="D15" s="35">
        <v>38.936767500000002</v>
      </c>
      <c r="E15" s="34">
        <v>69</v>
      </c>
      <c r="F15" s="35">
        <v>172.00088315625001</v>
      </c>
      <c r="G15" s="34">
        <v>244</v>
      </c>
      <c r="H15" s="35">
        <v>161.90277265999993</v>
      </c>
      <c r="I15" s="35">
        <f>D15+F15+H15</f>
        <v>372.84042331624994</v>
      </c>
      <c r="J15" s="123">
        <v>607.44273037000005</v>
      </c>
      <c r="K15" s="100">
        <f>I15/J15*100</f>
        <v>61.378695418603293</v>
      </c>
      <c r="L15" s="36">
        <f t="shared" si="0"/>
        <v>1.2923451667371317</v>
      </c>
    </row>
    <row r="16" spans="1:14" s="36" customFormat="1">
      <c r="A16" s="32">
        <v>8</v>
      </c>
      <c r="B16" s="33" t="s">
        <v>52</v>
      </c>
      <c r="C16" s="34">
        <v>36</v>
      </c>
      <c r="D16" s="35">
        <v>72.863886230000006</v>
      </c>
      <c r="E16" s="34">
        <v>44</v>
      </c>
      <c r="F16" s="35">
        <v>180.83875664062501</v>
      </c>
      <c r="G16" s="34">
        <v>51</v>
      </c>
      <c r="H16" s="35">
        <v>22.370331110000002</v>
      </c>
      <c r="I16" s="35">
        <f>D16+F16+H16</f>
        <v>276.07297398062502</v>
      </c>
      <c r="J16" s="123">
        <v>231.52688622328128</v>
      </c>
      <c r="K16" s="100">
        <f>I16/J16*100</f>
        <v>119.24013598765551</v>
      </c>
      <c r="L16" s="36">
        <f t="shared" si="0"/>
        <v>0.95692835668727416</v>
      </c>
    </row>
    <row r="17" spans="1:12" s="36" customFormat="1">
      <c r="A17" s="32">
        <v>9</v>
      </c>
      <c r="B17" s="33" t="s">
        <v>44</v>
      </c>
      <c r="C17" s="34">
        <v>11</v>
      </c>
      <c r="D17" s="35">
        <v>100.33358411</v>
      </c>
      <c r="E17" s="34">
        <v>0</v>
      </c>
      <c r="F17" s="35">
        <v>0</v>
      </c>
      <c r="G17" s="34">
        <v>9</v>
      </c>
      <c r="H17" s="35">
        <v>30.865312549999999</v>
      </c>
      <c r="I17" s="35">
        <f>D17+F17+H17</f>
        <v>131.19889666</v>
      </c>
      <c r="J17" s="123">
        <v>2259.4542710799997</v>
      </c>
      <c r="K17" s="100">
        <f>I17/J17*100</f>
        <v>5.8066630663557559</v>
      </c>
      <c r="L17" s="36">
        <f t="shared" si="0"/>
        <v>0.45476361836435436</v>
      </c>
    </row>
    <row r="18" spans="1:12" s="36" customFormat="1">
      <c r="A18" s="32">
        <v>10</v>
      </c>
      <c r="B18" s="33" t="s">
        <v>57</v>
      </c>
      <c r="C18" s="34">
        <v>3</v>
      </c>
      <c r="D18" s="35">
        <v>115.750417</v>
      </c>
      <c r="E18" s="34">
        <v>0</v>
      </c>
      <c r="F18" s="35">
        <v>0</v>
      </c>
      <c r="G18" s="34">
        <v>3</v>
      </c>
      <c r="H18" s="95">
        <v>0.42789474999999999</v>
      </c>
      <c r="I18" s="35">
        <f>D18+F18+H18</f>
        <v>116.17831174999999</v>
      </c>
      <c r="J18" s="123">
        <v>61.713197110000003</v>
      </c>
      <c r="K18" s="100">
        <f>I18/J18*100</f>
        <v>188.25521475239609</v>
      </c>
      <c r="L18" s="36">
        <f t="shared" si="0"/>
        <v>0.40269903765890391</v>
      </c>
    </row>
    <row r="19" spans="1:12" s="36" customFormat="1">
      <c r="A19" s="32">
        <v>11</v>
      </c>
      <c r="B19" s="33" t="s">
        <v>49</v>
      </c>
      <c r="C19" s="34">
        <v>58</v>
      </c>
      <c r="D19" s="35">
        <v>30.362409950000004</v>
      </c>
      <c r="E19" s="34">
        <v>16</v>
      </c>
      <c r="F19" s="35">
        <v>6.8208077109375003</v>
      </c>
      <c r="G19" s="34">
        <v>178</v>
      </c>
      <c r="H19" s="35">
        <v>44.102894259999985</v>
      </c>
      <c r="I19" s="35">
        <f>D19+F19+H19</f>
        <v>81.286111920937486</v>
      </c>
      <c r="J19" s="123">
        <v>7.5153731899999769</v>
      </c>
      <c r="K19" s="100">
        <f>I19/J19*100</f>
        <v>1081.5978111253014</v>
      </c>
      <c r="L19" s="36">
        <f t="shared" si="0"/>
        <v>0.28175516197923645</v>
      </c>
    </row>
    <row r="20" spans="1:12" s="36" customFormat="1">
      <c r="A20" s="32">
        <v>12</v>
      </c>
      <c r="B20" s="190" t="s">
        <v>53</v>
      </c>
      <c r="C20" s="34">
        <v>19</v>
      </c>
      <c r="D20" s="35">
        <v>48.343621399999982</v>
      </c>
      <c r="E20" s="34">
        <v>8</v>
      </c>
      <c r="F20" s="35">
        <v>2.3705059999999998</v>
      </c>
      <c r="G20" s="34">
        <v>18</v>
      </c>
      <c r="H20" s="35">
        <v>11.334022690000001</v>
      </c>
      <c r="I20" s="35">
        <f>D20+F20+H20</f>
        <v>62.048150089999979</v>
      </c>
      <c r="J20" s="123">
        <v>64.596487487500013</v>
      </c>
      <c r="K20" s="100">
        <f>I20/J20*100</f>
        <v>96.054990764020786</v>
      </c>
      <c r="L20" s="36">
        <f t="shared" si="0"/>
        <v>0.21507224501184255</v>
      </c>
    </row>
    <row r="21" spans="1:12" s="36" customFormat="1">
      <c r="A21" s="32">
        <v>13</v>
      </c>
      <c r="B21" s="33" t="s">
        <v>56</v>
      </c>
      <c r="C21" s="34">
        <v>55</v>
      </c>
      <c r="D21" s="35">
        <v>20.250307280000001</v>
      </c>
      <c r="E21" s="34">
        <v>11</v>
      </c>
      <c r="F21" s="35">
        <v>3.787408578125</v>
      </c>
      <c r="G21" s="34">
        <v>82</v>
      </c>
      <c r="H21" s="35">
        <v>26.897777529999995</v>
      </c>
      <c r="I21" s="35">
        <f>D21+F21+H21</f>
        <v>50.935493388124996</v>
      </c>
      <c r="J21" s="123">
        <v>55.122408039999996</v>
      </c>
      <c r="K21" s="100">
        <f>I21/J21*100</f>
        <v>92.404332828063801</v>
      </c>
      <c r="L21" s="36">
        <f t="shared" si="0"/>
        <v>0.17655338471622609</v>
      </c>
    </row>
    <row r="22" spans="1:12" s="36" customFormat="1">
      <c r="A22" s="32">
        <v>14</v>
      </c>
      <c r="B22" s="37" t="s">
        <v>61</v>
      </c>
      <c r="C22" s="34">
        <v>8</v>
      </c>
      <c r="D22" s="35">
        <v>43.870513000000003</v>
      </c>
      <c r="E22" s="34">
        <v>1</v>
      </c>
      <c r="F22" s="35">
        <v>6.5000000000000002E-2</v>
      </c>
      <c r="G22" s="34">
        <v>12</v>
      </c>
      <c r="H22" s="35">
        <v>1.05761237</v>
      </c>
      <c r="I22" s="35">
        <f>D22+F22+H22</f>
        <v>44.993125370000001</v>
      </c>
      <c r="J22" s="123">
        <v>5.9163970099999998</v>
      </c>
      <c r="K22" s="100">
        <f>I22/J22*100</f>
        <v>760.48184890148207</v>
      </c>
      <c r="L22" s="36">
        <f t="shared" si="0"/>
        <v>0.15595585798108672</v>
      </c>
    </row>
    <row r="23" spans="1:12" s="36" customFormat="1">
      <c r="A23" s="32">
        <v>15</v>
      </c>
      <c r="B23" s="37" t="s">
        <v>55</v>
      </c>
      <c r="C23" s="34">
        <v>65</v>
      </c>
      <c r="D23" s="35">
        <v>12.72248583</v>
      </c>
      <c r="E23" s="34">
        <v>7</v>
      </c>
      <c r="F23" s="35">
        <v>2.4723126562500002</v>
      </c>
      <c r="G23" s="34">
        <v>30</v>
      </c>
      <c r="H23" s="35">
        <v>14.436989580000002</v>
      </c>
      <c r="I23" s="35">
        <f>D23+F23+H23</f>
        <v>29.631788066250003</v>
      </c>
      <c r="J23" s="123">
        <v>251.20095914562501</v>
      </c>
      <c r="K23" s="100">
        <f>I23/J23*100</f>
        <v>11.796048935096623</v>
      </c>
      <c r="L23" s="36">
        <f t="shared" si="0"/>
        <v>0.10271015612680799</v>
      </c>
    </row>
    <row r="24" spans="1:12" s="36" customFormat="1">
      <c r="A24" s="32">
        <v>16</v>
      </c>
      <c r="B24" s="37" t="s">
        <v>60</v>
      </c>
      <c r="C24" s="34">
        <v>5</v>
      </c>
      <c r="D24" s="35">
        <v>7.3857106699999999</v>
      </c>
      <c r="E24" s="34">
        <v>0</v>
      </c>
      <c r="F24" s="35">
        <v>0</v>
      </c>
      <c r="G24" s="34">
        <v>9</v>
      </c>
      <c r="H24" s="35">
        <v>5.6235245000000011</v>
      </c>
      <c r="I24" s="35">
        <f>D24+F24+H24</f>
        <v>13.00923517</v>
      </c>
      <c r="J24" s="123">
        <v>3.8496262300000006</v>
      </c>
      <c r="K24" s="100">
        <f>I24/J24*100</f>
        <v>337.93501999283706</v>
      </c>
      <c r="L24" s="36">
        <f t="shared" si="0"/>
        <v>4.5092809533250663E-2</v>
      </c>
    </row>
    <row r="25" spans="1:12" s="36" customFormat="1">
      <c r="A25" s="32">
        <v>17</v>
      </c>
      <c r="B25" s="37" t="s">
        <v>58</v>
      </c>
      <c r="C25" s="34">
        <v>3</v>
      </c>
      <c r="D25" s="35">
        <v>6.6</v>
      </c>
      <c r="E25" s="34">
        <v>5</v>
      </c>
      <c r="F25" s="35">
        <v>3.24</v>
      </c>
      <c r="G25" s="34">
        <v>7</v>
      </c>
      <c r="H25" s="35">
        <v>1.51977008</v>
      </c>
      <c r="I25" s="35">
        <f>D25+F25+H25</f>
        <v>11.359770080000001</v>
      </c>
      <c r="J25" s="123">
        <v>10.739339130000001</v>
      </c>
      <c r="K25" s="100">
        <f>I25/J25*100</f>
        <v>105.77717997811284</v>
      </c>
      <c r="L25" s="36">
        <f t="shared" si="0"/>
        <v>3.9375408459078512E-2</v>
      </c>
    </row>
    <row r="26" spans="1:12" s="36" customFormat="1">
      <c r="A26" s="32">
        <v>18</v>
      </c>
      <c r="B26" s="37" t="s">
        <v>59</v>
      </c>
      <c r="C26" s="34">
        <v>0</v>
      </c>
      <c r="D26" s="35">
        <v>0</v>
      </c>
      <c r="E26" s="34">
        <v>0</v>
      </c>
      <c r="F26" s="35">
        <v>0</v>
      </c>
      <c r="G26" s="34">
        <v>3</v>
      </c>
      <c r="H26" s="35">
        <v>1.02872326</v>
      </c>
      <c r="I26" s="35">
        <f>D26+F26+H26</f>
        <v>1.02872326</v>
      </c>
      <c r="J26" s="123">
        <v>19.064064940000002</v>
      </c>
      <c r="K26" s="100">
        <f>I26/J26*100</f>
        <v>5.3961380389632687</v>
      </c>
      <c r="L26" s="36">
        <f t="shared" si="0"/>
        <v>3.5657762673533635E-3</v>
      </c>
    </row>
    <row r="27" spans="1:12" s="40" customFormat="1" ht="12.75">
      <c r="A27" s="202" t="s">
        <v>62</v>
      </c>
      <c r="B27" s="203"/>
      <c r="C27" s="38">
        <f t="shared" ref="C27:I27" si="1">SUM(C9:C26)</f>
        <v>2865</v>
      </c>
      <c r="D27" s="39">
        <f t="shared" si="1"/>
        <v>16410.342054889996</v>
      </c>
      <c r="E27" s="38">
        <f t="shared" si="1"/>
        <v>1152</v>
      </c>
      <c r="F27" s="39">
        <f t="shared" si="1"/>
        <v>6470.9088800846002</v>
      </c>
      <c r="G27" s="38">
        <f t="shared" si="1"/>
        <v>3166</v>
      </c>
      <c r="H27" s="39">
        <f t="shared" si="1"/>
        <v>5968.6595156199965</v>
      </c>
      <c r="I27" s="39">
        <f t="shared" si="1"/>
        <v>28849.910450594598</v>
      </c>
      <c r="J27" s="97"/>
      <c r="K27" s="101">
        <f>I27/'thang 11'!D10*100</f>
        <v>114.77872542793892</v>
      </c>
    </row>
    <row r="28" spans="1:12" s="44" customFormat="1" ht="14.25" customHeight="1">
      <c r="A28" s="41"/>
      <c r="B28" s="41"/>
      <c r="C28" s="42"/>
      <c r="D28" s="43"/>
      <c r="E28" s="42"/>
      <c r="F28" s="43"/>
      <c r="G28" s="42"/>
      <c r="H28" s="43"/>
      <c r="I28" s="43"/>
      <c r="J28" s="43"/>
      <c r="K28" s="102"/>
    </row>
    <row r="29" spans="1:12" ht="15.75">
      <c r="A29" s="200" t="s">
        <v>318</v>
      </c>
      <c r="B29" s="200"/>
      <c r="C29" s="200"/>
      <c r="D29" s="200"/>
      <c r="E29" s="200"/>
      <c r="F29" s="200"/>
      <c r="G29" s="200"/>
      <c r="H29" s="200"/>
      <c r="I29" s="200"/>
      <c r="J29" s="200"/>
      <c r="K29" s="200"/>
    </row>
    <row r="30" spans="1:12">
      <c r="A30" s="201" t="str">
        <f>A6</f>
        <v>Tính từ 01/01/2023 đến 20/11/2023</v>
      </c>
      <c r="B30" s="201"/>
      <c r="C30" s="201"/>
      <c r="D30" s="201"/>
      <c r="E30" s="201"/>
      <c r="F30" s="201"/>
      <c r="G30" s="201"/>
      <c r="H30" s="201"/>
      <c r="I30" s="201"/>
      <c r="J30" s="201"/>
      <c r="K30" s="201"/>
    </row>
    <row r="32" spans="1:12" s="31" customFormat="1" ht="51">
      <c r="A32" s="27" t="s">
        <v>1</v>
      </c>
      <c r="B32" s="30" t="s">
        <v>63</v>
      </c>
      <c r="C32" s="30" t="s">
        <v>37</v>
      </c>
      <c r="D32" s="30" t="s">
        <v>38</v>
      </c>
      <c r="E32" s="30" t="s">
        <v>39</v>
      </c>
      <c r="F32" s="30" t="s">
        <v>40</v>
      </c>
      <c r="G32" s="30" t="s">
        <v>41</v>
      </c>
      <c r="H32" s="30" t="s">
        <v>42</v>
      </c>
      <c r="I32" s="30" t="s">
        <v>43</v>
      </c>
      <c r="J32" s="30" t="s">
        <v>324</v>
      </c>
      <c r="K32" s="99" t="s">
        <v>288</v>
      </c>
    </row>
    <row r="33" spans="1:14" s="36" customFormat="1">
      <c r="A33" s="46">
        <v>1</v>
      </c>
      <c r="B33" s="47" t="s">
        <v>64</v>
      </c>
      <c r="C33" s="34">
        <v>358</v>
      </c>
      <c r="D33" s="35">
        <v>3308.3373048500002</v>
      </c>
      <c r="E33" s="34">
        <v>136</v>
      </c>
      <c r="F33" s="35">
        <v>404.57671323437501</v>
      </c>
      <c r="G33" s="34">
        <v>307</v>
      </c>
      <c r="H33" s="35">
        <v>1434.1969402300003</v>
      </c>
      <c r="I33" s="35">
        <f>D33+F33+H33</f>
        <v>5147.1109583143752</v>
      </c>
      <c r="J33" s="123">
        <v>5776.4005043781253</v>
      </c>
      <c r="K33" s="100">
        <f>I33/J33*100</f>
        <v>89.105853280312004</v>
      </c>
      <c r="L33" s="36">
        <f>I33/$I$27*100</f>
        <v>17.840994574762341</v>
      </c>
      <c r="M33" s="36">
        <f>C36/C27*100</f>
        <v>22.059336823734728</v>
      </c>
      <c r="N33" s="36">
        <f>SUM(I33:I38)/I27*100</f>
        <v>80.967872445265556</v>
      </c>
    </row>
    <row r="34" spans="1:14" s="36" customFormat="1">
      <c r="A34" s="46">
        <v>2</v>
      </c>
      <c r="B34" s="48" t="s">
        <v>69</v>
      </c>
      <c r="C34" s="34">
        <v>276</v>
      </c>
      <c r="D34" s="35">
        <v>3149.2589298000003</v>
      </c>
      <c r="E34" s="34">
        <v>95</v>
      </c>
      <c r="F34" s="35">
        <v>1051.3249378749999</v>
      </c>
      <c r="G34" s="34">
        <v>81</v>
      </c>
      <c r="H34" s="35">
        <v>131.95194001000002</v>
      </c>
      <c r="I34" s="35">
        <f>D34+F34+H34</f>
        <v>4332.5358076849998</v>
      </c>
      <c r="J34" s="123">
        <v>1938.55233020625</v>
      </c>
      <c r="K34" s="100">
        <f>I34/J34*100</f>
        <v>223.49336358766467</v>
      </c>
      <c r="L34" s="36">
        <f t="shared" ref="L34:L39" si="2">I34/$I$27*100</f>
        <v>15.017501753097143</v>
      </c>
      <c r="M34" s="36">
        <f>E34/E27*100</f>
        <v>8.2465277777777768</v>
      </c>
    </row>
    <row r="35" spans="1:14" s="36" customFormat="1">
      <c r="A35" s="46">
        <v>3</v>
      </c>
      <c r="B35" s="47" t="s">
        <v>67</v>
      </c>
      <c r="C35" s="34">
        <v>432</v>
      </c>
      <c r="D35" s="35">
        <v>1703.1872248999998</v>
      </c>
      <c r="E35" s="34">
        <v>302</v>
      </c>
      <c r="F35" s="35">
        <v>2115.0096004339844</v>
      </c>
      <c r="G35" s="34">
        <v>882</v>
      </c>
      <c r="H35" s="35">
        <v>356.64078847999963</v>
      </c>
      <c r="I35" s="35">
        <f>D35+F35+H35</f>
        <v>4174.8376138139838</v>
      </c>
      <c r="J35" s="123">
        <v>4124.6672450523492</v>
      </c>
      <c r="K35" s="100">
        <f>I35/J35*100</f>
        <v>101.21634948423575</v>
      </c>
      <c r="L35" s="36">
        <f t="shared" si="2"/>
        <v>14.470885866226112</v>
      </c>
      <c r="M35" s="36">
        <f>G34/G27*100</f>
        <v>2.5584333543903979</v>
      </c>
    </row>
    <row r="36" spans="1:14" s="36" customFormat="1">
      <c r="A36" s="46">
        <v>4</v>
      </c>
      <c r="B36" s="47" t="s">
        <v>65</v>
      </c>
      <c r="C36" s="34">
        <v>632</v>
      </c>
      <c r="D36" s="35">
        <v>3062.5435035300002</v>
      </c>
      <c r="E36" s="34">
        <v>159</v>
      </c>
      <c r="F36" s="35">
        <v>743.9866842578125</v>
      </c>
      <c r="G36" s="34">
        <v>376</v>
      </c>
      <c r="H36" s="35">
        <v>157.62459749000004</v>
      </c>
      <c r="I36" s="35">
        <f>D36+F36+H36</f>
        <v>3964.1547852778131</v>
      </c>
      <c r="J36" s="123">
        <v>2247.348425752497</v>
      </c>
      <c r="K36" s="100">
        <f>I36/J36*100</f>
        <v>176.39253174329053</v>
      </c>
      <c r="L36" s="36">
        <f t="shared" si="2"/>
        <v>13.740613829864113</v>
      </c>
    </row>
    <row r="37" spans="1:14" s="36" customFormat="1">
      <c r="A37" s="46">
        <v>5</v>
      </c>
      <c r="B37" s="47" t="s">
        <v>66</v>
      </c>
      <c r="C37" s="34">
        <v>281</v>
      </c>
      <c r="D37" s="35">
        <v>757.81358799999975</v>
      </c>
      <c r="E37" s="34">
        <v>137</v>
      </c>
      <c r="F37" s="35">
        <v>451.11520128686522</v>
      </c>
      <c r="G37" s="34">
        <v>214</v>
      </c>
      <c r="H37" s="35">
        <v>1896.9240143799998</v>
      </c>
      <c r="I37" s="35">
        <f>D37+F37+H37</f>
        <v>3105.8528036668649</v>
      </c>
      <c r="J37" s="123">
        <v>4603.8099144585949</v>
      </c>
      <c r="K37" s="100">
        <f>I37/J37*100</f>
        <v>67.462663780116372</v>
      </c>
      <c r="L37" s="36">
        <f t="shared" si="2"/>
        <v>10.765554399157081</v>
      </c>
    </row>
    <row r="38" spans="1:14" s="36" customFormat="1">
      <c r="A38" s="46">
        <v>6</v>
      </c>
      <c r="B38" s="47" t="s">
        <v>68</v>
      </c>
      <c r="C38" s="34">
        <v>190</v>
      </c>
      <c r="D38" s="35">
        <v>2051.2118508200001</v>
      </c>
      <c r="E38" s="34">
        <v>98</v>
      </c>
      <c r="F38" s="35">
        <v>292.33104807273435</v>
      </c>
      <c r="G38" s="34">
        <v>225</v>
      </c>
      <c r="H38" s="35">
        <v>291.12382656000011</v>
      </c>
      <c r="I38" s="35">
        <f>D38+F38+H38</f>
        <v>2634.6667254527342</v>
      </c>
      <c r="J38" s="123">
        <v>1247.1819550395312</v>
      </c>
      <c r="K38" s="100">
        <f>I38/J38*100</f>
        <v>211.24958670278585</v>
      </c>
      <c r="L38" s="36">
        <f t="shared" si="2"/>
        <v>9.1323220221587675</v>
      </c>
    </row>
    <row r="39" spans="1:14" s="36" customFormat="1">
      <c r="A39" s="46">
        <v>7</v>
      </c>
      <c r="B39" s="47" t="s">
        <v>73</v>
      </c>
      <c r="C39" s="34">
        <v>20</v>
      </c>
      <c r="D39" s="35">
        <v>275.927682</v>
      </c>
      <c r="E39" s="34">
        <v>14</v>
      </c>
      <c r="F39" s="35">
        <v>72.506401999999994</v>
      </c>
      <c r="G39" s="34">
        <v>22</v>
      </c>
      <c r="H39" s="35">
        <v>444.61582677000001</v>
      </c>
      <c r="I39" s="35">
        <f>D39+F39+H39</f>
        <v>793.04991077</v>
      </c>
      <c r="J39" s="123">
        <v>694.98883380000007</v>
      </c>
      <c r="K39" s="100">
        <f>I39/J39*100</f>
        <v>114.10973417138661</v>
      </c>
      <c r="L39" s="36">
        <f t="shared" si="2"/>
        <v>2.7488817066801507</v>
      </c>
    </row>
    <row r="40" spans="1:14" s="36" customFormat="1">
      <c r="A40" s="46">
        <v>8</v>
      </c>
      <c r="B40" s="35" t="s">
        <v>79</v>
      </c>
      <c r="C40" s="34">
        <v>36</v>
      </c>
      <c r="D40" s="35">
        <v>242.904933</v>
      </c>
      <c r="E40" s="34">
        <v>21</v>
      </c>
      <c r="F40" s="35">
        <v>228.30771999999999</v>
      </c>
      <c r="G40" s="34">
        <v>15</v>
      </c>
      <c r="H40" s="35">
        <v>212.53700000000001</v>
      </c>
      <c r="I40" s="35">
        <f>D40+F40+H40</f>
        <v>683.74965299999997</v>
      </c>
      <c r="J40" s="123">
        <v>239.71308099976562</v>
      </c>
      <c r="K40" s="100">
        <f>I40/J40*100</f>
        <v>285.23668802232305</v>
      </c>
    </row>
    <row r="41" spans="1:14" s="36" customFormat="1">
      <c r="A41" s="46">
        <v>9</v>
      </c>
      <c r="B41" s="47" t="s">
        <v>76</v>
      </c>
      <c r="C41" s="34">
        <v>54</v>
      </c>
      <c r="D41" s="35">
        <v>470.34279425</v>
      </c>
      <c r="E41" s="34">
        <v>13</v>
      </c>
      <c r="F41" s="35">
        <v>172.890108</v>
      </c>
      <c r="G41" s="34">
        <v>42</v>
      </c>
      <c r="H41" s="35">
        <v>36.779907990000005</v>
      </c>
      <c r="I41" s="35">
        <f>D41+F41+H41</f>
        <v>680.01281024000002</v>
      </c>
      <c r="J41" s="123">
        <v>184.86337834999998</v>
      </c>
      <c r="K41" s="100">
        <f>I41/J41*100</f>
        <v>367.84614470938567</v>
      </c>
    </row>
    <row r="42" spans="1:14" s="36" customFormat="1">
      <c r="A42" s="46">
        <v>10</v>
      </c>
      <c r="B42" s="47" t="s">
        <v>75</v>
      </c>
      <c r="C42" s="34">
        <v>108</v>
      </c>
      <c r="D42" s="35">
        <v>98.48475929</v>
      </c>
      <c r="E42" s="34">
        <v>25</v>
      </c>
      <c r="F42" s="35">
        <v>317.20758799999999</v>
      </c>
      <c r="G42" s="34">
        <v>143</v>
      </c>
      <c r="H42" s="35">
        <v>121.94567203000001</v>
      </c>
      <c r="I42" s="35">
        <f>D42+F42+H42</f>
        <v>537.63801932000001</v>
      </c>
      <c r="J42" s="123">
        <v>712.99835158874998</v>
      </c>
      <c r="K42" s="100">
        <f>I42/J42*100</f>
        <v>75.405226130186634</v>
      </c>
    </row>
    <row r="43" spans="1:14" s="36" customFormat="1">
      <c r="A43" s="46">
        <v>11</v>
      </c>
      <c r="B43" s="47" t="s">
        <v>71</v>
      </c>
      <c r="C43" s="34">
        <v>34</v>
      </c>
      <c r="D43" s="35">
        <v>3.8255690000000002</v>
      </c>
      <c r="E43" s="34">
        <v>11</v>
      </c>
      <c r="F43" s="35">
        <v>10.072647187499999</v>
      </c>
      <c r="G43" s="34">
        <v>62</v>
      </c>
      <c r="H43" s="35">
        <v>408.75204621000006</v>
      </c>
      <c r="I43" s="35">
        <f>D43+F43+H43</f>
        <v>422.65026239750006</v>
      </c>
      <c r="J43" s="123">
        <v>184.80491157</v>
      </c>
      <c r="K43" s="100">
        <f>I43/J43*100</f>
        <v>228.7007735924862</v>
      </c>
    </row>
    <row r="44" spans="1:14" s="36" customFormat="1">
      <c r="A44" s="46">
        <v>12</v>
      </c>
      <c r="B44" s="47" t="s">
        <v>84</v>
      </c>
      <c r="C44" s="34">
        <v>28</v>
      </c>
      <c r="D44" s="35">
        <v>299.38106732</v>
      </c>
      <c r="E44" s="34">
        <v>11</v>
      </c>
      <c r="F44" s="35">
        <v>29.824495500000001</v>
      </c>
      <c r="G44" s="34">
        <v>30</v>
      </c>
      <c r="H44" s="35">
        <v>12.32680598</v>
      </c>
      <c r="I44" s="35">
        <f>D44+F44+H44</f>
        <v>341.53236880000003</v>
      </c>
      <c r="J44" s="123">
        <v>83.278403150000003</v>
      </c>
      <c r="K44" s="100">
        <f>I44/J44*100</f>
        <v>410.10917102341199</v>
      </c>
    </row>
    <row r="45" spans="1:14" s="36" customFormat="1">
      <c r="A45" s="46">
        <v>13</v>
      </c>
      <c r="B45" s="47" t="s">
        <v>117</v>
      </c>
      <c r="C45" s="34">
        <v>10</v>
      </c>
      <c r="D45" s="35">
        <v>206.390725</v>
      </c>
      <c r="E45" s="34">
        <v>4</v>
      </c>
      <c r="F45" s="35">
        <v>10.612</v>
      </c>
      <c r="G45" s="34">
        <v>3</v>
      </c>
      <c r="H45" s="35">
        <v>3.9052169999999999</v>
      </c>
      <c r="I45" s="35">
        <f>D45+F45+H45</f>
        <v>220.90794199999999</v>
      </c>
      <c r="J45" s="123">
        <v>43.751852469999996</v>
      </c>
      <c r="K45" s="100">
        <f>I45/J45*100</f>
        <v>504.91105982649157</v>
      </c>
    </row>
    <row r="46" spans="1:14" s="36" customFormat="1">
      <c r="A46" s="46">
        <v>14</v>
      </c>
      <c r="B46" s="35" t="s">
        <v>81</v>
      </c>
      <c r="C46" s="34">
        <v>4</v>
      </c>
      <c r="D46" s="35">
        <v>2.57</v>
      </c>
      <c r="E46" s="34">
        <v>7</v>
      </c>
      <c r="F46" s="35">
        <v>26.860804999999999</v>
      </c>
      <c r="G46" s="34">
        <v>13</v>
      </c>
      <c r="H46" s="35">
        <v>184.46746772</v>
      </c>
      <c r="I46" s="35">
        <f>D46+F46+H46</f>
        <v>213.89827271999999</v>
      </c>
      <c r="J46" s="123">
        <v>220.38387337</v>
      </c>
      <c r="K46" s="100">
        <f>I46/J46*100</f>
        <v>97.057134648363586</v>
      </c>
    </row>
    <row r="47" spans="1:14" s="36" customFormat="1">
      <c r="A47" s="46">
        <v>15</v>
      </c>
      <c r="B47" s="47" t="s">
        <v>82</v>
      </c>
      <c r="C47" s="34">
        <v>25</v>
      </c>
      <c r="D47" s="35">
        <v>130.55697499999999</v>
      </c>
      <c r="E47" s="34">
        <v>12</v>
      </c>
      <c r="F47" s="35">
        <v>55.52</v>
      </c>
      <c r="G47" s="34">
        <v>10</v>
      </c>
      <c r="H47" s="35">
        <v>12.77378304</v>
      </c>
      <c r="I47" s="35">
        <f>D47+F47+H47</f>
        <v>198.85075804000002</v>
      </c>
      <c r="J47" s="123">
        <v>99.640803529999999</v>
      </c>
      <c r="K47" s="100">
        <f>I47/J47*100</f>
        <v>199.56759780658507</v>
      </c>
    </row>
    <row r="48" spans="1:14" s="36" customFormat="1">
      <c r="A48" s="46">
        <v>16</v>
      </c>
      <c r="B48" s="47" t="s">
        <v>101</v>
      </c>
      <c r="C48" s="34">
        <v>2</v>
      </c>
      <c r="D48" s="35">
        <v>3.44E-2</v>
      </c>
      <c r="E48" s="34">
        <v>3</v>
      </c>
      <c r="F48" s="35">
        <v>182.37410800000001</v>
      </c>
      <c r="G48" s="34">
        <v>10</v>
      </c>
      <c r="H48" s="35">
        <v>1.1333286100000002</v>
      </c>
      <c r="I48" s="35">
        <f>D48+F48+H48</f>
        <v>183.54183661000002</v>
      </c>
      <c r="J48" s="123">
        <v>0.70631020000000011</v>
      </c>
      <c r="K48" s="100">
        <f>I48/J48*100</f>
        <v>25986.009632878016</v>
      </c>
    </row>
    <row r="49" spans="1:11" s="36" customFormat="1">
      <c r="A49" s="46">
        <v>17</v>
      </c>
      <c r="B49" s="47" t="s">
        <v>100</v>
      </c>
      <c r="C49" s="34">
        <v>13</v>
      </c>
      <c r="D49" s="35">
        <v>166.19723099999999</v>
      </c>
      <c r="E49" s="34">
        <v>1</v>
      </c>
      <c r="F49" s="35">
        <v>0.75</v>
      </c>
      <c r="G49" s="34">
        <v>8</v>
      </c>
      <c r="H49" s="35">
        <v>1.275933</v>
      </c>
      <c r="I49" s="35">
        <f>D49+F49+H49</f>
        <v>168.223164</v>
      </c>
      <c r="J49" s="123">
        <v>1319.4524449999999</v>
      </c>
      <c r="K49" s="100">
        <f>I49/J49*100</f>
        <v>12.749467753648371</v>
      </c>
    </row>
    <row r="50" spans="1:11" s="36" customFormat="1">
      <c r="A50" s="46">
        <v>18</v>
      </c>
      <c r="B50" s="47" t="s">
        <v>70</v>
      </c>
      <c r="C50" s="34">
        <v>24</v>
      </c>
      <c r="D50" s="35">
        <v>47.444171159999996</v>
      </c>
      <c r="E50" s="34">
        <v>20</v>
      </c>
      <c r="F50" s="35">
        <v>54.282131249999999</v>
      </c>
      <c r="G50" s="34">
        <v>10</v>
      </c>
      <c r="H50" s="35">
        <v>41.501488170000002</v>
      </c>
      <c r="I50" s="35">
        <f>D50+F50+H50</f>
        <v>143.22779057999998</v>
      </c>
      <c r="J50" s="123">
        <v>510.84322992</v>
      </c>
      <c r="K50" s="100">
        <f>I50/J50*100</f>
        <v>28.037523488846077</v>
      </c>
    </row>
    <row r="51" spans="1:11" s="36" customFormat="1">
      <c r="A51" s="46">
        <v>19</v>
      </c>
      <c r="B51" s="47" t="s">
        <v>103</v>
      </c>
      <c r="C51" s="34">
        <v>13</v>
      </c>
      <c r="D51" s="35">
        <v>47.422508030000003</v>
      </c>
      <c r="E51" s="34">
        <v>4</v>
      </c>
      <c r="F51" s="35">
        <v>84.268630000000002</v>
      </c>
      <c r="G51" s="34">
        <v>13</v>
      </c>
      <c r="H51" s="35">
        <v>1.0588181000000001</v>
      </c>
      <c r="I51" s="35">
        <f>D51+F51+H51</f>
        <v>132.74995612999999</v>
      </c>
      <c r="J51" s="123">
        <v>11.421348369999999</v>
      </c>
      <c r="K51" s="100">
        <f>I51/J51*100</f>
        <v>1162.2967081425254</v>
      </c>
    </row>
    <row r="52" spans="1:11" s="36" customFormat="1">
      <c r="A52" s="46">
        <v>20</v>
      </c>
      <c r="B52" s="47" t="s">
        <v>88</v>
      </c>
      <c r="C52" s="34">
        <v>47</v>
      </c>
      <c r="D52" s="35">
        <v>96.960706680000001</v>
      </c>
      <c r="E52" s="34">
        <v>10</v>
      </c>
      <c r="F52" s="35">
        <v>24.033921019531249</v>
      </c>
      <c r="G52" s="34">
        <v>87</v>
      </c>
      <c r="H52" s="35">
        <v>10.023536340000003</v>
      </c>
      <c r="I52" s="35">
        <f>D52+F52+H52</f>
        <v>131.01816403953126</v>
      </c>
      <c r="J52" s="123">
        <v>30.68962221</v>
      </c>
      <c r="K52" s="100">
        <f>I52/J52*100</f>
        <v>426.91357730966104</v>
      </c>
    </row>
    <row r="53" spans="1:11" s="36" customFormat="1">
      <c r="A53" s="46">
        <v>21</v>
      </c>
      <c r="B53" s="47" t="s">
        <v>78</v>
      </c>
      <c r="C53" s="34">
        <v>23</v>
      </c>
      <c r="D53" s="35">
        <v>31.540325109999998</v>
      </c>
      <c r="E53" s="34">
        <v>9</v>
      </c>
      <c r="F53" s="35">
        <v>44.946353999999999</v>
      </c>
      <c r="G53" s="34">
        <v>60</v>
      </c>
      <c r="H53" s="35">
        <v>10.5846322</v>
      </c>
      <c r="I53" s="35">
        <f>D53+F53+H53</f>
        <v>87.071311309999999</v>
      </c>
      <c r="J53" s="123">
        <v>145.33840506000001</v>
      </c>
      <c r="K53" s="100">
        <f>I53/J53*100</f>
        <v>59.909362067138673</v>
      </c>
    </row>
    <row r="54" spans="1:11" s="36" customFormat="1">
      <c r="A54" s="46">
        <v>22</v>
      </c>
      <c r="B54" s="47" t="s">
        <v>77</v>
      </c>
      <c r="C54" s="34">
        <v>41</v>
      </c>
      <c r="D54" s="35">
        <v>24.028676260000001</v>
      </c>
      <c r="E54" s="34">
        <v>10</v>
      </c>
      <c r="F54" s="35">
        <v>34.073399999999999</v>
      </c>
      <c r="G54" s="34">
        <v>59</v>
      </c>
      <c r="H54" s="35">
        <v>24.458126320000002</v>
      </c>
      <c r="I54" s="35">
        <f>D54+F54+H54</f>
        <v>82.560202580000009</v>
      </c>
      <c r="J54" s="123">
        <v>68.362106150000002</v>
      </c>
      <c r="K54" s="100">
        <f>I54/J54*100</f>
        <v>120.7689569991401</v>
      </c>
    </row>
    <row r="55" spans="1:11" s="36" customFormat="1">
      <c r="A55" s="46">
        <v>23</v>
      </c>
      <c r="B55" s="47" t="s">
        <v>74</v>
      </c>
      <c r="C55" s="34">
        <v>46</v>
      </c>
      <c r="D55" s="35">
        <v>29.664801000000001</v>
      </c>
      <c r="E55" s="34">
        <v>11</v>
      </c>
      <c r="F55" s="35">
        <v>5.6719320253906247</v>
      </c>
      <c r="G55" s="34">
        <v>45</v>
      </c>
      <c r="H55" s="35">
        <v>35.506879640000001</v>
      </c>
      <c r="I55" s="35">
        <f>D55+F55+H55</f>
        <v>70.843612665390623</v>
      </c>
      <c r="J55" s="123">
        <v>133.20794660000001</v>
      </c>
      <c r="K55" s="100">
        <f>I55/J55*100</f>
        <v>53.182722557927796</v>
      </c>
    </row>
    <row r="56" spans="1:11" s="36" customFormat="1">
      <c r="A56" s="46">
        <v>24</v>
      </c>
      <c r="B56" s="47" t="s">
        <v>97</v>
      </c>
      <c r="C56" s="34">
        <v>4</v>
      </c>
      <c r="D56" s="35">
        <v>60.681798999999998</v>
      </c>
      <c r="E56" s="34">
        <v>0</v>
      </c>
      <c r="F56" s="35">
        <v>0</v>
      </c>
      <c r="G56" s="34">
        <v>4</v>
      </c>
      <c r="H56" s="35">
        <v>0.78147234999999993</v>
      </c>
      <c r="I56" s="35">
        <f>D56+F56+H56</f>
        <v>61.463271349999999</v>
      </c>
      <c r="J56" s="123">
        <v>0.75625452999999998</v>
      </c>
      <c r="K56" s="100">
        <f>I56/J56*100</f>
        <v>8127.326040612279</v>
      </c>
    </row>
    <row r="57" spans="1:11" s="36" customFormat="1">
      <c r="A57" s="46">
        <v>25</v>
      </c>
      <c r="B57" s="47" t="s">
        <v>83</v>
      </c>
      <c r="C57" s="34">
        <v>14</v>
      </c>
      <c r="D57" s="35">
        <v>7.2987310000000001</v>
      </c>
      <c r="E57" s="34">
        <v>4</v>
      </c>
      <c r="F57" s="35">
        <v>20.69351153125</v>
      </c>
      <c r="G57" s="34">
        <v>30</v>
      </c>
      <c r="H57" s="35">
        <v>11.676240980000001</v>
      </c>
      <c r="I57" s="35">
        <f>D57+F57+H57</f>
        <v>39.668483511250002</v>
      </c>
      <c r="J57" s="123">
        <v>56.655297000000012</v>
      </c>
      <c r="K57" s="100">
        <f>I57/J57*100</f>
        <v>70.017254540647798</v>
      </c>
    </row>
    <row r="58" spans="1:11" s="36" customFormat="1">
      <c r="A58" s="46">
        <v>26</v>
      </c>
      <c r="B58" s="47" t="s">
        <v>124</v>
      </c>
      <c r="C58" s="34">
        <v>0</v>
      </c>
      <c r="D58" s="35">
        <v>0</v>
      </c>
      <c r="E58" s="34">
        <v>0</v>
      </c>
      <c r="F58" s="35">
        <v>0</v>
      </c>
      <c r="G58" s="34">
        <v>2</v>
      </c>
      <c r="H58" s="35">
        <v>27.949247</v>
      </c>
      <c r="I58" s="35">
        <f>D58+F58+H58</f>
        <v>27.949247</v>
      </c>
      <c r="J58" s="123">
        <v>0.20999499999999999</v>
      </c>
      <c r="K58" s="100">
        <f>I58/J58*100</f>
        <v>13309.48213052692</v>
      </c>
    </row>
    <row r="59" spans="1:11" s="36" customFormat="1">
      <c r="A59" s="46">
        <v>27</v>
      </c>
      <c r="B59" s="49" t="s">
        <v>87</v>
      </c>
      <c r="C59" s="34">
        <v>4</v>
      </c>
      <c r="D59" s="35">
        <v>23</v>
      </c>
      <c r="E59" s="34">
        <v>0</v>
      </c>
      <c r="F59" s="35">
        <v>0</v>
      </c>
      <c r="G59" s="34">
        <v>0</v>
      </c>
      <c r="H59" s="35">
        <v>0</v>
      </c>
      <c r="I59" s="35">
        <f>D59+F59+H59</f>
        <v>23</v>
      </c>
      <c r="J59" s="123">
        <v>13.96524</v>
      </c>
      <c r="K59" s="100">
        <f>I59/J59*100</f>
        <v>164.69462751803766</v>
      </c>
    </row>
    <row r="60" spans="1:11" s="36" customFormat="1">
      <c r="A60" s="46">
        <v>28</v>
      </c>
      <c r="B60" s="49" t="s">
        <v>110</v>
      </c>
      <c r="C60" s="34">
        <v>1</v>
      </c>
      <c r="D60" s="35">
        <v>22.01</v>
      </c>
      <c r="E60" s="34">
        <v>2</v>
      </c>
      <c r="F60" s="35">
        <v>0.40616999999999998</v>
      </c>
      <c r="G60" s="34">
        <v>4</v>
      </c>
      <c r="H60" s="35">
        <v>0.46308651999999995</v>
      </c>
      <c r="I60" s="35">
        <f>D60+F60+H60</f>
        <v>22.879256520000002</v>
      </c>
      <c r="J60" s="123">
        <v>1.2696520950000001</v>
      </c>
      <c r="K60" s="100">
        <f>I60/J60*100</f>
        <v>1802.0099057135806</v>
      </c>
    </row>
    <row r="61" spans="1:11" s="36" customFormat="1">
      <c r="A61" s="46">
        <v>29</v>
      </c>
      <c r="B61" s="187" t="s">
        <v>89</v>
      </c>
      <c r="C61" s="34">
        <v>13</v>
      </c>
      <c r="D61" s="35">
        <v>12.746294000000001</v>
      </c>
      <c r="E61" s="34">
        <v>6</v>
      </c>
      <c r="F61" s="35">
        <v>8.4539460000000002</v>
      </c>
      <c r="G61" s="34">
        <v>9</v>
      </c>
      <c r="H61" s="35">
        <v>1.60531</v>
      </c>
      <c r="I61" s="35">
        <f>D61+F61+H61</f>
        <v>22.80555</v>
      </c>
      <c r="J61" s="123">
        <v>10.99427597</v>
      </c>
      <c r="K61" s="100">
        <f>I61/J61*100</f>
        <v>207.43112199684032</v>
      </c>
    </row>
    <row r="62" spans="1:11" s="36" customFormat="1">
      <c r="A62" s="46">
        <v>30</v>
      </c>
      <c r="B62" s="49" t="s">
        <v>209</v>
      </c>
      <c r="C62" s="34">
        <v>1</v>
      </c>
      <c r="D62" s="35">
        <v>3.5</v>
      </c>
      <c r="E62" s="34">
        <v>2</v>
      </c>
      <c r="F62" s="35">
        <v>15.896000000000001</v>
      </c>
      <c r="G62" s="34">
        <v>0</v>
      </c>
      <c r="H62" s="35">
        <v>0</v>
      </c>
      <c r="I62" s="35">
        <f>D62+F62+H62</f>
        <v>19.396000000000001</v>
      </c>
      <c r="J62" s="123">
        <v>28.54526907</v>
      </c>
      <c r="K62" s="100">
        <f>I62/J62*100</f>
        <v>67.948212197391626</v>
      </c>
    </row>
    <row r="63" spans="1:11" s="36" customFormat="1">
      <c r="A63" s="46">
        <v>31</v>
      </c>
      <c r="B63" s="49" t="s">
        <v>93</v>
      </c>
      <c r="C63" s="34">
        <v>9</v>
      </c>
      <c r="D63" s="35">
        <v>10.810726000000001</v>
      </c>
      <c r="E63" s="34">
        <v>0</v>
      </c>
      <c r="F63" s="35">
        <v>0</v>
      </c>
      <c r="G63" s="34">
        <v>31</v>
      </c>
      <c r="H63" s="35">
        <v>6.9201534499999999</v>
      </c>
      <c r="I63" s="35">
        <f>D63+F63+H63</f>
        <v>17.73087945</v>
      </c>
      <c r="J63" s="123">
        <v>1.8232176800000002</v>
      </c>
      <c r="K63" s="100">
        <f>I63/J63*100</f>
        <v>972.50479986569667</v>
      </c>
    </row>
    <row r="64" spans="1:11" s="36" customFormat="1">
      <c r="A64" s="46">
        <v>32</v>
      </c>
      <c r="B64" s="49" t="s">
        <v>95</v>
      </c>
      <c r="C64" s="34">
        <v>23</v>
      </c>
      <c r="D64" s="35">
        <v>6.0439218700000001</v>
      </c>
      <c r="E64" s="34">
        <v>1</v>
      </c>
      <c r="F64" s="35">
        <v>-9.9999999999999995E-7</v>
      </c>
      <c r="G64" s="34">
        <v>75</v>
      </c>
      <c r="H64" s="35">
        <v>9.2363568099999984</v>
      </c>
      <c r="I64" s="35">
        <f>D64+F64+H64</f>
        <v>15.280277679999998</v>
      </c>
      <c r="J64" s="123">
        <v>16.00125688</v>
      </c>
      <c r="K64" s="100">
        <f>I64/J64*100</f>
        <v>95.494233950452013</v>
      </c>
    </row>
    <row r="65" spans="1:11" s="36" customFormat="1">
      <c r="A65" s="46">
        <v>33</v>
      </c>
      <c r="B65" s="49" t="s">
        <v>99</v>
      </c>
      <c r="C65" s="34">
        <v>0</v>
      </c>
      <c r="D65" s="35">
        <v>0</v>
      </c>
      <c r="E65" s="34">
        <v>0</v>
      </c>
      <c r="F65" s="35">
        <v>0</v>
      </c>
      <c r="G65" s="34">
        <v>58</v>
      </c>
      <c r="H65" s="35">
        <v>14.978843600000001</v>
      </c>
      <c r="I65" s="35">
        <f>D65+F65+H65</f>
        <v>14.978843600000001</v>
      </c>
      <c r="J65" s="123">
        <v>10.434754380000001</v>
      </c>
      <c r="K65" s="100">
        <f>I65/J65*100</f>
        <v>143.54763949891841</v>
      </c>
    </row>
    <row r="66" spans="1:11" s="36" customFormat="1">
      <c r="A66" s="46">
        <v>34</v>
      </c>
      <c r="B66" s="49" t="s">
        <v>98</v>
      </c>
      <c r="C66" s="34">
        <v>3</v>
      </c>
      <c r="D66" s="35">
        <v>2.42306</v>
      </c>
      <c r="E66" s="34">
        <v>1</v>
      </c>
      <c r="F66" s="35">
        <v>1.72</v>
      </c>
      <c r="G66" s="34">
        <v>13</v>
      </c>
      <c r="H66" s="35">
        <v>9.6685435000000002</v>
      </c>
      <c r="I66" s="35">
        <f>D66+F66+H66</f>
        <v>13.8116035</v>
      </c>
      <c r="J66" s="123">
        <v>17.936800000000002</v>
      </c>
      <c r="K66" s="100">
        <f>I66/J66*100</f>
        <v>77.001491347397518</v>
      </c>
    </row>
    <row r="67" spans="1:11" s="36" customFormat="1">
      <c r="A67" s="46">
        <v>35</v>
      </c>
      <c r="B67" s="49" t="s">
        <v>92</v>
      </c>
      <c r="C67" s="34">
        <v>1</v>
      </c>
      <c r="D67" s="35">
        <v>12</v>
      </c>
      <c r="E67" s="34">
        <v>0</v>
      </c>
      <c r="F67" s="35">
        <v>0</v>
      </c>
      <c r="G67" s="34">
        <v>0</v>
      </c>
      <c r="H67" s="35">
        <v>0</v>
      </c>
      <c r="I67" s="35">
        <f>D67+F67+H67</f>
        <v>12</v>
      </c>
      <c r="J67" s="123"/>
      <c r="K67" s="100"/>
    </row>
    <row r="68" spans="1:11" s="36" customFormat="1">
      <c r="A68" s="46">
        <v>36</v>
      </c>
      <c r="B68" s="49" t="s">
        <v>115</v>
      </c>
      <c r="C68" s="34">
        <v>14</v>
      </c>
      <c r="D68" s="35">
        <v>1.0319608600000001</v>
      </c>
      <c r="E68" s="34">
        <v>5</v>
      </c>
      <c r="F68" s="35">
        <v>8.5684240000000003</v>
      </c>
      <c r="G68" s="34">
        <v>11</v>
      </c>
      <c r="H68" s="35">
        <v>1.7796614499999999</v>
      </c>
      <c r="I68" s="35">
        <f>D68+F68+H68</f>
        <v>11.380046310000001</v>
      </c>
      <c r="J68" s="123">
        <v>31.111806890000004</v>
      </c>
      <c r="K68" s="100">
        <f>I68/J68*100</f>
        <v>36.577902242179924</v>
      </c>
    </row>
    <row r="69" spans="1:11" s="36" customFormat="1">
      <c r="A69" s="46">
        <v>37</v>
      </c>
      <c r="B69" s="49" t="s">
        <v>214</v>
      </c>
      <c r="C69" s="34">
        <v>1</v>
      </c>
      <c r="D69" s="35">
        <v>11.21669</v>
      </c>
      <c r="E69" s="34">
        <v>0</v>
      </c>
      <c r="F69" s="35">
        <v>0</v>
      </c>
      <c r="G69" s="34">
        <v>0</v>
      </c>
      <c r="H69" s="35">
        <v>0</v>
      </c>
      <c r="I69" s="35">
        <f>D69+F69+H69</f>
        <v>11.21669</v>
      </c>
      <c r="J69" s="123">
        <v>0.42481000000000002</v>
      </c>
      <c r="K69" s="100">
        <f>I69/J69*100</f>
        <v>2640.4015912996397</v>
      </c>
    </row>
    <row r="70" spans="1:11" s="36" customFormat="1">
      <c r="A70" s="46">
        <v>38</v>
      </c>
      <c r="B70" s="49" t="s">
        <v>269</v>
      </c>
      <c r="C70" s="34">
        <v>0</v>
      </c>
      <c r="D70" s="35">
        <v>0</v>
      </c>
      <c r="E70" s="34">
        <v>0</v>
      </c>
      <c r="F70" s="35">
        <v>0</v>
      </c>
      <c r="G70" s="34">
        <v>1</v>
      </c>
      <c r="H70" s="35">
        <v>10.101756460000001</v>
      </c>
      <c r="I70" s="35">
        <f>D70+F70+H70</f>
        <v>10.101756460000001</v>
      </c>
      <c r="J70" s="123"/>
      <c r="K70" s="100"/>
    </row>
    <row r="71" spans="1:11" s="36" customFormat="1">
      <c r="A71" s="46">
        <v>39</v>
      </c>
      <c r="B71" s="49" t="s">
        <v>85</v>
      </c>
      <c r="C71" s="34">
        <v>2</v>
      </c>
      <c r="D71" s="35">
        <v>6.9135369999999998</v>
      </c>
      <c r="E71" s="34">
        <v>2</v>
      </c>
      <c r="F71" s="35">
        <v>1.2886089999999999</v>
      </c>
      <c r="G71" s="34">
        <v>3</v>
      </c>
      <c r="H71" s="35">
        <v>1.4608350000000001</v>
      </c>
      <c r="I71" s="35">
        <f>D71+F71+H71</f>
        <v>9.6629809999999985</v>
      </c>
      <c r="J71" s="123">
        <v>41.215373470000003</v>
      </c>
      <c r="K71" s="100">
        <f>I71/J71*100</f>
        <v>23.44508902008015</v>
      </c>
    </row>
    <row r="72" spans="1:11" s="36" customFormat="1">
      <c r="A72" s="46">
        <v>40</v>
      </c>
      <c r="B72" s="49" t="s">
        <v>90</v>
      </c>
      <c r="C72" s="34">
        <v>0</v>
      </c>
      <c r="D72" s="35">
        <v>0</v>
      </c>
      <c r="E72" s="34">
        <v>0</v>
      </c>
      <c r="F72" s="35">
        <v>0</v>
      </c>
      <c r="G72" s="34">
        <v>7</v>
      </c>
      <c r="H72" s="35">
        <v>7.6869524599999997</v>
      </c>
      <c r="I72" s="35">
        <f>D72+F72+H72</f>
        <v>7.6869524599999997</v>
      </c>
      <c r="J72" s="123">
        <v>1.1240161900000001</v>
      </c>
      <c r="K72" s="100">
        <f>I72/J72*100</f>
        <v>683.88271702741213</v>
      </c>
    </row>
    <row r="73" spans="1:11" s="36" customFormat="1">
      <c r="A73" s="46">
        <v>41</v>
      </c>
      <c r="B73" s="49" t="s">
        <v>94</v>
      </c>
      <c r="C73" s="34">
        <v>9</v>
      </c>
      <c r="D73" s="35">
        <v>2.61328681</v>
      </c>
      <c r="E73" s="34">
        <v>0</v>
      </c>
      <c r="F73" s="35">
        <v>0</v>
      </c>
      <c r="G73" s="34">
        <v>41</v>
      </c>
      <c r="H73" s="35">
        <v>3.0215312599999997</v>
      </c>
      <c r="I73" s="35">
        <f>D73+F73+H73</f>
        <v>5.6348180699999997</v>
      </c>
      <c r="J73" s="123">
        <v>13.864883840000001</v>
      </c>
      <c r="K73" s="100">
        <f>I73/J73*100</f>
        <v>40.640932408994487</v>
      </c>
    </row>
    <row r="74" spans="1:11" s="36" customFormat="1">
      <c r="A74" s="46">
        <v>42</v>
      </c>
      <c r="B74" s="49" t="s">
        <v>216</v>
      </c>
      <c r="C74" s="34">
        <v>1</v>
      </c>
      <c r="D74" s="35">
        <v>5</v>
      </c>
      <c r="E74" s="34">
        <v>0</v>
      </c>
      <c r="F74" s="35">
        <v>0</v>
      </c>
      <c r="G74" s="34">
        <v>0</v>
      </c>
      <c r="H74" s="35">
        <v>0</v>
      </c>
      <c r="I74" s="35">
        <f>D74+F74+H74</f>
        <v>5</v>
      </c>
      <c r="J74" s="123"/>
      <c r="K74" s="100"/>
    </row>
    <row r="75" spans="1:11" s="36" customFormat="1">
      <c r="A75" s="46">
        <v>43</v>
      </c>
      <c r="B75" s="49" t="s">
        <v>312</v>
      </c>
      <c r="C75" s="34">
        <v>1</v>
      </c>
      <c r="D75" s="35">
        <v>4</v>
      </c>
      <c r="E75" s="34">
        <v>0</v>
      </c>
      <c r="F75" s="35">
        <v>0</v>
      </c>
      <c r="G75" s="34">
        <v>0</v>
      </c>
      <c r="H75" s="35">
        <v>0</v>
      </c>
      <c r="I75" s="35">
        <f>D75+F75+H75</f>
        <v>4</v>
      </c>
      <c r="J75" s="123"/>
      <c r="K75" s="100"/>
    </row>
    <row r="76" spans="1:11" s="36" customFormat="1">
      <c r="A76" s="46">
        <v>44</v>
      </c>
      <c r="B76" s="49" t="s">
        <v>80</v>
      </c>
      <c r="C76" s="34">
        <v>0</v>
      </c>
      <c r="D76" s="35">
        <v>0</v>
      </c>
      <c r="E76" s="34">
        <v>0</v>
      </c>
      <c r="F76" s="35">
        <v>0</v>
      </c>
      <c r="G76" s="34">
        <v>3</v>
      </c>
      <c r="H76" s="35">
        <v>3.7610999999999999</v>
      </c>
      <c r="I76" s="35">
        <f>D76+F76+H76</f>
        <v>3.7610999999999999</v>
      </c>
      <c r="J76" s="123"/>
      <c r="K76" s="100"/>
    </row>
    <row r="77" spans="1:11" s="36" customFormat="1">
      <c r="A77" s="46">
        <v>45</v>
      </c>
      <c r="B77" s="49" t="s">
        <v>230</v>
      </c>
      <c r="C77" s="34">
        <v>1</v>
      </c>
      <c r="D77" s="35">
        <v>3.5</v>
      </c>
      <c r="E77" s="34">
        <v>0</v>
      </c>
      <c r="F77" s="35">
        <v>0</v>
      </c>
      <c r="G77" s="34">
        <v>0</v>
      </c>
      <c r="H77" s="35">
        <v>0</v>
      </c>
      <c r="I77" s="35">
        <f>D77+F77+H77</f>
        <v>3.5</v>
      </c>
      <c r="J77" s="123">
        <v>4.7722707274999996</v>
      </c>
      <c r="K77" s="100">
        <f>I77/J77*100</f>
        <v>73.34034885806885</v>
      </c>
    </row>
    <row r="78" spans="1:11" s="36" customFormat="1">
      <c r="A78" s="46">
        <v>46</v>
      </c>
      <c r="B78" s="49" t="s">
        <v>210</v>
      </c>
      <c r="C78" s="34">
        <v>3</v>
      </c>
      <c r="D78" s="35">
        <v>3.31</v>
      </c>
      <c r="E78" s="34">
        <v>0</v>
      </c>
      <c r="F78" s="35">
        <v>0</v>
      </c>
      <c r="G78" s="34">
        <v>1</v>
      </c>
      <c r="H78" s="35">
        <v>0.16719999999999999</v>
      </c>
      <c r="I78" s="35">
        <f>D78+F78+H78</f>
        <v>3.4771999999999998</v>
      </c>
      <c r="J78" s="123">
        <v>6.5489999999999995</v>
      </c>
      <c r="K78" s="100">
        <f>I78/J78*100</f>
        <v>53.095129027332419</v>
      </c>
    </row>
    <row r="79" spans="1:11" s="36" customFormat="1">
      <c r="A79" s="46">
        <v>47</v>
      </c>
      <c r="B79" s="49" t="s">
        <v>212</v>
      </c>
      <c r="C79" s="34">
        <v>2</v>
      </c>
      <c r="D79" s="35">
        <v>7.7399999999999997E-2</v>
      </c>
      <c r="E79" s="34">
        <v>3</v>
      </c>
      <c r="F79" s="35">
        <v>0.77910599999999997</v>
      </c>
      <c r="G79" s="34">
        <v>6</v>
      </c>
      <c r="H79" s="35">
        <v>2.2490105699999998</v>
      </c>
      <c r="I79" s="35">
        <f>D79+F79+H79</f>
        <v>3.1055165699999998</v>
      </c>
      <c r="J79" s="123">
        <v>0.30788659000000007</v>
      </c>
      <c r="K79" s="100">
        <f>I79/J79*100</f>
        <v>1008.6560021987314</v>
      </c>
    </row>
    <row r="80" spans="1:11" s="36" customFormat="1">
      <c r="A80" s="46">
        <v>48</v>
      </c>
      <c r="B80" s="49" t="s">
        <v>108</v>
      </c>
      <c r="C80" s="34">
        <v>3</v>
      </c>
      <c r="D80" s="35">
        <v>0.18</v>
      </c>
      <c r="E80" s="34">
        <v>3</v>
      </c>
      <c r="F80" s="35">
        <v>1.8027118124999999</v>
      </c>
      <c r="G80" s="34">
        <v>4</v>
      </c>
      <c r="H80" s="35">
        <v>0.77588859999999993</v>
      </c>
      <c r="I80" s="35">
        <f>D80+F80+H80</f>
        <v>2.7586004124999999</v>
      </c>
      <c r="J80" s="123">
        <v>1.1623509999999999</v>
      </c>
      <c r="K80" s="100">
        <f>I80/J80*100</f>
        <v>237.32937920645313</v>
      </c>
    </row>
    <row r="81" spans="1:11" s="36" customFormat="1">
      <c r="A81" s="46">
        <v>49</v>
      </c>
      <c r="B81" s="49" t="s">
        <v>132</v>
      </c>
      <c r="C81" s="34">
        <v>2</v>
      </c>
      <c r="D81" s="35">
        <v>0.02</v>
      </c>
      <c r="E81" s="34">
        <v>0</v>
      </c>
      <c r="F81" s="35">
        <v>0</v>
      </c>
      <c r="G81" s="34">
        <v>11</v>
      </c>
      <c r="H81" s="35">
        <v>2.4729860000000001</v>
      </c>
      <c r="I81" s="35">
        <f>D81+F81+H81</f>
        <v>2.4929860000000001</v>
      </c>
      <c r="J81" s="123">
        <v>0.63272000000000006</v>
      </c>
      <c r="K81" s="100">
        <f>I81/J81*100</f>
        <v>394.01093690732074</v>
      </c>
    </row>
    <row r="82" spans="1:11" s="36" customFormat="1">
      <c r="A82" s="46">
        <v>50</v>
      </c>
      <c r="B82" s="49" t="s">
        <v>113</v>
      </c>
      <c r="C82" s="34">
        <v>2</v>
      </c>
      <c r="D82" s="35">
        <v>2.15</v>
      </c>
      <c r="E82" s="34">
        <v>0</v>
      </c>
      <c r="F82" s="35">
        <v>0</v>
      </c>
      <c r="G82" s="34">
        <v>1</v>
      </c>
      <c r="H82" s="35">
        <v>3.7661629999999995E-2</v>
      </c>
      <c r="I82" s="35">
        <f>D82+F82+H82</f>
        <v>2.18766163</v>
      </c>
      <c r="J82" s="123">
        <v>2.8671338899999999</v>
      </c>
      <c r="K82" s="100">
        <f>I82/J82*100</f>
        <v>76.301341825372518</v>
      </c>
    </row>
    <row r="83" spans="1:11" s="36" customFormat="1">
      <c r="A83" s="46">
        <v>51</v>
      </c>
      <c r="B83" s="49" t="s">
        <v>105</v>
      </c>
      <c r="C83" s="34">
        <v>10</v>
      </c>
      <c r="D83" s="35">
        <v>1.4887967499999999</v>
      </c>
      <c r="E83" s="34">
        <v>2</v>
      </c>
      <c r="F83" s="35">
        <v>0.101702</v>
      </c>
      <c r="G83" s="34">
        <v>9</v>
      </c>
      <c r="H83" s="35">
        <v>0.32603092000000006</v>
      </c>
      <c r="I83" s="35">
        <f>D83+F83+H83</f>
        <v>1.9165296699999999</v>
      </c>
      <c r="J83" s="123">
        <v>1.2372088000000001</v>
      </c>
      <c r="K83" s="100">
        <f>I83/J83*100</f>
        <v>154.90753622185679</v>
      </c>
    </row>
    <row r="84" spans="1:11" s="36" customFormat="1">
      <c r="A84" s="46">
        <v>52</v>
      </c>
      <c r="B84" s="49" t="s">
        <v>112</v>
      </c>
      <c r="C84" s="34">
        <v>2</v>
      </c>
      <c r="D84" s="35">
        <v>0.13220000000000001</v>
      </c>
      <c r="E84" s="34">
        <v>1</v>
      </c>
      <c r="F84" s="35">
        <v>-4.02E-2</v>
      </c>
      <c r="G84" s="34">
        <v>6</v>
      </c>
      <c r="H84" s="35">
        <v>1.563048</v>
      </c>
      <c r="I84" s="35">
        <f>D84+F84+H84</f>
        <v>1.6550480000000001</v>
      </c>
      <c r="J84" s="123">
        <v>3.0305302100000002</v>
      </c>
      <c r="K84" s="100">
        <f>I84/J84*100</f>
        <v>54.612489739872942</v>
      </c>
    </row>
    <row r="85" spans="1:11" s="36" customFormat="1">
      <c r="A85" s="46">
        <v>53</v>
      </c>
      <c r="B85" s="49" t="s">
        <v>118</v>
      </c>
      <c r="C85" s="34">
        <v>2</v>
      </c>
      <c r="D85" s="35">
        <v>0.14000000000000001</v>
      </c>
      <c r="E85" s="34">
        <v>0</v>
      </c>
      <c r="F85" s="35">
        <v>0</v>
      </c>
      <c r="G85" s="34">
        <v>11</v>
      </c>
      <c r="H85" s="35">
        <v>1.50096856</v>
      </c>
      <c r="I85" s="35">
        <f>D85+F85+H85</f>
        <v>1.6409685600000001</v>
      </c>
      <c r="J85" s="123">
        <v>0.56700000000000006</v>
      </c>
      <c r="K85" s="100">
        <f>I85/J85*100</f>
        <v>289.41244444444447</v>
      </c>
    </row>
    <row r="86" spans="1:11" s="36" customFormat="1">
      <c r="A86" s="46">
        <v>54</v>
      </c>
      <c r="B86" s="49" t="s">
        <v>127</v>
      </c>
      <c r="C86" s="34">
        <v>0</v>
      </c>
      <c r="D86" s="35">
        <v>0</v>
      </c>
      <c r="E86" s="34">
        <v>0</v>
      </c>
      <c r="F86" s="35">
        <v>0</v>
      </c>
      <c r="G86" s="34">
        <v>7</v>
      </c>
      <c r="H86" s="35">
        <v>1.4794498500000002</v>
      </c>
      <c r="I86" s="35">
        <f>D86+F86+H86</f>
        <v>1.4794498500000002</v>
      </c>
      <c r="J86" s="123">
        <v>0.81774060999999998</v>
      </c>
      <c r="K86" s="100">
        <f>I86/J86*100</f>
        <v>180.91920982131489</v>
      </c>
    </row>
    <row r="87" spans="1:11" s="36" customFormat="1">
      <c r="A87" s="46">
        <v>55</v>
      </c>
      <c r="B87" s="49" t="s">
        <v>121</v>
      </c>
      <c r="C87" s="34">
        <v>1</v>
      </c>
      <c r="D87" s="35">
        <v>0.12698000000000001</v>
      </c>
      <c r="E87" s="34">
        <v>0</v>
      </c>
      <c r="F87" s="35">
        <v>0</v>
      </c>
      <c r="G87" s="34">
        <v>3</v>
      </c>
      <c r="H87" s="35">
        <v>1.30963082</v>
      </c>
      <c r="I87" s="35">
        <f>D87+F87+H87</f>
        <v>1.4366108200000001</v>
      </c>
      <c r="J87" s="123">
        <v>0.86278199999999994</v>
      </c>
      <c r="K87" s="100">
        <f>I87/J87*100</f>
        <v>166.5091320866685</v>
      </c>
    </row>
    <row r="88" spans="1:11" s="36" customFormat="1">
      <c r="A88" s="46">
        <v>56</v>
      </c>
      <c r="B88" s="49" t="s">
        <v>123</v>
      </c>
      <c r="C88" s="34">
        <v>0</v>
      </c>
      <c r="D88" s="35">
        <v>0</v>
      </c>
      <c r="E88" s="34">
        <v>0</v>
      </c>
      <c r="F88" s="35">
        <v>0</v>
      </c>
      <c r="G88" s="34">
        <v>2</v>
      </c>
      <c r="H88" s="35">
        <v>1.381186</v>
      </c>
      <c r="I88" s="35">
        <f>D88+F88+H88</f>
        <v>1.381186</v>
      </c>
      <c r="J88" s="123">
        <v>0.21872085000000002</v>
      </c>
      <c r="K88" s="100">
        <f>I88/J88*100</f>
        <v>631.48346396788406</v>
      </c>
    </row>
    <row r="89" spans="1:11" s="36" customFormat="1">
      <c r="A89" s="46">
        <v>57</v>
      </c>
      <c r="B89" s="49" t="s">
        <v>106</v>
      </c>
      <c r="C89" s="34">
        <v>1</v>
      </c>
      <c r="D89" s="35">
        <v>0.02</v>
      </c>
      <c r="E89" s="34">
        <v>0</v>
      </c>
      <c r="F89" s="35">
        <v>0</v>
      </c>
      <c r="G89" s="34">
        <v>2</v>
      </c>
      <c r="H89" s="35">
        <v>1.1670499999999999</v>
      </c>
      <c r="I89" s="35">
        <f>D89+F89+H89</f>
        <v>1.1870499999999999</v>
      </c>
      <c r="J89" s="123">
        <v>0.91272500000000001</v>
      </c>
      <c r="K89" s="100">
        <f>I89/J89*100</f>
        <v>130.05560272809444</v>
      </c>
    </row>
    <row r="90" spans="1:11" s="36" customFormat="1">
      <c r="A90" s="46">
        <v>58</v>
      </c>
      <c r="B90" s="49" t="s">
        <v>86</v>
      </c>
      <c r="C90" s="34">
        <v>0</v>
      </c>
      <c r="D90" s="35">
        <v>0</v>
      </c>
      <c r="E90" s="34">
        <v>0</v>
      </c>
      <c r="F90" s="35">
        <v>0</v>
      </c>
      <c r="G90" s="34">
        <v>1</v>
      </c>
      <c r="H90" s="35">
        <v>1.0998779999999999</v>
      </c>
      <c r="I90" s="35">
        <f>D90+F90+H90</f>
        <v>1.0998779999999999</v>
      </c>
      <c r="J90" s="123">
        <v>1.411</v>
      </c>
      <c r="K90" s="100">
        <f>I90/J90*100</f>
        <v>77.950248051027643</v>
      </c>
    </row>
    <row r="91" spans="1:11" s="36" customFormat="1">
      <c r="A91" s="46">
        <v>59</v>
      </c>
      <c r="B91" s="93" t="s">
        <v>96</v>
      </c>
      <c r="C91" s="188">
        <v>0</v>
      </c>
      <c r="D91" s="189">
        <v>0</v>
      </c>
      <c r="E91" s="188">
        <v>4</v>
      </c>
      <c r="F91" s="189">
        <v>0.52828701953125001</v>
      </c>
      <c r="G91" s="188">
        <v>9</v>
      </c>
      <c r="H91" s="189">
        <v>0.45657319000000002</v>
      </c>
      <c r="I91" s="189">
        <f>D91+F91+H91</f>
        <v>0.98486020953124997</v>
      </c>
      <c r="J91" s="123">
        <v>1.6795950800000001</v>
      </c>
      <c r="K91" s="100">
        <f>I91/J91*100</f>
        <v>58.636764376045328</v>
      </c>
    </row>
    <row r="92" spans="1:11" s="36" customFormat="1">
      <c r="A92" s="46">
        <v>60</v>
      </c>
      <c r="B92" s="155" t="s">
        <v>91</v>
      </c>
      <c r="C92" s="34">
        <v>7</v>
      </c>
      <c r="D92" s="35">
        <v>0.82620000000000005</v>
      </c>
      <c r="E92" s="34">
        <v>0</v>
      </c>
      <c r="F92" s="35">
        <v>0</v>
      </c>
      <c r="G92" s="34">
        <v>2</v>
      </c>
      <c r="H92" s="35">
        <v>4.2375999999999997E-2</v>
      </c>
      <c r="I92" s="35">
        <f>D92+F92+H92</f>
        <v>0.86857600000000001</v>
      </c>
      <c r="J92" s="123">
        <v>0.67645351000000009</v>
      </c>
      <c r="K92" s="100">
        <f>I92/J92*100</f>
        <v>128.4014329380891</v>
      </c>
    </row>
    <row r="93" spans="1:11" s="36" customFormat="1">
      <c r="A93" s="46">
        <v>61</v>
      </c>
      <c r="B93" s="49" t="s">
        <v>125</v>
      </c>
      <c r="C93" s="34">
        <v>1</v>
      </c>
      <c r="D93" s="35">
        <v>3.0000000000000001E-3</v>
      </c>
      <c r="E93" s="34">
        <v>0</v>
      </c>
      <c r="F93" s="35">
        <v>0</v>
      </c>
      <c r="G93" s="34">
        <v>3</v>
      </c>
      <c r="H93" s="35">
        <v>0.72619999999999996</v>
      </c>
      <c r="I93" s="35">
        <f>D93+F93+H93</f>
        <v>0.72919999999999996</v>
      </c>
      <c r="J93" s="123">
        <v>0.201619150390625</v>
      </c>
      <c r="K93" s="100">
        <f>I93/J93*100</f>
        <v>361.67199325422149</v>
      </c>
    </row>
    <row r="94" spans="1:11" s="36" customFormat="1">
      <c r="A94" s="46">
        <v>62</v>
      </c>
      <c r="B94" s="93" t="s">
        <v>141</v>
      </c>
      <c r="C94" s="34">
        <v>0</v>
      </c>
      <c r="D94" s="35">
        <v>0</v>
      </c>
      <c r="E94" s="34">
        <v>0</v>
      </c>
      <c r="F94" s="35">
        <v>0</v>
      </c>
      <c r="G94" s="34">
        <v>2</v>
      </c>
      <c r="H94" s="35">
        <v>0.689411</v>
      </c>
      <c r="I94" s="35">
        <f>D94+F94+H94</f>
        <v>0.689411</v>
      </c>
      <c r="J94" s="123">
        <v>0.27465499999999998</v>
      </c>
      <c r="K94" s="100">
        <f>I94/J94*100</f>
        <v>251.00981230998892</v>
      </c>
    </row>
    <row r="95" spans="1:11" s="36" customFormat="1">
      <c r="A95" s="46">
        <v>63</v>
      </c>
      <c r="B95" s="49" t="s">
        <v>241</v>
      </c>
      <c r="C95" s="34">
        <v>1</v>
      </c>
      <c r="D95" s="35">
        <v>0.1271186</v>
      </c>
      <c r="E95" s="34">
        <v>0</v>
      </c>
      <c r="F95" s="35">
        <v>0</v>
      </c>
      <c r="G95" s="34">
        <v>1</v>
      </c>
      <c r="H95" s="35">
        <v>0.42399999999999999</v>
      </c>
      <c r="I95" s="35">
        <f>D95+F95+H95</f>
        <v>0.55111860000000001</v>
      </c>
      <c r="J95" s="123">
        <v>0.22458649999999999</v>
      </c>
      <c r="K95" s="100">
        <f>I95/J95*100</f>
        <v>245.39257702488797</v>
      </c>
    </row>
    <row r="96" spans="1:11" s="36" customFormat="1">
      <c r="A96" s="46">
        <v>64</v>
      </c>
      <c r="B96" s="49" t="s">
        <v>119</v>
      </c>
      <c r="C96" s="34">
        <v>1</v>
      </c>
      <c r="D96" s="35">
        <v>4.3E-3</v>
      </c>
      <c r="E96" s="34">
        <v>0</v>
      </c>
      <c r="F96" s="35">
        <v>0</v>
      </c>
      <c r="G96" s="34">
        <v>2</v>
      </c>
      <c r="H96" s="35">
        <v>0.53007333999999995</v>
      </c>
      <c r="I96" s="95">
        <f>D96+F96+H96</f>
        <v>0.53437333999999992</v>
      </c>
      <c r="J96" s="123">
        <v>1.15260494</v>
      </c>
      <c r="K96" s="100">
        <f>I96/J96*100</f>
        <v>46.36222884833375</v>
      </c>
    </row>
    <row r="97" spans="1:11" s="36" customFormat="1">
      <c r="A97" s="46">
        <v>65</v>
      </c>
      <c r="B97" s="49" t="s">
        <v>120</v>
      </c>
      <c r="C97" s="34">
        <v>6</v>
      </c>
      <c r="D97" s="35">
        <v>0.104147</v>
      </c>
      <c r="E97" s="34">
        <v>0</v>
      </c>
      <c r="F97" s="35">
        <v>0</v>
      </c>
      <c r="G97" s="34">
        <v>8</v>
      </c>
      <c r="H97" s="35">
        <v>0.41673271000000001</v>
      </c>
      <c r="I97" s="35">
        <f>D97+F97+H97</f>
        <v>0.52087971</v>
      </c>
      <c r="J97" s="123">
        <v>16.156976200000003</v>
      </c>
      <c r="K97" s="100">
        <f>I97/J97*100</f>
        <v>3.223868770692377</v>
      </c>
    </row>
    <row r="98" spans="1:11" s="36" customFormat="1">
      <c r="A98" s="46">
        <v>66</v>
      </c>
      <c r="B98" s="49" t="s">
        <v>238</v>
      </c>
      <c r="C98" s="34">
        <v>1</v>
      </c>
      <c r="D98" s="35">
        <v>0.01</v>
      </c>
      <c r="E98" s="34">
        <v>0</v>
      </c>
      <c r="F98" s="35">
        <v>0</v>
      </c>
      <c r="G98" s="34">
        <v>3</v>
      </c>
      <c r="H98" s="35">
        <v>0.45087100000000002</v>
      </c>
      <c r="I98" s="35">
        <f>D98+F98+H98</f>
        <v>0.46087100000000003</v>
      </c>
      <c r="J98" s="123"/>
      <c r="K98" s="100"/>
    </row>
    <row r="99" spans="1:11" s="36" customFormat="1">
      <c r="A99" s="46">
        <v>67</v>
      </c>
      <c r="B99" s="49" t="s">
        <v>144</v>
      </c>
      <c r="C99" s="34">
        <v>2</v>
      </c>
      <c r="D99" s="35">
        <v>0.16800000000000001</v>
      </c>
      <c r="E99" s="34">
        <v>0</v>
      </c>
      <c r="F99" s="35">
        <v>0</v>
      </c>
      <c r="G99" s="34">
        <v>1</v>
      </c>
      <c r="H99" s="35">
        <v>0.28581107</v>
      </c>
      <c r="I99" s="35">
        <f>D99+F99+H99</f>
        <v>0.45381106999999998</v>
      </c>
      <c r="J99" s="123">
        <v>0.26364300000000002</v>
      </c>
      <c r="K99" s="100">
        <f>I99/J99*100</f>
        <v>172.13090049802193</v>
      </c>
    </row>
    <row r="100" spans="1:11" s="36" customFormat="1">
      <c r="A100" s="46">
        <v>68</v>
      </c>
      <c r="B100" s="49" t="s">
        <v>229</v>
      </c>
      <c r="C100" s="34">
        <v>0</v>
      </c>
      <c r="D100" s="35">
        <v>0</v>
      </c>
      <c r="E100" s="34">
        <v>0</v>
      </c>
      <c r="F100" s="35">
        <v>0</v>
      </c>
      <c r="G100" s="34">
        <v>3</v>
      </c>
      <c r="H100" s="35">
        <v>0.37970500000000001</v>
      </c>
      <c r="I100" s="35">
        <f>D100+F100+H100</f>
        <v>0.37970500000000001</v>
      </c>
      <c r="J100" s="123">
        <v>0.90464500000000003</v>
      </c>
      <c r="K100" s="100">
        <f>I100/J100*100</f>
        <v>41.972818066755465</v>
      </c>
    </row>
    <row r="101" spans="1:11" s="36" customFormat="1">
      <c r="A101" s="46">
        <v>69</v>
      </c>
      <c r="B101" s="49" t="s">
        <v>247</v>
      </c>
      <c r="C101" s="34">
        <v>1</v>
      </c>
      <c r="D101" s="35">
        <v>0.01</v>
      </c>
      <c r="E101" s="34">
        <v>0</v>
      </c>
      <c r="F101" s="35">
        <v>0</v>
      </c>
      <c r="G101" s="34">
        <v>3</v>
      </c>
      <c r="H101" s="35">
        <v>0.34867700000000001</v>
      </c>
      <c r="I101" s="35">
        <f>D101+F101+H101</f>
        <v>0.35867700000000002</v>
      </c>
      <c r="J101" s="123">
        <v>8.6999999999999994E-2</v>
      </c>
      <c r="K101" s="100">
        <f>I101/J101*100</f>
        <v>412.27241379310351</v>
      </c>
    </row>
    <row r="102" spans="1:11" s="36" customFormat="1">
      <c r="A102" s="46">
        <v>70</v>
      </c>
      <c r="B102" s="49" t="s">
        <v>122</v>
      </c>
      <c r="C102" s="34">
        <v>0</v>
      </c>
      <c r="D102" s="35">
        <v>0</v>
      </c>
      <c r="E102" s="34">
        <v>0</v>
      </c>
      <c r="F102" s="35">
        <v>0</v>
      </c>
      <c r="G102" s="34">
        <v>2</v>
      </c>
      <c r="H102" s="35">
        <v>0.34010600000000002</v>
      </c>
      <c r="I102" s="35">
        <f>D102+F102+H102</f>
        <v>0.34010600000000002</v>
      </c>
      <c r="J102" s="123">
        <v>4.3499999999999997E-2</v>
      </c>
      <c r="K102" s="100">
        <f>I102/J102*100</f>
        <v>781.85287356321851</v>
      </c>
    </row>
    <row r="103" spans="1:11" s="36" customFormat="1">
      <c r="A103" s="46">
        <v>71</v>
      </c>
      <c r="B103" s="49" t="s">
        <v>252</v>
      </c>
      <c r="C103" s="34">
        <v>0</v>
      </c>
      <c r="D103" s="35">
        <v>0</v>
      </c>
      <c r="E103" s="34">
        <v>0</v>
      </c>
      <c r="F103" s="35">
        <v>0</v>
      </c>
      <c r="G103" s="34">
        <v>2</v>
      </c>
      <c r="H103" s="35">
        <v>0.31256200000000001</v>
      </c>
      <c r="I103" s="35">
        <f>D103+F103+H103</f>
        <v>0.31256200000000001</v>
      </c>
      <c r="J103" s="123"/>
      <c r="K103" s="100"/>
    </row>
    <row r="104" spans="1:11" s="36" customFormat="1">
      <c r="A104" s="46">
        <v>72</v>
      </c>
      <c r="B104" s="49" t="s">
        <v>130</v>
      </c>
      <c r="C104" s="34">
        <v>2</v>
      </c>
      <c r="D104" s="35">
        <v>4.6795000000000003E-2</v>
      </c>
      <c r="E104" s="34">
        <v>0</v>
      </c>
      <c r="F104" s="35">
        <v>0</v>
      </c>
      <c r="G104" s="34">
        <v>1</v>
      </c>
      <c r="H104" s="35">
        <v>0.26086999999999999</v>
      </c>
      <c r="I104" s="35">
        <f>D104+F104+H104</f>
        <v>0.30766499999999997</v>
      </c>
      <c r="J104" s="123"/>
      <c r="K104" s="100"/>
    </row>
    <row r="105" spans="1:11" s="36" customFormat="1">
      <c r="A105" s="46">
        <v>73</v>
      </c>
      <c r="B105" s="49" t="s">
        <v>140</v>
      </c>
      <c r="C105" s="34">
        <v>0</v>
      </c>
      <c r="D105" s="35">
        <v>0</v>
      </c>
      <c r="E105" s="34">
        <v>0</v>
      </c>
      <c r="F105" s="35">
        <v>0</v>
      </c>
      <c r="G105" s="34">
        <v>2</v>
      </c>
      <c r="H105" s="35">
        <v>0.30397099999999999</v>
      </c>
      <c r="I105" s="35">
        <f>D105+F105+H105</f>
        <v>0.30397099999999999</v>
      </c>
      <c r="J105" s="123">
        <v>0.14158499999999999</v>
      </c>
      <c r="K105" s="100">
        <f>I105/J105*100</f>
        <v>214.69152805735069</v>
      </c>
    </row>
    <row r="106" spans="1:11" s="36" customFormat="1">
      <c r="A106" s="46">
        <v>74</v>
      </c>
      <c r="B106" s="49" t="s">
        <v>72</v>
      </c>
      <c r="C106" s="34">
        <v>3</v>
      </c>
      <c r="D106" s="35">
        <v>2.4133999999999999E-2</v>
      </c>
      <c r="E106" s="34">
        <v>0</v>
      </c>
      <c r="F106" s="35">
        <v>0</v>
      </c>
      <c r="G106" s="34">
        <v>2</v>
      </c>
      <c r="H106" s="35">
        <v>0.26906600000000003</v>
      </c>
      <c r="I106" s="35">
        <f>D106+F106+H106</f>
        <v>0.29320000000000002</v>
      </c>
      <c r="J106" s="123">
        <v>22.578889190000002</v>
      </c>
      <c r="K106" s="100">
        <f>I106/J106*100</f>
        <v>1.2985581245062126</v>
      </c>
    </row>
    <row r="107" spans="1:11" s="36" customFormat="1">
      <c r="A107" s="46">
        <v>75</v>
      </c>
      <c r="B107" s="49" t="s">
        <v>223</v>
      </c>
      <c r="C107" s="34">
        <v>0</v>
      </c>
      <c r="D107" s="35">
        <v>0</v>
      </c>
      <c r="E107" s="34">
        <v>0</v>
      </c>
      <c r="F107" s="35">
        <v>0</v>
      </c>
      <c r="G107" s="34">
        <v>1</v>
      </c>
      <c r="H107" s="35">
        <v>0.26433600000000002</v>
      </c>
      <c r="I107" s="35">
        <f>D107+F107+H107</f>
        <v>0.26433600000000002</v>
      </c>
      <c r="J107" s="123">
        <v>0.08</v>
      </c>
      <c r="K107" s="100">
        <f>I107/J107*100</f>
        <v>330.42</v>
      </c>
    </row>
    <row r="108" spans="1:11" s="36" customFormat="1">
      <c r="A108" s="46">
        <v>76</v>
      </c>
      <c r="B108" s="49" t="s">
        <v>104</v>
      </c>
      <c r="C108" s="34">
        <v>0</v>
      </c>
      <c r="D108" s="35">
        <v>0</v>
      </c>
      <c r="E108" s="34">
        <v>0</v>
      </c>
      <c r="F108" s="35">
        <v>0</v>
      </c>
      <c r="G108" s="34">
        <v>1</v>
      </c>
      <c r="H108" s="35">
        <v>0.25151373999999999</v>
      </c>
      <c r="I108" s="35">
        <f>D108+F108+H108</f>
        <v>0.25151373999999999</v>
      </c>
      <c r="J108" s="123">
        <v>0.105837</v>
      </c>
      <c r="K108" s="100">
        <f>I108/J108*100</f>
        <v>237.64254466774381</v>
      </c>
    </row>
    <row r="109" spans="1:11" s="36" customFormat="1">
      <c r="A109" s="46">
        <v>77</v>
      </c>
      <c r="B109" s="49" t="s">
        <v>114</v>
      </c>
      <c r="C109" s="34">
        <v>3</v>
      </c>
      <c r="D109" s="35">
        <v>0.21118100000000001</v>
      </c>
      <c r="E109" s="34">
        <v>1</v>
      </c>
      <c r="F109" s="35">
        <v>-0.23581342187500001</v>
      </c>
      <c r="G109" s="34">
        <v>3</v>
      </c>
      <c r="H109" s="35">
        <v>0.24393029999999999</v>
      </c>
      <c r="I109" s="35">
        <f>D109+F109+H109</f>
        <v>0.21929787812499998</v>
      </c>
      <c r="J109" s="123">
        <v>2.52935322</v>
      </c>
      <c r="K109" s="100">
        <f>I109/J109*100</f>
        <v>8.6701167868124003</v>
      </c>
    </row>
    <row r="110" spans="1:11" s="36" customFormat="1">
      <c r="A110" s="46">
        <v>78</v>
      </c>
      <c r="B110" s="49" t="s">
        <v>253</v>
      </c>
      <c r="C110" s="34">
        <v>0</v>
      </c>
      <c r="D110" s="35">
        <v>0</v>
      </c>
      <c r="E110" s="34">
        <v>0</v>
      </c>
      <c r="F110" s="35">
        <v>0</v>
      </c>
      <c r="G110" s="34">
        <v>2</v>
      </c>
      <c r="H110" s="35">
        <v>0.20063500000000001</v>
      </c>
      <c r="I110" s="35">
        <f>D110+F110+H110</f>
        <v>0.20063500000000001</v>
      </c>
      <c r="J110" s="123">
        <v>1.0949559999999998</v>
      </c>
      <c r="K110" s="100">
        <f>I110/J110*100</f>
        <v>18.323567339692193</v>
      </c>
    </row>
    <row r="111" spans="1:11" s="36" customFormat="1">
      <c r="A111" s="46">
        <v>79</v>
      </c>
      <c r="B111" s="49" t="s">
        <v>139</v>
      </c>
      <c r="C111" s="34">
        <v>0</v>
      </c>
      <c r="D111" s="35">
        <v>0</v>
      </c>
      <c r="E111" s="34">
        <v>0</v>
      </c>
      <c r="F111" s="35">
        <v>0</v>
      </c>
      <c r="G111" s="34">
        <v>1</v>
      </c>
      <c r="H111" s="35">
        <v>0.2</v>
      </c>
      <c r="I111" s="35">
        <f>D111+F111+H111</f>
        <v>0.2</v>
      </c>
      <c r="J111" s="123">
        <v>6.7634840000000002E-2</v>
      </c>
      <c r="K111" s="100">
        <f>I111/J111*100</f>
        <v>295.70558605594397</v>
      </c>
    </row>
    <row r="112" spans="1:11" s="36" customFormat="1">
      <c r="A112" s="46">
        <v>80</v>
      </c>
      <c r="B112" s="49" t="s">
        <v>243</v>
      </c>
      <c r="C112" s="34">
        <v>0</v>
      </c>
      <c r="D112" s="35">
        <v>0</v>
      </c>
      <c r="E112" s="34">
        <v>0</v>
      </c>
      <c r="F112" s="35">
        <v>0</v>
      </c>
      <c r="G112" s="34">
        <v>2</v>
      </c>
      <c r="H112" s="35">
        <v>0.19178300000000001</v>
      </c>
      <c r="I112" s="35">
        <f>D112+F112+H112</f>
        <v>0.19178300000000001</v>
      </c>
      <c r="J112" s="123">
        <v>0.30320094000000003</v>
      </c>
      <c r="K112" s="100">
        <f>I112/J112*100</f>
        <v>63.252772237447545</v>
      </c>
    </row>
    <row r="113" spans="1:11" s="36" customFormat="1">
      <c r="A113" s="46">
        <v>81</v>
      </c>
      <c r="B113" s="49" t="s">
        <v>116</v>
      </c>
      <c r="C113" s="34">
        <v>1</v>
      </c>
      <c r="D113" s="35">
        <v>0.03</v>
      </c>
      <c r="E113" s="34">
        <v>0</v>
      </c>
      <c r="F113" s="35">
        <v>0</v>
      </c>
      <c r="G113" s="34">
        <v>2</v>
      </c>
      <c r="H113" s="35">
        <v>0.14612923999999999</v>
      </c>
      <c r="I113" s="35">
        <f>D113+F113+H113</f>
        <v>0.17612923999999999</v>
      </c>
      <c r="J113" s="123">
        <v>0.54911988</v>
      </c>
      <c r="K113" s="100">
        <f>I113/J113*100</f>
        <v>32.074824899801477</v>
      </c>
    </row>
    <row r="114" spans="1:11" s="36" customFormat="1">
      <c r="A114" s="46">
        <v>82</v>
      </c>
      <c r="B114" s="49" t="s">
        <v>284</v>
      </c>
      <c r="C114" s="34">
        <v>0</v>
      </c>
      <c r="D114" s="35">
        <v>0</v>
      </c>
      <c r="E114" s="34">
        <v>0</v>
      </c>
      <c r="F114" s="35">
        <v>0</v>
      </c>
      <c r="G114" s="34">
        <v>1</v>
      </c>
      <c r="H114" s="35">
        <v>0.17391200000000001</v>
      </c>
      <c r="I114" s="35">
        <f>D114+F114+H114</f>
        <v>0.17391200000000001</v>
      </c>
      <c r="J114" s="123"/>
      <c r="K114" s="100"/>
    </row>
    <row r="115" spans="1:11" s="36" customFormat="1">
      <c r="A115" s="46">
        <v>83</v>
      </c>
      <c r="B115" s="49" t="s">
        <v>310</v>
      </c>
      <c r="C115" s="34">
        <v>0</v>
      </c>
      <c r="D115" s="35">
        <v>0</v>
      </c>
      <c r="E115" s="34">
        <v>0</v>
      </c>
      <c r="F115" s="35">
        <v>0</v>
      </c>
      <c r="G115" s="34">
        <v>1</v>
      </c>
      <c r="H115" s="35">
        <v>0.169348</v>
      </c>
      <c r="I115" s="35">
        <f>D115+F115+H115</f>
        <v>0.169348</v>
      </c>
      <c r="J115" s="123"/>
      <c r="K115" s="100"/>
    </row>
    <row r="116" spans="1:11" s="36" customFormat="1">
      <c r="A116" s="46">
        <v>84</v>
      </c>
      <c r="B116" s="49" t="s">
        <v>275</v>
      </c>
      <c r="C116" s="34">
        <v>0</v>
      </c>
      <c r="D116" s="35">
        <v>0</v>
      </c>
      <c r="E116" s="34">
        <v>0</v>
      </c>
      <c r="F116" s="35">
        <v>0</v>
      </c>
      <c r="G116" s="34">
        <v>1</v>
      </c>
      <c r="H116" s="35">
        <v>0.168492</v>
      </c>
      <c r="I116" s="35">
        <f>D116+F116+H116</f>
        <v>0.168492</v>
      </c>
      <c r="J116" s="123">
        <v>0.13035861000000001</v>
      </c>
      <c r="K116" s="100">
        <f>I116/J116*100</f>
        <v>129.25268227392112</v>
      </c>
    </row>
    <row r="117" spans="1:11" s="36" customFormat="1">
      <c r="A117" s="46">
        <v>85</v>
      </c>
      <c r="B117" s="49" t="s">
        <v>314</v>
      </c>
      <c r="C117" s="34">
        <v>0</v>
      </c>
      <c r="D117" s="35">
        <v>0</v>
      </c>
      <c r="E117" s="34">
        <v>0</v>
      </c>
      <c r="F117" s="35">
        <v>0</v>
      </c>
      <c r="G117" s="34">
        <v>1</v>
      </c>
      <c r="H117" s="35">
        <v>0.16166700000000001</v>
      </c>
      <c r="I117" s="35">
        <f>D117+F117+H117</f>
        <v>0.16166700000000001</v>
      </c>
      <c r="J117" s="123">
        <v>0.27801779999999998</v>
      </c>
      <c r="K117" s="100">
        <f>I117/J117*100</f>
        <v>58.149873856997644</v>
      </c>
    </row>
    <row r="118" spans="1:11" s="36" customFormat="1">
      <c r="A118" s="46">
        <v>86</v>
      </c>
      <c r="B118" s="49" t="s">
        <v>134</v>
      </c>
      <c r="C118" s="34">
        <v>1</v>
      </c>
      <c r="D118" s="35">
        <v>0.16</v>
      </c>
      <c r="E118" s="34">
        <v>0</v>
      </c>
      <c r="F118" s="35">
        <v>0</v>
      </c>
      <c r="G118" s="34">
        <v>0</v>
      </c>
      <c r="H118" s="35">
        <v>0</v>
      </c>
      <c r="I118" s="35">
        <f>D118+F118+H118</f>
        <v>0.16</v>
      </c>
      <c r="J118" s="123">
        <v>0.13200000000000001</v>
      </c>
      <c r="K118" s="100">
        <f>I118/J118*100</f>
        <v>121.21212121212122</v>
      </c>
    </row>
    <row r="119" spans="1:11" s="36" customFormat="1">
      <c r="A119" s="46">
        <v>87</v>
      </c>
      <c r="B119" s="49" t="s">
        <v>135</v>
      </c>
      <c r="C119" s="34">
        <v>1</v>
      </c>
      <c r="D119" s="35">
        <v>0.02</v>
      </c>
      <c r="E119" s="34">
        <v>0</v>
      </c>
      <c r="F119" s="35">
        <v>0</v>
      </c>
      <c r="G119" s="34">
        <v>1</v>
      </c>
      <c r="H119" s="35">
        <v>0.13958999999999999</v>
      </c>
      <c r="I119" s="35">
        <f>D119+F119+H119</f>
        <v>0.15958999999999998</v>
      </c>
      <c r="J119" s="123">
        <v>2.9448000000000002E-2</v>
      </c>
      <c r="K119" s="100">
        <f>I119/J119*100</f>
        <v>541.93833197500669</v>
      </c>
    </row>
    <row r="120" spans="1:11" s="36" customFormat="1">
      <c r="A120" s="46">
        <v>88</v>
      </c>
      <c r="B120" s="49" t="s">
        <v>282</v>
      </c>
      <c r="C120" s="34">
        <v>0</v>
      </c>
      <c r="D120" s="35">
        <v>0</v>
      </c>
      <c r="E120" s="34">
        <v>0</v>
      </c>
      <c r="F120" s="35">
        <v>0</v>
      </c>
      <c r="G120" s="34">
        <v>1</v>
      </c>
      <c r="H120" s="35">
        <v>0.152173</v>
      </c>
      <c r="I120" s="35">
        <f>D120+F120+H120</f>
        <v>0.152173</v>
      </c>
      <c r="J120" s="123">
        <v>0.68630899999999995</v>
      </c>
      <c r="K120" s="100">
        <f>I120/J120*100</f>
        <v>22.172665665174144</v>
      </c>
    </row>
    <row r="121" spans="1:11" s="36" customFormat="1">
      <c r="A121" s="46">
        <v>89</v>
      </c>
      <c r="B121" s="49" t="s">
        <v>227</v>
      </c>
      <c r="C121" s="34">
        <v>0</v>
      </c>
      <c r="D121" s="35">
        <v>0</v>
      </c>
      <c r="E121" s="34">
        <v>0</v>
      </c>
      <c r="F121" s="35">
        <v>0</v>
      </c>
      <c r="G121" s="34">
        <v>2</v>
      </c>
      <c r="H121" s="35">
        <v>0.15023626999999998</v>
      </c>
      <c r="I121" s="35">
        <f>D121+F121+H121</f>
        <v>0.15023626999999998</v>
      </c>
      <c r="J121" s="123">
        <v>0.2700013</v>
      </c>
      <c r="K121" s="100">
        <f>I121/J121*100</f>
        <v>55.642795053208992</v>
      </c>
    </row>
    <row r="122" spans="1:11" s="36" customFormat="1">
      <c r="A122" s="46">
        <v>90</v>
      </c>
      <c r="B122" s="49" t="s">
        <v>309</v>
      </c>
      <c r="C122" s="34">
        <v>0</v>
      </c>
      <c r="D122" s="35">
        <v>0</v>
      </c>
      <c r="E122" s="34">
        <v>0</v>
      </c>
      <c r="F122" s="35">
        <v>0</v>
      </c>
      <c r="G122" s="34">
        <v>1</v>
      </c>
      <c r="H122" s="35">
        <v>0.14926800000000001</v>
      </c>
      <c r="I122" s="35">
        <f>D122+F122+H122</f>
        <v>0.14926800000000001</v>
      </c>
      <c r="J122" s="123">
        <v>0.190498</v>
      </c>
      <c r="K122" s="100">
        <f>I122/J122*100</f>
        <v>78.356728154626296</v>
      </c>
    </row>
    <row r="123" spans="1:11" s="36" customFormat="1">
      <c r="A123" s="46">
        <v>91</v>
      </c>
      <c r="B123" s="49" t="s">
        <v>254</v>
      </c>
      <c r="C123" s="34">
        <v>0</v>
      </c>
      <c r="D123" s="35">
        <v>0</v>
      </c>
      <c r="E123" s="34">
        <v>0</v>
      </c>
      <c r="F123" s="35">
        <v>0</v>
      </c>
      <c r="G123" s="34">
        <v>1</v>
      </c>
      <c r="H123" s="35">
        <v>0.129</v>
      </c>
      <c r="I123" s="35">
        <f>D123+F123+H123</f>
        <v>0.129</v>
      </c>
      <c r="J123" s="123"/>
      <c r="K123" s="100"/>
    </row>
    <row r="124" spans="1:11" s="36" customFormat="1">
      <c r="A124" s="46">
        <v>92</v>
      </c>
      <c r="B124" s="49" t="s">
        <v>142</v>
      </c>
      <c r="C124" s="34">
        <v>2</v>
      </c>
      <c r="D124" s="35">
        <v>0.03</v>
      </c>
      <c r="E124" s="34">
        <v>0</v>
      </c>
      <c r="F124" s="35">
        <v>0</v>
      </c>
      <c r="G124" s="34">
        <v>2</v>
      </c>
      <c r="H124" s="35">
        <v>9.6865000000000007E-2</v>
      </c>
      <c r="I124" s="35">
        <f>D124+F124+H124</f>
        <v>0.12686500000000001</v>
      </c>
      <c r="J124" s="123">
        <v>8.4175E-2</v>
      </c>
      <c r="K124" s="100">
        <f>I124/J124*100</f>
        <v>150.7157707157707</v>
      </c>
    </row>
    <row r="125" spans="1:11" s="36" customFormat="1">
      <c r="A125" s="46">
        <v>93</v>
      </c>
      <c r="B125" s="49" t="s">
        <v>311</v>
      </c>
      <c r="C125" s="34">
        <v>0</v>
      </c>
      <c r="D125" s="35">
        <v>0</v>
      </c>
      <c r="E125" s="34">
        <v>0</v>
      </c>
      <c r="F125" s="35">
        <v>0</v>
      </c>
      <c r="G125" s="34">
        <v>1</v>
      </c>
      <c r="H125" s="35">
        <v>0.12679599999999999</v>
      </c>
      <c r="I125" s="35">
        <f>D125+F125+H125</f>
        <v>0.12679599999999999</v>
      </c>
      <c r="J125" s="123"/>
      <c r="K125" s="100"/>
    </row>
    <row r="126" spans="1:11" s="36" customFormat="1">
      <c r="A126" s="46">
        <v>94</v>
      </c>
      <c r="B126" s="49" t="s">
        <v>109</v>
      </c>
      <c r="C126" s="34">
        <v>1</v>
      </c>
      <c r="D126" s="35">
        <v>0.02</v>
      </c>
      <c r="E126" s="34">
        <v>0</v>
      </c>
      <c r="F126" s="35">
        <v>0</v>
      </c>
      <c r="G126" s="34">
        <v>1</v>
      </c>
      <c r="H126" s="35">
        <v>8.2730999999999999E-2</v>
      </c>
      <c r="I126" s="35">
        <f>D126+F126+H126</f>
        <v>0.102731</v>
      </c>
      <c r="J126" s="123">
        <v>2.0868590600000001</v>
      </c>
      <c r="K126" s="100">
        <f>I126/J126*100</f>
        <v>4.9227569781353608</v>
      </c>
    </row>
    <row r="127" spans="1:11" s="36" customFormat="1">
      <c r="A127" s="46">
        <v>95</v>
      </c>
      <c r="B127" s="49" t="s">
        <v>240</v>
      </c>
      <c r="C127" s="34">
        <v>1</v>
      </c>
      <c r="D127" s="35">
        <v>4.2070000000000003E-2</v>
      </c>
      <c r="E127" s="34">
        <v>0</v>
      </c>
      <c r="F127" s="35">
        <v>0</v>
      </c>
      <c r="G127" s="34">
        <v>3</v>
      </c>
      <c r="H127" s="35">
        <v>5.9676E-2</v>
      </c>
      <c r="I127" s="35">
        <f>D127+F127+H127</f>
        <v>0.101746</v>
      </c>
      <c r="J127" s="123">
        <v>0.11</v>
      </c>
      <c r="K127" s="100">
        <f>I127/J127*100</f>
        <v>92.49636363636364</v>
      </c>
    </row>
    <row r="128" spans="1:11" s="36" customFormat="1">
      <c r="A128" s="46">
        <v>96</v>
      </c>
      <c r="B128" s="49" t="s">
        <v>289</v>
      </c>
      <c r="C128" s="34">
        <v>1</v>
      </c>
      <c r="D128" s="35">
        <v>0.01</v>
      </c>
      <c r="E128" s="34">
        <v>0</v>
      </c>
      <c r="F128" s="35">
        <v>0</v>
      </c>
      <c r="G128" s="34">
        <v>1</v>
      </c>
      <c r="H128" s="35">
        <v>8.0696000000000004E-2</v>
      </c>
      <c r="I128" s="35">
        <f>D128+F128+H128</f>
        <v>9.0695999999999999E-2</v>
      </c>
      <c r="J128" s="123">
        <v>0.36241800000000002</v>
      </c>
      <c r="K128" s="100">
        <f>I128/J128*100</f>
        <v>25.025247090376308</v>
      </c>
    </row>
    <row r="129" spans="1:11" s="36" customFormat="1">
      <c r="A129" s="46">
        <v>97</v>
      </c>
      <c r="B129" s="49" t="s">
        <v>136</v>
      </c>
      <c r="C129" s="34">
        <v>0</v>
      </c>
      <c r="D129" s="35">
        <v>0</v>
      </c>
      <c r="E129" s="34">
        <v>0</v>
      </c>
      <c r="F129" s="35">
        <v>0</v>
      </c>
      <c r="G129" s="34">
        <v>2</v>
      </c>
      <c r="H129" s="35">
        <v>6.7290950000000002E-2</v>
      </c>
      <c r="I129" s="35">
        <f>D129+F129+H129</f>
        <v>6.7290950000000002E-2</v>
      </c>
      <c r="J129" s="123">
        <v>9.5239999999999995E-3</v>
      </c>
      <c r="K129" s="100">
        <f>I129/J129*100</f>
        <v>706.54084418311641</v>
      </c>
    </row>
    <row r="130" spans="1:11" s="36" customFormat="1">
      <c r="A130" s="46">
        <v>98</v>
      </c>
      <c r="B130" s="49" t="s">
        <v>107</v>
      </c>
      <c r="C130" s="34">
        <v>0</v>
      </c>
      <c r="D130" s="35">
        <v>0</v>
      </c>
      <c r="E130" s="34">
        <v>0</v>
      </c>
      <c r="F130" s="35">
        <v>0</v>
      </c>
      <c r="G130" s="34">
        <v>1</v>
      </c>
      <c r="H130" s="35">
        <v>6.3829789999999997E-2</v>
      </c>
      <c r="I130" s="35">
        <f>D130+F130+H130</f>
        <v>6.3829789999999997E-2</v>
      </c>
      <c r="J130" s="123">
        <v>0.32374000000000003</v>
      </c>
      <c r="K130" s="100">
        <f>I130/J130*100</f>
        <v>19.716374250942113</v>
      </c>
    </row>
    <row r="131" spans="1:11" s="36" customFormat="1">
      <c r="A131" s="46">
        <v>99</v>
      </c>
      <c r="B131" s="49" t="s">
        <v>131</v>
      </c>
      <c r="C131" s="34">
        <v>0</v>
      </c>
      <c r="D131" s="35">
        <v>0</v>
      </c>
      <c r="E131" s="34">
        <v>0</v>
      </c>
      <c r="F131" s="35">
        <v>0</v>
      </c>
      <c r="G131" s="34">
        <v>3</v>
      </c>
      <c r="H131" s="35">
        <v>4.6519999999999999E-2</v>
      </c>
      <c r="I131" s="95">
        <f>D131+F131+H131</f>
        <v>4.6519999999999999E-2</v>
      </c>
      <c r="J131" s="123"/>
      <c r="K131" s="100"/>
    </row>
    <row r="132" spans="1:11" s="36" customFormat="1">
      <c r="A132" s="46">
        <v>100</v>
      </c>
      <c r="B132" s="49" t="s">
        <v>290</v>
      </c>
      <c r="C132" s="34">
        <v>0</v>
      </c>
      <c r="D132" s="35">
        <v>0</v>
      </c>
      <c r="E132" s="34">
        <v>0</v>
      </c>
      <c r="F132" s="35">
        <v>0</v>
      </c>
      <c r="G132" s="34">
        <v>1</v>
      </c>
      <c r="H132" s="35">
        <v>4.4485870000000004E-2</v>
      </c>
      <c r="I132" s="35">
        <f>D132+F132+H132</f>
        <v>4.4485870000000004E-2</v>
      </c>
      <c r="J132" s="123"/>
      <c r="K132" s="100"/>
    </row>
    <row r="133" spans="1:11" s="36" customFormat="1">
      <c r="A133" s="46">
        <v>101</v>
      </c>
      <c r="B133" s="49" t="s">
        <v>255</v>
      </c>
      <c r="C133" s="34">
        <v>0</v>
      </c>
      <c r="D133" s="35">
        <v>0</v>
      </c>
      <c r="E133" s="34">
        <v>0</v>
      </c>
      <c r="F133" s="35">
        <v>0</v>
      </c>
      <c r="G133" s="34">
        <v>1</v>
      </c>
      <c r="H133" s="35">
        <v>4.2553000000000001E-2</v>
      </c>
      <c r="I133" s="35">
        <f>D133+F133+H133</f>
        <v>4.2553000000000001E-2</v>
      </c>
      <c r="J133" s="123">
        <v>0.05</v>
      </c>
      <c r="K133" s="100">
        <f>I133/J133*100</f>
        <v>85.105999999999995</v>
      </c>
    </row>
    <row r="134" spans="1:11" s="36" customFormat="1">
      <c r="A134" s="46">
        <v>102</v>
      </c>
      <c r="B134" s="49" t="s">
        <v>137</v>
      </c>
      <c r="C134" s="34">
        <v>0</v>
      </c>
      <c r="D134" s="35">
        <v>0</v>
      </c>
      <c r="E134" s="34">
        <v>0</v>
      </c>
      <c r="F134" s="35">
        <v>0</v>
      </c>
      <c r="G134" s="34">
        <v>3</v>
      </c>
      <c r="H134" s="35">
        <v>3.4112839999999998E-2</v>
      </c>
      <c r="I134" s="35">
        <f>D134+F134+H134</f>
        <v>3.4112839999999998E-2</v>
      </c>
      <c r="J134" s="123">
        <v>5.561928</v>
      </c>
      <c r="K134" s="100">
        <f>I134/J134*100</f>
        <v>0.61332760869971703</v>
      </c>
    </row>
    <row r="135" spans="1:11" s="36" customFormat="1">
      <c r="A135" s="46">
        <v>103</v>
      </c>
      <c r="B135" s="49" t="s">
        <v>143</v>
      </c>
      <c r="C135" s="34">
        <v>1</v>
      </c>
      <c r="D135" s="35">
        <v>0.02</v>
      </c>
      <c r="E135" s="34">
        <v>0</v>
      </c>
      <c r="F135" s="35">
        <v>0</v>
      </c>
      <c r="G135" s="34">
        <v>1</v>
      </c>
      <c r="H135" s="35">
        <v>8.2399999999999997E-4</v>
      </c>
      <c r="I135" s="35">
        <f>D135+F135+H135</f>
        <v>2.0823999999999999E-2</v>
      </c>
      <c r="J135" s="123"/>
      <c r="K135" s="100"/>
    </row>
    <row r="136" spans="1:11" s="36" customFormat="1">
      <c r="A136" s="46">
        <v>104</v>
      </c>
      <c r="B136" s="49" t="s">
        <v>129</v>
      </c>
      <c r="C136" s="34">
        <v>0</v>
      </c>
      <c r="D136" s="35">
        <v>0</v>
      </c>
      <c r="E136" s="34">
        <v>0</v>
      </c>
      <c r="F136" s="35">
        <v>0</v>
      </c>
      <c r="G136" s="34">
        <v>1</v>
      </c>
      <c r="H136" s="35">
        <v>0.02</v>
      </c>
      <c r="I136" s="35">
        <f>D136+F136+H136</f>
        <v>0.02</v>
      </c>
      <c r="J136" s="123">
        <v>0.24201989000000002</v>
      </c>
      <c r="K136" s="100">
        <f>I136/J136*100</f>
        <v>8.2637836088595851</v>
      </c>
    </row>
    <row r="137" spans="1:11" s="36" customFormat="1">
      <c r="A137" s="46">
        <v>105</v>
      </c>
      <c r="B137" s="49" t="s">
        <v>235</v>
      </c>
      <c r="C137" s="34">
        <v>0</v>
      </c>
      <c r="D137" s="35">
        <v>0</v>
      </c>
      <c r="E137" s="34">
        <v>0</v>
      </c>
      <c r="F137" s="35">
        <v>0</v>
      </c>
      <c r="G137" s="34">
        <v>1</v>
      </c>
      <c r="H137" s="35">
        <v>1.2205049999999999E-2</v>
      </c>
      <c r="I137" s="35">
        <f>D137+F137+H137</f>
        <v>1.2205049999999999E-2</v>
      </c>
      <c r="J137" s="123"/>
      <c r="K137" s="100"/>
    </row>
    <row r="138" spans="1:11" s="36" customFormat="1">
      <c r="A138" s="46">
        <v>106</v>
      </c>
      <c r="B138" s="49" t="s">
        <v>273</v>
      </c>
      <c r="C138" s="34">
        <v>1</v>
      </c>
      <c r="D138" s="35">
        <v>0.01</v>
      </c>
      <c r="E138" s="34">
        <v>0</v>
      </c>
      <c r="F138" s="35">
        <v>0</v>
      </c>
      <c r="G138" s="34">
        <v>0</v>
      </c>
      <c r="H138" s="35">
        <v>0</v>
      </c>
      <c r="I138" s="35">
        <f>D138+F138+H138</f>
        <v>0.01</v>
      </c>
      <c r="J138" s="123">
        <v>0.1</v>
      </c>
      <c r="K138" s="100">
        <f>I138/J138*100</f>
        <v>10</v>
      </c>
    </row>
    <row r="139" spans="1:11" s="36" customFormat="1">
      <c r="A139" s="46">
        <v>107</v>
      </c>
      <c r="B139" s="49" t="s">
        <v>239</v>
      </c>
      <c r="C139" s="34">
        <v>0</v>
      </c>
      <c r="D139" s="35">
        <v>0</v>
      </c>
      <c r="E139" s="34">
        <v>0</v>
      </c>
      <c r="F139" s="35">
        <v>0</v>
      </c>
      <c r="G139" s="34">
        <v>1</v>
      </c>
      <c r="H139" s="35">
        <v>8.7912000000000007E-3</v>
      </c>
      <c r="I139" s="35">
        <f>D139+F139+H139</f>
        <v>8.7912000000000007E-3</v>
      </c>
      <c r="J139" s="123"/>
      <c r="K139" s="100"/>
    </row>
    <row r="140" spans="1:11" s="36" customFormat="1">
      <c r="A140" s="46">
        <v>108</v>
      </c>
      <c r="B140" s="49" t="s">
        <v>249</v>
      </c>
      <c r="C140" s="34">
        <v>0</v>
      </c>
      <c r="D140" s="35">
        <v>0</v>
      </c>
      <c r="E140" s="34">
        <v>0</v>
      </c>
      <c r="F140" s="35">
        <v>0</v>
      </c>
      <c r="G140" s="34">
        <v>1</v>
      </c>
      <c r="H140" s="35">
        <v>8.3999999999999995E-3</v>
      </c>
      <c r="I140" s="35">
        <f>D140+F140+H140</f>
        <v>8.3999999999999995E-3</v>
      </c>
      <c r="J140" s="123">
        <v>0.01</v>
      </c>
      <c r="K140" s="100">
        <f>I140/J140*100</f>
        <v>84</v>
      </c>
    </row>
    <row r="141" spans="1:11" s="36" customFormat="1">
      <c r="A141" s="46">
        <v>109</v>
      </c>
      <c r="B141" s="49" t="s">
        <v>250</v>
      </c>
      <c r="C141" s="34">
        <v>0</v>
      </c>
      <c r="D141" s="35">
        <v>0</v>
      </c>
      <c r="E141" s="34">
        <v>0</v>
      </c>
      <c r="F141" s="35">
        <v>0</v>
      </c>
      <c r="G141" s="34">
        <v>1</v>
      </c>
      <c r="H141" s="35">
        <v>5.0639999999999999E-3</v>
      </c>
      <c r="I141" s="35">
        <f>D141+F141+H141</f>
        <v>5.0639999999999999E-3</v>
      </c>
      <c r="J141" s="123"/>
      <c r="K141" s="100"/>
    </row>
    <row r="142" spans="1:11" s="36" customFormat="1">
      <c r="A142" s="46">
        <v>110</v>
      </c>
      <c r="B142" s="49" t="s">
        <v>102</v>
      </c>
      <c r="C142" s="34">
        <v>0</v>
      </c>
      <c r="D142" s="35">
        <v>0</v>
      </c>
      <c r="E142" s="34">
        <v>2</v>
      </c>
      <c r="F142" s="35">
        <v>-1.6</v>
      </c>
      <c r="G142" s="34">
        <v>0</v>
      </c>
      <c r="H142" s="35">
        <v>0</v>
      </c>
      <c r="I142" s="35">
        <f>D142+F142+H142</f>
        <v>-1.6</v>
      </c>
      <c r="J142" s="123"/>
      <c r="K142" s="100"/>
    </row>
    <row r="143" spans="1:11" s="40" customFormat="1" ht="12.75">
      <c r="A143" s="204" t="s">
        <v>62</v>
      </c>
      <c r="B143" s="205"/>
      <c r="C143" s="38">
        <f t="shared" ref="C143:I143" si="3">SUM(C33:C142)</f>
        <v>2865</v>
      </c>
      <c r="D143" s="39">
        <f t="shared" si="3"/>
        <v>16410.342054889992</v>
      </c>
      <c r="E143" s="38">
        <f t="shared" si="3"/>
        <v>1152</v>
      </c>
      <c r="F143" s="39">
        <f t="shared" si="3"/>
        <v>6470.9088800845984</v>
      </c>
      <c r="G143" s="38">
        <f t="shared" si="3"/>
        <v>3166</v>
      </c>
      <c r="H143" s="39">
        <f t="shared" si="3"/>
        <v>5968.6595156200019</v>
      </c>
      <c r="I143" s="39">
        <f t="shared" si="3"/>
        <v>28849.910450594605</v>
      </c>
      <c r="J143" s="97"/>
      <c r="K143" s="101">
        <f>'thang 11'!E10/'thang 11'!D10*100</f>
        <v>114.77872542793889</v>
      </c>
    </row>
    <row r="144" spans="1:11" s="44" customFormat="1" ht="12.75">
      <c r="A144" s="41"/>
      <c r="B144" s="41"/>
      <c r="C144" s="42"/>
      <c r="D144" s="43"/>
      <c r="E144" s="42"/>
      <c r="F144" s="43"/>
      <c r="G144" s="42"/>
      <c r="H144" s="43"/>
      <c r="I144" s="43"/>
      <c r="J144" s="43"/>
      <c r="K144" s="102"/>
    </row>
    <row r="145" spans="1:15" ht="15.75">
      <c r="A145" s="200" t="s">
        <v>319</v>
      </c>
      <c r="B145" s="200"/>
      <c r="C145" s="200"/>
      <c r="D145" s="200"/>
      <c r="E145" s="200"/>
      <c r="F145" s="200"/>
      <c r="G145" s="200"/>
      <c r="H145" s="200"/>
      <c r="I145" s="200"/>
      <c r="J145" s="200"/>
      <c r="K145" s="200"/>
    </row>
    <row r="146" spans="1:15">
      <c r="A146" s="201" t="str">
        <f>A6</f>
        <v>Tính từ 01/01/2023 đến 20/11/2023</v>
      </c>
      <c r="B146" s="201"/>
      <c r="C146" s="201"/>
      <c r="D146" s="201"/>
      <c r="E146" s="201"/>
      <c r="F146" s="201"/>
      <c r="G146" s="201"/>
      <c r="H146" s="201"/>
      <c r="I146" s="201"/>
      <c r="J146" s="201"/>
      <c r="K146" s="201"/>
    </row>
    <row r="147" spans="1:15" ht="18.75" customHeight="1"/>
    <row r="148" spans="1:15" ht="51">
      <c r="A148" s="27" t="s">
        <v>1</v>
      </c>
      <c r="B148" s="30" t="s">
        <v>145</v>
      </c>
      <c r="C148" s="30" t="s">
        <v>37</v>
      </c>
      <c r="D148" s="30" t="s">
        <v>38</v>
      </c>
      <c r="E148" s="30" t="s">
        <v>39</v>
      </c>
      <c r="F148" s="30" t="s">
        <v>40</v>
      </c>
      <c r="G148" s="30" t="s">
        <v>41</v>
      </c>
      <c r="H148" s="30" t="s">
        <v>42</v>
      </c>
      <c r="I148" s="30" t="s">
        <v>43</v>
      </c>
      <c r="J148" s="30" t="s">
        <v>324</v>
      </c>
      <c r="K148" s="99" t="s">
        <v>288</v>
      </c>
    </row>
    <row r="149" spans="1:15" s="36" customFormat="1" ht="14.25" customHeight="1">
      <c r="A149" s="46">
        <v>1</v>
      </c>
      <c r="B149" s="35" t="s">
        <v>176</v>
      </c>
      <c r="C149" s="34">
        <v>25</v>
      </c>
      <c r="D149" s="35">
        <v>3102.9257200000002</v>
      </c>
      <c r="E149" s="34">
        <v>0</v>
      </c>
      <c r="F149" s="35">
        <v>0</v>
      </c>
      <c r="G149" s="34">
        <v>4</v>
      </c>
      <c r="H149" s="35">
        <v>6.6460889299999995</v>
      </c>
      <c r="I149" s="35">
        <f>D149+F149+H149</f>
        <v>3109.5718089300003</v>
      </c>
      <c r="J149" s="35">
        <v>2185.5533378499999</v>
      </c>
      <c r="K149" s="100">
        <f>I149/J149*100</f>
        <v>142.27846811503525</v>
      </c>
      <c r="L149" s="36">
        <f>I149/$I$143*100</f>
        <v>10.778445271971064</v>
      </c>
      <c r="M149" s="36">
        <f>C152/C143*100</f>
        <v>3.0715532286212914</v>
      </c>
      <c r="N149" s="36">
        <f>E152/E143*100</f>
        <v>4.3402777777777777</v>
      </c>
      <c r="O149" s="36">
        <f>G152/G143*100</f>
        <v>1.3265950726468732</v>
      </c>
    </row>
    <row r="150" spans="1:15" s="36" customFormat="1" ht="14.25" customHeight="1">
      <c r="A150" s="46">
        <v>2</v>
      </c>
      <c r="B150" s="35" t="s">
        <v>147</v>
      </c>
      <c r="C150" s="34">
        <v>1090</v>
      </c>
      <c r="D150" s="35">
        <v>573.53574688000003</v>
      </c>
      <c r="E150" s="34">
        <v>281</v>
      </c>
      <c r="F150" s="35">
        <v>601.69951449389646</v>
      </c>
      <c r="G150" s="34">
        <v>2099</v>
      </c>
      <c r="H150" s="35">
        <v>1909.0119451600001</v>
      </c>
      <c r="I150" s="35">
        <f>D150+F150+H150</f>
        <v>3084.2472065338966</v>
      </c>
      <c r="J150" s="35">
        <v>3539.7368025947658</v>
      </c>
      <c r="K150" s="100">
        <f>I150/J150*100</f>
        <v>87.13210553601111</v>
      </c>
      <c r="L150" s="36">
        <f t="shared" ref="L150:L154" si="4">I150/$I$143*100</f>
        <v>10.690664748563645</v>
      </c>
    </row>
    <row r="151" spans="1:15" s="36" customFormat="1" ht="14.25" customHeight="1">
      <c r="A151" s="46">
        <v>3</v>
      </c>
      <c r="B151" s="35" t="s">
        <v>153</v>
      </c>
      <c r="C151" s="34">
        <v>102</v>
      </c>
      <c r="D151" s="35">
        <v>1214.73920314</v>
      </c>
      <c r="E151" s="34">
        <v>44</v>
      </c>
      <c r="F151" s="35">
        <v>1530.9848919999999</v>
      </c>
      <c r="G151" s="34">
        <v>47</v>
      </c>
      <c r="H151" s="35">
        <v>125.32756295999999</v>
      </c>
      <c r="I151" s="35">
        <f>D151+F151+H151</f>
        <v>2871.0516580999997</v>
      </c>
      <c r="J151" s="35">
        <v>1827.80695212875</v>
      </c>
      <c r="K151" s="100">
        <f>I151/J151*100</f>
        <v>157.07630692378305</v>
      </c>
      <c r="L151" s="36">
        <f t="shared" si="4"/>
        <v>9.951683084135281</v>
      </c>
    </row>
    <row r="152" spans="1:15" s="36" customFormat="1" ht="14.25" customHeight="1">
      <c r="A152" s="46">
        <v>4</v>
      </c>
      <c r="B152" s="35" t="s">
        <v>159</v>
      </c>
      <c r="C152" s="34">
        <v>88</v>
      </c>
      <c r="D152" s="35">
        <v>1520.8293699999999</v>
      </c>
      <c r="E152" s="34">
        <v>50</v>
      </c>
      <c r="F152" s="35">
        <v>1165.7114349999999</v>
      </c>
      <c r="G152" s="34">
        <v>42</v>
      </c>
      <c r="H152" s="35">
        <v>37.591551269999997</v>
      </c>
      <c r="I152" s="35">
        <f>D152+F152+H152</f>
        <v>2724.1323562699995</v>
      </c>
      <c r="J152" s="35">
        <v>1074.66509376</v>
      </c>
      <c r="K152" s="100">
        <f>I152/J152*100</f>
        <v>253.4866324483381</v>
      </c>
      <c r="L152" s="36">
        <f t="shared" si="4"/>
        <v>9.4424291573974521</v>
      </c>
    </row>
    <row r="153" spans="1:15" s="36" customFormat="1" ht="14.25" customHeight="1">
      <c r="A153" s="46">
        <v>5</v>
      </c>
      <c r="B153" s="35" t="s">
        <v>149</v>
      </c>
      <c r="C153" s="34">
        <v>379</v>
      </c>
      <c r="D153" s="35">
        <v>358.54381025000004</v>
      </c>
      <c r="E153" s="34">
        <v>156</v>
      </c>
      <c r="F153" s="35">
        <v>269.66566008398439</v>
      </c>
      <c r="G153" s="34">
        <v>296</v>
      </c>
      <c r="H153" s="35">
        <v>2062.4639928000001</v>
      </c>
      <c r="I153" s="35">
        <f>D153+F153+H153</f>
        <v>2690.6734631339846</v>
      </c>
      <c r="J153" s="35">
        <v>1519.2633950646095</v>
      </c>
      <c r="K153" s="100">
        <f>I153/J153*100</f>
        <v>177.10381701255685</v>
      </c>
      <c r="L153" s="36">
        <f t="shared" si="4"/>
        <v>9.3264534312567644</v>
      </c>
    </row>
    <row r="154" spans="1:15" s="36" customFormat="1" ht="14.25" customHeight="1">
      <c r="A154" s="46">
        <v>6</v>
      </c>
      <c r="B154" s="35" t="s">
        <v>154</v>
      </c>
      <c r="C154" s="34">
        <v>349</v>
      </c>
      <c r="D154" s="35">
        <v>1035.01255311</v>
      </c>
      <c r="E154" s="34">
        <v>145</v>
      </c>
      <c r="F154" s="35">
        <v>544.73809659414064</v>
      </c>
      <c r="G154" s="34">
        <v>82</v>
      </c>
      <c r="H154" s="35">
        <v>43.920777999999999</v>
      </c>
      <c r="I154" s="35">
        <f>D154+F154+H154</f>
        <v>1623.6714277041406</v>
      </c>
      <c r="J154" s="35">
        <v>2046.1151550175061</v>
      </c>
      <c r="K154" s="100">
        <f>I154/J154*100</f>
        <v>79.353863526329675</v>
      </c>
      <c r="L154" s="36">
        <f t="shared" si="4"/>
        <v>5.6279946881799638</v>
      </c>
    </row>
    <row r="155" spans="1:15" s="36" customFormat="1" ht="14.25" customHeight="1">
      <c r="A155" s="46">
        <v>7</v>
      </c>
      <c r="B155" s="35" t="s">
        <v>150</v>
      </c>
      <c r="C155" s="34">
        <v>114</v>
      </c>
      <c r="D155" s="35">
        <v>584.77866678000009</v>
      </c>
      <c r="E155" s="34">
        <v>45</v>
      </c>
      <c r="F155" s="35">
        <v>36.902213676250014</v>
      </c>
      <c r="G155" s="34">
        <v>188</v>
      </c>
      <c r="H155" s="35">
        <v>835.8779850599999</v>
      </c>
      <c r="I155" s="35">
        <f>D155+F155+H155</f>
        <v>1457.5588655162501</v>
      </c>
      <c r="J155" s="35">
        <v>3031.3546622699996</v>
      </c>
      <c r="K155" s="100">
        <f>I155/J155*100</f>
        <v>48.08275599216001</v>
      </c>
    </row>
    <row r="156" spans="1:15" s="36" customFormat="1" ht="14.25" customHeight="1">
      <c r="A156" s="46">
        <v>8</v>
      </c>
      <c r="B156" s="35" t="s">
        <v>152</v>
      </c>
      <c r="C156" s="34">
        <v>72</v>
      </c>
      <c r="D156" s="35">
        <v>430.94710341000001</v>
      </c>
      <c r="E156" s="34">
        <v>64</v>
      </c>
      <c r="F156" s="35">
        <v>503.44160267187499</v>
      </c>
      <c r="G156" s="34">
        <v>81</v>
      </c>
      <c r="H156" s="35">
        <v>453.79047800000001</v>
      </c>
      <c r="I156" s="35">
        <f>D156+F156+H156</f>
        <v>1388.1791840818751</v>
      </c>
      <c r="J156" s="35">
        <v>1212.1630402237502</v>
      </c>
      <c r="K156" s="100">
        <f>I156/J156*100</f>
        <v>114.52083078078627</v>
      </c>
    </row>
    <row r="157" spans="1:15" s="36" customFormat="1" ht="14.25" customHeight="1">
      <c r="A157" s="46">
        <v>9</v>
      </c>
      <c r="B157" s="47" t="s">
        <v>179</v>
      </c>
      <c r="C157" s="34">
        <v>15</v>
      </c>
      <c r="D157" s="35">
        <v>1039.933632</v>
      </c>
      <c r="E157" s="34">
        <v>8</v>
      </c>
      <c r="F157" s="35">
        <v>251.66996</v>
      </c>
      <c r="G157" s="34">
        <v>2</v>
      </c>
      <c r="H157" s="35">
        <v>5.1837758699999998</v>
      </c>
      <c r="I157" s="35">
        <f>D157+F157+H157</f>
        <v>1296.78736787</v>
      </c>
      <c r="J157" s="35">
        <v>883.0367795599999</v>
      </c>
      <c r="K157" s="100">
        <f>I157/J157*100</f>
        <v>146.85541960281247</v>
      </c>
    </row>
    <row r="158" spans="1:15" s="36" customFormat="1" ht="14.25" customHeight="1">
      <c r="A158" s="46">
        <v>10</v>
      </c>
      <c r="B158" s="35" t="s">
        <v>151</v>
      </c>
      <c r="C158" s="34">
        <v>21</v>
      </c>
      <c r="D158" s="35">
        <v>848.00404700000001</v>
      </c>
      <c r="E158" s="34">
        <v>0</v>
      </c>
      <c r="F158" s="35">
        <v>0</v>
      </c>
      <c r="G158" s="34">
        <v>20</v>
      </c>
      <c r="H158" s="35">
        <v>180.22865814000002</v>
      </c>
      <c r="I158" s="35">
        <f>D158+F158+H158</f>
        <v>1028.23270514</v>
      </c>
      <c r="J158" s="35">
        <v>485.59424235000006</v>
      </c>
      <c r="K158" s="100">
        <f>I158/J158*100</f>
        <v>211.74730164919961</v>
      </c>
    </row>
    <row r="159" spans="1:15" s="36" customFormat="1" ht="14.25" customHeight="1">
      <c r="A159" s="46">
        <v>11</v>
      </c>
      <c r="B159" s="35" t="s">
        <v>161</v>
      </c>
      <c r="C159" s="34">
        <v>71</v>
      </c>
      <c r="D159" s="35">
        <v>940.67780500000003</v>
      </c>
      <c r="E159" s="34">
        <v>26</v>
      </c>
      <c r="F159" s="35">
        <v>63.995196</v>
      </c>
      <c r="G159" s="34">
        <v>20</v>
      </c>
      <c r="H159" s="35">
        <v>13.89809151</v>
      </c>
      <c r="I159" s="35">
        <f>D159+F159+H159</f>
        <v>1018.57109251</v>
      </c>
      <c r="J159" s="35">
        <v>340.82533076875001</v>
      </c>
      <c r="K159" s="100">
        <f>I159/J159*100</f>
        <v>298.85428122744213</v>
      </c>
    </row>
    <row r="160" spans="1:15" s="36" customFormat="1" ht="14.25" customHeight="1">
      <c r="A160" s="46">
        <v>12</v>
      </c>
      <c r="B160" s="35" t="s">
        <v>155</v>
      </c>
      <c r="C160" s="34">
        <v>45</v>
      </c>
      <c r="D160" s="35">
        <v>472.19173499999999</v>
      </c>
      <c r="E160" s="34">
        <v>46</v>
      </c>
      <c r="F160" s="35">
        <v>266.31849212499998</v>
      </c>
      <c r="G160" s="34">
        <v>22</v>
      </c>
      <c r="H160" s="35">
        <v>14.847654310000001</v>
      </c>
      <c r="I160" s="35">
        <f>D160+F160+H160</f>
        <v>753.35788143500008</v>
      </c>
      <c r="J160" s="35">
        <v>731.83867282624999</v>
      </c>
      <c r="K160" s="100">
        <f>I160/J160*100</f>
        <v>102.94043064513743</v>
      </c>
    </row>
    <row r="161" spans="1:11" s="36" customFormat="1" ht="14.25" customHeight="1">
      <c r="A161" s="46">
        <v>13</v>
      </c>
      <c r="B161" s="35" t="s">
        <v>162</v>
      </c>
      <c r="C161" s="34">
        <v>48</v>
      </c>
      <c r="D161" s="35">
        <v>744.59781839999971</v>
      </c>
      <c r="E161" s="34">
        <v>35</v>
      </c>
      <c r="F161" s="35">
        <v>-0.33436274999999999</v>
      </c>
      <c r="G161" s="34">
        <v>6</v>
      </c>
      <c r="H161" s="35">
        <v>2.7422609099999997</v>
      </c>
      <c r="I161" s="35">
        <f>D161+F161+H161</f>
        <v>747.00571655999977</v>
      </c>
      <c r="J161" s="35">
        <v>248.05229847999692</v>
      </c>
      <c r="K161" s="100">
        <f>I161/J161*100</f>
        <v>301.14847600182134</v>
      </c>
    </row>
    <row r="162" spans="1:11" s="36" customFormat="1" ht="14.25" customHeight="1">
      <c r="A162" s="46">
        <v>14</v>
      </c>
      <c r="B162" s="35" t="s">
        <v>157</v>
      </c>
      <c r="C162" s="34">
        <v>104</v>
      </c>
      <c r="D162" s="35">
        <v>583.31708235999986</v>
      </c>
      <c r="E162" s="34">
        <v>71</v>
      </c>
      <c r="F162" s="35">
        <v>110.11881466015625</v>
      </c>
      <c r="G162" s="34">
        <v>37</v>
      </c>
      <c r="H162" s="35">
        <v>33.710340599999995</v>
      </c>
      <c r="I162" s="35">
        <f>D162+F162+H162</f>
        <v>727.14623762015606</v>
      </c>
      <c r="J162" s="35">
        <v>801.55463725578136</v>
      </c>
      <c r="K162" s="100">
        <f>I162/J162*100</f>
        <v>90.716989687643576</v>
      </c>
    </row>
    <row r="163" spans="1:11" s="36" customFormat="1" ht="14.25" customHeight="1">
      <c r="A163" s="46">
        <v>15</v>
      </c>
      <c r="B163" s="35" t="s">
        <v>165</v>
      </c>
      <c r="C163" s="34">
        <v>25</v>
      </c>
      <c r="D163" s="35">
        <v>510.74771700000002</v>
      </c>
      <c r="E163" s="34">
        <v>4</v>
      </c>
      <c r="F163" s="35">
        <v>104.268255</v>
      </c>
      <c r="G163" s="34">
        <v>1</v>
      </c>
      <c r="H163" s="35">
        <v>5.0215510000000005E-2</v>
      </c>
      <c r="I163" s="35">
        <f>D163+F163+H163</f>
        <v>615.06618751000008</v>
      </c>
      <c r="J163" s="35">
        <v>157.86528791999999</v>
      </c>
      <c r="K163" s="100">
        <f>I163/J163*100</f>
        <v>389.61458571037593</v>
      </c>
    </row>
    <row r="164" spans="1:11" s="36" customFormat="1" ht="14.25" customHeight="1">
      <c r="A164" s="46">
        <v>16</v>
      </c>
      <c r="B164" s="35" t="s">
        <v>148</v>
      </c>
      <c r="C164" s="34">
        <v>25</v>
      </c>
      <c r="D164" s="35">
        <v>213.081332</v>
      </c>
      <c r="E164" s="34">
        <v>35</v>
      </c>
      <c r="F164" s="35">
        <v>376.33465612499998</v>
      </c>
      <c r="G164" s="34">
        <v>4</v>
      </c>
      <c r="H164" s="35">
        <v>0.53955489000000001</v>
      </c>
      <c r="I164" s="35">
        <f>D164+F164+H164</f>
        <v>589.95554301499999</v>
      </c>
      <c r="J164" s="35">
        <v>607.82155944750002</v>
      </c>
      <c r="K164" s="100">
        <f>I164/J164*100</f>
        <v>97.06064779131232</v>
      </c>
    </row>
    <row r="165" spans="1:11" s="36" customFormat="1" ht="14.25" customHeight="1">
      <c r="A165" s="46">
        <v>17</v>
      </c>
      <c r="B165" s="35" t="s">
        <v>156</v>
      </c>
      <c r="C165" s="34">
        <v>29</v>
      </c>
      <c r="D165" s="35">
        <v>346.89768922000002</v>
      </c>
      <c r="E165" s="34">
        <v>20</v>
      </c>
      <c r="F165" s="35">
        <v>84.519005687499998</v>
      </c>
      <c r="G165" s="34">
        <v>5</v>
      </c>
      <c r="H165" s="35">
        <v>13.861131760000001</v>
      </c>
      <c r="I165" s="35">
        <f>D165+F165+H165</f>
        <v>445.27782666749999</v>
      </c>
      <c r="J165" s="35">
        <v>476.61078825499999</v>
      </c>
      <c r="K165" s="100">
        <f>I165/J165*100</f>
        <v>93.425880748058944</v>
      </c>
    </row>
    <row r="166" spans="1:11" s="36" customFormat="1" ht="14.25" customHeight="1">
      <c r="A166" s="46">
        <v>18</v>
      </c>
      <c r="B166" s="35" t="s">
        <v>163</v>
      </c>
      <c r="C166" s="34">
        <v>16</v>
      </c>
      <c r="D166" s="35">
        <v>238.27574799999999</v>
      </c>
      <c r="E166" s="34">
        <v>3</v>
      </c>
      <c r="F166" s="35">
        <v>4.9550099999999997</v>
      </c>
      <c r="G166" s="34">
        <v>8</v>
      </c>
      <c r="H166" s="35">
        <v>96.129257890000005</v>
      </c>
      <c r="I166" s="35">
        <f>D166+F166+H166</f>
        <v>339.36001589</v>
      </c>
      <c r="J166" s="35">
        <v>57.798506269999997</v>
      </c>
      <c r="K166" s="100">
        <f>I166/J166*100</f>
        <v>587.14322876219899</v>
      </c>
    </row>
    <row r="167" spans="1:11" s="36" customFormat="1" ht="14.25" customHeight="1">
      <c r="A167" s="46">
        <v>19</v>
      </c>
      <c r="B167" s="35" t="s">
        <v>169</v>
      </c>
      <c r="C167" s="34">
        <v>34</v>
      </c>
      <c r="D167" s="35">
        <v>234.14745533999999</v>
      </c>
      <c r="E167" s="34">
        <v>14</v>
      </c>
      <c r="F167" s="35">
        <v>70.274591656249996</v>
      </c>
      <c r="G167" s="34">
        <v>8</v>
      </c>
      <c r="H167" s="35">
        <v>11.183234650000001</v>
      </c>
      <c r="I167" s="35">
        <f>D167+F167+H167</f>
        <v>315.60528164624998</v>
      </c>
      <c r="J167" s="35">
        <v>1537.6240420000001</v>
      </c>
      <c r="K167" s="100">
        <f>I167/J167*100</f>
        <v>20.52551683802626</v>
      </c>
    </row>
    <row r="168" spans="1:11" s="36" customFormat="1" ht="14.25" customHeight="1">
      <c r="A168" s="46">
        <v>20</v>
      </c>
      <c r="B168" s="35" t="s">
        <v>158</v>
      </c>
      <c r="C168" s="34">
        <v>17</v>
      </c>
      <c r="D168" s="35">
        <v>235.39640299999999</v>
      </c>
      <c r="E168" s="34">
        <v>2</v>
      </c>
      <c r="F168" s="35">
        <v>47.1</v>
      </c>
      <c r="G168" s="34">
        <v>8</v>
      </c>
      <c r="H168" s="35">
        <v>9.3754574600000016</v>
      </c>
      <c r="I168" s="35">
        <f>D168+F168+H168</f>
        <v>291.87186045999999</v>
      </c>
      <c r="J168" s="35">
        <v>97.507759379999996</v>
      </c>
      <c r="K168" s="100">
        <f>I168/J168*100</f>
        <v>299.33193246963936</v>
      </c>
    </row>
    <row r="169" spans="1:11" s="36" customFormat="1" ht="14.25" customHeight="1">
      <c r="A169" s="46">
        <v>21</v>
      </c>
      <c r="B169" s="35" t="s">
        <v>168</v>
      </c>
      <c r="C169" s="34">
        <v>27</v>
      </c>
      <c r="D169" s="35">
        <v>266.44234299999999</v>
      </c>
      <c r="E169" s="34">
        <v>7</v>
      </c>
      <c r="F169" s="35">
        <v>19.008179999999999</v>
      </c>
      <c r="G169" s="34">
        <v>6</v>
      </c>
      <c r="H169" s="35">
        <v>1.2142913200000001</v>
      </c>
      <c r="I169" s="35">
        <f>D169+F169+H169</f>
        <v>286.66481431999995</v>
      </c>
      <c r="J169" s="35">
        <v>119.25296707999999</v>
      </c>
      <c r="K169" s="100">
        <f>I169/J169*100</f>
        <v>240.38380036925449</v>
      </c>
    </row>
    <row r="170" spans="1:11" s="36" customFormat="1" ht="14.25" customHeight="1">
      <c r="A170" s="46">
        <v>22</v>
      </c>
      <c r="B170" s="35" t="s">
        <v>167</v>
      </c>
      <c r="C170" s="34">
        <v>6</v>
      </c>
      <c r="D170" s="35">
        <v>33.092807000000001</v>
      </c>
      <c r="E170" s="34">
        <v>14</v>
      </c>
      <c r="F170" s="35">
        <v>185.770566</v>
      </c>
      <c r="G170" s="34">
        <v>2</v>
      </c>
      <c r="H170" s="35">
        <v>1.2821331199999999</v>
      </c>
      <c r="I170" s="35">
        <f>D170+F170+H170</f>
        <v>220.14550611999999</v>
      </c>
      <c r="J170" s="35">
        <v>691.27007994999997</v>
      </c>
      <c r="K170" s="100">
        <f>I170/J170*100</f>
        <v>31.846526054754641</v>
      </c>
    </row>
    <row r="171" spans="1:11" s="36" customFormat="1" ht="14.25" customHeight="1">
      <c r="A171" s="46">
        <v>23</v>
      </c>
      <c r="B171" s="35" t="s">
        <v>164</v>
      </c>
      <c r="C171" s="34">
        <v>5</v>
      </c>
      <c r="D171" s="35">
        <v>178.8</v>
      </c>
      <c r="E171" s="34">
        <v>7</v>
      </c>
      <c r="F171" s="35">
        <v>33.292332000000002</v>
      </c>
      <c r="G171" s="34">
        <v>0</v>
      </c>
      <c r="H171" s="35">
        <v>0</v>
      </c>
      <c r="I171" s="35">
        <f>D171+F171+H171</f>
        <v>212.092332</v>
      </c>
      <c r="J171" s="35">
        <v>80.92365427</v>
      </c>
      <c r="K171" s="100">
        <f>I171/J171*100</f>
        <v>262.08941490995767</v>
      </c>
    </row>
    <row r="172" spans="1:11" s="36" customFormat="1" ht="14.25" customHeight="1">
      <c r="A172" s="46">
        <v>24</v>
      </c>
      <c r="B172" s="35" t="s">
        <v>160</v>
      </c>
      <c r="C172" s="34">
        <v>97</v>
      </c>
      <c r="D172" s="35">
        <v>150.05410255999999</v>
      </c>
      <c r="E172" s="34">
        <v>40</v>
      </c>
      <c r="F172" s="35">
        <v>20.077479310546874</v>
      </c>
      <c r="G172" s="34">
        <v>37</v>
      </c>
      <c r="H172" s="35">
        <v>10.666547449999999</v>
      </c>
      <c r="I172" s="35">
        <f>D172+F172+H172</f>
        <v>180.79812932054685</v>
      </c>
      <c r="J172" s="35">
        <v>133.36360622000001</v>
      </c>
      <c r="K172" s="100">
        <f>I172/J172*100</f>
        <v>135.56781677176429</v>
      </c>
    </row>
    <row r="173" spans="1:11" s="36" customFormat="1" ht="14.25" customHeight="1">
      <c r="A173" s="46">
        <v>25</v>
      </c>
      <c r="B173" s="35" t="s">
        <v>175</v>
      </c>
      <c r="C173" s="34">
        <v>7</v>
      </c>
      <c r="D173" s="35">
        <v>111.291028</v>
      </c>
      <c r="E173" s="34">
        <v>1</v>
      </c>
      <c r="F173" s="35">
        <v>12</v>
      </c>
      <c r="G173" s="34">
        <v>1</v>
      </c>
      <c r="H173" s="35">
        <v>0.17019999999999999</v>
      </c>
      <c r="I173" s="35">
        <f>D173+F173+H173</f>
        <v>123.46122799999999</v>
      </c>
      <c r="J173" s="35">
        <v>67.370760200000007</v>
      </c>
      <c r="K173" s="100">
        <f>I173/J173*100</f>
        <v>183.25639733541254</v>
      </c>
    </row>
    <row r="174" spans="1:11" s="36" customFormat="1" ht="14.25" customHeight="1">
      <c r="A174" s="46">
        <v>26</v>
      </c>
      <c r="B174" s="182" t="s">
        <v>191</v>
      </c>
      <c r="C174" s="34">
        <v>1</v>
      </c>
      <c r="D174" s="35">
        <v>90.756311999999994</v>
      </c>
      <c r="E174" s="34">
        <v>1</v>
      </c>
      <c r="F174" s="35">
        <v>0.5</v>
      </c>
      <c r="G174" s="34">
        <v>0</v>
      </c>
      <c r="H174" s="35">
        <v>0</v>
      </c>
      <c r="I174" s="35">
        <f>D174+F174+H174</f>
        <v>91.256311999999994</v>
      </c>
      <c r="J174" s="35">
        <v>96.375517299999998</v>
      </c>
      <c r="K174" s="100">
        <f>I174/J174*100</f>
        <v>94.688272038981822</v>
      </c>
    </row>
    <row r="175" spans="1:11" s="36" customFormat="1" ht="14.25" customHeight="1">
      <c r="A175" s="46">
        <v>27</v>
      </c>
      <c r="B175" s="35" t="s">
        <v>190</v>
      </c>
      <c r="C175" s="34">
        <v>4</v>
      </c>
      <c r="D175" s="35">
        <v>73.746343999999993</v>
      </c>
      <c r="E175" s="34">
        <v>0</v>
      </c>
      <c r="F175" s="35">
        <v>0</v>
      </c>
      <c r="G175" s="34">
        <v>0</v>
      </c>
      <c r="H175" s="35">
        <v>0</v>
      </c>
      <c r="I175" s="35">
        <f>D175+F175+H175</f>
        <v>73.746343999999993</v>
      </c>
      <c r="J175" s="35">
        <v>276.12803624999998</v>
      </c>
      <c r="K175" s="100">
        <f>I175/J175*100</f>
        <v>26.707300352953567</v>
      </c>
    </row>
    <row r="176" spans="1:11" s="36" customFormat="1" ht="14.25" customHeight="1">
      <c r="A176" s="46">
        <v>28</v>
      </c>
      <c r="B176" s="35" t="s">
        <v>178</v>
      </c>
      <c r="C176" s="34">
        <v>6</v>
      </c>
      <c r="D176" s="35">
        <v>46.201351000000003</v>
      </c>
      <c r="E176" s="34">
        <v>4</v>
      </c>
      <c r="F176" s="35">
        <v>2.7449080000000001</v>
      </c>
      <c r="G176" s="34">
        <v>3</v>
      </c>
      <c r="H176" s="35">
        <v>21.346955999999999</v>
      </c>
      <c r="I176" s="35">
        <f>D176+F176+H176</f>
        <v>70.293215000000004</v>
      </c>
      <c r="J176" s="35">
        <v>30.37654925</v>
      </c>
      <c r="K176" s="100">
        <f>I176/J176*100</f>
        <v>231.40618910161433</v>
      </c>
    </row>
    <row r="177" spans="1:11" s="36" customFormat="1" ht="14.25" customHeight="1">
      <c r="A177" s="46">
        <v>29</v>
      </c>
      <c r="B177" s="35" t="s">
        <v>184</v>
      </c>
      <c r="C177" s="34">
        <v>2</v>
      </c>
      <c r="D177" s="35">
        <v>44.313256000000003</v>
      </c>
      <c r="E177" s="34">
        <v>2</v>
      </c>
      <c r="F177" s="35">
        <v>10.892794</v>
      </c>
      <c r="G177" s="34">
        <v>8</v>
      </c>
      <c r="H177" s="35">
        <v>3.955063</v>
      </c>
      <c r="I177" s="35">
        <f>D177+F177+H177</f>
        <v>59.161113000000007</v>
      </c>
      <c r="J177" s="35">
        <v>5.1819642699999999</v>
      </c>
      <c r="K177" s="100">
        <f>I177/J177*100</f>
        <v>1141.6735028935275</v>
      </c>
    </row>
    <row r="178" spans="1:11" s="36" customFormat="1" ht="14.25" customHeight="1">
      <c r="A178" s="46">
        <v>30</v>
      </c>
      <c r="B178" s="35" t="s">
        <v>196</v>
      </c>
      <c r="C178" s="34">
        <v>3</v>
      </c>
      <c r="D178" s="35">
        <v>0.6353916799999999</v>
      </c>
      <c r="E178" s="34">
        <v>4</v>
      </c>
      <c r="F178" s="35">
        <v>47.812963000000003</v>
      </c>
      <c r="G178" s="34">
        <v>5</v>
      </c>
      <c r="H178" s="35">
        <v>2.78802379</v>
      </c>
      <c r="I178" s="35">
        <f>D178+F178+H178</f>
        <v>51.236378469999998</v>
      </c>
      <c r="J178" s="35">
        <v>183.86016471000002</v>
      </c>
      <c r="K178" s="100">
        <f>I178/J178*100</f>
        <v>27.867036098229541</v>
      </c>
    </row>
    <row r="179" spans="1:11" s="36" customFormat="1" ht="14.25" customHeight="1">
      <c r="A179" s="46">
        <v>31</v>
      </c>
      <c r="B179" s="35" t="s">
        <v>171</v>
      </c>
      <c r="C179" s="34">
        <v>2</v>
      </c>
      <c r="D179" s="35">
        <v>15.809953800000001</v>
      </c>
      <c r="E179" s="34">
        <v>7</v>
      </c>
      <c r="F179" s="35">
        <v>32.522619749999997</v>
      </c>
      <c r="G179" s="34">
        <v>1</v>
      </c>
      <c r="H179" s="35">
        <v>0.28000000000000003</v>
      </c>
      <c r="I179" s="35">
        <f>D179+F179+H179</f>
        <v>48.61257355</v>
      </c>
      <c r="J179" s="35">
        <v>159.25365298859373</v>
      </c>
      <c r="K179" s="100">
        <f>I179/J179*100</f>
        <v>30.525248644363462</v>
      </c>
    </row>
    <row r="180" spans="1:11" s="36" customFormat="1" ht="14.25" customHeight="1">
      <c r="A180" s="46">
        <v>32</v>
      </c>
      <c r="B180" s="47" t="s">
        <v>185</v>
      </c>
      <c r="C180" s="34">
        <v>3</v>
      </c>
      <c r="D180" s="35">
        <v>1.2206399999999999</v>
      </c>
      <c r="E180" s="34">
        <v>3</v>
      </c>
      <c r="F180" s="35">
        <v>41.513376000000001</v>
      </c>
      <c r="G180" s="34">
        <v>32</v>
      </c>
      <c r="H180" s="35">
        <v>1.9809693099999999</v>
      </c>
      <c r="I180" s="35">
        <f>D180+F180+H180</f>
        <v>44.714985310000003</v>
      </c>
      <c r="J180" s="35">
        <v>8.6761918900000001</v>
      </c>
      <c r="K180" s="100">
        <f>I180/J180*100</f>
        <v>515.37570718713096</v>
      </c>
    </row>
    <row r="181" spans="1:11" s="36" customFormat="1" ht="14.25" customHeight="1">
      <c r="A181" s="46">
        <v>33</v>
      </c>
      <c r="B181" s="47" t="s">
        <v>187</v>
      </c>
      <c r="C181" s="34">
        <v>2</v>
      </c>
      <c r="D181" s="35">
        <v>31.616689999999998</v>
      </c>
      <c r="E181" s="34">
        <v>1</v>
      </c>
      <c r="F181" s="35">
        <v>2</v>
      </c>
      <c r="G181" s="34">
        <v>7</v>
      </c>
      <c r="H181" s="35">
        <v>2.04475476</v>
      </c>
      <c r="I181" s="35">
        <f>D181+F181+H181</f>
        <v>35.661444759999995</v>
      </c>
      <c r="J181" s="35">
        <v>9.7043659400000006</v>
      </c>
      <c r="K181" s="100">
        <f>I181/J181*100</f>
        <v>367.47835953927341</v>
      </c>
    </row>
    <row r="182" spans="1:11" s="36" customFormat="1" ht="14.25" customHeight="1">
      <c r="A182" s="46">
        <v>34</v>
      </c>
      <c r="B182" s="35" t="s">
        <v>180</v>
      </c>
      <c r="C182" s="34">
        <v>5</v>
      </c>
      <c r="D182" s="35">
        <v>36.786000000000001</v>
      </c>
      <c r="E182" s="34">
        <v>1</v>
      </c>
      <c r="F182" s="35">
        <v>-2.3820000000000001</v>
      </c>
      <c r="G182" s="34">
        <v>7</v>
      </c>
      <c r="H182" s="35">
        <v>0.229572</v>
      </c>
      <c r="I182" s="35">
        <f>D182+F182+H182</f>
        <v>34.633572000000001</v>
      </c>
      <c r="J182" s="35">
        <v>197.42200100000002</v>
      </c>
      <c r="K182" s="100">
        <f>I182/J182*100</f>
        <v>17.542914074708417</v>
      </c>
    </row>
    <row r="183" spans="1:11" s="36" customFormat="1" ht="14.25" customHeight="1">
      <c r="A183" s="46">
        <v>35</v>
      </c>
      <c r="B183" s="35" t="s">
        <v>172</v>
      </c>
      <c r="C183" s="34">
        <v>3</v>
      </c>
      <c r="D183" s="35">
        <v>13.172822</v>
      </c>
      <c r="E183" s="34">
        <v>3</v>
      </c>
      <c r="F183" s="35">
        <v>20.204751999999999</v>
      </c>
      <c r="G183" s="34">
        <v>2</v>
      </c>
      <c r="H183" s="35">
        <v>9.6236940000000007E-2</v>
      </c>
      <c r="I183" s="35">
        <f>D183+F183+H183</f>
        <v>33.473810939999993</v>
      </c>
      <c r="J183" s="35">
        <v>48.715094000000001</v>
      </c>
      <c r="K183" s="100">
        <f>I183/J183*100</f>
        <v>68.713427793036772</v>
      </c>
    </row>
    <row r="184" spans="1:11" s="36" customFormat="1" ht="14.25" customHeight="1">
      <c r="A184" s="46">
        <v>36</v>
      </c>
      <c r="B184" s="35" t="s">
        <v>174</v>
      </c>
      <c r="C184" s="34">
        <v>3</v>
      </c>
      <c r="D184" s="35">
        <v>16.636565000000001</v>
      </c>
      <c r="E184" s="34">
        <v>0</v>
      </c>
      <c r="F184" s="35">
        <v>0</v>
      </c>
      <c r="G184" s="34">
        <v>5</v>
      </c>
      <c r="H184" s="35">
        <v>10.99177235</v>
      </c>
      <c r="I184" s="35">
        <f>D184+F184+H184</f>
        <v>27.628337350000002</v>
      </c>
      <c r="J184" s="35">
        <v>87.434496670000001</v>
      </c>
      <c r="K184" s="100">
        <f>I184/J184*100</f>
        <v>31.598897920435643</v>
      </c>
    </row>
    <row r="185" spans="1:11" s="36" customFormat="1" ht="14.25" customHeight="1">
      <c r="A185" s="46">
        <v>37</v>
      </c>
      <c r="B185" s="35" t="s">
        <v>265</v>
      </c>
      <c r="C185" s="34">
        <v>1</v>
      </c>
      <c r="D185" s="35">
        <v>25</v>
      </c>
      <c r="E185" s="34">
        <v>0</v>
      </c>
      <c r="F185" s="35">
        <v>0</v>
      </c>
      <c r="G185" s="34">
        <v>0</v>
      </c>
      <c r="H185" s="35">
        <v>0</v>
      </c>
      <c r="I185" s="35">
        <f>D185+F185+H185</f>
        <v>25</v>
      </c>
      <c r="J185" s="35"/>
      <c r="K185" s="100"/>
    </row>
    <row r="186" spans="1:11" s="36" customFormat="1" ht="14.25" customHeight="1">
      <c r="A186" s="46">
        <v>38</v>
      </c>
      <c r="B186" s="35" t="s">
        <v>193</v>
      </c>
      <c r="C186" s="34">
        <v>2</v>
      </c>
      <c r="D186" s="35">
        <v>20.71</v>
      </c>
      <c r="E186" s="34">
        <v>0</v>
      </c>
      <c r="F186" s="35">
        <v>0</v>
      </c>
      <c r="G186" s="34">
        <v>2</v>
      </c>
      <c r="H186" s="35">
        <v>0.117045</v>
      </c>
      <c r="I186" s="35">
        <f>D186+F186+H186</f>
        <v>20.827045000000002</v>
      </c>
      <c r="J186" s="35">
        <v>0.86432255000000002</v>
      </c>
      <c r="K186" s="100">
        <f>I186/J186*100</f>
        <v>2409.638045426444</v>
      </c>
    </row>
    <row r="187" spans="1:11" s="36" customFormat="1" ht="14.25" customHeight="1">
      <c r="A187" s="46">
        <v>39</v>
      </c>
      <c r="B187" s="35" t="s">
        <v>170</v>
      </c>
      <c r="C187" s="34">
        <v>2</v>
      </c>
      <c r="D187" s="35">
        <v>6.3089680000000001</v>
      </c>
      <c r="E187" s="34">
        <v>0</v>
      </c>
      <c r="F187" s="35">
        <v>0</v>
      </c>
      <c r="G187" s="34">
        <v>7</v>
      </c>
      <c r="H187" s="35">
        <v>11.088317979999999</v>
      </c>
      <c r="I187" s="35">
        <f>D187+F187+H187</f>
        <v>17.397285979999999</v>
      </c>
      <c r="J187" s="35">
        <v>3.030078</v>
      </c>
      <c r="K187" s="100">
        <f>I187/J187*100</f>
        <v>574.15307394727131</v>
      </c>
    </row>
    <row r="188" spans="1:11" s="36" customFormat="1" ht="14.25" customHeight="1">
      <c r="A188" s="46">
        <v>40</v>
      </c>
      <c r="B188" s="35" t="s">
        <v>173</v>
      </c>
      <c r="C188" s="34">
        <v>2</v>
      </c>
      <c r="D188" s="35">
        <v>6.6</v>
      </c>
      <c r="E188" s="34">
        <v>2</v>
      </c>
      <c r="F188" s="35">
        <v>5.37</v>
      </c>
      <c r="G188" s="34">
        <v>6</v>
      </c>
      <c r="H188" s="35">
        <v>0.97806705999999999</v>
      </c>
      <c r="I188" s="35">
        <f>D188+F188+H188</f>
        <v>12.94806706</v>
      </c>
      <c r="J188" s="35">
        <v>24.78853402</v>
      </c>
      <c r="K188" s="100">
        <f>I188/J188*100</f>
        <v>52.234097625753826</v>
      </c>
    </row>
    <row r="189" spans="1:11" s="36" customFormat="1" ht="14.25" customHeight="1">
      <c r="A189" s="46">
        <v>41</v>
      </c>
      <c r="B189" s="35" t="s">
        <v>182</v>
      </c>
      <c r="C189" s="34">
        <v>2</v>
      </c>
      <c r="D189" s="35">
        <v>1.421527</v>
      </c>
      <c r="E189" s="34">
        <v>1</v>
      </c>
      <c r="F189" s="35">
        <v>0.1</v>
      </c>
      <c r="G189" s="34">
        <v>14</v>
      </c>
      <c r="H189" s="35">
        <v>11.076705799999999</v>
      </c>
      <c r="I189" s="35">
        <f>D189+F189+H189</f>
        <v>12.5982328</v>
      </c>
      <c r="J189" s="35">
        <v>-6.357605232500001</v>
      </c>
      <c r="K189" s="100">
        <f>I189/J189*100</f>
        <v>-198.16003572537008</v>
      </c>
    </row>
    <row r="190" spans="1:11" s="36" customFormat="1" ht="14.25" customHeight="1">
      <c r="A190" s="46">
        <v>42</v>
      </c>
      <c r="B190" s="35" t="s">
        <v>198</v>
      </c>
      <c r="C190" s="34">
        <v>0</v>
      </c>
      <c r="D190" s="35">
        <v>0</v>
      </c>
      <c r="E190" s="34">
        <v>0</v>
      </c>
      <c r="F190" s="35">
        <v>0</v>
      </c>
      <c r="G190" s="34">
        <v>1</v>
      </c>
      <c r="H190" s="35">
        <v>10.101756460000001</v>
      </c>
      <c r="I190" s="35">
        <f>D190+F190+H190</f>
        <v>10.101756460000001</v>
      </c>
      <c r="J190" s="35">
        <v>1.7231723600000002</v>
      </c>
      <c r="K190" s="100">
        <f>I190/J190*100</f>
        <v>586.23018187223011</v>
      </c>
    </row>
    <row r="191" spans="1:11" s="36" customFormat="1" ht="14.25" customHeight="1">
      <c r="A191" s="46">
        <v>43</v>
      </c>
      <c r="B191" s="35" t="s">
        <v>166</v>
      </c>
      <c r="C191" s="34">
        <v>1</v>
      </c>
      <c r="D191" s="35">
        <v>0.7</v>
      </c>
      <c r="E191" s="34">
        <v>1</v>
      </c>
      <c r="F191" s="35">
        <v>4.8312160000000004</v>
      </c>
      <c r="G191" s="34">
        <v>10</v>
      </c>
      <c r="H191" s="35">
        <v>3.7970856299999998</v>
      </c>
      <c r="I191" s="35">
        <f>D191+F191+H191</f>
        <v>9.3283016300000003</v>
      </c>
      <c r="J191" s="35">
        <v>79.245652429999993</v>
      </c>
      <c r="K191" s="100">
        <f>I191/J191*100</f>
        <v>11.771373373750645</v>
      </c>
    </row>
    <row r="192" spans="1:11" s="36" customFormat="1" ht="14.25" customHeight="1">
      <c r="A192" s="46">
        <v>44</v>
      </c>
      <c r="B192" s="35" t="s">
        <v>192</v>
      </c>
      <c r="C192" s="34">
        <v>2</v>
      </c>
      <c r="D192" s="35">
        <v>5.2858690199999998</v>
      </c>
      <c r="E192" s="34">
        <v>1</v>
      </c>
      <c r="F192" s="35">
        <v>5.2664000000000002E-2</v>
      </c>
      <c r="G192" s="34">
        <v>4</v>
      </c>
      <c r="H192" s="35">
        <v>3.84536414</v>
      </c>
      <c r="I192" s="35">
        <f>D192+F192+H192</f>
        <v>9.1838971600000008</v>
      </c>
      <c r="J192" s="35">
        <v>2.8634010000000001</v>
      </c>
      <c r="K192" s="100">
        <f>I192/J192*100</f>
        <v>320.73388114343749</v>
      </c>
    </row>
    <row r="193" spans="1:11" s="36" customFormat="1" ht="14.25" customHeight="1">
      <c r="A193" s="46">
        <v>45</v>
      </c>
      <c r="B193" s="35" t="s">
        <v>188</v>
      </c>
      <c r="C193" s="34">
        <v>0</v>
      </c>
      <c r="D193" s="35">
        <v>0</v>
      </c>
      <c r="E193" s="34">
        <v>0</v>
      </c>
      <c r="F193" s="35">
        <v>0</v>
      </c>
      <c r="G193" s="34">
        <v>2</v>
      </c>
      <c r="H193" s="35">
        <v>7.3177562199999997</v>
      </c>
      <c r="I193" s="35">
        <f>D193+F193+H193</f>
        <v>7.3177562199999997</v>
      </c>
      <c r="J193" s="35">
        <v>24.636920530000001</v>
      </c>
      <c r="K193" s="100">
        <f>I193/J193*100</f>
        <v>29.702398118666167</v>
      </c>
    </row>
    <row r="194" spans="1:11" s="36" customFormat="1" ht="14.25" customHeight="1">
      <c r="A194" s="46">
        <v>46</v>
      </c>
      <c r="B194" s="35" t="s">
        <v>194</v>
      </c>
      <c r="C194" s="34">
        <v>3</v>
      </c>
      <c r="D194" s="35">
        <v>3.7327089999999998</v>
      </c>
      <c r="E194" s="34">
        <v>0</v>
      </c>
      <c r="F194" s="35">
        <v>0</v>
      </c>
      <c r="G194" s="34">
        <v>1</v>
      </c>
      <c r="H194" s="35">
        <v>0.20907379999999998</v>
      </c>
      <c r="I194" s="35">
        <f>D194+F194+H194</f>
        <v>3.9417827999999999</v>
      </c>
      <c r="J194" s="35">
        <v>1.82677172</v>
      </c>
      <c r="K194" s="100">
        <f>I194/J194*100</f>
        <v>215.77861956391575</v>
      </c>
    </row>
    <row r="195" spans="1:11" s="36" customFormat="1" ht="14.25" customHeight="1">
      <c r="A195" s="46">
        <v>47</v>
      </c>
      <c r="B195" s="35" t="s">
        <v>181</v>
      </c>
      <c r="C195" s="34">
        <v>1</v>
      </c>
      <c r="D195" s="35">
        <v>0.17152700000000001</v>
      </c>
      <c r="E195" s="34">
        <v>0</v>
      </c>
      <c r="F195" s="35">
        <v>0</v>
      </c>
      <c r="G195" s="34">
        <v>12</v>
      </c>
      <c r="H195" s="35">
        <v>2.4722209300000002</v>
      </c>
      <c r="I195" s="35">
        <f>D195+F195+H195</f>
        <v>2.6437479300000004</v>
      </c>
      <c r="J195" s="35">
        <v>2.0335796400000001</v>
      </c>
      <c r="K195" s="100">
        <f>I195/J195*100</f>
        <v>130.00464196228873</v>
      </c>
    </row>
    <row r="196" spans="1:11" s="36" customFormat="1" ht="14.25" customHeight="1">
      <c r="A196" s="46">
        <v>48</v>
      </c>
      <c r="B196" s="35" t="s">
        <v>189</v>
      </c>
      <c r="C196" s="34">
        <v>0</v>
      </c>
      <c r="D196" s="35">
        <v>0</v>
      </c>
      <c r="E196" s="34">
        <v>1</v>
      </c>
      <c r="F196" s="35">
        <v>0.93399699999999997</v>
      </c>
      <c r="G196" s="34">
        <v>2</v>
      </c>
      <c r="H196" s="35">
        <v>1.6813770899999998</v>
      </c>
      <c r="I196" s="35">
        <f>D196+F196+H196</f>
        <v>2.6153740899999995</v>
      </c>
      <c r="J196" s="35">
        <v>0.10765653</v>
      </c>
      <c r="K196" s="100">
        <f>I196/J196*100</f>
        <v>2429.3687433544433</v>
      </c>
    </row>
    <row r="197" spans="1:11" s="36" customFormat="1" ht="14.25" customHeight="1">
      <c r="A197" s="46">
        <v>49</v>
      </c>
      <c r="B197" s="35" t="s">
        <v>199</v>
      </c>
      <c r="C197" s="34">
        <v>1</v>
      </c>
      <c r="D197" s="35">
        <v>0.15</v>
      </c>
      <c r="E197" s="34">
        <v>1</v>
      </c>
      <c r="F197" s="35">
        <v>1</v>
      </c>
      <c r="G197" s="34">
        <v>1</v>
      </c>
      <c r="H197" s="35">
        <v>0.20532464</v>
      </c>
      <c r="I197" s="35">
        <f>D197+F197+H197</f>
        <v>1.3553246399999999</v>
      </c>
      <c r="J197" s="35">
        <v>0.14466172999999999</v>
      </c>
      <c r="K197" s="100">
        <f>I197/J197*100</f>
        <v>936.89232114118909</v>
      </c>
    </row>
    <row r="198" spans="1:11" s="36" customFormat="1" ht="14.25" customHeight="1">
      <c r="A198" s="46">
        <v>50</v>
      </c>
      <c r="B198" s="35" t="s">
        <v>186</v>
      </c>
      <c r="C198" s="34">
        <v>1</v>
      </c>
      <c r="D198" s="35">
        <v>1.0321471099999999</v>
      </c>
      <c r="E198" s="34">
        <v>0</v>
      </c>
      <c r="F198" s="35">
        <v>0</v>
      </c>
      <c r="G198" s="34">
        <v>2</v>
      </c>
      <c r="H198" s="95">
        <v>4.2844499999999995E-3</v>
      </c>
      <c r="I198" s="95">
        <f>D198+F198+H198</f>
        <v>1.03643156</v>
      </c>
      <c r="J198" s="35">
        <v>0.29005339000000002</v>
      </c>
      <c r="K198" s="100">
        <f>I198/J198*100</f>
        <v>357.32440844769991</v>
      </c>
    </row>
    <row r="199" spans="1:11" s="36" customFormat="1" ht="14.25" customHeight="1">
      <c r="A199" s="46">
        <v>51</v>
      </c>
      <c r="B199" s="35" t="s">
        <v>177</v>
      </c>
      <c r="C199" s="34">
        <v>0</v>
      </c>
      <c r="D199" s="35">
        <v>0</v>
      </c>
      <c r="E199" s="34">
        <v>0</v>
      </c>
      <c r="F199" s="35">
        <v>0</v>
      </c>
      <c r="G199" s="34">
        <v>1</v>
      </c>
      <c r="H199" s="35">
        <v>0.84445194999999995</v>
      </c>
      <c r="I199" s="35">
        <f>D199+F199+H199</f>
        <v>0.84445194999999995</v>
      </c>
      <c r="J199" s="35">
        <v>1.23472885</v>
      </c>
      <c r="K199" s="100">
        <f>I199/J199*100</f>
        <v>68.39169182772396</v>
      </c>
    </row>
    <row r="200" spans="1:11" s="36" customFormat="1" ht="14.25" customHeight="1">
      <c r="A200" s="46">
        <v>52</v>
      </c>
      <c r="B200" s="35" t="s">
        <v>261</v>
      </c>
      <c r="C200" s="34">
        <v>0</v>
      </c>
      <c r="D200" s="35">
        <v>0</v>
      </c>
      <c r="E200" s="34">
        <v>0</v>
      </c>
      <c r="F200" s="35">
        <v>0</v>
      </c>
      <c r="G200" s="34">
        <v>1</v>
      </c>
      <c r="H200" s="35">
        <v>0.82793225999999998</v>
      </c>
      <c r="I200" s="35">
        <f>D200+F200+H200</f>
        <v>0.82793225999999998</v>
      </c>
      <c r="J200" s="35"/>
      <c r="K200" s="100"/>
    </row>
    <row r="201" spans="1:11" s="36" customFormat="1" ht="14.25" customHeight="1">
      <c r="A201" s="46">
        <v>53</v>
      </c>
      <c r="B201" s="35" t="s">
        <v>183</v>
      </c>
      <c r="C201" s="34">
        <v>0</v>
      </c>
      <c r="D201" s="35">
        <v>0</v>
      </c>
      <c r="E201" s="34">
        <v>0</v>
      </c>
      <c r="F201" s="35">
        <v>0</v>
      </c>
      <c r="G201" s="34">
        <v>2</v>
      </c>
      <c r="H201" s="35">
        <v>0.47383472999999998</v>
      </c>
      <c r="I201" s="35">
        <f>D201+F201+H201</f>
        <v>0.47383472999999998</v>
      </c>
      <c r="J201" s="35"/>
      <c r="K201" s="100"/>
    </row>
    <row r="202" spans="1:11" s="36" customFormat="1" ht="14.25" customHeight="1">
      <c r="A202" s="46">
        <v>54</v>
      </c>
      <c r="B202" s="35" t="s">
        <v>264</v>
      </c>
      <c r="C202" s="34">
        <v>1</v>
      </c>
      <c r="D202" s="35">
        <v>5.1063830000000004E-2</v>
      </c>
      <c r="E202" s="34">
        <v>1</v>
      </c>
      <c r="F202" s="35">
        <v>0.3</v>
      </c>
      <c r="G202" s="34">
        <v>0</v>
      </c>
      <c r="H202" s="35">
        <v>0</v>
      </c>
      <c r="I202" s="35">
        <f>D202+F202+H202</f>
        <v>0.35106382999999997</v>
      </c>
      <c r="J202" s="35">
        <v>0.46816140000000001</v>
      </c>
      <c r="K202" s="100">
        <f>I202/J202*100</f>
        <v>74.98777771939335</v>
      </c>
    </row>
    <row r="203" spans="1:11" s="36" customFormat="1" ht="14.25" customHeight="1">
      <c r="A203" s="46">
        <v>55</v>
      </c>
      <c r="B203" s="35" t="s">
        <v>200</v>
      </c>
      <c r="C203" s="34">
        <v>1</v>
      </c>
      <c r="D203" s="35">
        <v>2.1999999999999999E-2</v>
      </c>
      <c r="E203" s="34">
        <v>0</v>
      </c>
      <c r="F203" s="35">
        <v>0</v>
      </c>
      <c r="G203" s="34">
        <v>1</v>
      </c>
      <c r="H203" s="35">
        <v>0.14138176000000002</v>
      </c>
      <c r="I203" s="35">
        <f>D203+F203+H203</f>
        <v>0.16338176000000001</v>
      </c>
      <c r="J203" s="35"/>
      <c r="K203" s="100"/>
    </row>
    <row r="204" spans="1:11" s="36" customFormat="1" ht="14.25" customHeight="1">
      <c r="A204" s="46">
        <v>56</v>
      </c>
      <c r="B204" s="35" t="s">
        <v>146</v>
      </c>
      <c r="C204" s="34">
        <v>0</v>
      </c>
      <c r="D204" s="35">
        <v>0</v>
      </c>
      <c r="E204" s="34">
        <v>0</v>
      </c>
      <c r="F204" s="35">
        <v>0</v>
      </c>
      <c r="G204" s="34">
        <v>1</v>
      </c>
      <c r="H204" s="35">
        <v>5.0999999999999997E-2</v>
      </c>
      <c r="I204" s="35">
        <f>D204+F204+H204</f>
        <v>5.0999999999999997E-2</v>
      </c>
      <c r="J204" s="35">
        <v>-60.945119999999996</v>
      </c>
      <c r="K204" s="100">
        <f>I204/J204*100</f>
        <v>-8.3681843599618805E-2</v>
      </c>
    </row>
    <row r="205" spans="1:11" s="40" customFormat="1" ht="12.75">
      <c r="A205" s="198" t="s">
        <v>62</v>
      </c>
      <c r="B205" s="199"/>
      <c r="C205" s="50">
        <f t="shared" ref="C205:I205" si="5">SUM(C149:C204)</f>
        <v>2865</v>
      </c>
      <c r="D205" s="51">
        <f t="shared" si="5"/>
        <v>16410.342054890003</v>
      </c>
      <c r="E205" s="50">
        <f t="shared" si="5"/>
        <v>1152</v>
      </c>
      <c r="F205" s="51">
        <f t="shared" si="5"/>
        <v>6470.9088800845984</v>
      </c>
      <c r="G205" s="50">
        <f t="shared" si="5"/>
        <v>3166</v>
      </c>
      <c r="H205" s="51">
        <f t="shared" si="5"/>
        <v>5968.6595156199992</v>
      </c>
      <c r="I205" s="51">
        <f t="shared" si="5"/>
        <v>28849.910450594616</v>
      </c>
      <c r="J205" s="51"/>
      <c r="K205" s="104">
        <f>I205/'thang 11'!D10*100</f>
        <v>114.77872542793899</v>
      </c>
    </row>
    <row r="209" spans="1:11" ht="15.75">
      <c r="A209" s="200" t="s">
        <v>315</v>
      </c>
      <c r="B209" s="200"/>
      <c r="C209" s="200"/>
      <c r="D209" s="200"/>
      <c r="E209" s="200"/>
      <c r="F209" s="200"/>
      <c r="G209" s="200"/>
      <c r="H209" s="200"/>
      <c r="I209" s="200"/>
      <c r="J209" s="200"/>
      <c r="K209" s="200"/>
    </row>
    <row r="210" spans="1:11">
      <c r="A210" s="201" t="str">
        <f>A6</f>
        <v>Tính từ 01/01/2023 đến 20/11/2023</v>
      </c>
      <c r="B210" s="201"/>
      <c r="C210" s="201"/>
      <c r="D210" s="201"/>
      <c r="E210" s="201"/>
      <c r="F210" s="201"/>
      <c r="G210" s="201"/>
      <c r="H210" s="201"/>
      <c r="I210" s="201"/>
      <c r="J210" s="201"/>
      <c r="K210" s="201"/>
    </row>
    <row r="211" spans="1:11">
      <c r="D211" s="23"/>
      <c r="E211" s="24"/>
      <c r="F211" s="105"/>
      <c r="J211" s="23"/>
    </row>
    <row r="212" spans="1:11" ht="60.75" customHeight="1">
      <c r="A212" s="27" t="s">
        <v>1</v>
      </c>
      <c r="B212" s="28" t="s">
        <v>308</v>
      </c>
      <c r="C212" s="29" t="s">
        <v>37</v>
      </c>
      <c r="D212" s="30" t="s">
        <v>38</v>
      </c>
      <c r="E212" s="106" t="s">
        <v>291</v>
      </c>
      <c r="F212" s="30" t="s">
        <v>292</v>
      </c>
      <c r="G212" s="29" t="s">
        <v>41</v>
      </c>
      <c r="H212" s="30" t="s">
        <v>293</v>
      </c>
      <c r="I212" s="30" t="s">
        <v>43</v>
      </c>
      <c r="J212" s="30" t="s">
        <v>313</v>
      </c>
      <c r="K212" s="99" t="s">
        <v>288</v>
      </c>
    </row>
    <row r="213" spans="1:11" s="44" customFormat="1" ht="16.5" customHeight="1">
      <c r="A213" s="107" t="s">
        <v>294</v>
      </c>
      <c r="B213" s="108" t="s">
        <v>295</v>
      </c>
      <c r="C213" s="109">
        <f t="shared" ref="C213:J213" si="6">SUM(C214:C224)</f>
        <v>1075</v>
      </c>
      <c r="D213" s="110">
        <f t="shared" si="6"/>
        <v>8597.7453517200011</v>
      </c>
      <c r="E213" s="109">
        <f t="shared" si="6"/>
        <v>452</v>
      </c>
      <c r="F213" s="110">
        <f>SUM(F214:F224)</f>
        <v>2900.4527874906244</v>
      </c>
      <c r="G213" s="109">
        <f t="shared" si="6"/>
        <v>492</v>
      </c>
      <c r="H213" s="110">
        <f t="shared" si="6"/>
        <v>2378.5292649900002</v>
      </c>
      <c r="I213" s="111">
        <f t="shared" si="6"/>
        <v>13876.727404200625</v>
      </c>
      <c r="J213" s="111">
        <v>9530.3011533808658</v>
      </c>
      <c r="K213" s="146">
        <f t="shared" ref="K213" si="7">I213/J213*100</f>
        <v>145.6063893560999</v>
      </c>
    </row>
    <row r="214" spans="1:11" s="36" customFormat="1" ht="16.5" customHeight="1">
      <c r="A214" s="46">
        <v>1</v>
      </c>
      <c r="B214" s="112" t="s">
        <v>176</v>
      </c>
      <c r="C214" s="113">
        <f t="shared" ref="C214:C224" si="8">VLOOKUP(B214,$B$149:$K$204,2,FALSE)</f>
        <v>25</v>
      </c>
      <c r="D214" s="114">
        <f t="shared" ref="D214:D224" si="9">VLOOKUP(B214,$B$149:$K$204,3,FALSE)</f>
        <v>3102.9257200000002</v>
      </c>
      <c r="E214" s="113">
        <f t="shared" ref="E214:E224" si="10">VLOOKUP(B214,$B$149:$K$204,4,FALSE)</f>
        <v>0</v>
      </c>
      <c r="F214" s="114">
        <f t="shared" ref="F214:F224" si="11">VLOOKUP(B214,$B$149:$K$204,5,FALSE)</f>
        <v>0</v>
      </c>
      <c r="G214" s="113">
        <f t="shared" ref="G214:G224" si="12">VLOOKUP(B214,$B$149:$K$204,6,FALSE)</f>
        <v>4</v>
      </c>
      <c r="H214" s="114">
        <f t="shared" ref="H214:H224" si="13">VLOOKUP(B214,$B$149:$K$204,7,FALSE)</f>
        <v>6.6460889299999995</v>
      </c>
      <c r="I214" s="183">
        <f t="shared" ref="I214:I224" si="14">D214+F214+H214</f>
        <v>3109.5718089300003</v>
      </c>
      <c r="J214" s="114">
        <v>2185.5533378499999</v>
      </c>
      <c r="K214" s="100">
        <f t="shared" ref="K214:K224" si="15">I214/J214*100</f>
        <v>142.27846811503525</v>
      </c>
    </row>
    <row r="215" spans="1:11" s="36" customFormat="1" ht="16.5" customHeight="1">
      <c r="A215" s="46">
        <v>2</v>
      </c>
      <c r="B215" s="113" t="s">
        <v>153</v>
      </c>
      <c r="C215" s="113">
        <f t="shared" si="8"/>
        <v>102</v>
      </c>
      <c r="D215" s="114">
        <f t="shared" si="9"/>
        <v>1214.73920314</v>
      </c>
      <c r="E215" s="113">
        <f t="shared" si="10"/>
        <v>44</v>
      </c>
      <c r="F215" s="114">
        <f t="shared" si="11"/>
        <v>1530.9848919999999</v>
      </c>
      <c r="G215" s="113">
        <f t="shared" si="12"/>
        <v>47</v>
      </c>
      <c r="H215" s="114">
        <f t="shared" si="13"/>
        <v>125.32756295999999</v>
      </c>
      <c r="I215" s="183">
        <f t="shared" si="14"/>
        <v>2871.0516580999997</v>
      </c>
      <c r="J215" s="114">
        <v>1827.80695212875</v>
      </c>
      <c r="K215" s="100">
        <f t="shared" si="15"/>
        <v>157.07630692378305</v>
      </c>
    </row>
    <row r="216" spans="1:11" s="36" customFormat="1" ht="16.5" customHeight="1">
      <c r="A216" s="46">
        <v>3</v>
      </c>
      <c r="B216" s="112" t="s">
        <v>149</v>
      </c>
      <c r="C216" s="113">
        <f t="shared" si="8"/>
        <v>379</v>
      </c>
      <c r="D216" s="114">
        <f t="shared" si="9"/>
        <v>358.54381025000004</v>
      </c>
      <c r="E216" s="113">
        <f t="shared" si="10"/>
        <v>156</v>
      </c>
      <c r="F216" s="114">
        <f t="shared" si="11"/>
        <v>269.66566008398439</v>
      </c>
      <c r="G216" s="113">
        <f t="shared" si="12"/>
        <v>296</v>
      </c>
      <c r="H216" s="114">
        <f t="shared" si="13"/>
        <v>2062.4639928000001</v>
      </c>
      <c r="I216" s="183">
        <f t="shared" si="14"/>
        <v>2690.6734631339846</v>
      </c>
      <c r="J216" s="114">
        <v>1519.2633950646095</v>
      </c>
      <c r="K216" s="100">
        <f t="shared" si="15"/>
        <v>177.10381701255685</v>
      </c>
    </row>
    <row r="217" spans="1:11" s="36" customFormat="1" ht="16.5" customHeight="1">
      <c r="A217" s="46">
        <v>4</v>
      </c>
      <c r="B217" s="113" t="s">
        <v>154</v>
      </c>
      <c r="C217" s="113">
        <f t="shared" si="8"/>
        <v>349</v>
      </c>
      <c r="D217" s="114">
        <f t="shared" si="9"/>
        <v>1035.01255311</v>
      </c>
      <c r="E217" s="113">
        <f t="shared" si="10"/>
        <v>145</v>
      </c>
      <c r="F217" s="114">
        <f t="shared" si="11"/>
        <v>544.73809659414064</v>
      </c>
      <c r="G217" s="113">
        <f t="shared" si="12"/>
        <v>82</v>
      </c>
      <c r="H217" s="114">
        <f t="shared" si="13"/>
        <v>43.920777999999999</v>
      </c>
      <c r="I217" s="183">
        <f t="shared" si="14"/>
        <v>1623.6714277041406</v>
      </c>
      <c r="J217" s="114">
        <v>2046.1151550175061</v>
      </c>
      <c r="K217" s="100">
        <f t="shared" si="15"/>
        <v>79.353863526329675</v>
      </c>
    </row>
    <row r="218" spans="1:11" s="36" customFormat="1" ht="16.5" customHeight="1">
      <c r="A218" s="46">
        <v>5</v>
      </c>
      <c r="B218" s="113" t="s">
        <v>161</v>
      </c>
      <c r="C218" s="113">
        <f t="shared" si="8"/>
        <v>71</v>
      </c>
      <c r="D218" s="114">
        <f t="shared" si="9"/>
        <v>940.67780500000003</v>
      </c>
      <c r="E218" s="113">
        <f t="shared" si="10"/>
        <v>26</v>
      </c>
      <c r="F218" s="114">
        <f t="shared" si="11"/>
        <v>63.995196</v>
      </c>
      <c r="G218" s="113">
        <f t="shared" si="12"/>
        <v>20</v>
      </c>
      <c r="H218" s="114">
        <f t="shared" si="13"/>
        <v>13.89809151</v>
      </c>
      <c r="I218" s="183">
        <f t="shared" si="14"/>
        <v>1018.57109251</v>
      </c>
      <c r="J218" s="114">
        <v>340.82533076875001</v>
      </c>
      <c r="K218" s="100">
        <f t="shared" si="15"/>
        <v>298.85428122744213</v>
      </c>
    </row>
    <row r="219" spans="1:11" s="36" customFormat="1" ht="16.5" customHeight="1">
      <c r="A219" s="46">
        <v>6</v>
      </c>
      <c r="B219" s="115" t="s">
        <v>155</v>
      </c>
      <c r="C219" s="113">
        <f t="shared" si="8"/>
        <v>45</v>
      </c>
      <c r="D219" s="114">
        <f t="shared" si="9"/>
        <v>472.19173499999999</v>
      </c>
      <c r="E219" s="113">
        <f t="shared" si="10"/>
        <v>46</v>
      </c>
      <c r="F219" s="114">
        <f t="shared" si="11"/>
        <v>266.31849212499998</v>
      </c>
      <c r="G219" s="113">
        <f t="shared" si="12"/>
        <v>22</v>
      </c>
      <c r="H219" s="114">
        <f t="shared" si="13"/>
        <v>14.847654310000001</v>
      </c>
      <c r="I219" s="183">
        <f t="shared" si="14"/>
        <v>753.35788143500008</v>
      </c>
      <c r="J219" s="114">
        <v>731.83867282624999</v>
      </c>
      <c r="K219" s="100">
        <f t="shared" si="15"/>
        <v>102.94043064513743</v>
      </c>
    </row>
    <row r="220" spans="1:11" s="36" customFormat="1" ht="16.5" customHeight="1">
      <c r="A220" s="46">
        <v>7</v>
      </c>
      <c r="B220" s="113" t="s">
        <v>165</v>
      </c>
      <c r="C220" s="113">
        <f t="shared" si="8"/>
        <v>25</v>
      </c>
      <c r="D220" s="114">
        <f t="shared" si="9"/>
        <v>510.74771700000002</v>
      </c>
      <c r="E220" s="113">
        <f t="shared" si="10"/>
        <v>4</v>
      </c>
      <c r="F220" s="114">
        <f t="shared" si="11"/>
        <v>104.268255</v>
      </c>
      <c r="G220" s="113">
        <f t="shared" si="12"/>
        <v>1</v>
      </c>
      <c r="H220" s="114">
        <f t="shared" si="13"/>
        <v>5.0215510000000005E-2</v>
      </c>
      <c r="I220" s="183">
        <f t="shared" si="14"/>
        <v>615.06618751000008</v>
      </c>
      <c r="J220" s="114">
        <v>157.86528791999999</v>
      </c>
      <c r="K220" s="100">
        <f t="shared" si="15"/>
        <v>389.61458571037593</v>
      </c>
    </row>
    <row r="221" spans="1:11" s="36" customFormat="1" ht="16.5" customHeight="1">
      <c r="A221" s="46">
        <v>8</v>
      </c>
      <c r="B221" s="113" t="s">
        <v>156</v>
      </c>
      <c r="C221" s="113">
        <f t="shared" si="8"/>
        <v>29</v>
      </c>
      <c r="D221" s="114">
        <f t="shared" si="9"/>
        <v>346.89768922000002</v>
      </c>
      <c r="E221" s="113">
        <f t="shared" si="10"/>
        <v>20</v>
      </c>
      <c r="F221" s="114">
        <f t="shared" si="11"/>
        <v>84.519005687499998</v>
      </c>
      <c r="G221" s="113">
        <f t="shared" si="12"/>
        <v>5</v>
      </c>
      <c r="H221" s="114">
        <f t="shared" si="13"/>
        <v>13.861131760000001</v>
      </c>
      <c r="I221" s="183">
        <f t="shared" si="14"/>
        <v>445.27782666749999</v>
      </c>
      <c r="J221" s="114">
        <v>476.61078825499999</v>
      </c>
      <c r="K221" s="100">
        <f t="shared" si="15"/>
        <v>93.425880748058944</v>
      </c>
    </row>
    <row r="222" spans="1:11" s="36" customFormat="1" ht="16.5" customHeight="1">
      <c r="A222" s="46">
        <v>9</v>
      </c>
      <c r="B222" s="115" t="s">
        <v>163</v>
      </c>
      <c r="C222" s="113">
        <f t="shared" si="8"/>
        <v>16</v>
      </c>
      <c r="D222" s="114">
        <f t="shared" si="9"/>
        <v>238.27574799999999</v>
      </c>
      <c r="E222" s="113">
        <f t="shared" si="10"/>
        <v>3</v>
      </c>
      <c r="F222" s="114">
        <f t="shared" si="11"/>
        <v>4.9550099999999997</v>
      </c>
      <c r="G222" s="113">
        <f t="shared" si="12"/>
        <v>8</v>
      </c>
      <c r="H222" s="114">
        <f t="shared" si="13"/>
        <v>96.129257890000005</v>
      </c>
      <c r="I222" s="183">
        <f t="shared" si="14"/>
        <v>339.36001589</v>
      </c>
      <c r="J222" s="114">
        <v>57.798506269999997</v>
      </c>
      <c r="K222" s="100">
        <f t="shared" si="15"/>
        <v>587.14322876219899</v>
      </c>
    </row>
    <row r="223" spans="1:11" s="36" customFormat="1" ht="16.5" customHeight="1">
      <c r="A223" s="46">
        <v>10</v>
      </c>
      <c r="B223" s="113" t="s">
        <v>168</v>
      </c>
      <c r="C223" s="113">
        <f t="shared" si="8"/>
        <v>27</v>
      </c>
      <c r="D223" s="114">
        <f t="shared" si="9"/>
        <v>266.44234299999999</v>
      </c>
      <c r="E223" s="113">
        <f t="shared" si="10"/>
        <v>7</v>
      </c>
      <c r="F223" s="114">
        <f t="shared" si="11"/>
        <v>19.008179999999999</v>
      </c>
      <c r="G223" s="113">
        <f t="shared" si="12"/>
        <v>6</v>
      </c>
      <c r="H223" s="114">
        <f t="shared" si="13"/>
        <v>1.2142913200000001</v>
      </c>
      <c r="I223" s="183">
        <f t="shared" si="14"/>
        <v>286.66481431999995</v>
      </c>
      <c r="J223" s="114">
        <v>119.25296707999999</v>
      </c>
      <c r="K223" s="100">
        <f t="shared" si="15"/>
        <v>240.38380036925449</v>
      </c>
    </row>
    <row r="224" spans="1:11" s="36" customFormat="1" ht="16.5" customHeight="1">
      <c r="A224" s="116">
        <v>11</v>
      </c>
      <c r="B224" s="122" t="s">
        <v>175</v>
      </c>
      <c r="C224" s="113">
        <f t="shared" si="8"/>
        <v>7</v>
      </c>
      <c r="D224" s="114">
        <f t="shared" si="9"/>
        <v>111.291028</v>
      </c>
      <c r="E224" s="113">
        <f t="shared" si="10"/>
        <v>1</v>
      </c>
      <c r="F224" s="114">
        <f t="shared" si="11"/>
        <v>12</v>
      </c>
      <c r="G224" s="113">
        <f t="shared" si="12"/>
        <v>1</v>
      </c>
      <c r="H224" s="114">
        <f t="shared" si="13"/>
        <v>0.17019999999999999</v>
      </c>
      <c r="I224" s="183">
        <f t="shared" si="14"/>
        <v>123.46122799999999</v>
      </c>
      <c r="J224" s="114">
        <v>67.370760200000007</v>
      </c>
      <c r="K224" s="100">
        <f t="shared" si="15"/>
        <v>183.25639733541254</v>
      </c>
    </row>
    <row r="225" spans="1:11" ht="16.5" customHeight="1">
      <c r="A225" s="156" t="s">
        <v>296</v>
      </c>
      <c r="B225" s="157" t="s">
        <v>303</v>
      </c>
      <c r="C225" s="119">
        <f t="shared" ref="C225:I225" si="16">SUM(C226:C231)</f>
        <v>1370</v>
      </c>
      <c r="D225" s="120">
        <f t="shared" si="16"/>
        <v>3394.9447144699998</v>
      </c>
      <c r="E225" s="119">
        <f t="shared" si="16"/>
        <v>460</v>
      </c>
      <c r="F225" s="120">
        <f>SUM(F226:F231)</f>
        <v>1518.0436242170215</v>
      </c>
      <c r="G225" s="119">
        <f t="shared" si="16"/>
        <v>2398</v>
      </c>
      <c r="H225" s="120">
        <f>SUM(H226:H231)</f>
        <v>3382.1908821599995</v>
      </c>
      <c r="I225" s="184">
        <f t="shared" si="16"/>
        <v>8295.1792208470215</v>
      </c>
      <c r="J225" s="120">
        <v>9124.7226053660124</v>
      </c>
      <c r="K225" s="158">
        <f t="shared" ref="K225:K232" si="17">I225/J225*100</f>
        <v>90.908837228310276</v>
      </c>
    </row>
    <row r="226" spans="1:11" s="36" customFormat="1" ht="16.5" customHeight="1">
      <c r="A226" s="46">
        <v>1</v>
      </c>
      <c r="B226" s="113" t="s">
        <v>147</v>
      </c>
      <c r="C226" s="113">
        <f t="shared" ref="C226:C231" si="18">VLOOKUP(B226,$B$149:$K$204,2,FALSE)</f>
        <v>1090</v>
      </c>
      <c r="D226" s="114">
        <f t="shared" ref="D226:D231" si="19">VLOOKUP(B226,$B$149:$K$204,3,FALSE)</f>
        <v>573.53574688000003</v>
      </c>
      <c r="E226" s="113">
        <f t="shared" ref="E226:E231" si="20">VLOOKUP(B226,$B$149:$K$204,4,FALSE)</f>
        <v>281</v>
      </c>
      <c r="F226" s="114">
        <f t="shared" ref="F226:F231" si="21">VLOOKUP(B226,$B$149:$K$204,5,FALSE)</f>
        <v>601.69951449389646</v>
      </c>
      <c r="G226" s="113">
        <f t="shared" ref="G226:G231" si="22">VLOOKUP(B226,$B$149:$K$204,6,FALSE)</f>
        <v>2099</v>
      </c>
      <c r="H226" s="114">
        <f t="shared" ref="H226:H231" si="23">VLOOKUP(B226,$B$149:$K$204,7,FALSE)</f>
        <v>1909.0119451600001</v>
      </c>
      <c r="I226" s="183">
        <f t="shared" ref="I226:I231" si="24">D226+F226+H226</f>
        <v>3084.2472065338966</v>
      </c>
      <c r="J226" s="114">
        <v>3539.7368025947658</v>
      </c>
      <c r="K226" s="100">
        <f t="shared" ref="K226:K231" si="25">I226/J226*100</f>
        <v>87.13210553601111</v>
      </c>
    </row>
    <row r="227" spans="1:11" s="36" customFormat="1" ht="16.5" customHeight="1">
      <c r="A227" s="46">
        <v>2</v>
      </c>
      <c r="B227" s="113" t="s">
        <v>150</v>
      </c>
      <c r="C227" s="113">
        <f t="shared" si="18"/>
        <v>114</v>
      </c>
      <c r="D227" s="114">
        <f t="shared" si="19"/>
        <v>584.77866678000009</v>
      </c>
      <c r="E227" s="113">
        <f t="shared" si="20"/>
        <v>45</v>
      </c>
      <c r="F227" s="114">
        <f t="shared" si="21"/>
        <v>36.902213676250014</v>
      </c>
      <c r="G227" s="113">
        <f t="shared" si="22"/>
        <v>188</v>
      </c>
      <c r="H227" s="114">
        <f t="shared" si="23"/>
        <v>835.8779850599999</v>
      </c>
      <c r="I227" s="183">
        <f t="shared" si="24"/>
        <v>1457.5588655162501</v>
      </c>
      <c r="J227" s="114">
        <v>3031.3546622699996</v>
      </c>
      <c r="K227" s="100">
        <f t="shared" si="25"/>
        <v>48.08275599216001</v>
      </c>
    </row>
    <row r="228" spans="1:11" s="36" customFormat="1" ht="16.5" customHeight="1">
      <c r="A228" s="46">
        <v>3</v>
      </c>
      <c r="B228" s="113" t="s">
        <v>152</v>
      </c>
      <c r="C228" s="113">
        <f t="shared" si="18"/>
        <v>72</v>
      </c>
      <c r="D228" s="114">
        <f t="shared" si="19"/>
        <v>430.94710341000001</v>
      </c>
      <c r="E228" s="113">
        <f t="shared" si="20"/>
        <v>64</v>
      </c>
      <c r="F228" s="114">
        <f t="shared" si="21"/>
        <v>503.44160267187499</v>
      </c>
      <c r="G228" s="113">
        <f t="shared" si="22"/>
        <v>81</v>
      </c>
      <c r="H228" s="114">
        <f t="shared" si="23"/>
        <v>453.79047800000001</v>
      </c>
      <c r="I228" s="183">
        <f t="shared" si="24"/>
        <v>1388.1791840818751</v>
      </c>
      <c r="J228" s="114">
        <v>1212.1630402237502</v>
      </c>
      <c r="K228" s="100">
        <f t="shared" si="25"/>
        <v>114.52083078078627</v>
      </c>
    </row>
    <row r="229" spans="1:11" s="36" customFormat="1" ht="16.5" customHeight="1">
      <c r="A229" s="46">
        <v>4</v>
      </c>
      <c r="B229" s="113" t="s">
        <v>151</v>
      </c>
      <c r="C229" s="113">
        <f t="shared" si="18"/>
        <v>21</v>
      </c>
      <c r="D229" s="114">
        <f t="shared" si="19"/>
        <v>848.00404700000001</v>
      </c>
      <c r="E229" s="113">
        <f t="shared" si="20"/>
        <v>0</v>
      </c>
      <c r="F229" s="114">
        <f t="shared" si="21"/>
        <v>0</v>
      </c>
      <c r="G229" s="113">
        <f t="shared" si="22"/>
        <v>20</v>
      </c>
      <c r="H229" s="114">
        <f t="shared" si="23"/>
        <v>180.22865814000002</v>
      </c>
      <c r="I229" s="183">
        <f t="shared" si="24"/>
        <v>1028.23270514</v>
      </c>
      <c r="J229" s="114">
        <v>485.59424235000006</v>
      </c>
      <c r="K229" s="100">
        <f t="shared" si="25"/>
        <v>211.74730164919961</v>
      </c>
    </row>
    <row r="230" spans="1:11" s="36" customFormat="1" ht="16.5" customHeight="1">
      <c r="A230" s="46">
        <v>5</v>
      </c>
      <c r="B230" s="113" t="s">
        <v>162</v>
      </c>
      <c r="C230" s="113">
        <f t="shared" si="18"/>
        <v>48</v>
      </c>
      <c r="D230" s="114">
        <f t="shared" si="19"/>
        <v>744.59781839999971</v>
      </c>
      <c r="E230" s="113">
        <f t="shared" si="20"/>
        <v>35</v>
      </c>
      <c r="F230" s="114">
        <f t="shared" si="21"/>
        <v>-0.33436274999999999</v>
      </c>
      <c r="G230" s="113">
        <f t="shared" si="22"/>
        <v>6</v>
      </c>
      <c r="H230" s="114">
        <f t="shared" si="23"/>
        <v>2.7422609099999997</v>
      </c>
      <c r="I230" s="183">
        <f t="shared" si="24"/>
        <v>747.00571655999977</v>
      </c>
      <c r="J230" s="114">
        <v>248.05229847999692</v>
      </c>
      <c r="K230" s="100">
        <f t="shared" si="25"/>
        <v>301.14847600182134</v>
      </c>
    </row>
    <row r="231" spans="1:11" s="36" customFormat="1" ht="16.5" customHeight="1">
      <c r="A231" s="116">
        <v>6</v>
      </c>
      <c r="B231" s="117" t="s">
        <v>148</v>
      </c>
      <c r="C231" s="113">
        <f t="shared" si="18"/>
        <v>25</v>
      </c>
      <c r="D231" s="114">
        <f t="shared" si="19"/>
        <v>213.081332</v>
      </c>
      <c r="E231" s="113">
        <f t="shared" si="20"/>
        <v>35</v>
      </c>
      <c r="F231" s="114">
        <f t="shared" si="21"/>
        <v>376.33465612499998</v>
      </c>
      <c r="G231" s="113">
        <f t="shared" si="22"/>
        <v>4</v>
      </c>
      <c r="H231" s="114">
        <f t="shared" si="23"/>
        <v>0.53955489000000001</v>
      </c>
      <c r="I231" s="183">
        <f t="shared" si="24"/>
        <v>589.95554301499999</v>
      </c>
      <c r="J231" s="114">
        <v>607.82155944750002</v>
      </c>
      <c r="K231" s="100">
        <f t="shared" si="25"/>
        <v>97.06064779131232</v>
      </c>
    </row>
    <row r="232" spans="1:11" s="44" customFormat="1" ht="16.5" customHeight="1">
      <c r="A232" s="118" t="s">
        <v>298</v>
      </c>
      <c r="B232" s="119" t="s">
        <v>297</v>
      </c>
      <c r="C232" s="119">
        <f t="shared" ref="C232:I232" si="26">SUM(C233:C246)</f>
        <v>134</v>
      </c>
      <c r="D232" s="120">
        <f t="shared" si="26"/>
        <v>1865.41832234</v>
      </c>
      <c r="E232" s="119">
        <f t="shared" si="26"/>
        <v>79</v>
      </c>
      <c r="F232" s="120">
        <f>SUM(F233:F246)</f>
        <v>1423.7565926562499</v>
      </c>
      <c r="G232" s="119">
        <f t="shared" si="26"/>
        <v>64</v>
      </c>
      <c r="H232" s="120">
        <f>SUM(H233:H246)</f>
        <v>63.306308969999996</v>
      </c>
      <c r="I232" s="121">
        <f t="shared" si="26"/>
        <v>3352.4812239662497</v>
      </c>
      <c r="J232" s="121">
        <v>3317.0858054099999</v>
      </c>
      <c r="K232" s="143">
        <f t="shared" si="17"/>
        <v>101.06706370087024</v>
      </c>
    </row>
    <row r="233" spans="1:11" s="36" customFormat="1" ht="16.5" customHeight="1">
      <c r="A233" s="46">
        <v>1</v>
      </c>
      <c r="B233" s="113" t="s">
        <v>159</v>
      </c>
      <c r="C233" s="113">
        <f t="shared" ref="C233:C241" si="27">VLOOKUP(B233,$B$149:$K$204,2,FALSE)</f>
        <v>88</v>
      </c>
      <c r="D233" s="114">
        <f t="shared" ref="D233:D241" si="28">VLOOKUP(B233,$B$149:$K$204,3,FALSE)</f>
        <v>1520.8293699999999</v>
      </c>
      <c r="E233" s="113">
        <f>VLOOKUP(B233,$B$149:$K$204,4,FALSE)</f>
        <v>50</v>
      </c>
      <c r="F233" s="114">
        <f>VLOOKUP(B233,$B$149:$K$204,5,FALSE)</f>
        <v>1165.7114349999999</v>
      </c>
      <c r="G233" s="113">
        <f t="shared" ref="G233:G241" si="29">VLOOKUP(B233,$B$149:$K$204,6,FALSE)</f>
        <v>42</v>
      </c>
      <c r="H233" s="114">
        <f t="shared" ref="H233:H241" si="30">VLOOKUP(B233,$B$149:$K$204,7,FALSE)</f>
        <v>37.591551269999997</v>
      </c>
      <c r="I233" s="35">
        <f t="shared" ref="I233:I241" si="31">D233+F233+H233</f>
        <v>2724.1323562699995</v>
      </c>
      <c r="J233" s="114">
        <v>1074.66509376</v>
      </c>
      <c r="K233" s="100">
        <f>I233/J233*100</f>
        <v>253.4866324483381</v>
      </c>
    </row>
    <row r="234" spans="1:11" s="36" customFormat="1" ht="16.5" customHeight="1">
      <c r="A234" s="46">
        <v>2</v>
      </c>
      <c r="B234" s="113" t="s">
        <v>169</v>
      </c>
      <c r="C234" s="113">
        <f t="shared" si="27"/>
        <v>34</v>
      </c>
      <c r="D234" s="114">
        <f t="shared" si="28"/>
        <v>234.14745533999999</v>
      </c>
      <c r="E234" s="113">
        <f>VLOOKUP(B234,$B$149:$K$204,4,FALSE)</f>
        <v>14</v>
      </c>
      <c r="F234" s="114">
        <f>VLOOKUP(B234,$B$149:$K$204,5,FALSE)</f>
        <v>70.274591656249996</v>
      </c>
      <c r="G234" s="113">
        <f t="shared" si="29"/>
        <v>8</v>
      </c>
      <c r="H234" s="114">
        <f t="shared" si="30"/>
        <v>11.183234650000001</v>
      </c>
      <c r="I234" s="35">
        <f t="shared" si="31"/>
        <v>315.60528164624998</v>
      </c>
      <c r="J234" s="114">
        <v>1537.6240420000001</v>
      </c>
      <c r="K234" s="100">
        <f t="shared" ref="K234:K240" si="32">I234/J234*100</f>
        <v>20.52551683802626</v>
      </c>
    </row>
    <row r="235" spans="1:11" s="36" customFormat="1" ht="16.5" customHeight="1">
      <c r="A235" s="46">
        <v>3</v>
      </c>
      <c r="B235" s="113" t="s">
        <v>167</v>
      </c>
      <c r="C235" s="113">
        <f t="shared" si="27"/>
        <v>6</v>
      </c>
      <c r="D235" s="114">
        <f t="shared" si="28"/>
        <v>33.092807000000001</v>
      </c>
      <c r="E235" s="113">
        <f>VLOOKUP(B235,$B$149:$K$204,4,FALSE)</f>
        <v>14</v>
      </c>
      <c r="F235" s="114">
        <f>VLOOKUP(B235,$B$149:$K$204,5,FALSE)</f>
        <v>185.770566</v>
      </c>
      <c r="G235" s="113">
        <f t="shared" si="29"/>
        <v>2</v>
      </c>
      <c r="H235" s="114">
        <f t="shared" si="30"/>
        <v>1.2821331199999999</v>
      </c>
      <c r="I235" s="35">
        <f t="shared" si="31"/>
        <v>220.14550611999999</v>
      </c>
      <c r="J235" s="114">
        <v>691.27007994999997</v>
      </c>
      <c r="K235" s="100">
        <f t="shared" si="32"/>
        <v>31.846526054754641</v>
      </c>
    </row>
    <row r="236" spans="1:11" s="36" customFormat="1" ht="16.5" customHeight="1">
      <c r="A236" s="46">
        <v>4</v>
      </c>
      <c r="B236" s="113" t="s">
        <v>187</v>
      </c>
      <c r="C236" s="113">
        <f t="shared" si="27"/>
        <v>2</v>
      </c>
      <c r="D236" s="114">
        <f t="shared" si="28"/>
        <v>31.616689999999998</v>
      </c>
      <c r="E236" s="113">
        <f>VLOOKUP(B236,$B$149:$K$204,4,FALSE)</f>
        <v>1</v>
      </c>
      <c r="F236" s="114">
        <f>VLOOKUP(B236,$B$149:$K$204,5,FALSE)</f>
        <v>2</v>
      </c>
      <c r="G236" s="113">
        <f t="shared" si="29"/>
        <v>7</v>
      </c>
      <c r="H236" s="114">
        <f t="shared" si="30"/>
        <v>2.04475476</v>
      </c>
      <c r="I236" s="35">
        <f t="shared" si="31"/>
        <v>35.661444759999995</v>
      </c>
      <c r="J236" s="114">
        <v>9.7043659400000006</v>
      </c>
      <c r="K236" s="100">
        <f t="shared" si="32"/>
        <v>367.47835953927341</v>
      </c>
    </row>
    <row r="237" spans="1:11" s="36" customFormat="1" ht="16.5" customHeight="1">
      <c r="A237" s="46">
        <v>5</v>
      </c>
      <c r="B237" s="117" t="s">
        <v>265</v>
      </c>
      <c r="C237" s="113">
        <f t="shared" si="27"/>
        <v>1</v>
      </c>
      <c r="D237" s="114">
        <f t="shared" si="28"/>
        <v>25</v>
      </c>
      <c r="E237" s="113"/>
      <c r="F237" s="114"/>
      <c r="G237" s="113">
        <f t="shared" si="29"/>
        <v>0</v>
      </c>
      <c r="H237" s="114">
        <f t="shared" si="30"/>
        <v>0</v>
      </c>
      <c r="I237" s="35">
        <f t="shared" si="31"/>
        <v>25</v>
      </c>
      <c r="J237" s="114">
        <v>0</v>
      </c>
      <c r="K237" s="100"/>
    </row>
    <row r="238" spans="1:11" s="36" customFormat="1" ht="16.5" customHeight="1">
      <c r="A238" s="46">
        <v>6</v>
      </c>
      <c r="B238" s="117" t="s">
        <v>193</v>
      </c>
      <c r="C238" s="113">
        <f t="shared" si="27"/>
        <v>2</v>
      </c>
      <c r="D238" s="114">
        <f t="shared" si="28"/>
        <v>20.71</v>
      </c>
      <c r="E238" s="113">
        <f>VLOOKUP(B238,$B$149:$K$204,4,FALSE)</f>
        <v>0</v>
      </c>
      <c r="F238" s="114">
        <f>VLOOKUP(B238,$B$149:$K$204,5,FALSE)</f>
        <v>0</v>
      </c>
      <c r="G238" s="113">
        <f t="shared" si="29"/>
        <v>2</v>
      </c>
      <c r="H238" s="114">
        <f t="shared" si="30"/>
        <v>0.117045</v>
      </c>
      <c r="I238" s="35">
        <f t="shared" si="31"/>
        <v>20.827045000000002</v>
      </c>
      <c r="J238" s="114">
        <v>0.86432255000000002</v>
      </c>
      <c r="K238" s="100">
        <f t="shared" si="32"/>
        <v>2409.638045426444</v>
      </c>
    </row>
    <row r="239" spans="1:11" s="36" customFormat="1" ht="16.5" customHeight="1">
      <c r="A239" s="46">
        <v>7</v>
      </c>
      <c r="B239" s="117" t="s">
        <v>198</v>
      </c>
      <c r="C239" s="113">
        <f t="shared" si="27"/>
        <v>0</v>
      </c>
      <c r="D239" s="114">
        <f t="shared" si="28"/>
        <v>0</v>
      </c>
      <c r="E239" s="113">
        <f>VLOOKUP(B239,$B$149:$K$204,4,FALSE)</f>
        <v>0</v>
      </c>
      <c r="F239" s="114">
        <f>VLOOKUP(B239,$B$149:$K$204,5,FALSE)</f>
        <v>0</v>
      </c>
      <c r="G239" s="113">
        <f t="shared" si="29"/>
        <v>1</v>
      </c>
      <c r="H239" s="114">
        <f t="shared" si="30"/>
        <v>10.101756460000001</v>
      </c>
      <c r="I239" s="35">
        <f t="shared" si="31"/>
        <v>10.101756460000001</v>
      </c>
      <c r="J239" s="114">
        <v>1.7231723600000002</v>
      </c>
      <c r="K239" s="100">
        <f t="shared" si="32"/>
        <v>586.23018187223011</v>
      </c>
    </row>
    <row r="240" spans="1:11" s="36" customFormat="1" ht="16.5" customHeight="1">
      <c r="A240" s="46">
        <v>8</v>
      </c>
      <c r="B240" s="117" t="s">
        <v>177</v>
      </c>
      <c r="C240" s="113">
        <f t="shared" si="27"/>
        <v>0</v>
      </c>
      <c r="D240" s="114">
        <f t="shared" si="28"/>
        <v>0</v>
      </c>
      <c r="E240" s="113">
        <f>VLOOKUP(B240,$B$149:$K$204,4,FALSE)</f>
        <v>0</v>
      </c>
      <c r="F240" s="114">
        <f>VLOOKUP(B240,$B$149:$K$204,5,FALSE)</f>
        <v>0</v>
      </c>
      <c r="G240" s="113">
        <f t="shared" si="29"/>
        <v>1</v>
      </c>
      <c r="H240" s="114">
        <f t="shared" si="30"/>
        <v>0.84445194999999995</v>
      </c>
      <c r="I240" s="35">
        <f t="shared" si="31"/>
        <v>0.84445194999999995</v>
      </c>
      <c r="J240" s="114">
        <v>1.23472885</v>
      </c>
      <c r="K240" s="100">
        <f t="shared" si="32"/>
        <v>68.39169182772396</v>
      </c>
    </row>
    <row r="241" spans="1:11" s="36" customFormat="1" ht="16.5" customHeight="1">
      <c r="A241" s="46">
        <v>9</v>
      </c>
      <c r="B241" s="117" t="s">
        <v>200</v>
      </c>
      <c r="C241" s="113">
        <f t="shared" si="27"/>
        <v>1</v>
      </c>
      <c r="D241" s="114">
        <f t="shared" si="28"/>
        <v>2.1999999999999999E-2</v>
      </c>
      <c r="E241" s="113">
        <f>VLOOKUP(B241,$B$149:$K$204,4,FALSE)</f>
        <v>0</v>
      </c>
      <c r="F241" s="114">
        <f>VLOOKUP(B241,$B$149:$K$204,5,FALSE)</f>
        <v>0</v>
      </c>
      <c r="G241" s="113">
        <f t="shared" si="29"/>
        <v>1</v>
      </c>
      <c r="H241" s="114">
        <f t="shared" si="30"/>
        <v>0.14138176000000002</v>
      </c>
      <c r="I241" s="35">
        <f t="shared" si="31"/>
        <v>0.16338176000000001</v>
      </c>
      <c r="J241" s="114">
        <v>0</v>
      </c>
      <c r="K241" s="100"/>
    </row>
    <row r="242" spans="1:11" s="36" customFormat="1" ht="16.5" customHeight="1">
      <c r="A242" s="46">
        <v>10</v>
      </c>
      <c r="B242" s="117" t="s">
        <v>263</v>
      </c>
      <c r="C242" s="113"/>
      <c r="D242" s="114"/>
      <c r="E242" s="113"/>
      <c r="F242" s="114"/>
      <c r="G242" s="113"/>
      <c r="H242" s="114"/>
      <c r="I242" s="35"/>
      <c r="J242" s="114"/>
      <c r="K242" s="100"/>
    </row>
    <row r="243" spans="1:11" s="36" customFormat="1" ht="16.5" customHeight="1">
      <c r="A243" s="46">
        <v>11</v>
      </c>
      <c r="B243" s="117" t="s">
        <v>266</v>
      </c>
      <c r="C243" s="113"/>
      <c r="D243" s="114"/>
      <c r="E243" s="113"/>
      <c r="F243" s="114"/>
      <c r="G243" s="113"/>
      <c r="H243" s="114"/>
      <c r="I243" s="35"/>
      <c r="J243" s="114"/>
      <c r="K243" s="100"/>
    </row>
    <row r="244" spans="1:11" s="36" customFormat="1" ht="16.5" customHeight="1">
      <c r="A244" s="46">
        <v>12</v>
      </c>
      <c r="B244" s="117" t="s">
        <v>268</v>
      </c>
      <c r="C244" s="113"/>
      <c r="D244" s="114"/>
      <c r="E244" s="113"/>
      <c r="F244" s="114"/>
      <c r="G244" s="113"/>
      <c r="H244" s="114"/>
      <c r="I244" s="35"/>
      <c r="J244" s="114"/>
      <c r="K244" s="100"/>
    </row>
    <row r="245" spans="1:11" s="36" customFormat="1" ht="16.5" customHeight="1">
      <c r="A245" s="46">
        <v>13</v>
      </c>
      <c r="B245" s="117" t="s">
        <v>267</v>
      </c>
      <c r="C245" s="113"/>
      <c r="D245" s="114"/>
      <c r="E245" s="113"/>
      <c r="F245" s="114"/>
      <c r="G245" s="113"/>
      <c r="H245" s="114"/>
      <c r="I245" s="35"/>
      <c r="J245" s="114"/>
      <c r="K245" s="100"/>
    </row>
    <row r="246" spans="1:11" s="36" customFormat="1" ht="16.5" customHeight="1">
      <c r="A246" s="116">
        <v>14</v>
      </c>
      <c r="B246" s="117" t="s">
        <v>197</v>
      </c>
      <c r="C246" s="113"/>
      <c r="D246" s="114"/>
      <c r="E246" s="113"/>
      <c r="F246" s="114"/>
      <c r="G246" s="113"/>
      <c r="H246" s="114"/>
      <c r="I246" s="35"/>
      <c r="J246" s="114"/>
      <c r="K246" s="100"/>
    </row>
    <row r="247" spans="1:11" s="44" customFormat="1" ht="16.5" customHeight="1">
      <c r="A247" s="118" t="s">
        <v>300</v>
      </c>
      <c r="B247" s="119" t="s">
        <v>299</v>
      </c>
      <c r="C247" s="119">
        <f t="shared" ref="C247:I247" si="33">SUM(C248:C261)</f>
        <v>162</v>
      </c>
      <c r="D247" s="120">
        <f t="shared" si="33"/>
        <v>1789.8588103899999</v>
      </c>
      <c r="E247" s="119">
        <f t="shared" si="33"/>
        <v>69</v>
      </c>
      <c r="F247" s="120">
        <f>SUM(F248:F261)</f>
        <v>404.5172713105469</v>
      </c>
      <c r="G247" s="119">
        <f t="shared" si="33"/>
        <v>112</v>
      </c>
      <c r="H247" s="120">
        <f>SUM(H248:H261)</f>
        <v>65.587209189999996</v>
      </c>
      <c r="I247" s="184">
        <f t="shared" si="33"/>
        <v>2259.9632908905478</v>
      </c>
      <c r="J247" s="120">
        <v>1901.1981940600001</v>
      </c>
      <c r="K247" s="143">
        <f t="shared" ref="K247" si="34">I247/J247*100</f>
        <v>118.87047326004483</v>
      </c>
    </row>
    <row r="248" spans="1:11" s="36" customFormat="1" ht="16.5" customHeight="1">
      <c r="A248" s="46">
        <v>1</v>
      </c>
      <c r="B248" s="112" t="s">
        <v>179</v>
      </c>
      <c r="C248" s="113">
        <f t="shared" ref="C248:C259" si="35">VLOOKUP(B248,$B$149:$K$204,2,FALSE)</f>
        <v>15</v>
      </c>
      <c r="D248" s="114">
        <f t="shared" ref="D248:D261" si="36">VLOOKUP(B248,$B$149:$K$204,3,FALSE)</f>
        <v>1039.933632</v>
      </c>
      <c r="E248" s="113">
        <f t="shared" ref="E248:E261" si="37">VLOOKUP(B248,$B$149:$K$204,4,FALSE)</f>
        <v>8</v>
      </c>
      <c r="F248" s="114">
        <f t="shared" ref="F248:F261" si="38">VLOOKUP(B248,$B$149:$K$204,5,FALSE)</f>
        <v>251.66996</v>
      </c>
      <c r="G248" s="113">
        <f t="shared" ref="G248:G261" si="39">VLOOKUP(B248,$B$149:$K$204,6,FALSE)</f>
        <v>2</v>
      </c>
      <c r="H248" s="114">
        <f t="shared" ref="H248:H261" si="40">VLOOKUP(B248,$B$149:$K$204,7,FALSE)</f>
        <v>5.1837758699999998</v>
      </c>
      <c r="I248" s="183">
        <f t="shared" ref="I248:I261" si="41">D248+F248+H248</f>
        <v>1296.78736787</v>
      </c>
      <c r="J248" s="114">
        <v>883.0367795599999</v>
      </c>
      <c r="K248" s="100">
        <f t="shared" ref="K248:K259" si="42">I248/J248*100</f>
        <v>146.85541960281247</v>
      </c>
    </row>
    <row r="249" spans="1:11" s="36" customFormat="1" ht="16.5" customHeight="1">
      <c r="A249" s="46">
        <v>2</v>
      </c>
      <c r="B249" s="113" t="s">
        <v>158</v>
      </c>
      <c r="C249" s="113">
        <f t="shared" si="35"/>
        <v>17</v>
      </c>
      <c r="D249" s="114">
        <f t="shared" si="36"/>
        <v>235.39640299999999</v>
      </c>
      <c r="E249" s="113">
        <f t="shared" si="37"/>
        <v>2</v>
      </c>
      <c r="F249" s="114">
        <f t="shared" si="38"/>
        <v>47.1</v>
      </c>
      <c r="G249" s="113">
        <f t="shared" si="39"/>
        <v>8</v>
      </c>
      <c r="H249" s="114">
        <f t="shared" si="40"/>
        <v>9.3754574600000016</v>
      </c>
      <c r="I249" s="183">
        <f t="shared" si="41"/>
        <v>291.87186045999999</v>
      </c>
      <c r="J249" s="114">
        <v>97.507759379999996</v>
      </c>
      <c r="K249" s="100">
        <f t="shared" si="42"/>
        <v>299.33193246963936</v>
      </c>
    </row>
    <row r="250" spans="1:11" s="36" customFormat="1" ht="16.5" customHeight="1">
      <c r="A250" s="46">
        <v>3</v>
      </c>
      <c r="B250" s="113" t="s">
        <v>164</v>
      </c>
      <c r="C250" s="113">
        <f t="shared" si="35"/>
        <v>5</v>
      </c>
      <c r="D250" s="114">
        <f t="shared" si="36"/>
        <v>178.8</v>
      </c>
      <c r="E250" s="113">
        <f t="shared" si="37"/>
        <v>7</v>
      </c>
      <c r="F250" s="114">
        <f t="shared" si="38"/>
        <v>33.292332000000002</v>
      </c>
      <c r="G250" s="113">
        <f t="shared" si="39"/>
        <v>0</v>
      </c>
      <c r="H250" s="114">
        <f t="shared" si="40"/>
        <v>0</v>
      </c>
      <c r="I250" s="183">
        <f t="shared" si="41"/>
        <v>212.092332</v>
      </c>
      <c r="J250" s="114">
        <v>80.92365427</v>
      </c>
      <c r="K250" s="100">
        <f t="shared" si="42"/>
        <v>262.08941490995767</v>
      </c>
    </row>
    <row r="251" spans="1:11" s="36" customFormat="1" ht="16.5" customHeight="1">
      <c r="A251" s="46">
        <v>4</v>
      </c>
      <c r="B251" s="113" t="s">
        <v>160</v>
      </c>
      <c r="C251" s="113">
        <f t="shared" si="35"/>
        <v>97</v>
      </c>
      <c r="D251" s="114">
        <f t="shared" si="36"/>
        <v>150.05410255999999</v>
      </c>
      <c r="E251" s="113">
        <f t="shared" si="37"/>
        <v>40</v>
      </c>
      <c r="F251" s="114">
        <f t="shared" si="38"/>
        <v>20.077479310546874</v>
      </c>
      <c r="G251" s="113">
        <f t="shared" si="39"/>
        <v>37</v>
      </c>
      <c r="H251" s="114">
        <f t="shared" si="40"/>
        <v>10.666547449999999</v>
      </c>
      <c r="I251" s="183">
        <f t="shared" si="41"/>
        <v>180.79812932054685</v>
      </c>
      <c r="J251" s="114">
        <v>133.36360622000001</v>
      </c>
      <c r="K251" s="100">
        <f t="shared" si="42"/>
        <v>135.56781677176429</v>
      </c>
    </row>
    <row r="252" spans="1:11" s="36" customFormat="1" ht="16.5" customHeight="1">
      <c r="A252" s="46">
        <v>5</v>
      </c>
      <c r="B252" s="113" t="s">
        <v>190</v>
      </c>
      <c r="C252" s="113">
        <f t="shared" si="35"/>
        <v>4</v>
      </c>
      <c r="D252" s="114">
        <f t="shared" si="36"/>
        <v>73.746343999999993</v>
      </c>
      <c r="E252" s="113">
        <f t="shared" si="37"/>
        <v>0</v>
      </c>
      <c r="F252" s="114">
        <f t="shared" si="38"/>
        <v>0</v>
      </c>
      <c r="G252" s="113">
        <f t="shared" si="39"/>
        <v>0</v>
      </c>
      <c r="H252" s="114">
        <f t="shared" si="40"/>
        <v>0</v>
      </c>
      <c r="I252" s="183">
        <f t="shared" si="41"/>
        <v>73.746343999999993</v>
      </c>
      <c r="J252" s="114">
        <v>276.12803624999998</v>
      </c>
      <c r="K252" s="100">
        <f t="shared" si="42"/>
        <v>26.707300352953567</v>
      </c>
    </row>
    <row r="253" spans="1:11" s="36" customFormat="1" ht="16.5" customHeight="1">
      <c r="A253" s="46">
        <v>6</v>
      </c>
      <c r="B253" s="113" t="s">
        <v>178</v>
      </c>
      <c r="C253" s="113">
        <f t="shared" si="35"/>
        <v>6</v>
      </c>
      <c r="D253" s="114">
        <f t="shared" si="36"/>
        <v>46.201351000000003</v>
      </c>
      <c r="E253" s="113">
        <f t="shared" si="37"/>
        <v>4</v>
      </c>
      <c r="F253" s="114">
        <f t="shared" si="38"/>
        <v>2.7449080000000001</v>
      </c>
      <c r="G253" s="113">
        <f t="shared" si="39"/>
        <v>3</v>
      </c>
      <c r="H253" s="114">
        <f t="shared" si="40"/>
        <v>21.346955999999999</v>
      </c>
      <c r="I253" s="183">
        <f t="shared" si="41"/>
        <v>70.293215000000004</v>
      </c>
      <c r="J253" s="114">
        <v>30.37654925</v>
      </c>
      <c r="K253" s="100">
        <f t="shared" si="42"/>
        <v>231.40618910161433</v>
      </c>
    </row>
    <row r="254" spans="1:11" s="36" customFormat="1" ht="16.5" customHeight="1">
      <c r="A254" s="46">
        <v>7</v>
      </c>
      <c r="B254" s="113" t="s">
        <v>185</v>
      </c>
      <c r="C254" s="113">
        <f t="shared" si="35"/>
        <v>3</v>
      </c>
      <c r="D254" s="114">
        <f t="shared" si="36"/>
        <v>1.2206399999999999</v>
      </c>
      <c r="E254" s="113">
        <f t="shared" si="37"/>
        <v>3</v>
      </c>
      <c r="F254" s="114">
        <f t="shared" si="38"/>
        <v>41.513376000000001</v>
      </c>
      <c r="G254" s="113">
        <f t="shared" si="39"/>
        <v>32</v>
      </c>
      <c r="H254" s="114">
        <f t="shared" si="40"/>
        <v>1.9809693099999999</v>
      </c>
      <c r="I254" s="183">
        <f t="shared" si="41"/>
        <v>44.714985310000003</v>
      </c>
      <c r="J254" s="114">
        <v>8.6761918900000001</v>
      </c>
      <c r="K254" s="100">
        <f t="shared" si="42"/>
        <v>515.37570718713096</v>
      </c>
    </row>
    <row r="255" spans="1:11" s="36" customFormat="1" ht="16.5" customHeight="1">
      <c r="A255" s="46">
        <v>8</v>
      </c>
      <c r="B255" s="113" t="s">
        <v>180</v>
      </c>
      <c r="C255" s="113">
        <f t="shared" si="35"/>
        <v>5</v>
      </c>
      <c r="D255" s="114">
        <f t="shared" si="36"/>
        <v>36.786000000000001</v>
      </c>
      <c r="E255" s="113">
        <f t="shared" si="37"/>
        <v>1</v>
      </c>
      <c r="F255" s="114">
        <f t="shared" si="38"/>
        <v>-2.3820000000000001</v>
      </c>
      <c r="G255" s="113">
        <f t="shared" si="39"/>
        <v>7</v>
      </c>
      <c r="H255" s="114">
        <f t="shared" si="40"/>
        <v>0.229572</v>
      </c>
      <c r="I255" s="183">
        <f t="shared" si="41"/>
        <v>34.633572000000001</v>
      </c>
      <c r="J255" s="114">
        <v>197.42200100000002</v>
      </c>
      <c r="K255" s="100">
        <f t="shared" si="42"/>
        <v>17.542914074708417</v>
      </c>
    </row>
    <row r="256" spans="1:11" s="36" customFormat="1" ht="16.5" customHeight="1">
      <c r="A256" s="46">
        <v>9</v>
      </c>
      <c r="B256" s="115" t="s">
        <v>174</v>
      </c>
      <c r="C256" s="113">
        <f t="shared" si="35"/>
        <v>3</v>
      </c>
      <c r="D256" s="114">
        <f t="shared" si="36"/>
        <v>16.636565000000001</v>
      </c>
      <c r="E256" s="113">
        <f t="shared" si="37"/>
        <v>0</v>
      </c>
      <c r="F256" s="114">
        <f t="shared" si="38"/>
        <v>0</v>
      </c>
      <c r="G256" s="113">
        <f t="shared" si="39"/>
        <v>5</v>
      </c>
      <c r="H256" s="114">
        <f t="shared" si="40"/>
        <v>10.99177235</v>
      </c>
      <c r="I256" s="183">
        <f t="shared" si="41"/>
        <v>27.628337350000002</v>
      </c>
      <c r="J256" s="114">
        <v>87.434496670000001</v>
      </c>
      <c r="K256" s="100">
        <f t="shared" si="42"/>
        <v>31.598897920435643</v>
      </c>
    </row>
    <row r="257" spans="1:11" s="36" customFormat="1" ht="16.5" customHeight="1">
      <c r="A257" s="46">
        <v>10</v>
      </c>
      <c r="B257" s="112" t="s">
        <v>173</v>
      </c>
      <c r="C257" s="113">
        <f t="shared" si="35"/>
        <v>2</v>
      </c>
      <c r="D257" s="114">
        <f t="shared" si="36"/>
        <v>6.6</v>
      </c>
      <c r="E257" s="113">
        <f t="shared" si="37"/>
        <v>2</v>
      </c>
      <c r="F257" s="114">
        <f t="shared" si="38"/>
        <v>5.37</v>
      </c>
      <c r="G257" s="113">
        <f t="shared" si="39"/>
        <v>6</v>
      </c>
      <c r="H257" s="114">
        <f t="shared" si="40"/>
        <v>0.97806705999999999</v>
      </c>
      <c r="I257" s="183">
        <f t="shared" si="41"/>
        <v>12.94806706</v>
      </c>
      <c r="J257" s="114">
        <v>24.78853402</v>
      </c>
      <c r="K257" s="100">
        <f t="shared" si="42"/>
        <v>52.234097625753826</v>
      </c>
    </row>
    <row r="258" spans="1:11" s="36" customFormat="1" ht="16.5" customHeight="1">
      <c r="A258" s="46">
        <v>11</v>
      </c>
      <c r="B258" s="113" t="s">
        <v>166</v>
      </c>
      <c r="C258" s="113">
        <f t="shared" si="35"/>
        <v>1</v>
      </c>
      <c r="D258" s="114">
        <f t="shared" si="36"/>
        <v>0.7</v>
      </c>
      <c r="E258" s="113">
        <f t="shared" si="37"/>
        <v>1</v>
      </c>
      <c r="F258" s="114">
        <f t="shared" si="38"/>
        <v>4.8312160000000004</v>
      </c>
      <c r="G258" s="113">
        <f t="shared" si="39"/>
        <v>10</v>
      </c>
      <c r="H258" s="114">
        <f t="shared" si="40"/>
        <v>3.7970856299999998</v>
      </c>
      <c r="I258" s="183">
        <f t="shared" si="41"/>
        <v>9.3283016300000003</v>
      </c>
      <c r="J258" s="114">
        <v>79.245652429999993</v>
      </c>
      <c r="K258" s="100">
        <f t="shared" si="42"/>
        <v>11.771373373750645</v>
      </c>
    </row>
    <row r="259" spans="1:11" s="36" customFormat="1" ht="16.5" customHeight="1">
      <c r="A259" s="46">
        <v>12</v>
      </c>
      <c r="B259" s="113" t="s">
        <v>194</v>
      </c>
      <c r="C259" s="113">
        <f t="shared" si="35"/>
        <v>3</v>
      </c>
      <c r="D259" s="114">
        <f t="shared" si="36"/>
        <v>3.7327089999999998</v>
      </c>
      <c r="E259" s="113">
        <f t="shared" si="37"/>
        <v>0</v>
      </c>
      <c r="F259" s="114">
        <f t="shared" si="38"/>
        <v>0</v>
      </c>
      <c r="G259" s="113">
        <f t="shared" si="39"/>
        <v>1</v>
      </c>
      <c r="H259" s="114">
        <f t="shared" si="40"/>
        <v>0.20907379999999998</v>
      </c>
      <c r="I259" s="183">
        <f t="shared" si="41"/>
        <v>3.9417827999999999</v>
      </c>
      <c r="J259" s="114">
        <v>1.82677172</v>
      </c>
      <c r="K259" s="100">
        <f t="shared" si="42"/>
        <v>215.77861956391575</v>
      </c>
    </row>
    <row r="260" spans="1:11" s="36" customFormat="1" ht="16.5" customHeight="1">
      <c r="A260" s="46">
        <v>13</v>
      </c>
      <c r="B260" s="113" t="s">
        <v>261</v>
      </c>
      <c r="C260" s="113"/>
      <c r="D260" s="114">
        <f t="shared" si="36"/>
        <v>0</v>
      </c>
      <c r="E260" s="113">
        <f t="shared" si="37"/>
        <v>0</v>
      </c>
      <c r="F260" s="114">
        <f t="shared" si="38"/>
        <v>0</v>
      </c>
      <c r="G260" s="113">
        <f t="shared" si="39"/>
        <v>1</v>
      </c>
      <c r="H260" s="114">
        <f t="shared" si="40"/>
        <v>0.82793225999999998</v>
      </c>
      <c r="I260" s="183">
        <f t="shared" si="41"/>
        <v>0.82793225999999998</v>
      </c>
      <c r="J260" s="114"/>
      <c r="K260" s="100"/>
    </row>
    <row r="261" spans="1:11" s="36" customFormat="1" ht="16.5" customHeight="1">
      <c r="A261" s="116">
        <v>14</v>
      </c>
      <c r="B261" s="122" t="s">
        <v>264</v>
      </c>
      <c r="C261" s="113">
        <f>VLOOKUP(B261,$B$149:$K$204,2,FALSE)</f>
        <v>1</v>
      </c>
      <c r="D261" s="114">
        <f t="shared" si="36"/>
        <v>5.1063830000000004E-2</v>
      </c>
      <c r="E261" s="113">
        <f t="shared" si="37"/>
        <v>1</v>
      </c>
      <c r="F261" s="114">
        <f t="shared" si="38"/>
        <v>0.3</v>
      </c>
      <c r="G261" s="113">
        <f t="shared" si="39"/>
        <v>0</v>
      </c>
      <c r="H261" s="114">
        <f t="shared" si="40"/>
        <v>0</v>
      </c>
      <c r="I261" s="183">
        <f t="shared" si="41"/>
        <v>0.35106382999999997</v>
      </c>
      <c r="J261" s="114">
        <v>0.46816140000000001</v>
      </c>
      <c r="K261" s="100">
        <f>I261/J261*100</f>
        <v>74.98777771939335</v>
      </c>
    </row>
    <row r="262" spans="1:11" s="44" customFormat="1" ht="16.5" customHeight="1">
      <c r="A262" s="118" t="s">
        <v>302</v>
      </c>
      <c r="B262" s="119" t="s">
        <v>305</v>
      </c>
      <c r="C262" s="119">
        <f>SUM(C263:C275)</f>
        <v>120</v>
      </c>
      <c r="D262" s="120">
        <f t="shared" ref="D262" si="43">SUM(D263:E275)</f>
        <v>804.64007296999978</v>
      </c>
      <c r="E262" s="119">
        <f t="shared" ref="E262:J262" si="44">SUM(E263:E275)</f>
        <v>88</v>
      </c>
      <c r="F262" s="120">
        <f t="shared" si="44"/>
        <v>212.21181341015625</v>
      </c>
      <c r="G262" s="119">
        <f t="shared" si="44"/>
        <v>76</v>
      </c>
      <c r="H262" s="120">
        <f t="shared" si="44"/>
        <v>62.332704419999992</v>
      </c>
      <c r="I262" s="184">
        <f t="shared" si="44"/>
        <v>991.18459080015612</v>
      </c>
      <c r="J262" s="120">
        <v>1261.812640544375</v>
      </c>
      <c r="K262" s="147">
        <f t="shared" ref="K262" si="45">I262/J262*100</f>
        <v>78.552437893833144</v>
      </c>
    </row>
    <row r="263" spans="1:11" s="36" customFormat="1" ht="16.5" customHeight="1">
      <c r="A263" s="46">
        <v>1</v>
      </c>
      <c r="B263" s="113" t="s">
        <v>157</v>
      </c>
      <c r="C263" s="113">
        <f t="shared" ref="C263:C274" si="46">VLOOKUP(B263,$B$149:$K$204,2,FALSE)</f>
        <v>104</v>
      </c>
      <c r="D263" s="114">
        <f t="shared" ref="D263:D274" si="47">VLOOKUP(B263,$B$149:$K$204,3,FALSE)</f>
        <v>583.31708235999986</v>
      </c>
      <c r="E263" s="113">
        <f t="shared" ref="E263:E275" si="48">VLOOKUP(B263,$B$149:$K$204,4,FALSE)</f>
        <v>71</v>
      </c>
      <c r="F263" s="114">
        <f t="shared" ref="F263:F275" si="49">VLOOKUP(B263,$B$149:$K$204,5,FALSE)</f>
        <v>110.11881466015625</v>
      </c>
      <c r="G263" s="113">
        <f t="shared" ref="G263:G275" si="50">VLOOKUP(B263,$B$149:$K$204,6,FALSE)</f>
        <v>37</v>
      </c>
      <c r="H263" s="114">
        <f t="shared" ref="H263:H275" si="51">VLOOKUP(B263,$B$149:$K$204,7,FALSE)</f>
        <v>33.710340599999995</v>
      </c>
      <c r="I263" s="183">
        <f t="shared" ref="I263:I275" si="52">D263+F263+H263</f>
        <v>727.14623762015606</v>
      </c>
      <c r="J263" s="114">
        <v>801.55463725578136</v>
      </c>
      <c r="K263" s="100">
        <f t="shared" ref="K263:K270" si="53">I263/J263*100</f>
        <v>90.716989687643576</v>
      </c>
    </row>
    <row r="264" spans="1:11" s="36" customFormat="1" ht="16.5" customHeight="1">
      <c r="A264" s="46">
        <v>2</v>
      </c>
      <c r="B264" s="113" t="s">
        <v>191</v>
      </c>
      <c r="C264" s="113">
        <f t="shared" si="46"/>
        <v>1</v>
      </c>
      <c r="D264" s="114">
        <f t="shared" si="47"/>
        <v>90.756311999999994</v>
      </c>
      <c r="E264" s="113">
        <f t="shared" si="48"/>
        <v>1</v>
      </c>
      <c r="F264" s="114">
        <f t="shared" si="49"/>
        <v>0.5</v>
      </c>
      <c r="G264" s="113">
        <f t="shared" si="50"/>
        <v>0</v>
      </c>
      <c r="H264" s="114">
        <f t="shared" si="51"/>
        <v>0</v>
      </c>
      <c r="I264" s="183">
        <f t="shared" si="52"/>
        <v>91.256311999999994</v>
      </c>
      <c r="J264" s="114">
        <v>96.375517299999998</v>
      </c>
      <c r="K264" s="100">
        <f t="shared" si="53"/>
        <v>94.688272038981822</v>
      </c>
    </row>
    <row r="265" spans="1:11" s="36" customFormat="1" ht="16.5" customHeight="1">
      <c r="A265" s="46">
        <v>3</v>
      </c>
      <c r="B265" s="113" t="s">
        <v>196</v>
      </c>
      <c r="C265" s="113">
        <f t="shared" si="46"/>
        <v>3</v>
      </c>
      <c r="D265" s="114">
        <f t="shared" si="47"/>
        <v>0.6353916799999999</v>
      </c>
      <c r="E265" s="113">
        <f t="shared" si="48"/>
        <v>4</v>
      </c>
      <c r="F265" s="114">
        <f t="shared" si="49"/>
        <v>47.812963000000003</v>
      </c>
      <c r="G265" s="113">
        <f t="shared" si="50"/>
        <v>5</v>
      </c>
      <c r="H265" s="114">
        <f t="shared" si="51"/>
        <v>2.78802379</v>
      </c>
      <c r="I265" s="183">
        <f t="shared" si="52"/>
        <v>51.236378469999998</v>
      </c>
      <c r="J265" s="114">
        <v>183.86016471000002</v>
      </c>
      <c r="K265" s="100">
        <f t="shared" si="53"/>
        <v>27.867036098229541</v>
      </c>
    </row>
    <row r="266" spans="1:11" s="36" customFormat="1" ht="16.5" customHeight="1">
      <c r="A266" s="46">
        <v>4</v>
      </c>
      <c r="B266" s="113" t="s">
        <v>171</v>
      </c>
      <c r="C266" s="113">
        <f t="shared" si="46"/>
        <v>2</v>
      </c>
      <c r="D266" s="114">
        <f t="shared" si="47"/>
        <v>15.809953800000001</v>
      </c>
      <c r="E266" s="113">
        <f t="shared" si="48"/>
        <v>7</v>
      </c>
      <c r="F266" s="114">
        <f t="shared" si="49"/>
        <v>32.522619749999997</v>
      </c>
      <c r="G266" s="113">
        <f t="shared" si="50"/>
        <v>1</v>
      </c>
      <c r="H266" s="114">
        <f t="shared" si="51"/>
        <v>0.28000000000000003</v>
      </c>
      <c r="I266" s="183">
        <f t="shared" si="52"/>
        <v>48.61257355</v>
      </c>
      <c r="J266" s="114">
        <v>159.25365298859373</v>
      </c>
      <c r="K266" s="100">
        <f t="shared" si="53"/>
        <v>30.525248644363462</v>
      </c>
    </row>
    <row r="267" spans="1:11" s="36" customFormat="1" ht="16.5" customHeight="1">
      <c r="A267" s="46">
        <v>5</v>
      </c>
      <c r="B267" s="113" t="s">
        <v>172</v>
      </c>
      <c r="C267" s="113">
        <f t="shared" si="46"/>
        <v>3</v>
      </c>
      <c r="D267" s="114">
        <f t="shared" si="47"/>
        <v>13.172822</v>
      </c>
      <c r="E267" s="113">
        <f t="shared" si="48"/>
        <v>3</v>
      </c>
      <c r="F267" s="114">
        <f t="shared" si="49"/>
        <v>20.204751999999999</v>
      </c>
      <c r="G267" s="113">
        <f t="shared" si="50"/>
        <v>2</v>
      </c>
      <c r="H267" s="114">
        <f t="shared" si="51"/>
        <v>9.6236940000000007E-2</v>
      </c>
      <c r="I267" s="183">
        <f t="shared" si="52"/>
        <v>33.473810939999993</v>
      </c>
      <c r="J267" s="114">
        <v>48.715094000000001</v>
      </c>
      <c r="K267" s="100">
        <f t="shared" si="53"/>
        <v>68.713427793036772</v>
      </c>
    </row>
    <row r="268" spans="1:11" s="36" customFormat="1" ht="16.5" customHeight="1">
      <c r="A268" s="46">
        <v>6</v>
      </c>
      <c r="B268" s="113" t="s">
        <v>170</v>
      </c>
      <c r="C268" s="113">
        <f t="shared" si="46"/>
        <v>2</v>
      </c>
      <c r="D268" s="114">
        <f t="shared" si="47"/>
        <v>6.3089680000000001</v>
      </c>
      <c r="E268" s="113">
        <f t="shared" si="48"/>
        <v>0</v>
      </c>
      <c r="F268" s="114">
        <f t="shared" si="49"/>
        <v>0</v>
      </c>
      <c r="G268" s="113">
        <f t="shared" si="50"/>
        <v>7</v>
      </c>
      <c r="H268" s="114">
        <f t="shared" si="51"/>
        <v>11.088317979999999</v>
      </c>
      <c r="I268" s="183">
        <f t="shared" si="52"/>
        <v>17.397285979999999</v>
      </c>
      <c r="J268" s="114">
        <v>3.030078</v>
      </c>
      <c r="K268" s="100">
        <f t="shared" si="53"/>
        <v>574.15307394727131</v>
      </c>
    </row>
    <row r="269" spans="1:11" s="36" customFormat="1" ht="16.5" customHeight="1">
      <c r="A269" s="46">
        <v>7</v>
      </c>
      <c r="B269" s="113" t="s">
        <v>192</v>
      </c>
      <c r="C269" s="113">
        <f t="shared" si="46"/>
        <v>2</v>
      </c>
      <c r="D269" s="114">
        <f t="shared" si="47"/>
        <v>5.2858690199999998</v>
      </c>
      <c r="E269" s="113">
        <f t="shared" si="48"/>
        <v>1</v>
      </c>
      <c r="F269" s="114">
        <f t="shared" si="49"/>
        <v>5.2664000000000002E-2</v>
      </c>
      <c r="G269" s="113">
        <f t="shared" si="50"/>
        <v>4</v>
      </c>
      <c r="H269" s="114">
        <f t="shared" si="51"/>
        <v>3.84536414</v>
      </c>
      <c r="I269" s="183">
        <f t="shared" si="52"/>
        <v>9.1838971600000008</v>
      </c>
      <c r="J269" s="114">
        <v>2.8634010000000001</v>
      </c>
      <c r="K269" s="100">
        <f t="shared" si="53"/>
        <v>320.73388114343749</v>
      </c>
    </row>
    <row r="270" spans="1:11" s="36" customFormat="1" ht="16.5" customHeight="1">
      <c r="A270" s="46">
        <v>8</v>
      </c>
      <c r="B270" s="112" t="s">
        <v>188</v>
      </c>
      <c r="C270" s="113">
        <f t="shared" si="46"/>
        <v>0</v>
      </c>
      <c r="D270" s="114">
        <f t="shared" si="47"/>
        <v>0</v>
      </c>
      <c r="E270" s="113">
        <f t="shared" si="48"/>
        <v>0</v>
      </c>
      <c r="F270" s="114">
        <f t="shared" si="49"/>
        <v>0</v>
      </c>
      <c r="G270" s="113">
        <f t="shared" si="50"/>
        <v>2</v>
      </c>
      <c r="H270" s="114">
        <f t="shared" si="51"/>
        <v>7.3177562199999997</v>
      </c>
      <c r="I270" s="183">
        <f t="shared" si="52"/>
        <v>7.3177562199999997</v>
      </c>
      <c r="J270" s="114">
        <v>24.636920530000001</v>
      </c>
      <c r="K270" s="100">
        <f t="shared" si="53"/>
        <v>29.702398118666167</v>
      </c>
    </row>
    <row r="271" spans="1:11" s="36" customFormat="1" ht="16.5" customHeight="1">
      <c r="A271" s="46">
        <v>9</v>
      </c>
      <c r="B271" s="113" t="s">
        <v>181</v>
      </c>
      <c r="C271" s="113">
        <f t="shared" si="46"/>
        <v>1</v>
      </c>
      <c r="D271" s="114">
        <f t="shared" si="47"/>
        <v>0.17152700000000001</v>
      </c>
      <c r="E271" s="113">
        <f t="shared" si="48"/>
        <v>0</v>
      </c>
      <c r="F271" s="114">
        <f t="shared" si="49"/>
        <v>0</v>
      </c>
      <c r="G271" s="113">
        <f t="shared" si="50"/>
        <v>12</v>
      </c>
      <c r="H271" s="114">
        <f t="shared" si="51"/>
        <v>2.4722209300000002</v>
      </c>
      <c r="I271" s="183">
        <f t="shared" si="52"/>
        <v>2.6437479300000004</v>
      </c>
      <c r="J271" s="114">
        <v>2.0335796400000001</v>
      </c>
      <c r="K271" s="100">
        <f t="shared" ref="K271:K275" si="54">I271/J271*100</f>
        <v>130.00464196228873</v>
      </c>
    </row>
    <row r="272" spans="1:11" s="36" customFormat="1" ht="16.5" customHeight="1">
      <c r="A272" s="46">
        <v>10</v>
      </c>
      <c r="B272" s="113" t="s">
        <v>199</v>
      </c>
      <c r="C272" s="113">
        <f t="shared" si="46"/>
        <v>1</v>
      </c>
      <c r="D272" s="114">
        <f t="shared" si="47"/>
        <v>0.15</v>
      </c>
      <c r="E272" s="113">
        <f t="shared" si="48"/>
        <v>1</v>
      </c>
      <c r="F272" s="114">
        <f t="shared" si="49"/>
        <v>1</v>
      </c>
      <c r="G272" s="113">
        <f t="shared" si="50"/>
        <v>1</v>
      </c>
      <c r="H272" s="114">
        <f t="shared" si="51"/>
        <v>0.20532464</v>
      </c>
      <c r="I272" s="183">
        <f t="shared" si="52"/>
        <v>1.3553246399999999</v>
      </c>
      <c r="J272" s="114">
        <v>0.14466172999999999</v>
      </c>
      <c r="K272" s="100">
        <f t="shared" si="54"/>
        <v>936.89232114118909</v>
      </c>
    </row>
    <row r="273" spans="1:11" s="36" customFormat="1" ht="16.5" customHeight="1">
      <c r="A273" s="46">
        <v>11</v>
      </c>
      <c r="B273" s="113" t="s">
        <v>186</v>
      </c>
      <c r="C273" s="113">
        <f t="shared" si="46"/>
        <v>1</v>
      </c>
      <c r="D273" s="114">
        <f t="shared" si="47"/>
        <v>1.0321471099999999</v>
      </c>
      <c r="E273" s="113">
        <f t="shared" si="48"/>
        <v>0</v>
      </c>
      <c r="F273" s="114">
        <f t="shared" si="49"/>
        <v>0</v>
      </c>
      <c r="G273" s="113">
        <f t="shared" si="50"/>
        <v>2</v>
      </c>
      <c r="H273" s="114">
        <f t="shared" si="51"/>
        <v>4.2844499999999995E-3</v>
      </c>
      <c r="I273" s="183">
        <f t="shared" si="52"/>
        <v>1.03643156</v>
      </c>
      <c r="J273" s="114">
        <v>0.29005339000000002</v>
      </c>
      <c r="K273" s="100">
        <f t="shared" si="54"/>
        <v>357.32440844769991</v>
      </c>
    </row>
    <row r="274" spans="1:11" s="36" customFormat="1" ht="16.5" customHeight="1">
      <c r="A274" s="46">
        <v>12</v>
      </c>
      <c r="B274" s="113" t="s">
        <v>183</v>
      </c>
      <c r="C274" s="113">
        <f t="shared" si="46"/>
        <v>0</v>
      </c>
      <c r="D274" s="114">
        <f t="shared" si="47"/>
        <v>0</v>
      </c>
      <c r="E274" s="113">
        <f t="shared" si="48"/>
        <v>0</v>
      </c>
      <c r="F274" s="114">
        <f t="shared" si="49"/>
        <v>0</v>
      </c>
      <c r="G274" s="113">
        <f t="shared" si="50"/>
        <v>2</v>
      </c>
      <c r="H274" s="114">
        <f t="shared" si="51"/>
        <v>0.47383472999999998</v>
      </c>
      <c r="I274" s="183">
        <f t="shared" si="52"/>
        <v>0.47383472999999998</v>
      </c>
      <c r="J274" s="114">
        <v>0</v>
      </c>
      <c r="K274" s="100"/>
    </row>
    <row r="275" spans="1:11" s="36" customFormat="1" ht="16.5" customHeight="1">
      <c r="A275" s="46">
        <v>13</v>
      </c>
      <c r="B275" s="112" t="s">
        <v>146</v>
      </c>
      <c r="C275" s="113"/>
      <c r="D275" s="114"/>
      <c r="E275" s="113">
        <f t="shared" si="48"/>
        <v>0</v>
      </c>
      <c r="F275" s="114">
        <f t="shared" si="49"/>
        <v>0</v>
      </c>
      <c r="G275" s="113">
        <f t="shared" si="50"/>
        <v>1</v>
      </c>
      <c r="H275" s="114">
        <f t="shared" si="51"/>
        <v>5.0999999999999997E-2</v>
      </c>
      <c r="I275" s="183">
        <f t="shared" si="52"/>
        <v>5.0999999999999997E-2</v>
      </c>
      <c r="J275" s="114">
        <v>-60.945119999999996</v>
      </c>
      <c r="K275" s="100">
        <f t="shared" si="54"/>
        <v>-8.3681843599618805E-2</v>
      </c>
    </row>
    <row r="276" spans="1:11" s="44" customFormat="1" ht="16.5" customHeight="1">
      <c r="A276" s="118" t="s">
        <v>304</v>
      </c>
      <c r="B276" s="119" t="s">
        <v>301</v>
      </c>
      <c r="C276" s="119">
        <f t="shared" ref="C276:I276" si="55">SUM(C277:C281)</f>
        <v>4</v>
      </c>
      <c r="D276" s="120">
        <f t="shared" si="55"/>
        <v>45.734783</v>
      </c>
      <c r="E276" s="119">
        <f t="shared" si="55"/>
        <v>4</v>
      </c>
      <c r="F276" s="120">
        <f>SUM(F277:F281)</f>
        <v>11.926791</v>
      </c>
      <c r="G276" s="119">
        <f t="shared" si="55"/>
        <v>24</v>
      </c>
      <c r="H276" s="120">
        <f>SUM(H277:H281)</f>
        <v>16.71314589</v>
      </c>
      <c r="I276" s="184">
        <f t="shared" si="55"/>
        <v>74.374719890000009</v>
      </c>
      <c r="J276" s="120">
        <v>-1.067984432500001</v>
      </c>
      <c r="K276" s="147">
        <f t="shared" ref="K276" si="56">I276/J276*100</f>
        <v>-6964.0265931497961</v>
      </c>
    </row>
    <row r="277" spans="1:11" s="36" customFormat="1" ht="16.5" customHeight="1">
      <c r="A277" s="46">
        <v>1</v>
      </c>
      <c r="B277" s="113" t="s">
        <v>184</v>
      </c>
      <c r="C277" s="113">
        <f>VLOOKUP(B277,$B$149:$K$204,2,FALSE)</f>
        <v>2</v>
      </c>
      <c r="D277" s="114">
        <f>VLOOKUP(B277,$B$149:$K$204,3,FALSE)</f>
        <v>44.313256000000003</v>
      </c>
      <c r="E277" s="113">
        <f>VLOOKUP(B277,$B$149:$K$204,4,FALSE)</f>
        <v>2</v>
      </c>
      <c r="F277" s="114">
        <f>VLOOKUP(B277,$B$149:$K$204,5,FALSE)</f>
        <v>10.892794</v>
      </c>
      <c r="G277" s="113">
        <f>VLOOKUP(B277,$B$149:$K$204,6,FALSE)</f>
        <v>8</v>
      </c>
      <c r="H277" s="114">
        <f>VLOOKUP(B277,$B$149:$K$204,7,FALSE)</f>
        <v>3.955063</v>
      </c>
      <c r="I277" s="183">
        <f>D277+F277+H277</f>
        <v>59.161113000000007</v>
      </c>
      <c r="J277" s="114">
        <v>5.1819642699999999</v>
      </c>
      <c r="K277" s="100">
        <f>I277/J277*100</f>
        <v>1141.6735028935275</v>
      </c>
    </row>
    <row r="278" spans="1:11" s="36" customFormat="1" ht="16.5" customHeight="1">
      <c r="A278" s="46">
        <v>2</v>
      </c>
      <c r="B278" s="113" t="s">
        <v>182</v>
      </c>
      <c r="C278" s="113">
        <f>VLOOKUP(B278,$B$149:$K$204,2,FALSE)</f>
        <v>2</v>
      </c>
      <c r="D278" s="114">
        <f>VLOOKUP(B278,$B$149:$K$204,3,FALSE)</f>
        <v>1.421527</v>
      </c>
      <c r="E278" s="113">
        <f>VLOOKUP(B278,$B$149:$K$204,4,FALSE)</f>
        <v>1</v>
      </c>
      <c r="F278" s="114">
        <f>VLOOKUP(B278,$B$149:$K$204,5,FALSE)</f>
        <v>0.1</v>
      </c>
      <c r="G278" s="113">
        <f>VLOOKUP(B278,$B$149:$K$204,6,FALSE)</f>
        <v>14</v>
      </c>
      <c r="H278" s="114">
        <f>VLOOKUP(B278,$B$149:$K$204,7,FALSE)</f>
        <v>11.076705799999999</v>
      </c>
      <c r="I278" s="183">
        <f>D278+F278+H278</f>
        <v>12.5982328</v>
      </c>
      <c r="J278" s="114">
        <v>-6.357605232500001</v>
      </c>
      <c r="K278" s="100">
        <f>I278/J278*100</f>
        <v>-198.16003572537008</v>
      </c>
    </row>
    <row r="279" spans="1:11" s="36" customFormat="1" ht="16.5" customHeight="1">
      <c r="A279" s="46">
        <v>3</v>
      </c>
      <c r="B279" s="113" t="s">
        <v>189</v>
      </c>
      <c r="C279" s="113">
        <f>VLOOKUP(B279,$B$149:$K$204,2,FALSE)</f>
        <v>0</v>
      </c>
      <c r="D279" s="114">
        <f>VLOOKUP(B279,$B$149:$K$204,3,FALSE)</f>
        <v>0</v>
      </c>
      <c r="E279" s="113">
        <f>VLOOKUP(B279,$B$149:$K$204,4,FALSE)</f>
        <v>1</v>
      </c>
      <c r="F279" s="114">
        <f>VLOOKUP(B279,$B$149:$K$204,5,FALSE)</f>
        <v>0.93399699999999997</v>
      </c>
      <c r="G279" s="113">
        <f>VLOOKUP(B279,$B$149:$K$204,6,FALSE)</f>
        <v>2</v>
      </c>
      <c r="H279" s="114">
        <f>VLOOKUP(B279,$B$149:$K$204,7,FALSE)</f>
        <v>1.6813770899999998</v>
      </c>
      <c r="I279" s="183">
        <f>D279+F279+H279</f>
        <v>2.6153740899999995</v>
      </c>
      <c r="J279" s="114">
        <v>0.10765653</v>
      </c>
      <c r="K279" s="100">
        <f>I279/J279*100</f>
        <v>2429.3687433544433</v>
      </c>
    </row>
    <row r="280" spans="1:11" s="36" customFormat="1" ht="16.5" customHeight="1">
      <c r="A280" s="46">
        <v>4</v>
      </c>
      <c r="B280" s="113" t="s">
        <v>262</v>
      </c>
      <c r="C280" s="113"/>
      <c r="D280" s="114"/>
      <c r="E280" s="113"/>
      <c r="F280" s="114"/>
      <c r="G280" s="113"/>
      <c r="H280" s="114"/>
      <c r="I280" s="183"/>
      <c r="J280" s="114"/>
      <c r="K280" s="100"/>
    </row>
    <row r="281" spans="1:11" s="36" customFormat="1" ht="16.5" customHeight="1">
      <c r="A281" s="116">
        <v>5</v>
      </c>
      <c r="B281" s="117" t="s">
        <v>195</v>
      </c>
      <c r="C281" s="113"/>
      <c r="D281" s="114"/>
      <c r="E281" s="113"/>
      <c r="F281" s="114"/>
      <c r="G281" s="113"/>
      <c r="H281" s="114"/>
      <c r="I281" s="183"/>
      <c r="J281" s="114"/>
      <c r="K281" s="100"/>
    </row>
    <row r="282" spans="1:11" s="40" customFormat="1" ht="18" customHeight="1">
      <c r="A282" s="198" t="s">
        <v>62</v>
      </c>
      <c r="B282" s="199"/>
      <c r="C282" s="50">
        <f t="shared" ref="C282:G282" si="57">C262+C225+C276+C247+C232+C213</f>
        <v>2865</v>
      </c>
      <c r="D282" s="51">
        <f t="shared" si="57"/>
        <v>16498.342054890003</v>
      </c>
      <c r="E282" s="50">
        <f t="shared" si="57"/>
        <v>1152</v>
      </c>
      <c r="F282" s="51">
        <f>F262+F225+F276+F247+F232+F213</f>
        <v>6470.9088800845993</v>
      </c>
      <c r="G282" s="50">
        <f t="shared" si="57"/>
        <v>3166</v>
      </c>
      <c r="H282" s="51">
        <f>H262+H225+H276+H247+H232+H213</f>
        <v>5968.6595156200001</v>
      </c>
      <c r="I282" s="51">
        <f>I262+I225+I276+I247+I232+I213</f>
        <v>28849.910450594602</v>
      </c>
      <c r="J282" s="51"/>
      <c r="K282" s="104">
        <f>I282/'thang 11'!D10*100</f>
        <v>114.77872542793892</v>
      </c>
    </row>
    <row r="283" spans="1:11">
      <c r="J283" s="21"/>
      <c r="K283" s="144"/>
    </row>
  </sheetData>
  <sortState xmlns:xlrd2="http://schemas.microsoft.com/office/spreadsheetml/2017/richdata2" ref="B149:K204">
    <sortCondition descending="1" ref="I149:I204"/>
  </sortState>
  <mergeCells count="13">
    <mergeCell ref="A282:B282"/>
    <mergeCell ref="A5:K5"/>
    <mergeCell ref="A6:K6"/>
    <mergeCell ref="A209:K209"/>
    <mergeCell ref="A1:K1"/>
    <mergeCell ref="A210:K210"/>
    <mergeCell ref="A205:B205"/>
    <mergeCell ref="A27:B27"/>
    <mergeCell ref="A143:B143"/>
    <mergeCell ref="A145:K145"/>
    <mergeCell ref="A146:K146"/>
    <mergeCell ref="A29:K29"/>
    <mergeCell ref="A30:K30"/>
  </mergeCells>
  <conditionalFormatting sqref="B33:B142">
    <cfRule type="duplicateValues" dxfId="22" priority="1151" stopIfTrue="1"/>
  </conditionalFormatting>
  <conditionalFormatting sqref="B149:B204">
    <cfRule type="duplicateValues" dxfId="21" priority="741" stopIfTrue="1"/>
  </conditionalFormatting>
  <conditionalFormatting sqref="B211:B281">
    <cfRule type="duplicateValues" dxfId="20" priority="790" stopIfTrue="1"/>
    <cfRule type="duplicateValues" dxfId="19" priority="791" stopIfTrue="1"/>
  </conditionalFormatting>
  <conditionalFormatting sqref="B213:B224 B226:B281">
    <cfRule type="duplicateValues" dxfId="18" priority="804" stopIfTrue="1"/>
  </conditionalFormatting>
  <conditionalFormatting sqref="B282">
    <cfRule type="duplicateValues" dxfId="17" priority="4" stopIfTrue="1"/>
    <cfRule type="duplicateValues" dxfId="16" priority="5" stopIfTrue="1"/>
  </conditionalFormatting>
  <conditionalFormatting sqref="B283:B65509 B3:B4 B7:B28 B31:B144 B147:B208">
    <cfRule type="duplicateValues" dxfId="15" priority="763" stopIfTrue="1"/>
    <cfRule type="duplicateValues" dxfId="14" priority="764" stopIfTrue="1"/>
  </conditionalFormatting>
  <conditionalFormatting sqref="B283:B1048576 B2:B4 B7:B28 B31:B144 B147:B208">
    <cfRule type="duplicateValues" dxfId="13" priority="9"/>
  </conditionalFormatting>
  <pageMargins left="0.183070866" right="0.183070866" top="0.52559055099999996" bottom="0.511811024" header="0.15748031496063" footer="0.31496062992126"/>
  <pageSetup paperSize="9" scale="72" fitToHeight="0" orientation="portrait" r:id="rId1"/>
  <headerFooter>
    <oddFooter>Page &amp;P of &amp;N</oddFooter>
  </headerFooter>
  <rowBreaks count="3" manualBreakCount="3">
    <brk id="28" max="10" man="1"/>
    <brk id="144" max="10" man="1"/>
    <brk id="20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327"/>
  <sheetViews>
    <sheetView tabSelected="1" workbookViewId="0">
      <selection activeCell="E7" sqref="E7"/>
    </sheetView>
  </sheetViews>
  <sheetFormatPr defaultColWidth="9.140625" defaultRowHeight="15.75"/>
  <cols>
    <col min="1" max="1" width="7.42578125" style="18" customWidth="1"/>
    <col min="2" max="2" width="51" style="4" customWidth="1"/>
    <col min="3" max="3" width="14.85546875" style="2" customWidth="1"/>
    <col min="4" max="4" width="16.42578125" style="5" customWidth="1"/>
    <col min="5" max="5" width="21" style="4" bestFit="1" customWidth="1"/>
    <col min="6" max="6" width="13.7109375" style="4" bestFit="1" customWidth="1"/>
    <col min="7" max="7" width="14.85546875" style="4" bestFit="1" customWidth="1"/>
    <col min="8" max="8" width="10.42578125" style="4" bestFit="1" customWidth="1"/>
    <col min="9" max="9" width="11.5703125" style="4" bestFit="1" customWidth="1"/>
    <col min="10" max="10" width="19.42578125" style="4" bestFit="1" customWidth="1"/>
    <col min="11" max="16384" width="9.140625" style="4"/>
  </cols>
  <sheetData>
    <row r="1" spans="1:10">
      <c r="A1" s="208" t="s">
        <v>272</v>
      </c>
      <c r="B1" s="208"/>
      <c r="C1" s="208"/>
      <c r="D1" s="208"/>
    </row>
    <row r="3" spans="1:10" ht="15" customHeight="1">
      <c r="A3" s="211" t="s">
        <v>35</v>
      </c>
      <c r="B3" s="211"/>
      <c r="D3" s="3"/>
    </row>
    <row r="4" spans="1:10" ht="15" customHeight="1"/>
    <row r="5" spans="1:10" ht="15.75" customHeight="1">
      <c r="A5" s="210" t="s">
        <v>278</v>
      </c>
      <c r="B5" s="210"/>
      <c r="C5" s="210"/>
      <c r="D5" s="210"/>
      <c r="G5" s="192">
        <v>1908768</v>
      </c>
    </row>
    <row r="6" spans="1:10" ht="15" customHeight="1">
      <c r="A6" s="212" t="s">
        <v>325</v>
      </c>
      <c r="B6" s="212"/>
      <c r="C6" s="212"/>
      <c r="D6" s="212"/>
    </row>
    <row r="7" spans="1:10" ht="15.75" customHeight="1">
      <c r="G7" s="4">
        <f>G5*1000</f>
        <v>1908768000</v>
      </c>
    </row>
    <row r="8" spans="1:10" ht="47.25" customHeight="1">
      <c r="A8" s="6" t="s">
        <v>201</v>
      </c>
      <c r="B8" s="7" t="s">
        <v>202</v>
      </c>
      <c r="C8" s="8" t="s">
        <v>203</v>
      </c>
      <c r="D8" s="9" t="s">
        <v>204</v>
      </c>
      <c r="J8" s="145">
        <f>D15-G7/1000000+G5/1000000</f>
        <v>4216.9534545499992</v>
      </c>
    </row>
    <row r="9" spans="1:10" ht="18" customHeight="1">
      <c r="A9" s="19">
        <v>1</v>
      </c>
      <c r="B9" s="10" t="s">
        <v>45</v>
      </c>
      <c r="C9" s="11">
        <v>16753</v>
      </c>
      <c r="D9" s="12">
        <v>280539.54119061999</v>
      </c>
      <c r="E9" s="4">
        <f>D9/$D$28*100</f>
        <v>60.670491933317436</v>
      </c>
      <c r="G9" s="164">
        <f>VLOOKUP(B9,'[1]Luy ke T10 2023'!$B$9:$D$27,3,FALSE)</f>
        <v>278597.28926474001</v>
      </c>
      <c r="H9" s="145">
        <f>D9-G9</f>
        <v>1942.251925879973</v>
      </c>
    </row>
    <row r="10" spans="1:10" ht="18" customHeight="1">
      <c r="A10" s="19">
        <v>2</v>
      </c>
      <c r="B10" s="10" t="s">
        <v>47</v>
      </c>
      <c r="C10" s="11">
        <v>1127</v>
      </c>
      <c r="D10" s="12">
        <v>67572.781631390011</v>
      </c>
      <c r="E10" s="4">
        <f t="shared" ref="E10:E27" si="0">D10/$D$28*100</f>
        <v>14.61353321346397</v>
      </c>
      <c r="G10" s="164">
        <f>VLOOKUP(B10,'[1]Luy ke T10 2023'!$B$9:$D$27,3,FALSE)</f>
        <v>67436.310968379999</v>
      </c>
      <c r="H10" s="145">
        <f t="shared" ref="H10:H27" si="1">D10-G10</f>
        <v>136.47066301001178</v>
      </c>
    </row>
    <row r="11" spans="1:10" ht="18" customHeight="1">
      <c r="A11" s="19">
        <v>3</v>
      </c>
      <c r="B11" s="10" t="s">
        <v>44</v>
      </c>
      <c r="C11" s="11">
        <v>192</v>
      </c>
      <c r="D11" s="12">
        <v>38570.783460110004</v>
      </c>
      <c r="E11" s="4">
        <f t="shared" si="0"/>
        <v>8.3414565976932611</v>
      </c>
      <c r="G11" s="164">
        <f>VLOOKUP(B11,'[1]Luy ke T10 2023'!$B$9:$D$27,3,FALSE)</f>
        <v>38392.054138109997</v>
      </c>
      <c r="H11" s="145">
        <f t="shared" si="1"/>
        <v>178.7293220000065</v>
      </c>
    </row>
    <row r="12" spans="1:10" ht="18" customHeight="1">
      <c r="A12" s="19">
        <v>4</v>
      </c>
      <c r="B12" s="10" t="s">
        <v>49</v>
      </c>
      <c r="C12" s="11">
        <v>982</v>
      </c>
      <c r="D12" s="12">
        <v>12847.375891080001</v>
      </c>
      <c r="E12" s="4">
        <f t="shared" si="0"/>
        <v>2.7784197979936232</v>
      </c>
      <c r="G12" s="164">
        <f>VLOOKUP(B12,'[1]Luy ke T10 2023'!$B$9:$D$27,3,FALSE)</f>
        <v>12848.01657908</v>
      </c>
      <c r="H12" s="145">
        <f t="shared" si="1"/>
        <v>-0.64068799999949988</v>
      </c>
    </row>
    <row r="13" spans="1:10" ht="18" customHeight="1">
      <c r="A13" s="19">
        <v>5</v>
      </c>
      <c r="B13" s="10" t="s">
        <v>52</v>
      </c>
      <c r="C13" s="11">
        <v>1817</v>
      </c>
      <c r="D13" s="12">
        <v>11005.922249919999</v>
      </c>
      <c r="E13" s="4">
        <f t="shared" si="0"/>
        <v>2.3801803989861812</v>
      </c>
      <c r="G13" s="164">
        <f>VLOOKUP(B13,'[1]Luy ke T10 2023'!$B$9:$D$27,3,FALSE)</f>
        <v>11005.460927919998</v>
      </c>
      <c r="H13" s="145">
        <f t="shared" si="1"/>
        <v>0.46132200000101875</v>
      </c>
    </row>
    <row r="14" spans="1:10" ht="18" customHeight="1">
      <c r="A14" s="19">
        <v>6</v>
      </c>
      <c r="B14" s="10" t="s">
        <v>46</v>
      </c>
      <c r="C14" s="11">
        <v>6921</v>
      </c>
      <c r="D14" s="12">
        <v>10967.382351889999</v>
      </c>
      <c r="E14" s="4">
        <f t="shared" si="0"/>
        <v>2.3718456217828807</v>
      </c>
      <c r="G14" s="164">
        <f>VLOOKUP(B14,'[1]Luy ke T10 2023'!$B$9:$D$27,3,FALSE)</f>
        <v>10877.472093650002</v>
      </c>
      <c r="H14" s="145">
        <f t="shared" si="1"/>
        <v>89.910258239997347</v>
      </c>
    </row>
    <row r="15" spans="1:10" ht="18" customHeight="1">
      <c r="A15" s="19">
        <v>7</v>
      </c>
      <c r="B15" s="10" t="s">
        <v>50</v>
      </c>
      <c r="C15" s="11">
        <v>1087</v>
      </c>
      <c r="D15" s="12">
        <v>6123.8126865499989</v>
      </c>
      <c r="E15" s="4">
        <f t="shared" si="0"/>
        <v>1.3243577950675753</v>
      </c>
      <c r="G15" s="164">
        <f>VLOOKUP(B15,'[1]Luy ke T10 2023'!$B$9:$D$27,3,FALSE)</f>
        <v>6081.3433496499993</v>
      </c>
      <c r="H15" s="145">
        <f t="shared" si="1"/>
        <v>42.469336899999689</v>
      </c>
    </row>
    <row r="16" spans="1:10" ht="18" customHeight="1">
      <c r="A16" s="19">
        <v>8</v>
      </c>
      <c r="B16" s="10" t="s">
        <v>48</v>
      </c>
      <c r="C16" s="11">
        <v>4466</v>
      </c>
      <c r="D16" s="12">
        <v>5441.9704430100001</v>
      </c>
      <c r="E16" s="4">
        <f t="shared" si="0"/>
        <v>1.1769001348713601</v>
      </c>
      <c r="G16" s="164">
        <f>VLOOKUP(B16,'[1]Luy ke T10 2023'!$B$9:$D$27,3,FALSE)</f>
        <v>5403.5858590099997</v>
      </c>
      <c r="H16" s="145">
        <f t="shared" si="1"/>
        <v>38.384584000000359</v>
      </c>
    </row>
    <row r="17" spans="1:8" ht="18" customHeight="1">
      <c r="A17" s="19">
        <v>9</v>
      </c>
      <c r="B17" s="10" t="s">
        <v>54</v>
      </c>
      <c r="C17" s="11">
        <v>2917</v>
      </c>
      <c r="D17" s="12">
        <v>5106.5609964399991</v>
      </c>
      <c r="E17" s="4">
        <f t="shared" si="0"/>
        <v>1.1043632795100093</v>
      </c>
      <c r="G17" s="164">
        <f>VLOOKUP(B17,'[1]Luy ke T10 2023'!$B$9:$D$27,3,FALSE)</f>
        <v>5102.9547700399999</v>
      </c>
      <c r="H17" s="145">
        <f t="shared" si="1"/>
        <v>3.6062263999992865</v>
      </c>
    </row>
    <row r="18" spans="1:8" ht="18" customHeight="1">
      <c r="A18" s="19">
        <v>10</v>
      </c>
      <c r="B18" s="10" t="s">
        <v>59</v>
      </c>
      <c r="C18" s="11">
        <v>107</v>
      </c>
      <c r="D18" s="12">
        <v>4892.5726729999997</v>
      </c>
      <c r="E18" s="4">
        <f t="shared" si="0"/>
        <v>1.0580853937047099</v>
      </c>
      <c r="G18" s="164">
        <f>VLOOKUP(B18,'[1]Luy ke T10 2023'!$B$9:$D$27,3,FALSE)</f>
        <v>4994.5726729999997</v>
      </c>
      <c r="H18" s="145">
        <f t="shared" si="1"/>
        <v>-102</v>
      </c>
    </row>
    <row r="19" spans="1:8" ht="18" customHeight="1">
      <c r="A19" s="19">
        <v>11</v>
      </c>
      <c r="B19" s="10" t="s">
        <v>55</v>
      </c>
      <c r="C19" s="11">
        <v>684</v>
      </c>
      <c r="D19" s="12">
        <v>4599.7477790100002</v>
      </c>
      <c r="E19" s="4">
        <f t="shared" si="0"/>
        <v>0.99475802711212202</v>
      </c>
      <c r="G19" s="164">
        <f>VLOOKUP(B19,'[1]Luy ke T10 2023'!$B$9:$D$27,3,FALSE)</f>
        <v>4602.8095990100001</v>
      </c>
      <c r="H19" s="145">
        <f t="shared" si="1"/>
        <v>-3.0618199999998978</v>
      </c>
    </row>
    <row r="20" spans="1:8" ht="18" customHeight="1">
      <c r="A20" s="19">
        <v>12</v>
      </c>
      <c r="B20" s="10" t="s">
        <v>53</v>
      </c>
      <c r="C20" s="11">
        <v>537</v>
      </c>
      <c r="D20" s="12">
        <v>3881.2876689900004</v>
      </c>
      <c r="E20" s="4">
        <f t="shared" si="0"/>
        <v>0.839381255180493</v>
      </c>
      <c r="G20" s="164">
        <f>VLOOKUP(B20,'[1]Luy ke T10 2023'!$B$9:$D$27,3,FALSE)</f>
        <v>3883.9603681900003</v>
      </c>
      <c r="H20" s="145">
        <f t="shared" si="1"/>
        <v>-2.6726991999998972</v>
      </c>
    </row>
    <row r="21" spans="1:8" ht="18" customHeight="1">
      <c r="A21" s="19">
        <v>13</v>
      </c>
      <c r="B21" s="10" t="s">
        <v>60</v>
      </c>
      <c r="C21" s="11">
        <v>144</v>
      </c>
      <c r="D21" s="12">
        <v>3165.9888256700001</v>
      </c>
      <c r="E21" s="4">
        <f t="shared" si="0"/>
        <v>0.68468815017512852</v>
      </c>
      <c r="G21" s="164">
        <f>VLOOKUP(B21,'[1]Luy ke T10 2023'!$B$9:$D$27,3,FALSE)</f>
        <v>3165.9888256700001</v>
      </c>
      <c r="H21" s="145">
        <f t="shared" si="1"/>
        <v>0</v>
      </c>
    </row>
    <row r="22" spans="1:8" ht="18" customHeight="1">
      <c r="A22" s="19">
        <v>14</v>
      </c>
      <c r="B22" s="10" t="s">
        <v>57</v>
      </c>
      <c r="C22" s="11">
        <v>86</v>
      </c>
      <c r="D22" s="12">
        <v>3158.2156260000002</v>
      </c>
      <c r="E22" s="4">
        <f t="shared" si="0"/>
        <v>0.68300709000844662</v>
      </c>
      <c r="G22" s="164">
        <f>VLOOKUP(B22,'[1]Luy ke T10 2023'!$B$9:$D$27,3,FALSE)</f>
        <v>3158.2156260000002</v>
      </c>
      <c r="H22" s="145">
        <f t="shared" si="1"/>
        <v>0</v>
      </c>
    </row>
    <row r="23" spans="1:8" ht="18" customHeight="1">
      <c r="A23" s="19">
        <v>15</v>
      </c>
      <c r="B23" s="10" t="s">
        <v>58</v>
      </c>
      <c r="C23" s="11">
        <v>156</v>
      </c>
      <c r="D23" s="12">
        <v>1758.4304807400001</v>
      </c>
      <c r="E23" s="4">
        <f t="shared" si="0"/>
        <v>0.38028451121100915</v>
      </c>
      <c r="G23" s="164">
        <f>VLOOKUP(B23,'[1]Luy ke T10 2023'!$B$9:$D$27,3,FALSE)</f>
        <v>1758.4304807400001</v>
      </c>
      <c r="H23" s="145">
        <f t="shared" si="1"/>
        <v>0</v>
      </c>
    </row>
    <row r="24" spans="1:8" ht="18" customHeight="1">
      <c r="A24" s="19">
        <v>16</v>
      </c>
      <c r="B24" s="10" t="s">
        <v>56</v>
      </c>
      <c r="C24" s="11">
        <v>614</v>
      </c>
      <c r="D24" s="12">
        <v>1060.60230716</v>
      </c>
      <c r="E24" s="4">
        <f t="shared" si="0"/>
        <v>0.22936967618866319</v>
      </c>
      <c r="G24" s="164">
        <f>VLOOKUP(B24,'[1]Luy ke T10 2023'!$B$9:$D$27,3,FALSE)</f>
        <v>1057.7985421600001</v>
      </c>
      <c r="H24" s="145">
        <f t="shared" si="1"/>
        <v>2.8037649999998848</v>
      </c>
    </row>
    <row r="25" spans="1:8" ht="18" customHeight="1">
      <c r="A25" s="19">
        <v>17</v>
      </c>
      <c r="B25" s="10" t="s">
        <v>51</v>
      </c>
      <c r="C25" s="11">
        <v>94</v>
      </c>
      <c r="D25" s="12">
        <v>927.22770600000001</v>
      </c>
      <c r="E25" s="4">
        <f t="shared" si="0"/>
        <v>0.2005256044066788</v>
      </c>
      <c r="G25" s="164">
        <f>VLOOKUP(B25,'[1]Luy ke T10 2023'!$B$9:$D$27,3,FALSE)</f>
        <v>927.22770600000001</v>
      </c>
      <c r="H25" s="145">
        <f t="shared" si="1"/>
        <v>0</v>
      </c>
    </row>
    <row r="26" spans="1:8" ht="18" customHeight="1">
      <c r="A26" s="19">
        <v>18</v>
      </c>
      <c r="B26" s="10" t="s">
        <v>61</v>
      </c>
      <c r="C26" s="11">
        <v>153</v>
      </c>
      <c r="D26" s="12">
        <v>767.38412400000004</v>
      </c>
      <c r="E26" s="4">
        <f t="shared" si="0"/>
        <v>0.16595725546319012</v>
      </c>
      <c r="G26" s="164">
        <f>VLOOKUP(B26,'[1]Luy ke T10 2023'!$B$9:$D$27,3,FALSE)</f>
        <v>766.48437200000001</v>
      </c>
      <c r="H26" s="145">
        <f t="shared" si="1"/>
        <v>0.89975200000003497</v>
      </c>
    </row>
    <row r="27" spans="1:8">
      <c r="A27" s="19">
        <v>19</v>
      </c>
      <c r="B27" s="10" t="s">
        <v>205</v>
      </c>
      <c r="C27" s="11">
        <v>7</v>
      </c>
      <c r="D27" s="12">
        <v>11.071044000000001</v>
      </c>
      <c r="E27" s="4">
        <f t="shared" si="0"/>
        <v>2.3942638632855249E-3</v>
      </c>
      <c r="G27" s="164">
        <f>VLOOKUP(B27,'[1]Luy ke T10 2023'!$B$9:$D$27,3,FALSE)</f>
        <v>11.071044000000001</v>
      </c>
      <c r="H27" s="145">
        <f t="shared" si="1"/>
        <v>0</v>
      </c>
    </row>
    <row r="28" spans="1:8" ht="17.25" customHeight="1">
      <c r="A28" s="209" t="s">
        <v>206</v>
      </c>
      <c r="B28" s="209"/>
      <c r="C28" s="13">
        <f>SUM(C9:C27)</f>
        <v>38844</v>
      </c>
      <c r="D28" s="14">
        <f>SUM(D9:D27)</f>
        <v>462398.65913557989</v>
      </c>
    </row>
    <row r="29" spans="1:8" ht="15.75" customHeight="1"/>
    <row r="30" spans="1:8" ht="12.75" customHeight="1"/>
    <row r="31" spans="1:8" ht="12.75" customHeight="1"/>
    <row r="32" spans="1:8" ht="12.75" customHeight="1"/>
    <row r="33" spans="1:9" ht="12.75" customHeight="1"/>
    <row r="34" spans="1:9" ht="24" customHeight="1">
      <c r="A34" s="210" t="s">
        <v>279</v>
      </c>
      <c r="B34" s="210"/>
      <c r="C34" s="210"/>
      <c r="D34" s="210"/>
      <c r="F34" s="145">
        <f>D28-D181</f>
        <v>0</v>
      </c>
    </row>
    <row r="35" spans="1:9" ht="12" customHeight="1">
      <c r="A35" s="213" t="str">
        <f>A6</f>
        <v>(Lũy kế các dự án còn hiệu lực đến ngày 20/11/2023)</v>
      </c>
      <c r="B35" s="213"/>
      <c r="C35" s="213"/>
      <c r="D35" s="213"/>
    </row>
    <row r="36" spans="1:9" ht="15.75" customHeight="1"/>
    <row r="37" spans="1:9" ht="47.25">
      <c r="A37" s="6" t="s">
        <v>201</v>
      </c>
      <c r="B37" s="7" t="s">
        <v>207</v>
      </c>
      <c r="C37" s="8" t="s">
        <v>203</v>
      </c>
      <c r="D37" s="9" t="s">
        <v>208</v>
      </c>
    </row>
    <row r="38" spans="1:9" ht="18" customHeight="1">
      <c r="A38" s="19">
        <v>1</v>
      </c>
      <c r="B38" s="10" t="s">
        <v>67</v>
      </c>
      <c r="C38" s="11">
        <v>9830</v>
      </c>
      <c r="D38" s="12">
        <v>84110.651960610019</v>
      </c>
      <c r="E38" s="4">
        <f>D38/$D$28*100</f>
        <v>18.190072635125858</v>
      </c>
      <c r="F38" s="164">
        <f>VLOOKUP(B38,'[1]Luy ke T10 2023'!$B$38:$D$180,3,FALSE)</f>
        <v>84105.822760480019</v>
      </c>
      <c r="G38" s="145">
        <f>D38-F38</f>
        <v>4.8292001299996627</v>
      </c>
      <c r="I38" s="145">
        <f>D38-G7/1000000+G5/1000000</f>
        <v>82203.792728610017</v>
      </c>
    </row>
    <row r="39" spans="1:9" ht="18" customHeight="1">
      <c r="A39" s="19">
        <v>2</v>
      </c>
      <c r="B39" s="10" t="s">
        <v>64</v>
      </c>
      <c r="C39" s="11">
        <v>3442</v>
      </c>
      <c r="D39" s="12">
        <v>73681.43679367</v>
      </c>
      <c r="E39" s="4">
        <f t="shared" ref="E39:E40" si="2">D39/$D$28*100</f>
        <v>15.934612987721893</v>
      </c>
      <c r="F39" s="164">
        <f>VLOOKUP(B39,'[1]Luy ke T10 2023'!$B$38:$D$180,3,FALSE)</f>
        <v>73408.574452669985</v>
      </c>
      <c r="G39" s="145">
        <f t="shared" ref="G39:G102" si="3">D39-F39</f>
        <v>272.86234100001457</v>
      </c>
    </row>
    <row r="40" spans="1:9" ht="18" customHeight="1">
      <c r="A40" s="19">
        <v>3</v>
      </c>
      <c r="B40" s="10" t="s">
        <v>66</v>
      </c>
      <c r="C40" s="11">
        <v>5243</v>
      </c>
      <c r="D40" s="12">
        <v>71527.997153019984</v>
      </c>
      <c r="E40" s="4">
        <f t="shared" si="2"/>
        <v>15.468902372410916</v>
      </c>
      <c r="F40" s="164">
        <f>VLOOKUP(B40,'[1]Luy ke T10 2023'!$B$38:$D$180,3,FALSE)</f>
        <v>71414.406628650002</v>
      </c>
      <c r="G40" s="145">
        <f t="shared" si="3"/>
        <v>113.59052436998172</v>
      </c>
    </row>
    <row r="41" spans="1:9" ht="18" customHeight="1">
      <c r="A41" s="19">
        <v>4</v>
      </c>
      <c r="B41" s="10" t="s">
        <v>68</v>
      </c>
      <c r="C41" s="11">
        <v>3087</v>
      </c>
      <c r="D41" s="12">
        <v>39018.719446039999</v>
      </c>
      <c r="E41" s="4">
        <f>VLOOKUP(B41,'[2]Luy ke T9 2023'!$B$38:$D$181,2,FALSE)</f>
        <v>3052</v>
      </c>
      <c r="F41" s="164">
        <f>VLOOKUP(B41,'[1]Luy ke T10 2023'!$B$38:$D$180,3,FALSE)</f>
        <v>38958.151071629996</v>
      </c>
      <c r="G41" s="145">
        <f t="shared" si="3"/>
        <v>60.568374410002434</v>
      </c>
    </row>
    <row r="42" spans="1:9" ht="18" customHeight="1">
      <c r="A42" s="19">
        <v>5</v>
      </c>
      <c r="B42" s="10" t="s">
        <v>69</v>
      </c>
      <c r="C42" s="11">
        <v>2420</v>
      </c>
      <c r="D42" s="12">
        <v>33712.633347370007</v>
      </c>
      <c r="E42" s="4">
        <f>VLOOKUP(B42,'[2]Luy ke T9 2023'!$B$38:$D$181,2,FALSE)</f>
        <v>2368</v>
      </c>
      <c r="F42" s="164">
        <f>VLOOKUP(B42,'[1]Luy ke T10 2023'!$B$38:$D$180,3,FALSE)</f>
        <v>32929.687432449995</v>
      </c>
      <c r="G42" s="145">
        <f t="shared" si="3"/>
        <v>782.945914920012</v>
      </c>
    </row>
    <row r="43" spans="1:9" ht="18" customHeight="1">
      <c r="A43" s="19">
        <v>6</v>
      </c>
      <c r="B43" s="10" t="s">
        <v>65</v>
      </c>
      <c r="C43" s="11">
        <v>4161</v>
      </c>
      <c r="D43" s="12">
        <v>27063.568264219997</v>
      </c>
      <c r="E43" s="4">
        <f>VLOOKUP(B43,'[2]Luy ke T9 2023'!$B$38:$D$181,2,FALSE)</f>
        <v>4023</v>
      </c>
      <c r="F43" s="164">
        <f>VLOOKUP(B43,'[1]Luy ke T10 2023'!$B$38:$D$180,3,FALSE)</f>
        <v>26502.157231690006</v>
      </c>
      <c r="G43" s="145">
        <f t="shared" si="3"/>
        <v>561.41103252999164</v>
      </c>
    </row>
    <row r="44" spans="1:9" ht="18" customHeight="1">
      <c r="A44" s="19">
        <v>7</v>
      </c>
      <c r="B44" s="10" t="s">
        <v>70</v>
      </c>
      <c r="C44" s="11">
        <v>909</v>
      </c>
      <c r="D44" s="12">
        <v>22716.460930360001</v>
      </c>
      <c r="E44" s="4">
        <f>VLOOKUP(B44,'[2]Luy ke T9 2023'!$B$38:$D$181,2,FALSE)</f>
        <v>908</v>
      </c>
      <c r="F44" s="164">
        <f>VLOOKUP(B44,'[1]Luy ke T10 2023'!$B$38:$D$180,3,FALSE)</f>
        <v>22702.710715360001</v>
      </c>
      <c r="G44" s="145">
        <f t="shared" si="3"/>
        <v>13.750215000000026</v>
      </c>
    </row>
    <row r="45" spans="1:9" ht="18" customHeight="1">
      <c r="A45" s="19">
        <v>8</v>
      </c>
      <c r="B45" s="10" t="s">
        <v>73</v>
      </c>
      <c r="C45" s="11">
        <v>433</v>
      </c>
      <c r="D45" s="12">
        <v>14202.18338568</v>
      </c>
      <c r="E45" s="4">
        <f>VLOOKUP(B45,'[2]Luy ke T9 2023'!$B$38:$D$181,2,FALSE)</f>
        <v>431</v>
      </c>
      <c r="F45" s="164">
        <f>VLOOKUP(B45,'[1]Luy ke T10 2023'!$B$38:$D$180,3,FALSE)</f>
        <v>14300.18338568</v>
      </c>
      <c r="G45" s="145">
        <f t="shared" si="3"/>
        <v>-98</v>
      </c>
    </row>
    <row r="46" spans="1:9" ht="18" customHeight="1">
      <c r="A46" s="19">
        <v>9</v>
      </c>
      <c r="B46" s="10" t="s">
        <v>76</v>
      </c>
      <c r="C46" s="11">
        <v>733</v>
      </c>
      <c r="D46" s="12">
        <v>14034.576838539995</v>
      </c>
      <c r="E46" s="4">
        <f>VLOOKUP(B46,'[2]Luy ke T9 2023'!$B$38:$D$181,2,FALSE)</f>
        <v>716</v>
      </c>
      <c r="F46" s="164">
        <f>VLOOKUP(B46,'[1]Luy ke T10 2023'!$B$38:$D$180,3,FALSE)</f>
        <v>13842.952141739994</v>
      </c>
      <c r="G46" s="145">
        <f t="shared" si="3"/>
        <v>191.6246968000014</v>
      </c>
    </row>
    <row r="47" spans="1:9" ht="18" customHeight="1">
      <c r="A47" s="19">
        <v>10</v>
      </c>
      <c r="B47" s="10" t="s">
        <v>71</v>
      </c>
      <c r="C47" s="11">
        <v>731</v>
      </c>
      <c r="D47" s="12">
        <v>13096.91904902</v>
      </c>
      <c r="E47" s="4">
        <f>VLOOKUP(B47,'[2]Luy ke T9 2023'!$B$38:$D$181,2,FALSE)</f>
        <v>730</v>
      </c>
      <c r="F47" s="164">
        <f>VLOOKUP(B47,'[1]Luy ke T10 2023'!$B$38:$D$180,3,FALSE)</f>
        <v>13096.183188590001</v>
      </c>
      <c r="G47" s="145">
        <f t="shared" si="3"/>
        <v>0.73586042999886558</v>
      </c>
    </row>
    <row r="48" spans="1:9" ht="18" customHeight="1">
      <c r="A48" s="19">
        <v>11</v>
      </c>
      <c r="B48" s="10" t="s">
        <v>75</v>
      </c>
      <c r="C48" s="11">
        <v>1320</v>
      </c>
      <c r="D48" s="12">
        <v>11827.036052509999</v>
      </c>
      <c r="E48" s="4">
        <f>VLOOKUP(B48,'[2]Luy ke T9 2023'!$B$38:$D$181,2,FALSE)</f>
        <v>1301</v>
      </c>
      <c r="F48" s="164">
        <f>VLOOKUP(B48,'[1]Luy ke T10 2023'!$B$38:$D$180,3,FALSE)</f>
        <v>11813.798642510001</v>
      </c>
      <c r="G48" s="145">
        <f t="shared" si="3"/>
        <v>13.237409999997908</v>
      </c>
    </row>
    <row r="49" spans="1:7" ht="18" customHeight="1">
      <c r="A49" s="19">
        <v>12</v>
      </c>
      <c r="B49" s="10" t="s">
        <v>79</v>
      </c>
      <c r="C49" s="11">
        <v>460</v>
      </c>
      <c r="D49" s="12">
        <v>9993.8961567599999</v>
      </c>
      <c r="E49" s="4">
        <f>VLOOKUP(B49,'[2]Luy ke T9 2023'!$B$38:$D$181,2,FALSE)</f>
        <v>450</v>
      </c>
      <c r="F49" s="164">
        <f>VLOOKUP(B49,'[1]Luy ke T10 2023'!$B$38:$D$180,3,FALSE)</f>
        <v>9853.28015676</v>
      </c>
      <c r="G49" s="145">
        <f t="shared" si="3"/>
        <v>140.61599999999999</v>
      </c>
    </row>
    <row r="50" spans="1:7" ht="18" customHeight="1">
      <c r="A50" s="19">
        <v>13</v>
      </c>
      <c r="B50" s="10" t="s">
        <v>81</v>
      </c>
      <c r="C50" s="11">
        <v>133</v>
      </c>
      <c r="D50" s="12">
        <v>6807.8469130000003</v>
      </c>
      <c r="E50" s="4">
        <f>VLOOKUP(B50,'[2]Luy ke T9 2023'!$B$38:$D$181,2,FALSE)</f>
        <v>133</v>
      </c>
      <c r="F50" s="164">
        <f>VLOOKUP(B50,'[1]Luy ke T10 2023'!$B$38:$D$180,3,FALSE)</f>
        <v>6807.8469130000003</v>
      </c>
      <c r="G50" s="145">
        <f t="shared" si="3"/>
        <v>0</v>
      </c>
    </row>
    <row r="51" spans="1:7" ht="18" customHeight="1">
      <c r="A51" s="19">
        <v>14</v>
      </c>
      <c r="B51" s="10" t="s">
        <v>83</v>
      </c>
      <c r="C51" s="11">
        <v>258</v>
      </c>
      <c r="D51" s="12">
        <v>4810.03235537</v>
      </c>
      <c r="E51" s="4">
        <f>VLOOKUP(B51,'[2]Luy ke T9 2023'!$B$38:$D$181,2,FALSE)</f>
        <v>255</v>
      </c>
      <c r="F51" s="164">
        <f>VLOOKUP(B51,'[1]Luy ke T10 2023'!$B$38:$D$180,3,FALSE)</f>
        <v>4810.03235537</v>
      </c>
      <c r="G51" s="145">
        <f t="shared" si="3"/>
        <v>0</v>
      </c>
    </row>
    <row r="52" spans="1:7" ht="18" customHeight="1">
      <c r="A52" s="19">
        <v>15</v>
      </c>
      <c r="B52" s="10" t="s">
        <v>74</v>
      </c>
      <c r="C52" s="11">
        <v>553</v>
      </c>
      <c r="D52" s="12">
        <v>4295.2526198699998</v>
      </c>
      <c r="E52" s="4">
        <f>VLOOKUP(B52,'[2]Luy ke T9 2023'!$B$38:$D$181,2,FALSE)</f>
        <v>546</v>
      </c>
      <c r="F52" s="164">
        <f>VLOOKUP(B52,'[1]Luy ke T10 2023'!$B$38:$D$180,3,FALSE)</f>
        <v>4283.03500687</v>
      </c>
      <c r="G52" s="145">
        <f t="shared" si="3"/>
        <v>12.217612999999801</v>
      </c>
    </row>
    <row r="53" spans="1:7" ht="18" customHeight="1">
      <c r="A53" s="19">
        <v>16</v>
      </c>
      <c r="B53" s="10" t="s">
        <v>78</v>
      </c>
      <c r="C53" s="11">
        <v>676</v>
      </c>
      <c r="D53" s="12">
        <v>3832.6655911099997</v>
      </c>
      <c r="E53" s="4">
        <f>VLOOKUP(B53,'[2]Luy ke T9 2023'!$B$38:$D$181,2,FALSE)</f>
        <v>674</v>
      </c>
      <c r="F53" s="164">
        <f>VLOOKUP(B53,'[1]Luy ke T10 2023'!$B$38:$D$180,3,FALSE)</f>
        <v>3811.3437081100001</v>
      </c>
      <c r="G53" s="145">
        <f t="shared" si="3"/>
        <v>21.321882999999616</v>
      </c>
    </row>
    <row r="54" spans="1:7" ht="18" customHeight="1">
      <c r="A54" s="19">
        <v>17</v>
      </c>
      <c r="B54" s="10" t="s">
        <v>84</v>
      </c>
      <c r="C54" s="11">
        <v>460</v>
      </c>
      <c r="D54" s="12">
        <v>2663.0732380500003</v>
      </c>
      <c r="E54" s="4">
        <f>VLOOKUP(B54,'[2]Luy ke T9 2023'!$B$38:$D$181,2,FALSE)</f>
        <v>462</v>
      </c>
      <c r="F54" s="164">
        <f>VLOOKUP(B54,'[1]Luy ke T10 2023'!$B$38:$D$180,3,FALSE)</f>
        <v>2543.81465002</v>
      </c>
      <c r="G54" s="145">
        <f t="shared" si="3"/>
        <v>119.25858803000028</v>
      </c>
    </row>
    <row r="55" spans="1:7" ht="18" customHeight="1">
      <c r="A55" s="19">
        <v>18</v>
      </c>
      <c r="B55" s="10" t="s">
        <v>85</v>
      </c>
      <c r="C55" s="11">
        <v>61</v>
      </c>
      <c r="D55" s="12">
        <v>2624.3413869999999</v>
      </c>
      <c r="E55" s="4">
        <f>VLOOKUP(B55,'[2]Luy ke T9 2023'!$B$38:$D$181,2,FALSE)</f>
        <v>61</v>
      </c>
      <c r="F55" s="164">
        <f>VLOOKUP(B55,'[1]Luy ke T10 2023'!$B$38:$D$180,3,FALSE)</f>
        <v>2624.3413869999999</v>
      </c>
      <c r="G55" s="145">
        <f t="shared" si="3"/>
        <v>0</v>
      </c>
    </row>
    <row r="56" spans="1:7" ht="18" customHeight="1">
      <c r="A56" s="19">
        <v>19</v>
      </c>
      <c r="B56" s="10" t="s">
        <v>82</v>
      </c>
      <c r="C56" s="11">
        <v>308</v>
      </c>
      <c r="D56" s="12">
        <v>2192.0105623199997</v>
      </c>
      <c r="E56" s="4">
        <f>VLOOKUP(B56,'[2]Luy ke T9 2023'!$B$38:$D$181,2,FALSE)</f>
        <v>303</v>
      </c>
      <c r="F56" s="164">
        <f>VLOOKUP(B56,'[1]Luy ke T10 2023'!$B$38:$D$180,3,FALSE)</f>
        <v>2165.4105623200003</v>
      </c>
      <c r="G56" s="145">
        <f t="shared" si="3"/>
        <v>26.599999999999454</v>
      </c>
    </row>
    <row r="57" spans="1:7" ht="18" customHeight="1">
      <c r="A57" s="19">
        <v>20</v>
      </c>
      <c r="B57" s="10" t="s">
        <v>77</v>
      </c>
      <c r="C57" s="11">
        <v>620</v>
      </c>
      <c r="D57" s="12">
        <v>2028.18654526</v>
      </c>
      <c r="E57" s="4">
        <f>VLOOKUP(B57,'[2]Luy ke T9 2023'!$B$38:$D$181,2,FALSE)</f>
        <v>615</v>
      </c>
      <c r="F57" s="164">
        <f>VLOOKUP(B57,'[1]Luy ke T10 2023'!$B$38:$D$180,3,FALSE)</f>
        <v>2022.3696360199999</v>
      </c>
      <c r="G57" s="145">
        <f t="shared" si="3"/>
        <v>5.8169092400000864</v>
      </c>
    </row>
    <row r="58" spans="1:7" ht="18" customHeight="1">
      <c r="A58" s="19">
        <v>21</v>
      </c>
      <c r="B58" s="10" t="s">
        <v>100</v>
      </c>
      <c r="C58" s="11">
        <v>165</v>
      </c>
      <c r="D58" s="12">
        <v>1977.313979</v>
      </c>
      <c r="E58" s="4">
        <f>VLOOKUP(B58,'[2]Luy ke T9 2023'!$B$38:$D$181,2,FALSE)</f>
        <v>166</v>
      </c>
      <c r="F58" s="164">
        <f>VLOOKUP(B58,'[1]Luy ke T10 2023'!$B$38:$D$180,3,FALSE)</f>
        <v>1979.313979</v>
      </c>
      <c r="G58" s="145">
        <f t="shared" si="3"/>
        <v>-2</v>
      </c>
    </row>
    <row r="59" spans="1:7" ht="18" customHeight="1">
      <c r="A59" s="19">
        <v>22</v>
      </c>
      <c r="B59" s="10" t="s">
        <v>89</v>
      </c>
      <c r="C59" s="11">
        <v>210</v>
      </c>
      <c r="D59" s="12">
        <v>1913.05640578</v>
      </c>
      <c r="E59" s="4">
        <f>VLOOKUP(B59,'[2]Luy ke T9 2023'!$B$38:$D$181,2,FALSE)</f>
        <v>209</v>
      </c>
      <c r="F59" s="164">
        <f>VLOOKUP(B59,'[1]Luy ke T10 2023'!$B$38:$D$180,3,FALSE)</f>
        <v>1913.05640578</v>
      </c>
      <c r="G59" s="145">
        <f t="shared" si="3"/>
        <v>0</v>
      </c>
    </row>
    <row r="60" spans="1:7" ht="18" customHeight="1">
      <c r="A60" s="19">
        <v>23</v>
      </c>
      <c r="B60" s="10" t="s">
        <v>88</v>
      </c>
      <c r="C60" s="11">
        <v>387</v>
      </c>
      <c r="D60" s="12">
        <v>1118.9479863800002</v>
      </c>
      <c r="E60" s="4">
        <f>VLOOKUP(B60,'[2]Luy ke T9 2023'!$B$38:$D$181,2,FALSE)</f>
        <v>383</v>
      </c>
      <c r="F60" s="164">
        <f>VLOOKUP(B60,'[1]Luy ke T10 2023'!$B$38:$D$180,3,FALSE)</f>
        <v>1070.4276053800002</v>
      </c>
      <c r="G60" s="145">
        <f t="shared" si="3"/>
        <v>48.520381000000043</v>
      </c>
    </row>
    <row r="61" spans="1:7" ht="18" customHeight="1">
      <c r="A61" s="19">
        <v>24</v>
      </c>
      <c r="B61" s="10" t="s">
        <v>105</v>
      </c>
      <c r="C61" s="11">
        <v>94</v>
      </c>
      <c r="D61" s="12">
        <v>1099.4050772999999</v>
      </c>
      <c r="E61" s="4">
        <f>VLOOKUP(B61,'[2]Luy ke T9 2023'!$B$38:$D$181,2,FALSE)</f>
        <v>93</v>
      </c>
      <c r="F61" s="164">
        <f>VLOOKUP(B61,'[1]Luy ke T10 2023'!$B$38:$D$180,3,FALSE)</f>
        <v>1099.4050772999999</v>
      </c>
      <c r="G61" s="145">
        <f t="shared" si="3"/>
        <v>0</v>
      </c>
    </row>
    <row r="62" spans="1:7" ht="18" customHeight="1">
      <c r="A62" s="19">
        <v>25</v>
      </c>
      <c r="B62" s="10" t="s">
        <v>92</v>
      </c>
      <c r="C62" s="11">
        <v>21</v>
      </c>
      <c r="D62" s="12">
        <v>987.65800000000002</v>
      </c>
      <c r="E62" s="4">
        <f>VLOOKUP(B62,'[2]Luy ke T9 2023'!$B$38:$D$181,2,FALSE)</f>
        <v>21</v>
      </c>
      <c r="F62" s="164">
        <f>VLOOKUP(B62,'[1]Luy ke T10 2023'!$B$38:$D$180,3,FALSE)</f>
        <v>987.65800000000002</v>
      </c>
      <c r="G62" s="145">
        <f t="shared" si="3"/>
        <v>0</v>
      </c>
    </row>
    <row r="63" spans="1:7" ht="18" customHeight="1">
      <c r="A63" s="19">
        <v>26</v>
      </c>
      <c r="B63" s="10" t="s">
        <v>101</v>
      </c>
      <c r="C63" s="11">
        <v>36</v>
      </c>
      <c r="D63" s="12">
        <v>974.29347249</v>
      </c>
      <c r="E63" s="4">
        <f>VLOOKUP(B63,'[2]Luy ke T9 2023'!$B$38:$D$181,2,FALSE)</f>
        <v>36</v>
      </c>
      <c r="F63" s="164">
        <f>VLOOKUP(B63,'[1]Luy ke T10 2023'!$B$38:$D$180,3,FALSE)</f>
        <v>974.29347249</v>
      </c>
      <c r="G63" s="145">
        <f t="shared" si="3"/>
        <v>0</v>
      </c>
    </row>
    <row r="64" spans="1:7" ht="18" customHeight="1">
      <c r="A64" s="19">
        <v>27</v>
      </c>
      <c r="B64" s="10" t="s">
        <v>95</v>
      </c>
      <c r="C64" s="11">
        <v>186</v>
      </c>
      <c r="D64" s="12">
        <v>971.91842886999996</v>
      </c>
      <c r="E64" s="4">
        <f>VLOOKUP(B64,'[2]Luy ke T9 2023'!$B$38:$D$181,2,FALSE)</f>
        <v>184</v>
      </c>
      <c r="F64" s="164">
        <f>VLOOKUP(B64,'[1]Luy ke T10 2023'!$B$38:$D$180,3,FALSE)</f>
        <v>971.91842886999996</v>
      </c>
      <c r="G64" s="145">
        <f t="shared" si="3"/>
        <v>0</v>
      </c>
    </row>
    <row r="65" spans="1:7" ht="18" customHeight="1">
      <c r="A65" s="19">
        <v>28</v>
      </c>
      <c r="B65" s="10" t="s">
        <v>209</v>
      </c>
      <c r="C65" s="11">
        <v>156</v>
      </c>
      <c r="D65" s="12">
        <v>964.81889799999999</v>
      </c>
      <c r="E65" s="4">
        <f>VLOOKUP(B65,'[2]Luy ke T9 2023'!$B$38:$D$181,2,FALSE)</f>
        <v>156</v>
      </c>
      <c r="F65" s="164">
        <f>VLOOKUP(B65,'[1]Luy ke T10 2023'!$B$38:$D$180,3,FALSE)</f>
        <v>964.81889799999999</v>
      </c>
      <c r="G65" s="145">
        <f t="shared" si="3"/>
        <v>0</v>
      </c>
    </row>
    <row r="66" spans="1:7" ht="18" customHeight="1">
      <c r="A66" s="19">
        <v>29</v>
      </c>
      <c r="B66" s="10" t="s">
        <v>117</v>
      </c>
      <c r="C66" s="11">
        <v>109</v>
      </c>
      <c r="D66" s="12">
        <v>733.25524399999995</v>
      </c>
      <c r="E66" s="4">
        <f>VLOOKUP(B66,'[2]Luy ke T9 2023'!$B$38:$D$181,2,FALSE)</f>
        <v>106</v>
      </c>
      <c r="F66" s="164">
        <f>VLOOKUP(B66,'[1]Luy ke T10 2023'!$B$38:$D$180,3,FALSE)</f>
        <v>722.15524400000004</v>
      </c>
      <c r="G66" s="145">
        <f t="shared" si="3"/>
        <v>11.099999999999909</v>
      </c>
    </row>
    <row r="67" spans="1:7" ht="18" customHeight="1">
      <c r="A67" s="19">
        <v>30</v>
      </c>
      <c r="B67" s="10" t="s">
        <v>115</v>
      </c>
      <c r="C67" s="11">
        <v>120</v>
      </c>
      <c r="D67" s="12">
        <v>651.21196485999997</v>
      </c>
      <c r="E67" s="4">
        <f>VLOOKUP(B67,'[2]Luy ke T9 2023'!$B$38:$D$181,2,FALSE)</f>
        <v>119</v>
      </c>
      <c r="F67" s="164">
        <f>VLOOKUP(B67,'[1]Luy ke T10 2023'!$B$38:$D$180,3,FALSE)</f>
        <v>651.26396485999999</v>
      </c>
      <c r="G67" s="145">
        <f t="shared" si="3"/>
        <v>-5.2000000000020918E-2</v>
      </c>
    </row>
    <row r="68" spans="1:7" ht="18" customHeight="1">
      <c r="A68" s="19">
        <v>31</v>
      </c>
      <c r="B68" s="10" t="s">
        <v>94</v>
      </c>
      <c r="C68" s="11">
        <v>94</v>
      </c>
      <c r="D68" s="12">
        <v>608.19639280999991</v>
      </c>
      <c r="E68" s="4">
        <f>VLOOKUP(B68,'[2]Luy ke T9 2023'!$B$38:$D$181,2,FALSE)</f>
        <v>93</v>
      </c>
      <c r="F68" s="164">
        <f>VLOOKUP(B68,'[1]Luy ke T10 2023'!$B$38:$D$180,3,FALSE)</f>
        <v>608.19639280999991</v>
      </c>
      <c r="G68" s="145">
        <f t="shared" si="3"/>
        <v>0</v>
      </c>
    </row>
    <row r="69" spans="1:7" ht="18" customHeight="1">
      <c r="A69" s="19">
        <v>32</v>
      </c>
      <c r="B69" s="10" t="s">
        <v>211</v>
      </c>
      <c r="C69" s="11">
        <v>13</v>
      </c>
      <c r="D69" s="12">
        <v>587.43466699999999</v>
      </c>
      <c r="E69" s="4">
        <f>VLOOKUP(B69,'[2]Luy ke T9 2023'!$B$38:$D$181,2,FALSE)</f>
        <v>13</v>
      </c>
      <c r="F69" s="164">
        <f>VLOOKUP(B69,'[1]Luy ke T10 2023'!$B$38:$D$180,3,FALSE)</f>
        <v>587.43466699999999</v>
      </c>
      <c r="G69" s="145">
        <f t="shared" si="3"/>
        <v>0</v>
      </c>
    </row>
    <row r="70" spans="1:7" ht="18" customHeight="1">
      <c r="A70" s="19">
        <v>33</v>
      </c>
      <c r="B70" s="10" t="s">
        <v>103</v>
      </c>
      <c r="C70" s="11">
        <v>148</v>
      </c>
      <c r="D70" s="12">
        <v>534.31979303000003</v>
      </c>
      <c r="E70" s="4">
        <f>VLOOKUP(B70,'[2]Luy ke T9 2023'!$B$38:$D$181,2,FALSE)</f>
        <v>147</v>
      </c>
      <c r="F70" s="164">
        <f>VLOOKUP(B70,'[1]Luy ke T10 2023'!$B$38:$D$180,3,FALSE)</f>
        <v>519.10205563</v>
      </c>
      <c r="G70" s="145">
        <f t="shared" si="3"/>
        <v>15.217737400000033</v>
      </c>
    </row>
    <row r="71" spans="1:7" ht="18" customHeight="1">
      <c r="A71" s="19">
        <v>34</v>
      </c>
      <c r="B71" s="10" t="s">
        <v>121</v>
      </c>
      <c r="C71" s="11">
        <v>26</v>
      </c>
      <c r="D71" s="12">
        <v>469.54490700000002</v>
      </c>
      <c r="E71" s="4">
        <f>VLOOKUP(B71,'[2]Luy ke T9 2023'!$B$38:$D$181,2,FALSE)</f>
        <v>27</v>
      </c>
      <c r="F71" s="164">
        <f>VLOOKUP(B71,'[1]Luy ke T10 2023'!$B$38:$D$180,3,FALSE)</f>
        <v>469.54490700000002</v>
      </c>
      <c r="G71" s="145">
        <f t="shared" si="3"/>
        <v>0</v>
      </c>
    </row>
    <row r="72" spans="1:7" ht="18" customHeight="1">
      <c r="A72" s="19">
        <v>35</v>
      </c>
      <c r="B72" s="10" t="s">
        <v>210</v>
      </c>
      <c r="C72" s="11">
        <v>65</v>
      </c>
      <c r="D72" s="12">
        <v>439.34775300000001</v>
      </c>
      <c r="E72" s="4">
        <f>VLOOKUP(B72,'[2]Luy ke T9 2023'!$B$38:$D$181,2,FALSE)</f>
        <v>64</v>
      </c>
      <c r="F72" s="164">
        <f>VLOOKUP(B72,'[1]Luy ke T10 2023'!$B$38:$D$180,3,FALSE)</f>
        <v>439.34775300000001</v>
      </c>
      <c r="G72" s="145">
        <f t="shared" si="3"/>
        <v>0</v>
      </c>
    </row>
    <row r="73" spans="1:7" ht="18" customHeight="1">
      <c r="A73" s="19">
        <v>36</v>
      </c>
      <c r="B73" s="10" t="s">
        <v>72</v>
      </c>
      <c r="C73" s="11">
        <v>32</v>
      </c>
      <c r="D73" s="12">
        <v>422.99829799999998</v>
      </c>
      <c r="E73" s="4">
        <f>VLOOKUP(B73,'[2]Luy ke T9 2023'!$B$38:$D$181,2,FALSE)</f>
        <v>31</v>
      </c>
      <c r="F73" s="164">
        <f>VLOOKUP(B73,'[1]Luy ke T10 2023'!$B$38:$D$180,3,FALSE)</f>
        <v>422.99829799999998</v>
      </c>
      <c r="G73" s="145">
        <f t="shared" si="3"/>
        <v>0</v>
      </c>
    </row>
    <row r="74" spans="1:7" ht="18" customHeight="1">
      <c r="A74" s="19">
        <v>37</v>
      </c>
      <c r="B74" s="10" t="s">
        <v>87</v>
      </c>
      <c r="C74" s="11">
        <v>23</v>
      </c>
      <c r="D74" s="12">
        <v>340.35158899999999</v>
      </c>
      <c r="E74" s="4">
        <f>VLOOKUP(B74,'[2]Luy ke T9 2023'!$B$38:$D$181,2,FALSE)</f>
        <v>23</v>
      </c>
      <c r="F74" s="164">
        <f>VLOOKUP(B74,'[1]Luy ke T10 2023'!$B$38:$D$180,3,FALSE)</f>
        <v>340.35158899999999</v>
      </c>
      <c r="G74" s="145">
        <f t="shared" si="3"/>
        <v>0</v>
      </c>
    </row>
    <row r="75" spans="1:7" ht="18" customHeight="1">
      <c r="A75" s="19">
        <v>38</v>
      </c>
      <c r="B75" s="10" t="s">
        <v>86</v>
      </c>
      <c r="C75" s="11">
        <v>33</v>
      </c>
      <c r="D75" s="12">
        <v>302.19260300000002</v>
      </c>
      <c r="E75" s="4">
        <f>VLOOKUP(B75,'[2]Luy ke T9 2023'!$B$38:$D$181,2,FALSE)</f>
        <v>34</v>
      </c>
      <c r="F75" s="164">
        <f>VLOOKUP(B75,'[1]Luy ke T10 2023'!$B$38:$D$180,3,FALSE)</f>
        <v>302.69260300000002</v>
      </c>
      <c r="G75" s="145">
        <f t="shared" si="3"/>
        <v>-0.5</v>
      </c>
    </row>
    <row r="76" spans="1:7" ht="18" customHeight="1">
      <c r="A76" s="19">
        <v>39</v>
      </c>
      <c r="B76" s="10" t="s">
        <v>112</v>
      </c>
      <c r="C76" s="11">
        <v>52</v>
      </c>
      <c r="D76" s="12">
        <v>208.34904197</v>
      </c>
      <c r="E76" s="4">
        <f>VLOOKUP(B76,'[2]Luy ke T9 2023'!$B$38:$D$181,2,FALSE)</f>
        <v>51</v>
      </c>
      <c r="F76" s="164">
        <f>VLOOKUP(B76,'[1]Luy ke T10 2023'!$B$38:$D$180,3,FALSE)</f>
        <v>208.32735</v>
      </c>
      <c r="G76" s="145">
        <f t="shared" si="3"/>
        <v>2.1691970000006222E-2</v>
      </c>
    </row>
    <row r="77" spans="1:7" ht="18" customHeight="1">
      <c r="A77" s="19">
        <v>40</v>
      </c>
      <c r="B77" s="10" t="s">
        <v>212</v>
      </c>
      <c r="C77" s="11">
        <v>56</v>
      </c>
      <c r="D77" s="12">
        <v>193.859129</v>
      </c>
      <c r="E77" s="4">
        <f>VLOOKUP(B77,'[2]Luy ke T9 2023'!$B$38:$D$181,2,FALSE)</f>
        <v>56</v>
      </c>
      <c r="F77" s="164">
        <f>VLOOKUP(B77,'[1]Luy ke T10 2023'!$B$38:$D$180,3,FALSE)</f>
        <v>193.859129</v>
      </c>
      <c r="G77" s="145">
        <f t="shared" si="3"/>
        <v>0</v>
      </c>
    </row>
    <row r="78" spans="1:7" ht="18" customHeight="1">
      <c r="A78" s="19">
        <v>41</v>
      </c>
      <c r="B78" s="10" t="s">
        <v>124</v>
      </c>
      <c r="C78" s="11">
        <v>18</v>
      </c>
      <c r="D78" s="12">
        <v>193.468389</v>
      </c>
      <c r="E78" s="4">
        <f>VLOOKUP(B78,'[2]Luy ke T9 2023'!$B$38:$D$181,2,FALSE)</f>
        <v>18</v>
      </c>
      <c r="F78" s="164">
        <f>VLOOKUP(B78,'[1]Luy ke T10 2023'!$B$38:$D$180,3,FALSE)</f>
        <v>193.468389</v>
      </c>
      <c r="G78" s="145">
        <f t="shared" si="3"/>
        <v>0</v>
      </c>
    </row>
    <row r="79" spans="1:7" ht="18" customHeight="1">
      <c r="A79" s="19">
        <v>42</v>
      </c>
      <c r="B79" s="10" t="s">
        <v>80</v>
      </c>
      <c r="C79" s="11">
        <v>24</v>
      </c>
      <c r="D79" s="12">
        <v>180.09</v>
      </c>
      <c r="E79" s="4">
        <f>VLOOKUP(B79,'[2]Luy ke T9 2023'!$B$38:$D$181,2,FALSE)</f>
        <v>24</v>
      </c>
      <c r="F79" s="164">
        <f>VLOOKUP(B79,'[1]Luy ke T10 2023'!$B$38:$D$180,3,FALSE)</f>
        <v>180.09</v>
      </c>
      <c r="G79" s="145">
        <f t="shared" si="3"/>
        <v>0</v>
      </c>
    </row>
    <row r="80" spans="1:7" ht="18" customHeight="1">
      <c r="A80" s="19">
        <v>43</v>
      </c>
      <c r="B80" s="10" t="s">
        <v>213</v>
      </c>
      <c r="C80" s="11">
        <v>2</v>
      </c>
      <c r="D80" s="12">
        <v>172</v>
      </c>
      <c r="E80" s="4">
        <f>VLOOKUP(B80,'[2]Luy ke T9 2023'!$B$38:$D$181,2,FALSE)</f>
        <v>2</v>
      </c>
      <c r="F80" s="164">
        <f>VLOOKUP(B80,'[1]Luy ke T10 2023'!$B$38:$D$180,3,FALSE)</f>
        <v>172</v>
      </c>
      <c r="G80" s="145">
        <f t="shared" si="3"/>
        <v>0</v>
      </c>
    </row>
    <row r="81" spans="1:7" ht="18" customHeight="1">
      <c r="A81" s="19">
        <v>44</v>
      </c>
      <c r="B81" s="10" t="s">
        <v>97</v>
      </c>
      <c r="C81" s="11">
        <v>42</v>
      </c>
      <c r="D81" s="12">
        <v>151.546862</v>
      </c>
      <c r="E81" s="4">
        <f>VLOOKUP(B81,'[2]Luy ke T9 2023'!$B$38:$D$181,2,FALSE)</f>
        <v>41</v>
      </c>
      <c r="F81" s="164">
        <f>VLOOKUP(B81,'[1]Luy ke T10 2023'!$B$38:$D$180,3,FALSE)</f>
        <v>151.12897699999999</v>
      </c>
      <c r="G81" s="145">
        <f t="shared" si="3"/>
        <v>0.4178850000000125</v>
      </c>
    </row>
    <row r="82" spans="1:7" ht="18" customHeight="1">
      <c r="A82" s="19">
        <v>45</v>
      </c>
      <c r="B82" s="10" t="s">
        <v>113</v>
      </c>
      <c r="C82" s="11">
        <v>43</v>
      </c>
      <c r="D82" s="12">
        <v>150.147333</v>
      </c>
      <c r="E82" s="4">
        <f>VLOOKUP(B82,'[2]Luy ke T9 2023'!$B$38:$D$181,2,FALSE)</f>
        <v>43</v>
      </c>
      <c r="F82" s="164">
        <f>VLOOKUP(B82,'[1]Luy ke T10 2023'!$B$38:$D$180,3,FALSE)</f>
        <v>150.147333</v>
      </c>
      <c r="G82" s="145">
        <f t="shared" si="3"/>
        <v>0</v>
      </c>
    </row>
    <row r="83" spans="1:7" ht="18" customHeight="1">
      <c r="A83" s="19">
        <v>46</v>
      </c>
      <c r="B83" s="10" t="s">
        <v>120</v>
      </c>
      <c r="C83" s="11">
        <v>94</v>
      </c>
      <c r="D83" s="12">
        <v>143.73478399999999</v>
      </c>
      <c r="E83" s="4">
        <f>VLOOKUP(B83,'[2]Luy ke T9 2023'!$B$38:$D$181,2,FALSE)</f>
        <v>92</v>
      </c>
      <c r="F83" s="164">
        <f>VLOOKUP(B83,'[1]Luy ke T10 2023'!$B$38:$D$180,3,FALSE)</f>
        <v>143.73478399999999</v>
      </c>
      <c r="G83" s="145">
        <f t="shared" si="3"/>
        <v>0</v>
      </c>
    </row>
    <row r="84" spans="1:7" ht="18" customHeight="1">
      <c r="A84" s="19">
        <v>47</v>
      </c>
      <c r="B84" s="10" t="s">
        <v>130</v>
      </c>
      <c r="C84" s="11">
        <v>16</v>
      </c>
      <c r="D84" s="12">
        <v>140.88177400000001</v>
      </c>
      <c r="E84" s="4">
        <f>VLOOKUP(B84,'[2]Luy ke T9 2023'!$B$38:$D$181,2,FALSE)</f>
        <v>16</v>
      </c>
      <c r="F84" s="164">
        <f>VLOOKUP(B84,'[1]Luy ke T10 2023'!$B$38:$D$180,3,FALSE)</f>
        <v>140.88177400000001</v>
      </c>
      <c r="G84" s="145">
        <f t="shared" si="3"/>
        <v>0</v>
      </c>
    </row>
    <row r="85" spans="1:7" ht="18" customHeight="1">
      <c r="A85" s="19">
        <v>48</v>
      </c>
      <c r="B85" s="10" t="s">
        <v>215</v>
      </c>
      <c r="C85" s="11">
        <v>4</v>
      </c>
      <c r="D85" s="12">
        <v>118.4</v>
      </c>
      <c r="E85" s="4">
        <f>VLOOKUP(B85,'[2]Luy ke T9 2023'!$B$38:$D$181,2,FALSE)</f>
        <v>4</v>
      </c>
      <c r="F85" s="164">
        <f>VLOOKUP(B85,'[1]Luy ke T10 2023'!$B$38:$D$180,3,FALSE)</f>
        <v>118.4</v>
      </c>
      <c r="G85" s="145">
        <f t="shared" si="3"/>
        <v>0</v>
      </c>
    </row>
    <row r="86" spans="1:7" ht="18" customHeight="1">
      <c r="A86" s="19">
        <v>49</v>
      </c>
      <c r="B86" s="10" t="s">
        <v>214</v>
      </c>
      <c r="C86" s="11">
        <v>9</v>
      </c>
      <c r="D86" s="12">
        <v>117.529765</v>
      </c>
      <c r="E86" s="4">
        <f>VLOOKUP(B86,'[2]Luy ke T9 2023'!$B$38:$D$181,2,FALSE)</f>
        <v>8</v>
      </c>
      <c r="F86" s="164">
        <f>VLOOKUP(B86,'[1]Luy ke T10 2023'!$B$38:$D$180,3,FALSE)</f>
        <v>106.313075</v>
      </c>
      <c r="G86" s="145">
        <f t="shared" si="3"/>
        <v>11.21669</v>
      </c>
    </row>
    <row r="87" spans="1:7" ht="18" customHeight="1">
      <c r="A87" s="19">
        <v>50</v>
      </c>
      <c r="B87" s="10" t="s">
        <v>119</v>
      </c>
      <c r="C87" s="11">
        <v>41</v>
      </c>
      <c r="D87" s="12">
        <v>92.383690000000001</v>
      </c>
      <c r="E87" s="4">
        <f>VLOOKUP(B87,'[2]Luy ke T9 2023'!$B$38:$D$181,2,FALSE)</f>
        <v>41</v>
      </c>
      <c r="F87" s="164">
        <f>VLOOKUP(B87,'[1]Luy ke T10 2023'!$B$38:$D$180,3,FALSE)</f>
        <v>92.383690000000001</v>
      </c>
      <c r="G87" s="145">
        <f t="shared" si="3"/>
        <v>0</v>
      </c>
    </row>
    <row r="88" spans="1:7" ht="18" customHeight="1">
      <c r="A88" s="19">
        <v>51</v>
      </c>
      <c r="B88" s="10" t="s">
        <v>98</v>
      </c>
      <c r="C88" s="11">
        <v>31</v>
      </c>
      <c r="D88" s="12">
        <v>73.570048999999997</v>
      </c>
      <c r="E88" s="4">
        <f>VLOOKUP(B88,'[2]Luy ke T9 2023'!$B$38:$D$181,2,FALSE)</f>
        <v>31</v>
      </c>
      <c r="F88" s="164">
        <f>VLOOKUP(B88,'[1]Luy ke T10 2023'!$B$38:$D$180,3,FALSE)</f>
        <v>73.570048999999997</v>
      </c>
      <c r="G88" s="145">
        <f t="shared" si="3"/>
        <v>0</v>
      </c>
    </row>
    <row r="89" spans="1:7" ht="18" customHeight="1">
      <c r="A89" s="19">
        <v>52</v>
      </c>
      <c r="B89" s="10" t="s">
        <v>137</v>
      </c>
      <c r="C89" s="11">
        <v>21</v>
      </c>
      <c r="D89" s="12">
        <v>72.259855000000002</v>
      </c>
      <c r="E89" s="4">
        <f>VLOOKUP(B89,'[2]Luy ke T9 2023'!$B$38:$D$181,2,FALSE)</f>
        <v>22</v>
      </c>
      <c r="F89" s="164">
        <f>VLOOKUP(B89,'[1]Luy ke T10 2023'!$B$38:$D$180,3,FALSE)</f>
        <v>72.281854999999993</v>
      </c>
      <c r="G89" s="145">
        <f t="shared" si="3"/>
        <v>-2.199999999999136E-2</v>
      </c>
    </row>
    <row r="90" spans="1:7" ht="18" customHeight="1">
      <c r="A90" s="19">
        <v>53</v>
      </c>
      <c r="B90" s="10" t="s">
        <v>91</v>
      </c>
      <c r="C90" s="11">
        <v>39</v>
      </c>
      <c r="D90" s="12">
        <v>71.510588999999996</v>
      </c>
      <c r="E90" s="4">
        <f>VLOOKUP(B90,'[2]Luy ke T9 2023'!$B$38:$D$181,2,FALSE)</f>
        <v>38</v>
      </c>
      <c r="F90" s="164">
        <f>VLOOKUP(B90,'[1]Luy ke T10 2023'!$B$38:$D$180,3,FALSE)</f>
        <v>71.510588999999996</v>
      </c>
      <c r="G90" s="145">
        <f t="shared" si="3"/>
        <v>0</v>
      </c>
    </row>
    <row r="91" spans="1:7" ht="18" customHeight="1">
      <c r="A91" s="19">
        <v>54</v>
      </c>
      <c r="B91" s="10" t="s">
        <v>109</v>
      </c>
      <c r="C91" s="11">
        <v>11</v>
      </c>
      <c r="D91" s="12">
        <v>71.128528000000003</v>
      </c>
      <c r="E91" s="4">
        <f>VLOOKUP(B91,'[2]Luy ke T9 2023'!$B$38:$D$181,2,FALSE)</f>
        <v>10</v>
      </c>
      <c r="F91" s="164">
        <f>VLOOKUP(B91,'[1]Luy ke T10 2023'!$B$38:$D$180,3,FALSE)</f>
        <v>71.128528000000003</v>
      </c>
      <c r="G91" s="145">
        <f t="shared" si="3"/>
        <v>0</v>
      </c>
    </row>
    <row r="92" spans="1:7" ht="18" customHeight="1">
      <c r="A92" s="19">
        <v>55</v>
      </c>
      <c r="B92" s="10" t="s">
        <v>217</v>
      </c>
      <c r="C92" s="11">
        <v>4</v>
      </c>
      <c r="D92" s="12">
        <v>56.703420000000001</v>
      </c>
      <c r="E92" s="4">
        <f>VLOOKUP(B92,'[2]Luy ke T9 2023'!$B$38:$D$181,2,FALSE)</f>
        <v>4</v>
      </c>
      <c r="F92" s="164">
        <f>VLOOKUP(B92,'[1]Luy ke T10 2023'!$B$38:$D$180,3,FALSE)</f>
        <v>56.703420000000001</v>
      </c>
      <c r="G92" s="145">
        <f t="shared" si="3"/>
        <v>0</v>
      </c>
    </row>
    <row r="93" spans="1:7" ht="18" customHeight="1">
      <c r="A93" s="19">
        <v>56</v>
      </c>
      <c r="B93" s="10" t="s">
        <v>220</v>
      </c>
      <c r="C93" s="11">
        <v>14</v>
      </c>
      <c r="D93" s="12">
        <v>52.49</v>
      </c>
      <c r="E93" s="4">
        <f>VLOOKUP(B93,'[2]Luy ke T9 2023'!$B$38:$D$181,2,FALSE)</f>
        <v>14</v>
      </c>
      <c r="F93" s="164">
        <f>VLOOKUP(B93,'[1]Luy ke T10 2023'!$B$38:$D$180,3,FALSE)</f>
        <v>52.49</v>
      </c>
      <c r="G93" s="145">
        <f t="shared" si="3"/>
        <v>0</v>
      </c>
    </row>
    <row r="94" spans="1:7" ht="18" customHeight="1">
      <c r="A94" s="19">
        <v>57</v>
      </c>
      <c r="B94" s="10" t="s">
        <v>218</v>
      </c>
      <c r="C94" s="11">
        <v>4</v>
      </c>
      <c r="D94" s="12">
        <v>47.6</v>
      </c>
      <c r="E94" s="4">
        <f>VLOOKUP(B94,'[2]Luy ke T9 2023'!$B$38:$D$181,2,FALSE)</f>
        <v>4</v>
      </c>
      <c r="F94" s="164">
        <f>VLOOKUP(B94,'[1]Luy ke T10 2023'!$B$38:$D$180,3,FALSE)</f>
        <v>47.6</v>
      </c>
      <c r="G94" s="145">
        <f t="shared" si="3"/>
        <v>0</v>
      </c>
    </row>
    <row r="95" spans="1:7" ht="18" customHeight="1">
      <c r="A95" s="19">
        <v>58</v>
      </c>
      <c r="B95" s="10" t="s">
        <v>110</v>
      </c>
      <c r="C95" s="11">
        <v>35</v>
      </c>
      <c r="D95" s="12">
        <v>46.775760940000005</v>
      </c>
      <c r="E95" s="4">
        <f>VLOOKUP(B95,'[2]Luy ke T9 2023'!$B$38:$D$181,2,FALSE)</f>
        <v>34</v>
      </c>
      <c r="F95" s="164">
        <f>VLOOKUP(B95,'[1]Luy ke T10 2023'!$B$38:$D$180,3,FALSE)</f>
        <v>46.775760939999998</v>
      </c>
      <c r="G95" s="145">
        <f t="shared" si="3"/>
        <v>0</v>
      </c>
    </row>
    <row r="96" spans="1:7" ht="18" customHeight="1">
      <c r="A96" s="19">
        <v>59</v>
      </c>
      <c r="B96" s="10" t="s">
        <v>93</v>
      </c>
      <c r="C96" s="11">
        <v>74</v>
      </c>
      <c r="D96" s="12">
        <v>45.050921000000002</v>
      </c>
      <c r="E96" s="4">
        <f>VLOOKUP(B96,'[2]Luy ke T9 2023'!$B$38:$D$181,2,FALSE)</f>
        <v>69</v>
      </c>
      <c r="F96" s="164">
        <f>VLOOKUP(B96,'[1]Luy ke T10 2023'!$B$38:$D$180,3,FALSE)</f>
        <v>45.030920999999999</v>
      </c>
      <c r="G96" s="145">
        <f t="shared" si="3"/>
        <v>2.0000000000003126E-2</v>
      </c>
    </row>
    <row r="97" spans="1:7" ht="18" customHeight="1">
      <c r="A97" s="19">
        <v>60</v>
      </c>
      <c r="B97" s="10" t="s">
        <v>219</v>
      </c>
      <c r="C97" s="11">
        <v>1</v>
      </c>
      <c r="D97" s="12">
        <v>45</v>
      </c>
      <c r="E97" s="4">
        <f>VLOOKUP(B97,'[2]Luy ke T9 2023'!$B$38:$D$181,2,FALSE)</f>
        <v>1</v>
      </c>
      <c r="F97" s="164">
        <f>VLOOKUP(B97,'[1]Luy ke T10 2023'!$B$38:$D$180,3,FALSE)</f>
        <v>45</v>
      </c>
      <c r="G97" s="145">
        <f t="shared" si="3"/>
        <v>0</v>
      </c>
    </row>
    <row r="98" spans="1:7" ht="18" customHeight="1">
      <c r="A98" s="19">
        <v>61</v>
      </c>
      <c r="B98" s="10" t="s">
        <v>114</v>
      </c>
      <c r="C98" s="11">
        <v>40</v>
      </c>
      <c r="D98" s="12">
        <v>44.202746579999996</v>
      </c>
      <c r="E98" s="4">
        <f>VLOOKUP(B98,'[2]Luy ke T9 2023'!$B$38:$D$181,2,FALSE)</f>
        <v>40</v>
      </c>
      <c r="F98" s="164">
        <f>VLOOKUP(B98,'[1]Luy ke T10 2023'!$B$38:$D$180,3,FALSE)</f>
        <v>44.202746579999996</v>
      </c>
      <c r="G98" s="145">
        <f t="shared" si="3"/>
        <v>0</v>
      </c>
    </row>
    <row r="99" spans="1:7" ht="18" customHeight="1">
      <c r="A99" s="19">
        <v>62</v>
      </c>
      <c r="B99" s="10" t="s">
        <v>108</v>
      </c>
      <c r="C99" s="11">
        <v>30</v>
      </c>
      <c r="D99" s="12">
        <v>42.918663799999997</v>
      </c>
      <c r="E99" s="4">
        <f>VLOOKUP(B99,'[2]Luy ke T9 2023'!$B$38:$D$181,2,FALSE)</f>
        <v>30</v>
      </c>
      <c r="F99" s="164">
        <f>VLOOKUP(B99,'[1]Luy ke T10 2023'!$B$38:$D$180,3,FALSE)</f>
        <v>42.918663799999997</v>
      </c>
      <c r="G99" s="145">
        <f t="shared" si="3"/>
        <v>0</v>
      </c>
    </row>
    <row r="100" spans="1:7" ht="18" customHeight="1">
      <c r="A100" s="19">
        <v>63</v>
      </c>
      <c r="B100" s="10" t="s">
        <v>230</v>
      </c>
      <c r="C100" s="11">
        <v>4</v>
      </c>
      <c r="D100" s="12">
        <v>42.423756210000001</v>
      </c>
      <c r="E100" s="4">
        <f>VLOOKUP(B100,'[2]Luy ke T9 2023'!$B$38:$D$181,2,FALSE)</f>
        <v>4</v>
      </c>
      <c r="F100" s="164">
        <f>VLOOKUP(B100,'[1]Luy ke T10 2023'!$B$38:$D$180,3,FALSE)</f>
        <v>42.423756210000001</v>
      </c>
      <c r="G100" s="145">
        <f t="shared" si="3"/>
        <v>0</v>
      </c>
    </row>
    <row r="101" spans="1:7" ht="18" customHeight="1">
      <c r="A101" s="19">
        <v>64</v>
      </c>
      <c r="B101" s="10" t="s">
        <v>269</v>
      </c>
      <c r="C101" s="11">
        <v>1</v>
      </c>
      <c r="D101" s="12">
        <v>40.772531999999998</v>
      </c>
      <c r="E101" s="4">
        <f>VLOOKUP(B101,'[2]Luy ke T9 2023'!$B$38:$D$181,2,FALSE)</f>
        <v>1</v>
      </c>
      <c r="F101" s="164">
        <f>VLOOKUP(B101,'[1]Luy ke T10 2023'!$B$38:$D$180,3,FALSE)</f>
        <v>40.772531999999998</v>
      </c>
      <c r="G101" s="145">
        <f t="shared" si="3"/>
        <v>0</v>
      </c>
    </row>
    <row r="102" spans="1:7" ht="18" customHeight="1">
      <c r="A102" s="19">
        <v>65</v>
      </c>
      <c r="B102" s="10" t="s">
        <v>106</v>
      </c>
      <c r="C102" s="11">
        <v>4</v>
      </c>
      <c r="D102" s="12">
        <v>39.905000000000001</v>
      </c>
      <c r="E102" s="4">
        <f>VLOOKUP(B102,'[2]Luy ke T9 2023'!$B$38:$D$181,2,FALSE)</f>
        <v>4</v>
      </c>
      <c r="F102" s="164">
        <f>VLOOKUP(B102,'[1]Luy ke T10 2023'!$B$38:$D$180,3,FALSE)</f>
        <v>39.905000000000001</v>
      </c>
      <c r="G102" s="145">
        <f t="shared" si="3"/>
        <v>0</v>
      </c>
    </row>
    <row r="103" spans="1:7" ht="18" customHeight="1">
      <c r="A103" s="19">
        <v>66</v>
      </c>
      <c r="B103" s="10" t="s">
        <v>221</v>
      </c>
      <c r="C103" s="11">
        <v>9</v>
      </c>
      <c r="D103" s="12">
        <v>38.076000000000001</v>
      </c>
      <c r="E103" s="4">
        <f>VLOOKUP(B103,'[2]Luy ke T9 2023'!$B$38:$D$181,2,FALSE)</f>
        <v>9</v>
      </c>
      <c r="F103" s="164">
        <f>VLOOKUP(B103,'[1]Luy ke T10 2023'!$B$38:$D$180,3,FALSE)</f>
        <v>38.076000000000001</v>
      </c>
      <c r="G103" s="145">
        <f t="shared" ref="G103:G166" si="4">D103-F103</f>
        <v>0</v>
      </c>
    </row>
    <row r="104" spans="1:7" ht="18" customHeight="1">
      <c r="A104" s="19">
        <v>67</v>
      </c>
      <c r="B104" s="10" t="s">
        <v>222</v>
      </c>
      <c r="C104" s="11">
        <v>1</v>
      </c>
      <c r="D104" s="12">
        <v>35</v>
      </c>
      <c r="E104" s="4">
        <f>VLOOKUP(B104,'[2]Luy ke T9 2023'!$B$38:$D$181,2,FALSE)</f>
        <v>1</v>
      </c>
      <c r="F104" s="164">
        <f>VLOOKUP(B104,'[1]Luy ke T10 2023'!$B$38:$D$180,3,FALSE)</f>
        <v>35</v>
      </c>
      <c r="G104" s="145">
        <f t="shared" si="4"/>
        <v>0</v>
      </c>
    </row>
    <row r="105" spans="1:7" ht="18" customHeight="1">
      <c r="A105" s="19">
        <v>68</v>
      </c>
      <c r="B105" s="10" t="s">
        <v>139</v>
      </c>
      <c r="C105" s="11">
        <v>3</v>
      </c>
      <c r="D105" s="12">
        <v>32.252552000000001</v>
      </c>
      <c r="E105" s="4">
        <f>VLOOKUP(B105,'[2]Luy ke T9 2023'!$B$38:$D$181,2,FALSE)</f>
        <v>3</v>
      </c>
      <c r="F105" s="164">
        <f>VLOOKUP(B105,'[1]Luy ke T10 2023'!$B$38:$D$180,3,FALSE)</f>
        <v>32.252552000000001</v>
      </c>
      <c r="G105" s="145">
        <f t="shared" si="4"/>
        <v>0</v>
      </c>
    </row>
    <row r="106" spans="1:7" ht="18" customHeight="1">
      <c r="A106" s="19">
        <v>69</v>
      </c>
      <c r="B106" s="10" t="s">
        <v>223</v>
      </c>
      <c r="C106" s="11">
        <v>14</v>
      </c>
      <c r="D106" s="12">
        <v>31.320467000000001</v>
      </c>
      <c r="E106" s="4">
        <f>VLOOKUP(B106,'[2]Luy ke T9 2023'!$B$38:$D$181,2,FALSE)</f>
        <v>14</v>
      </c>
      <c r="F106" s="164">
        <f>VLOOKUP(B106,'[1]Luy ke T10 2023'!$B$38:$D$180,3,FALSE)</f>
        <v>31.320467000000001</v>
      </c>
      <c r="G106" s="145">
        <f t="shared" si="4"/>
        <v>0</v>
      </c>
    </row>
    <row r="107" spans="1:7" ht="18" customHeight="1">
      <c r="A107" s="19">
        <v>70</v>
      </c>
      <c r="B107" s="10" t="s">
        <v>96</v>
      </c>
      <c r="C107" s="11">
        <v>27</v>
      </c>
      <c r="D107" s="12">
        <v>30.48178901</v>
      </c>
      <c r="E107" s="4">
        <f>VLOOKUP(B107,'[2]Luy ke T9 2023'!$B$38:$D$181,2,FALSE)</f>
        <v>27</v>
      </c>
      <c r="F107" s="164">
        <f>VLOOKUP(B107,'[1]Luy ke T10 2023'!$B$38:$D$180,3,FALSE)</f>
        <v>30.48178901</v>
      </c>
      <c r="G107" s="145">
        <f t="shared" si="4"/>
        <v>0</v>
      </c>
    </row>
    <row r="108" spans="1:7" ht="18" customHeight="1">
      <c r="A108" s="19">
        <v>71</v>
      </c>
      <c r="B108" s="10" t="s">
        <v>126</v>
      </c>
      <c r="C108" s="11">
        <v>6</v>
      </c>
      <c r="D108" s="12">
        <v>27.283180999999999</v>
      </c>
      <c r="E108" s="4">
        <f>VLOOKUP(B108,'[2]Luy ke T9 2023'!$B$38:$D$181,2,FALSE)</f>
        <v>6</v>
      </c>
      <c r="F108" s="164">
        <f>VLOOKUP(B108,'[1]Luy ke T10 2023'!$B$38:$D$180,3,FALSE)</f>
        <v>27.283180999999999</v>
      </c>
      <c r="G108" s="145">
        <f t="shared" si="4"/>
        <v>0</v>
      </c>
    </row>
    <row r="109" spans="1:7" ht="18" customHeight="1">
      <c r="A109" s="19">
        <v>72</v>
      </c>
      <c r="B109" s="10" t="s">
        <v>227</v>
      </c>
      <c r="C109" s="11">
        <v>4</v>
      </c>
      <c r="D109" s="12">
        <v>22.58</v>
      </c>
      <c r="E109" s="4">
        <f>VLOOKUP(B109,'[2]Luy ke T9 2023'!$B$38:$D$181,2,FALSE)</f>
        <v>4</v>
      </c>
      <c r="F109" s="164">
        <f>VLOOKUP(B109,'[1]Luy ke T10 2023'!$B$38:$D$180,3,FALSE)</f>
        <v>22.58</v>
      </c>
      <c r="G109" s="145">
        <f t="shared" si="4"/>
        <v>0</v>
      </c>
    </row>
    <row r="110" spans="1:7" ht="18" customHeight="1">
      <c r="A110" s="19">
        <v>73</v>
      </c>
      <c r="B110" s="10" t="s">
        <v>224</v>
      </c>
      <c r="C110" s="11">
        <v>2</v>
      </c>
      <c r="D110" s="12">
        <v>22.5</v>
      </c>
      <c r="E110" s="4">
        <f>VLOOKUP(B110,'[2]Luy ke T9 2023'!$B$38:$D$181,2,FALSE)</f>
        <v>2</v>
      </c>
      <c r="F110" s="164">
        <f>VLOOKUP(B110,'[1]Luy ke T10 2023'!$B$38:$D$180,3,FALSE)</f>
        <v>22.5</v>
      </c>
      <c r="G110" s="145">
        <f t="shared" si="4"/>
        <v>0</v>
      </c>
    </row>
    <row r="111" spans="1:7" ht="18" customHeight="1">
      <c r="A111" s="19">
        <v>74</v>
      </c>
      <c r="B111" s="10" t="s">
        <v>142</v>
      </c>
      <c r="C111" s="11">
        <v>9</v>
      </c>
      <c r="D111" s="12">
        <v>21.118303000000001</v>
      </c>
      <c r="E111" s="4">
        <f>VLOOKUP(B111,'[2]Luy ke T9 2023'!$B$38:$D$181,2,FALSE)</f>
        <v>9</v>
      </c>
      <c r="F111" s="164">
        <f>VLOOKUP(B111,'[1]Luy ke T10 2023'!$B$38:$D$180,3,FALSE)</f>
        <v>21.118303000000001</v>
      </c>
      <c r="G111" s="145">
        <f t="shared" si="4"/>
        <v>0</v>
      </c>
    </row>
    <row r="112" spans="1:7" ht="18" customHeight="1">
      <c r="A112" s="19">
        <v>75</v>
      </c>
      <c r="B112" s="10" t="s">
        <v>225</v>
      </c>
      <c r="C112" s="11">
        <v>3</v>
      </c>
      <c r="D112" s="12">
        <v>20.774493</v>
      </c>
      <c r="E112" s="4">
        <f>VLOOKUP(B112,'[2]Luy ke T9 2023'!$B$38:$D$181,2,FALSE)</f>
        <v>3</v>
      </c>
      <c r="F112" s="164">
        <f>VLOOKUP(B112,'[1]Luy ke T10 2023'!$B$38:$D$180,3,FALSE)</f>
        <v>20.774493</v>
      </c>
      <c r="G112" s="145">
        <f t="shared" si="4"/>
        <v>0</v>
      </c>
    </row>
    <row r="113" spans="1:7" ht="18" customHeight="1">
      <c r="A113" s="19">
        <v>76</v>
      </c>
      <c r="B113" s="10" t="s">
        <v>111</v>
      </c>
      <c r="C113" s="11">
        <v>3</v>
      </c>
      <c r="D113" s="12">
        <v>20.315000000000001</v>
      </c>
      <c r="E113" s="4">
        <f>VLOOKUP(B113,'[2]Luy ke T9 2023'!$B$38:$D$181,2,FALSE)</f>
        <v>3</v>
      </c>
      <c r="F113" s="164">
        <f>VLOOKUP(B113,'[1]Luy ke T10 2023'!$B$38:$D$180,3,FALSE)</f>
        <v>20.315000000000001</v>
      </c>
      <c r="G113" s="145">
        <f t="shared" si="4"/>
        <v>0</v>
      </c>
    </row>
    <row r="114" spans="1:7" ht="18" customHeight="1">
      <c r="A114" s="19">
        <v>77</v>
      </c>
      <c r="B114" s="10" t="s">
        <v>226</v>
      </c>
      <c r="C114" s="11">
        <v>4</v>
      </c>
      <c r="D114" s="12">
        <v>16.598061999999999</v>
      </c>
      <c r="E114" s="4">
        <f>VLOOKUP(B114,'[2]Luy ke T9 2023'!$B$38:$D$181,2,FALSE)</f>
        <v>4</v>
      </c>
      <c r="F114" s="164">
        <f>VLOOKUP(B114,'[1]Luy ke T10 2023'!$B$38:$D$180,3,FALSE)</f>
        <v>16.598061999999999</v>
      </c>
      <c r="G114" s="145">
        <f t="shared" si="4"/>
        <v>0</v>
      </c>
    </row>
    <row r="115" spans="1:7" ht="18" customHeight="1">
      <c r="A115" s="19">
        <v>78</v>
      </c>
      <c r="B115" s="10" t="s">
        <v>228</v>
      </c>
      <c r="C115" s="11">
        <v>2</v>
      </c>
      <c r="D115" s="12">
        <v>10.278</v>
      </c>
      <c r="E115" s="4">
        <f>VLOOKUP(B115,'[2]Luy ke T9 2023'!$B$38:$D$181,2,FALSE)</f>
        <v>2</v>
      </c>
      <c r="F115" s="164">
        <f>VLOOKUP(B115,'[1]Luy ke T10 2023'!$B$38:$D$180,3,FALSE)</f>
        <v>10.278</v>
      </c>
      <c r="G115" s="145">
        <f t="shared" si="4"/>
        <v>0</v>
      </c>
    </row>
    <row r="116" spans="1:7" ht="18" customHeight="1">
      <c r="A116" s="19">
        <v>79</v>
      </c>
      <c r="B116" s="10" t="s">
        <v>102</v>
      </c>
      <c r="C116" s="11">
        <v>7</v>
      </c>
      <c r="D116" s="12">
        <v>8.2663989999999998</v>
      </c>
      <c r="E116" s="4">
        <f>VLOOKUP(B116,'[2]Luy ke T9 2023'!$B$38:$D$181,2,FALSE)</f>
        <v>7</v>
      </c>
      <c r="F116" s="164">
        <f>VLOOKUP(B116,'[1]Luy ke T10 2023'!$B$38:$D$180,3,FALSE)</f>
        <v>8.2663989999999998</v>
      </c>
      <c r="G116" s="145">
        <f t="shared" si="4"/>
        <v>0</v>
      </c>
    </row>
    <row r="117" spans="1:7" ht="18" customHeight="1">
      <c r="A117" s="19">
        <v>80</v>
      </c>
      <c r="B117" s="10" t="s">
        <v>129</v>
      </c>
      <c r="C117" s="11">
        <v>2</v>
      </c>
      <c r="D117" s="12">
        <v>8.0431500000000007</v>
      </c>
      <c r="E117" s="4">
        <f>VLOOKUP(B117,'[2]Luy ke T9 2023'!$B$38:$D$181,2,FALSE)</f>
        <v>2</v>
      </c>
      <c r="F117" s="164">
        <f>VLOOKUP(B117,'[1]Luy ke T10 2023'!$B$38:$D$180,3,FALSE)</f>
        <v>8.0431500000000007</v>
      </c>
      <c r="G117" s="145">
        <f t="shared" si="4"/>
        <v>0</v>
      </c>
    </row>
    <row r="118" spans="1:7" ht="18" customHeight="1">
      <c r="A118" s="19">
        <v>81</v>
      </c>
      <c r="B118" s="10" t="s">
        <v>229</v>
      </c>
      <c r="C118" s="11">
        <v>4</v>
      </c>
      <c r="D118" s="12">
        <v>7.0309999999999997</v>
      </c>
      <c r="E118" s="4">
        <f>VLOOKUP(B118,'[2]Luy ke T9 2023'!$B$38:$D$181,2,FALSE)</f>
        <v>4</v>
      </c>
      <c r="F118" s="164">
        <f>VLOOKUP(B118,'[1]Luy ke T10 2023'!$B$38:$D$180,3,FALSE)</f>
        <v>7.0309999999999997</v>
      </c>
      <c r="G118" s="145">
        <f t="shared" si="4"/>
        <v>0</v>
      </c>
    </row>
    <row r="119" spans="1:7" ht="18" customHeight="1">
      <c r="A119" s="19">
        <v>82</v>
      </c>
      <c r="B119" s="10" t="s">
        <v>312</v>
      </c>
      <c r="C119" s="11">
        <v>1</v>
      </c>
      <c r="D119" s="12">
        <v>4</v>
      </c>
      <c r="E119" s="4">
        <f>VLOOKUP(B119,'[2]Luy ke T9 2023'!$B$38:$D$181,2,FALSE)</f>
        <v>1</v>
      </c>
      <c r="F119" s="164">
        <f>VLOOKUP(B119,'[1]Luy ke T10 2023'!$B$38:$D$180,3,FALSE)</f>
        <v>4</v>
      </c>
      <c r="G119" s="145">
        <f t="shared" si="4"/>
        <v>0</v>
      </c>
    </row>
    <row r="120" spans="1:7" ht="18" customHeight="1">
      <c r="A120" s="19">
        <v>83</v>
      </c>
      <c r="B120" s="10" t="s">
        <v>99</v>
      </c>
      <c r="C120" s="11">
        <v>40</v>
      </c>
      <c r="D120" s="12">
        <v>3.8912499999999999</v>
      </c>
      <c r="E120" s="4">
        <f>VLOOKUP(B120,'[2]Luy ke T9 2023'!$B$38:$D$181,2,FALSE)</f>
        <v>40</v>
      </c>
      <c r="F120" s="164">
        <f>VLOOKUP(B120,'[1]Luy ke T10 2023'!$B$38:$D$180,3,FALSE)</f>
        <v>3.8912499999999999</v>
      </c>
      <c r="G120" s="145">
        <f t="shared" si="4"/>
        <v>0</v>
      </c>
    </row>
    <row r="121" spans="1:7" ht="18" customHeight="1">
      <c r="A121" s="19">
        <v>84</v>
      </c>
      <c r="B121" s="10" t="s">
        <v>135</v>
      </c>
      <c r="C121" s="11">
        <v>7</v>
      </c>
      <c r="D121" s="12">
        <v>3.8475060000000001</v>
      </c>
      <c r="E121" s="4">
        <f>VLOOKUP(B121,'[2]Luy ke T9 2023'!$B$38:$D$181,2,FALSE)</f>
        <v>6</v>
      </c>
      <c r="F121" s="164">
        <f>VLOOKUP(B121,'[1]Luy ke T10 2023'!$B$38:$D$180,3,FALSE)</f>
        <v>3.8475060000000001</v>
      </c>
      <c r="G121" s="145">
        <f t="shared" si="4"/>
        <v>0</v>
      </c>
    </row>
    <row r="122" spans="1:7" ht="18" customHeight="1">
      <c r="A122" s="19">
        <v>85</v>
      </c>
      <c r="B122" s="10" t="s">
        <v>231</v>
      </c>
      <c r="C122" s="11">
        <v>1</v>
      </c>
      <c r="D122" s="12">
        <v>3.8</v>
      </c>
      <c r="E122" s="4">
        <f>VLOOKUP(B122,'[2]Luy ke T9 2023'!$B$38:$D$181,2,FALSE)</f>
        <v>1</v>
      </c>
      <c r="F122" s="164">
        <f>VLOOKUP(B122,'[1]Luy ke T10 2023'!$B$38:$D$180,3,FALSE)</f>
        <v>3.8</v>
      </c>
      <c r="G122" s="145">
        <f t="shared" si="4"/>
        <v>0</v>
      </c>
    </row>
    <row r="123" spans="1:7" ht="18" customHeight="1">
      <c r="A123" s="19">
        <v>86</v>
      </c>
      <c r="B123" s="10" t="s">
        <v>284</v>
      </c>
      <c r="C123" s="11">
        <v>1</v>
      </c>
      <c r="D123" s="12">
        <v>3.225806</v>
      </c>
      <c r="E123" s="4">
        <f>VLOOKUP(B123,'[2]Luy ke T9 2023'!$B$38:$D$181,2,FALSE)</f>
        <v>1</v>
      </c>
      <c r="F123" s="164">
        <f>VLOOKUP(B123,'[1]Luy ke T10 2023'!$B$38:$D$180,3,FALSE)</f>
        <v>3.225806</v>
      </c>
      <c r="G123" s="145">
        <f t="shared" si="4"/>
        <v>0</v>
      </c>
    </row>
    <row r="124" spans="1:7" ht="18" customHeight="1">
      <c r="A124" s="19">
        <v>87</v>
      </c>
      <c r="B124" s="10" t="s">
        <v>232</v>
      </c>
      <c r="C124" s="11">
        <v>4</v>
      </c>
      <c r="D124" s="12">
        <v>3.2161849999999998</v>
      </c>
      <c r="E124" s="4">
        <f>VLOOKUP(B124,'[2]Luy ke T9 2023'!$B$38:$D$181,2,FALSE)</f>
        <v>4</v>
      </c>
      <c r="F124" s="164">
        <f>VLOOKUP(B124,'[1]Luy ke T10 2023'!$B$38:$D$180,3,FALSE)</f>
        <v>3.2161849999999998</v>
      </c>
      <c r="G124" s="145">
        <f t="shared" si="4"/>
        <v>0</v>
      </c>
    </row>
    <row r="125" spans="1:7" ht="18" customHeight="1">
      <c r="A125" s="19">
        <v>88</v>
      </c>
      <c r="B125" s="10" t="s">
        <v>233</v>
      </c>
      <c r="C125" s="11">
        <v>2</v>
      </c>
      <c r="D125" s="12">
        <v>3.1</v>
      </c>
      <c r="E125" s="4">
        <f>VLOOKUP(B125,'[2]Luy ke T9 2023'!$B$38:$D$181,2,FALSE)</f>
        <v>2</v>
      </c>
      <c r="F125" s="164">
        <f>VLOOKUP(B125,'[1]Luy ke T10 2023'!$B$38:$D$180,3,FALSE)</f>
        <v>3.1</v>
      </c>
      <c r="G125" s="145">
        <f t="shared" si="4"/>
        <v>0</v>
      </c>
    </row>
    <row r="126" spans="1:7" ht="18" customHeight="1">
      <c r="A126" s="19">
        <v>89</v>
      </c>
      <c r="B126" s="10" t="s">
        <v>118</v>
      </c>
      <c r="C126" s="11">
        <v>22</v>
      </c>
      <c r="D126" s="12">
        <v>2.8710100000000001</v>
      </c>
      <c r="E126" s="4">
        <f>VLOOKUP(B126,'[2]Luy ke T9 2023'!$B$38:$D$181,2,FALSE)</f>
        <v>22</v>
      </c>
      <c r="F126" s="164">
        <f>VLOOKUP(B126,'[1]Luy ke T10 2023'!$B$38:$D$180,3,FALSE)</f>
        <v>2.8710100000000001</v>
      </c>
      <c r="G126" s="145">
        <f t="shared" si="4"/>
        <v>0</v>
      </c>
    </row>
    <row r="127" spans="1:7" ht="18" customHeight="1">
      <c r="A127" s="19">
        <v>90</v>
      </c>
      <c r="B127" s="10" t="s">
        <v>216</v>
      </c>
      <c r="C127" s="11">
        <v>2</v>
      </c>
      <c r="D127" s="12">
        <v>2.75</v>
      </c>
      <c r="E127" s="4">
        <f>VLOOKUP(B127,'[2]Luy ke T9 2023'!$B$38:$D$181,2,FALSE)</f>
        <v>2</v>
      </c>
      <c r="F127" s="164">
        <f>VLOOKUP(B127,'[1]Luy ke T10 2023'!$B$38:$D$180,3,FALSE)</f>
        <v>2.75</v>
      </c>
      <c r="G127" s="145">
        <f t="shared" si="4"/>
        <v>0</v>
      </c>
    </row>
    <row r="128" spans="1:7" ht="18" customHeight="1">
      <c r="A128" s="19">
        <v>91</v>
      </c>
      <c r="B128" s="10" t="s">
        <v>234</v>
      </c>
      <c r="C128" s="11">
        <v>3</v>
      </c>
      <c r="D128" s="12">
        <v>2.27</v>
      </c>
      <c r="E128" s="4">
        <f>VLOOKUP(B128,'[2]Luy ke T9 2023'!$B$38:$D$181,2,FALSE)</f>
        <v>3</v>
      </c>
      <c r="F128" s="164">
        <f>VLOOKUP(B128,'[1]Luy ke T10 2023'!$B$38:$D$180,3,FALSE)</f>
        <v>2.27</v>
      </c>
      <c r="G128" s="145">
        <f t="shared" si="4"/>
        <v>0</v>
      </c>
    </row>
    <row r="129" spans="1:7" ht="18" customHeight="1">
      <c r="A129" s="19">
        <v>92</v>
      </c>
      <c r="B129" s="10" t="s">
        <v>144</v>
      </c>
      <c r="C129" s="11">
        <v>6</v>
      </c>
      <c r="D129" s="12">
        <v>1.681643</v>
      </c>
      <c r="E129" s="4">
        <f>VLOOKUP(B129,'[2]Luy ke T9 2023'!$B$38:$D$181,2,FALSE)</f>
        <v>5</v>
      </c>
      <c r="F129" s="164">
        <f>VLOOKUP(B129,'[1]Luy ke T10 2023'!$B$38:$D$180,3,FALSE)</f>
        <v>1.556643</v>
      </c>
      <c r="G129" s="145">
        <f t="shared" si="4"/>
        <v>0.125</v>
      </c>
    </row>
    <row r="130" spans="1:7" ht="18" customHeight="1">
      <c r="A130" s="19">
        <v>93</v>
      </c>
      <c r="B130" s="10" t="s">
        <v>235</v>
      </c>
      <c r="C130" s="11">
        <v>2</v>
      </c>
      <c r="D130" s="12">
        <v>1.5845</v>
      </c>
      <c r="E130" s="4">
        <f>VLOOKUP(B130,'[2]Luy ke T9 2023'!$B$38:$D$181,2,FALSE)</f>
        <v>2</v>
      </c>
      <c r="F130" s="164">
        <f>VLOOKUP(B130,'[1]Luy ke T10 2023'!$B$38:$D$180,3,FALSE)</f>
        <v>1.5845</v>
      </c>
      <c r="G130" s="145">
        <f t="shared" si="4"/>
        <v>0</v>
      </c>
    </row>
    <row r="131" spans="1:7" ht="18" customHeight="1">
      <c r="A131" s="19">
        <v>94</v>
      </c>
      <c r="B131" s="10" t="s">
        <v>236</v>
      </c>
      <c r="C131" s="11">
        <v>3</v>
      </c>
      <c r="D131" s="12">
        <v>1.4043000000000001</v>
      </c>
      <c r="E131" s="4">
        <f>VLOOKUP(B131,'[2]Luy ke T9 2023'!$B$38:$D$181,2,FALSE)</f>
        <v>3</v>
      </c>
      <c r="F131" s="164">
        <f>VLOOKUP(B131,'[1]Luy ke T10 2023'!$B$38:$D$180,3,FALSE)</f>
        <v>1.4043000000000001</v>
      </c>
      <c r="G131" s="145">
        <f t="shared" si="4"/>
        <v>0</v>
      </c>
    </row>
    <row r="132" spans="1:7" ht="18" customHeight="1">
      <c r="A132" s="19">
        <v>95</v>
      </c>
      <c r="B132" s="10" t="s">
        <v>107</v>
      </c>
      <c r="C132" s="11">
        <v>6</v>
      </c>
      <c r="D132" s="12">
        <v>1.2845420000000001</v>
      </c>
      <c r="E132" s="4">
        <f>VLOOKUP(B132,'[2]Luy ke T9 2023'!$B$38:$D$181,2,FALSE)</f>
        <v>6</v>
      </c>
      <c r="F132" s="164">
        <f>VLOOKUP(B132,'[1]Luy ke T10 2023'!$B$38:$D$180,3,FALSE)</f>
        <v>1.2845420000000001</v>
      </c>
      <c r="G132" s="145">
        <f t="shared" si="4"/>
        <v>0</v>
      </c>
    </row>
    <row r="133" spans="1:7" ht="18" customHeight="1">
      <c r="A133" s="19">
        <v>96</v>
      </c>
      <c r="B133" s="10" t="s">
        <v>277</v>
      </c>
      <c r="C133" s="11">
        <v>1</v>
      </c>
      <c r="D133" s="12">
        <v>1.239743</v>
      </c>
      <c r="E133" s="4">
        <f>VLOOKUP(B133,'[2]Luy ke T9 2023'!$B$38:$D$181,2,FALSE)</f>
        <v>1</v>
      </c>
      <c r="F133" s="164">
        <f>VLOOKUP(B133,'[1]Luy ke T10 2023'!$B$38:$D$180,3,FALSE)</f>
        <v>1.239743</v>
      </c>
      <c r="G133" s="145">
        <f t="shared" si="4"/>
        <v>0</v>
      </c>
    </row>
    <row r="134" spans="1:7" ht="18" customHeight="1">
      <c r="A134" s="19">
        <v>97</v>
      </c>
      <c r="B134" s="10" t="s">
        <v>237</v>
      </c>
      <c r="C134" s="11">
        <v>5</v>
      </c>
      <c r="D134" s="12">
        <v>1.2</v>
      </c>
      <c r="E134" s="4">
        <f>VLOOKUP(B134,'[2]Luy ke T9 2023'!$B$38:$D$181,2,FALSE)</f>
        <v>5</v>
      </c>
      <c r="F134" s="164">
        <f>VLOOKUP(B134,'[1]Luy ke T10 2023'!$B$38:$D$180,3,FALSE)</f>
        <v>1.2</v>
      </c>
      <c r="G134" s="145">
        <f t="shared" si="4"/>
        <v>0</v>
      </c>
    </row>
    <row r="135" spans="1:7" ht="18" customHeight="1">
      <c r="A135" s="19">
        <v>98</v>
      </c>
      <c r="B135" s="10" t="s">
        <v>238</v>
      </c>
      <c r="C135" s="11">
        <v>4</v>
      </c>
      <c r="D135" s="12">
        <v>1.1100000000000001</v>
      </c>
      <c r="E135" s="4">
        <f>VLOOKUP(B135,'[2]Luy ke T9 2023'!$B$38:$D$181,2,FALSE)</f>
        <v>4</v>
      </c>
      <c r="F135" s="164">
        <f>VLOOKUP(B135,'[1]Luy ke T10 2023'!$B$38:$D$180,3,FALSE)</f>
        <v>1.1100000000000001</v>
      </c>
      <c r="G135" s="145">
        <f t="shared" si="4"/>
        <v>0</v>
      </c>
    </row>
    <row r="136" spans="1:7" ht="18" customHeight="1">
      <c r="A136" s="19">
        <v>99</v>
      </c>
      <c r="B136" s="10" t="s">
        <v>131</v>
      </c>
      <c r="C136" s="11">
        <v>3</v>
      </c>
      <c r="D136" s="12">
        <v>1.07</v>
      </c>
      <c r="E136" s="4">
        <f>VLOOKUP(B136,'[2]Luy ke T9 2023'!$B$38:$D$181,2,FALSE)</f>
        <v>3</v>
      </c>
      <c r="F136" s="164">
        <f>VLOOKUP(B136,'[1]Luy ke T10 2023'!$B$38:$D$180,3,FALSE)</f>
        <v>1.07</v>
      </c>
      <c r="G136" s="145">
        <f t="shared" si="4"/>
        <v>0</v>
      </c>
    </row>
    <row r="137" spans="1:7" ht="18" customHeight="1">
      <c r="A137" s="19">
        <v>100</v>
      </c>
      <c r="B137" s="10" t="s">
        <v>239</v>
      </c>
      <c r="C137" s="11">
        <v>2</v>
      </c>
      <c r="D137" s="12">
        <v>1.0149999999999999</v>
      </c>
      <c r="E137" s="4">
        <f>VLOOKUP(B137,'[2]Luy ke T9 2023'!$B$38:$D$181,2,FALSE)</f>
        <v>2</v>
      </c>
      <c r="F137" s="164">
        <f>VLOOKUP(B137,'[1]Luy ke T10 2023'!$B$38:$D$180,3,FALSE)</f>
        <v>1.0149999999999999</v>
      </c>
      <c r="G137" s="145">
        <f t="shared" si="4"/>
        <v>0</v>
      </c>
    </row>
    <row r="138" spans="1:7" ht="18" customHeight="1">
      <c r="A138" s="19">
        <v>101</v>
      </c>
      <c r="B138" s="10" t="s">
        <v>122</v>
      </c>
      <c r="C138" s="11">
        <v>5</v>
      </c>
      <c r="D138" s="12">
        <v>1.003787</v>
      </c>
      <c r="E138" s="4">
        <f>VLOOKUP(B138,'[2]Luy ke T9 2023'!$B$38:$D$181,2,FALSE)</f>
        <v>5</v>
      </c>
      <c r="F138" s="164">
        <f>VLOOKUP(B138,'[1]Luy ke T10 2023'!$B$38:$D$180,3,FALSE)</f>
        <v>1.003787</v>
      </c>
      <c r="G138" s="145">
        <f t="shared" si="4"/>
        <v>0</v>
      </c>
    </row>
    <row r="139" spans="1:7" ht="18" customHeight="1">
      <c r="A139" s="19">
        <v>102</v>
      </c>
      <c r="B139" s="10" t="s">
        <v>240</v>
      </c>
      <c r="C139" s="11">
        <v>4</v>
      </c>
      <c r="D139" s="12">
        <v>0.95206999999999997</v>
      </c>
      <c r="E139" s="4">
        <f>VLOOKUP(B139,'[2]Luy ke T9 2023'!$B$38:$D$181,2,FALSE)</f>
        <v>4</v>
      </c>
      <c r="F139" s="164">
        <f>VLOOKUP(B139,'[1]Luy ke T10 2023'!$B$38:$D$180,3,FALSE)</f>
        <v>0.95206999999999997</v>
      </c>
      <c r="G139" s="145">
        <f t="shared" si="4"/>
        <v>0</v>
      </c>
    </row>
    <row r="140" spans="1:7" ht="18" customHeight="1">
      <c r="A140" s="19">
        <v>103</v>
      </c>
      <c r="B140" s="10" t="s">
        <v>132</v>
      </c>
      <c r="C140" s="11">
        <v>19</v>
      </c>
      <c r="D140" s="12">
        <v>0.94168799999999997</v>
      </c>
      <c r="E140" s="4">
        <f>VLOOKUP(B140,'[2]Luy ke T9 2023'!$B$38:$D$181,2,FALSE)</f>
        <v>19</v>
      </c>
      <c r="F140" s="164">
        <f>VLOOKUP(B140,'[1]Luy ke T10 2023'!$B$38:$D$180,3,FALSE)</f>
        <v>0.94168799999999997</v>
      </c>
      <c r="G140" s="145">
        <f t="shared" si="4"/>
        <v>0</v>
      </c>
    </row>
    <row r="141" spans="1:7" ht="18" customHeight="1">
      <c r="A141" s="19">
        <v>104</v>
      </c>
      <c r="B141" s="10" t="s">
        <v>241</v>
      </c>
      <c r="C141" s="11">
        <v>8</v>
      </c>
      <c r="D141" s="12">
        <v>0.82611859999999993</v>
      </c>
      <c r="E141" s="4">
        <f>VLOOKUP(B141,'[2]Luy ke T9 2023'!$B$38:$D$181,2,FALSE)</f>
        <v>8</v>
      </c>
      <c r="F141" s="164">
        <f>VLOOKUP(B141,'[1]Luy ke T10 2023'!$B$38:$D$180,3,FALSE)</f>
        <v>0.82611859999999993</v>
      </c>
      <c r="G141" s="145">
        <f t="shared" si="4"/>
        <v>0</v>
      </c>
    </row>
    <row r="142" spans="1:7" ht="18" customHeight="1">
      <c r="A142" s="19">
        <v>105</v>
      </c>
      <c r="B142" s="10" t="s">
        <v>273</v>
      </c>
      <c r="C142" s="11">
        <v>3</v>
      </c>
      <c r="D142" s="12">
        <v>0.71</v>
      </c>
      <c r="E142" s="4">
        <f>VLOOKUP(B142,'[2]Luy ke T9 2023'!$B$38:$D$181,2,FALSE)</f>
        <v>3</v>
      </c>
      <c r="F142" s="164">
        <f>VLOOKUP(B142,'[1]Luy ke T10 2023'!$B$38:$D$180,3,FALSE)</f>
        <v>0.71</v>
      </c>
      <c r="G142" s="145">
        <f t="shared" si="4"/>
        <v>0</v>
      </c>
    </row>
    <row r="143" spans="1:7" ht="18" customHeight="1">
      <c r="A143" s="19">
        <v>106</v>
      </c>
      <c r="B143" s="10" t="s">
        <v>127</v>
      </c>
      <c r="C143" s="11">
        <v>19</v>
      </c>
      <c r="D143" s="12">
        <v>0.62115200000000004</v>
      </c>
      <c r="E143" s="4">
        <f>VLOOKUP(B143,'[2]Luy ke T9 2023'!$B$38:$D$181,2,FALSE)</f>
        <v>19</v>
      </c>
      <c r="F143" s="164">
        <f>VLOOKUP(B143,'[1]Luy ke T10 2023'!$B$38:$D$180,3,FALSE)</f>
        <v>0.62115200000000004</v>
      </c>
      <c r="G143" s="145">
        <f t="shared" si="4"/>
        <v>0</v>
      </c>
    </row>
    <row r="144" spans="1:7" ht="18" customHeight="1">
      <c r="A144" s="19">
        <v>107</v>
      </c>
      <c r="B144" s="10" t="s">
        <v>116</v>
      </c>
      <c r="C144" s="11">
        <v>6</v>
      </c>
      <c r="D144" s="12">
        <v>0.56370699999999996</v>
      </c>
      <c r="E144" s="4">
        <f>VLOOKUP(B144,'[2]Luy ke T9 2023'!$B$38:$D$181,2,FALSE)</f>
        <v>6</v>
      </c>
      <c r="F144" s="164">
        <f>VLOOKUP(B144,'[1]Luy ke T10 2023'!$B$38:$D$180,3,FALSE)</f>
        <v>0.56370699999999996</v>
      </c>
      <c r="G144" s="145">
        <f t="shared" si="4"/>
        <v>0</v>
      </c>
    </row>
    <row r="145" spans="1:7" ht="18" customHeight="1">
      <c r="A145" s="19">
        <v>108</v>
      </c>
      <c r="B145" s="10" t="s">
        <v>133</v>
      </c>
      <c r="C145" s="11">
        <v>3</v>
      </c>
      <c r="D145" s="12">
        <v>0.52214300000000002</v>
      </c>
      <c r="E145" s="4">
        <f>VLOOKUP(B145,'[2]Luy ke T9 2023'!$B$38:$D$181,2,FALSE)</f>
        <v>3</v>
      </c>
      <c r="F145" s="164">
        <f>VLOOKUP(B145,'[1]Luy ke T10 2023'!$B$38:$D$180,3,FALSE)</f>
        <v>0.52214300000000002</v>
      </c>
      <c r="G145" s="145">
        <f t="shared" si="4"/>
        <v>0</v>
      </c>
    </row>
    <row r="146" spans="1:7" ht="18" customHeight="1">
      <c r="A146" s="19">
        <v>109</v>
      </c>
      <c r="B146" s="10" t="s">
        <v>242</v>
      </c>
      <c r="C146" s="11">
        <v>1</v>
      </c>
      <c r="D146" s="12">
        <v>0.5</v>
      </c>
      <c r="E146" s="4">
        <f>VLOOKUP(B146,'[2]Luy ke T9 2023'!$B$38:$D$181,2,FALSE)</f>
        <v>1</v>
      </c>
      <c r="F146" s="164">
        <f>VLOOKUP(B146,'[1]Luy ke T10 2023'!$B$38:$D$180,3,FALSE)</f>
        <v>0.5</v>
      </c>
      <c r="G146" s="145">
        <f t="shared" si="4"/>
        <v>0</v>
      </c>
    </row>
    <row r="147" spans="1:7" ht="18" customHeight="1">
      <c r="A147" s="19">
        <v>110</v>
      </c>
      <c r="B147" s="10" t="s">
        <v>90</v>
      </c>
      <c r="C147" s="11">
        <v>5</v>
      </c>
      <c r="D147" s="12">
        <v>0.43293700000000002</v>
      </c>
      <c r="E147" s="4">
        <f>VLOOKUP(B147,'[2]Luy ke T9 2023'!$B$38:$D$181,2,FALSE)</f>
        <v>5</v>
      </c>
      <c r="F147" s="164">
        <f>VLOOKUP(B147,'[1]Luy ke T10 2023'!$B$38:$D$180,3,FALSE)</f>
        <v>0.43293700000000002</v>
      </c>
      <c r="G147" s="145">
        <f t="shared" si="4"/>
        <v>0</v>
      </c>
    </row>
    <row r="148" spans="1:7" ht="18" customHeight="1">
      <c r="A148" s="19">
        <v>111</v>
      </c>
      <c r="B148" s="10" t="s">
        <v>134</v>
      </c>
      <c r="C148" s="11">
        <v>4</v>
      </c>
      <c r="D148" s="12">
        <v>0.40699999999999997</v>
      </c>
      <c r="E148" s="4">
        <f>VLOOKUP(B148,'[2]Luy ke T9 2023'!$B$38:$D$181,2,FALSE)</f>
        <v>3</v>
      </c>
      <c r="F148" s="164">
        <f>VLOOKUP(B148,'[1]Luy ke T10 2023'!$B$38:$D$180,3,FALSE)</f>
        <v>0.247</v>
      </c>
      <c r="G148" s="145">
        <f t="shared" si="4"/>
        <v>0.15999999999999998</v>
      </c>
    </row>
    <row r="149" spans="1:7" ht="18" customHeight="1">
      <c r="A149" s="19">
        <v>112</v>
      </c>
      <c r="B149" s="10" t="s">
        <v>136</v>
      </c>
      <c r="C149" s="11">
        <v>5</v>
      </c>
      <c r="D149" s="12">
        <v>0.34545500000000001</v>
      </c>
      <c r="E149" s="4">
        <f>VLOOKUP(B149,'[2]Luy ke T9 2023'!$B$38:$D$181,2,FALSE)</f>
        <v>5</v>
      </c>
      <c r="F149" s="164">
        <f>VLOOKUP(B149,'[1]Luy ke T10 2023'!$B$38:$D$180,3,FALSE)</f>
        <v>0.34545500000000001</v>
      </c>
      <c r="G149" s="145">
        <f t="shared" si="4"/>
        <v>0</v>
      </c>
    </row>
    <row r="150" spans="1:7" ht="18" customHeight="1">
      <c r="A150" s="19">
        <v>113</v>
      </c>
      <c r="B150" s="10" t="s">
        <v>128</v>
      </c>
      <c r="C150" s="11">
        <v>2</v>
      </c>
      <c r="D150" s="12">
        <v>0.32</v>
      </c>
      <c r="E150" s="4">
        <f>VLOOKUP(B150,'[2]Luy ke T9 2023'!$B$38:$D$181,2,FALSE)</f>
        <v>2</v>
      </c>
      <c r="F150" s="164">
        <f>VLOOKUP(B150,'[1]Luy ke T10 2023'!$B$38:$D$180,3,FALSE)</f>
        <v>0.32</v>
      </c>
      <c r="G150" s="145">
        <f t="shared" si="4"/>
        <v>0</v>
      </c>
    </row>
    <row r="151" spans="1:7" ht="18" customHeight="1">
      <c r="A151" s="19">
        <v>114</v>
      </c>
      <c r="B151" s="10" t="s">
        <v>243</v>
      </c>
      <c r="C151" s="11">
        <v>3</v>
      </c>
      <c r="D151" s="12">
        <v>0.31282902000000001</v>
      </c>
      <c r="E151" s="4">
        <f>VLOOKUP(B151,'[2]Luy ke T9 2023'!$B$38:$D$181,2,FALSE)</f>
        <v>3</v>
      </c>
      <c r="F151" s="164">
        <f>VLOOKUP(B151,'[1]Luy ke T10 2023'!$B$38:$D$180,3,FALSE)</f>
        <v>0.31282902000000001</v>
      </c>
      <c r="G151" s="145">
        <f t="shared" si="4"/>
        <v>0</v>
      </c>
    </row>
    <row r="152" spans="1:7" ht="18" customHeight="1">
      <c r="A152" s="19">
        <v>115</v>
      </c>
      <c r="B152" s="10" t="s">
        <v>248</v>
      </c>
      <c r="C152" s="11">
        <v>2</v>
      </c>
      <c r="D152" s="12">
        <v>0.30685699999999999</v>
      </c>
      <c r="E152" s="4">
        <f>VLOOKUP(B152,'[2]Luy ke T9 2023'!$B$38:$D$181,2,FALSE)</f>
        <v>2</v>
      </c>
      <c r="F152" s="164">
        <f>VLOOKUP(B152,'[1]Luy ke T10 2023'!$B$38:$D$180,3,FALSE)</f>
        <v>0.30685699999999999</v>
      </c>
      <c r="G152" s="145">
        <f t="shared" si="4"/>
        <v>0</v>
      </c>
    </row>
    <row r="153" spans="1:7" ht="18" customHeight="1">
      <c r="A153" s="19">
        <v>116</v>
      </c>
      <c r="B153" s="10" t="s">
        <v>138</v>
      </c>
      <c r="C153" s="11">
        <v>4</v>
      </c>
      <c r="D153" s="12">
        <v>0.29499999999999998</v>
      </c>
      <c r="E153" s="4">
        <f>VLOOKUP(B153,'[2]Luy ke T9 2023'!$B$38:$D$181,2,FALSE)</f>
        <v>4</v>
      </c>
      <c r="F153" s="164">
        <f>VLOOKUP(B153,'[1]Luy ke T10 2023'!$B$38:$D$180,3,FALSE)</f>
        <v>0.29499999999999998</v>
      </c>
      <c r="G153" s="145">
        <f t="shared" si="4"/>
        <v>0</v>
      </c>
    </row>
    <row r="154" spans="1:7" ht="18" customHeight="1">
      <c r="A154" s="19">
        <v>117</v>
      </c>
      <c r="B154" s="10" t="s">
        <v>244</v>
      </c>
      <c r="C154" s="11">
        <v>5</v>
      </c>
      <c r="D154" s="12">
        <v>0.27500000000000002</v>
      </c>
      <c r="E154" s="4">
        <f>VLOOKUP(B154,'[2]Luy ke T9 2023'!$B$38:$D$181,2,FALSE)</f>
        <v>5</v>
      </c>
      <c r="F154" s="164">
        <f>VLOOKUP(B154,'[1]Luy ke T10 2023'!$B$38:$D$180,3,FALSE)</f>
        <v>0.27500000000000002</v>
      </c>
      <c r="G154" s="145">
        <f t="shared" si="4"/>
        <v>0</v>
      </c>
    </row>
    <row r="155" spans="1:7" ht="18" customHeight="1">
      <c r="A155" s="19">
        <v>118</v>
      </c>
      <c r="B155" s="10" t="s">
        <v>245</v>
      </c>
      <c r="C155" s="11">
        <v>1</v>
      </c>
      <c r="D155" s="12">
        <v>0.22500000000000001</v>
      </c>
      <c r="E155" s="4">
        <f>VLOOKUP(B155,'[2]Luy ke T9 2023'!$B$38:$D$181,2,FALSE)</f>
        <v>1</v>
      </c>
      <c r="F155" s="164">
        <f>VLOOKUP(B155,'[1]Luy ke T10 2023'!$B$38:$D$180,3,FALSE)</f>
        <v>0.22500000000000001</v>
      </c>
      <c r="G155" s="145">
        <f t="shared" si="4"/>
        <v>0</v>
      </c>
    </row>
    <row r="156" spans="1:7" ht="18" customHeight="1">
      <c r="A156" s="19">
        <v>119</v>
      </c>
      <c r="B156" s="10" t="s">
        <v>143</v>
      </c>
      <c r="C156" s="11">
        <v>6</v>
      </c>
      <c r="D156" s="12">
        <v>0.21290500000000001</v>
      </c>
      <c r="E156" s="4">
        <f>VLOOKUP(B156,'[2]Luy ke T9 2023'!$B$38:$D$181,2,FALSE)</f>
        <v>5</v>
      </c>
      <c r="F156" s="164">
        <f>VLOOKUP(B156,'[1]Luy ke T10 2023'!$B$38:$D$180,3,FALSE)</f>
        <v>0.21290500000000001</v>
      </c>
      <c r="G156" s="145">
        <f t="shared" si="4"/>
        <v>0</v>
      </c>
    </row>
    <row r="157" spans="1:7" ht="18" customHeight="1">
      <c r="A157" s="19">
        <v>120</v>
      </c>
      <c r="B157" s="10" t="s">
        <v>246</v>
      </c>
      <c r="C157" s="11">
        <v>1</v>
      </c>
      <c r="D157" s="12">
        <v>0.21</v>
      </c>
      <c r="E157" s="4">
        <f>VLOOKUP(B157,'[2]Luy ke T9 2023'!$B$38:$D$181,2,FALSE)</f>
        <v>1</v>
      </c>
      <c r="F157" s="164">
        <f>VLOOKUP(B157,'[1]Luy ke T10 2023'!$B$38:$D$180,3,FALSE)</f>
        <v>0.21</v>
      </c>
      <c r="G157" s="145">
        <f t="shared" si="4"/>
        <v>0</v>
      </c>
    </row>
    <row r="158" spans="1:7" ht="18" customHeight="1">
      <c r="A158" s="19">
        <v>121</v>
      </c>
      <c r="B158" s="10" t="s">
        <v>258</v>
      </c>
      <c r="C158" s="11">
        <v>5</v>
      </c>
      <c r="D158" s="12">
        <v>0.202795</v>
      </c>
      <c r="E158" s="4">
        <f>VLOOKUP(B158,'[2]Luy ke T9 2023'!$B$38:$D$181,2,FALSE)</f>
        <v>5</v>
      </c>
      <c r="F158" s="164">
        <f>VLOOKUP(B158,'[1]Luy ke T10 2023'!$B$38:$D$180,3,FALSE)</f>
        <v>0.202795</v>
      </c>
      <c r="G158" s="145">
        <f t="shared" si="4"/>
        <v>0</v>
      </c>
    </row>
    <row r="159" spans="1:7" ht="18" customHeight="1">
      <c r="A159" s="19">
        <v>122</v>
      </c>
      <c r="B159" s="10" t="s">
        <v>253</v>
      </c>
      <c r="C159" s="11">
        <v>4</v>
      </c>
      <c r="D159" s="12">
        <v>0.17447299999999999</v>
      </c>
      <c r="E159" s="4">
        <f>VLOOKUP(B159,'[2]Luy ke T9 2023'!$B$38:$D$181,2,FALSE)</f>
        <v>4</v>
      </c>
      <c r="F159" s="164">
        <f>VLOOKUP(B159,'[1]Luy ke T10 2023'!$B$38:$D$180,3,FALSE)</f>
        <v>0.17447299999999999</v>
      </c>
      <c r="G159" s="145">
        <f t="shared" si="4"/>
        <v>0</v>
      </c>
    </row>
    <row r="160" spans="1:7" ht="18" customHeight="1">
      <c r="A160" s="19">
        <v>123</v>
      </c>
      <c r="B160" s="10" t="s">
        <v>249</v>
      </c>
      <c r="C160" s="11">
        <v>5</v>
      </c>
      <c r="D160" s="12">
        <v>0.15781999999999999</v>
      </c>
      <c r="E160" s="4">
        <f>VLOOKUP(B160,'[2]Luy ke T9 2023'!$B$38:$D$181,2,FALSE)</f>
        <v>5</v>
      </c>
      <c r="F160" s="164">
        <f>VLOOKUP(B160,'[1]Luy ke T10 2023'!$B$38:$D$180,3,FALSE)</f>
        <v>0.15781999999999999</v>
      </c>
      <c r="G160" s="145">
        <f t="shared" si="4"/>
        <v>0</v>
      </c>
    </row>
    <row r="161" spans="1:7" ht="18" customHeight="1">
      <c r="A161" s="19">
        <v>124</v>
      </c>
      <c r="B161" s="10" t="s">
        <v>250</v>
      </c>
      <c r="C161" s="11">
        <v>2</v>
      </c>
      <c r="D161" s="12">
        <v>0.14291799999999999</v>
      </c>
      <c r="E161" s="4">
        <f>VLOOKUP(B161,'[2]Luy ke T9 2023'!$B$38:$D$181,2,FALSE)</f>
        <v>2</v>
      </c>
      <c r="F161" s="164">
        <f>VLOOKUP(B161,'[1]Luy ke T10 2023'!$B$38:$D$180,3,FALSE)</f>
        <v>0.14291799999999999</v>
      </c>
      <c r="G161" s="145">
        <f t="shared" si="4"/>
        <v>0</v>
      </c>
    </row>
    <row r="162" spans="1:7" ht="18" customHeight="1">
      <c r="A162" s="19">
        <v>125</v>
      </c>
      <c r="B162" s="10" t="s">
        <v>125</v>
      </c>
      <c r="C162" s="11">
        <v>9</v>
      </c>
      <c r="D162" s="12">
        <v>0.13753014999999999</v>
      </c>
      <c r="E162" s="4">
        <f>VLOOKUP(B162,'[2]Luy ke T9 2023'!$B$38:$D$181,2,FALSE)</f>
        <v>9</v>
      </c>
      <c r="F162" s="164">
        <f>VLOOKUP(B162,'[1]Luy ke T10 2023'!$B$38:$D$180,3,FALSE)</f>
        <v>0.13753014999999999</v>
      </c>
      <c r="G162" s="145">
        <f t="shared" si="4"/>
        <v>0</v>
      </c>
    </row>
    <row r="163" spans="1:7" ht="18" customHeight="1">
      <c r="A163" s="19">
        <v>126</v>
      </c>
      <c r="B163" s="10" t="s">
        <v>252</v>
      </c>
      <c r="C163" s="11">
        <v>2</v>
      </c>
      <c r="D163" s="12">
        <v>0.129</v>
      </c>
      <c r="E163" s="4">
        <f>VLOOKUP(B163,'[2]Luy ke T9 2023'!$B$38:$D$181,2,FALSE)</f>
        <v>2</v>
      </c>
      <c r="F163" s="164">
        <f>VLOOKUP(B163,'[1]Luy ke T10 2023'!$B$38:$D$180,3,FALSE)</f>
        <v>0.129</v>
      </c>
      <c r="G163" s="145">
        <f t="shared" si="4"/>
        <v>0</v>
      </c>
    </row>
    <row r="164" spans="1:7" ht="18" customHeight="1">
      <c r="A164" s="19">
        <v>127</v>
      </c>
      <c r="B164" s="20" t="s">
        <v>123</v>
      </c>
      <c r="C164" s="11">
        <v>6</v>
      </c>
      <c r="D164" s="12">
        <v>0.11526</v>
      </c>
      <c r="E164" s="4">
        <f>VLOOKUP(B164,'[2]Luy ke T9 2023'!$B$38:$D$181,2,FALSE)</f>
        <v>6</v>
      </c>
      <c r="F164" s="164">
        <f>VLOOKUP(B164,'[1]Luy ke T10 2023'!$B$38:$D$180,3,FALSE)</f>
        <v>0.11526</v>
      </c>
      <c r="G164" s="145">
        <f t="shared" si="4"/>
        <v>0</v>
      </c>
    </row>
    <row r="165" spans="1:7" ht="18" customHeight="1">
      <c r="A165" s="19">
        <v>128</v>
      </c>
      <c r="B165" s="10" t="s">
        <v>287</v>
      </c>
      <c r="C165" s="11">
        <v>1</v>
      </c>
      <c r="D165" s="12">
        <v>0.1</v>
      </c>
      <c r="E165" s="4">
        <f>VLOOKUP(B165,'[2]Luy ke T9 2023'!$B$38:$D$181,2,FALSE)</f>
        <v>1</v>
      </c>
      <c r="F165" s="164">
        <f>VLOOKUP(B165,'[1]Luy ke T10 2023'!$B$38:$D$180,3,FALSE)</f>
        <v>0.1</v>
      </c>
      <c r="G165" s="145">
        <f t="shared" si="4"/>
        <v>0</v>
      </c>
    </row>
    <row r="166" spans="1:7" ht="18" customHeight="1">
      <c r="A166" s="19">
        <v>129</v>
      </c>
      <c r="B166" s="10" t="s">
        <v>251</v>
      </c>
      <c r="C166" s="11">
        <v>1</v>
      </c>
      <c r="D166" s="12">
        <v>0.1</v>
      </c>
      <c r="E166" s="4">
        <f>VLOOKUP(B166,'[2]Luy ke T9 2023'!$B$38:$D$181,2,FALSE)</f>
        <v>1</v>
      </c>
      <c r="F166" s="164">
        <f>VLOOKUP(B166,'[1]Luy ke T10 2023'!$B$38:$D$180,3,FALSE)</f>
        <v>0.1</v>
      </c>
      <c r="G166" s="145">
        <f t="shared" si="4"/>
        <v>0</v>
      </c>
    </row>
    <row r="167" spans="1:7" ht="18" customHeight="1">
      <c r="A167" s="19">
        <v>130</v>
      </c>
      <c r="B167" s="10" t="s">
        <v>247</v>
      </c>
      <c r="C167" s="11">
        <v>2</v>
      </c>
      <c r="D167" s="12">
        <v>9.7000000000000003E-2</v>
      </c>
      <c r="E167" s="4">
        <f>VLOOKUP(B167,'[2]Luy ke T9 2023'!$B$38:$D$181,2,FALSE)</f>
        <v>2</v>
      </c>
      <c r="F167" s="164">
        <f>VLOOKUP(B167,'[1]Luy ke T10 2023'!$B$38:$D$180,3,FALSE)</f>
        <v>9.7000000000000003E-2</v>
      </c>
      <c r="G167" s="145">
        <f t="shared" ref="G167:G180" si="5">D167-F167</f>
        <v>0</v>
      </c>
    </row>
    <row r="168" spans="1:7" ht="18" customHeight="1">
      <c r="A168" s="19">
        <v>131</v>
      </c>
      <c r="B168" s="10" t="s">
        <v>255</v>
      </c>
      <c r="C168" s="11">
        <v>3</v>
      </c>
      <c r="D168" s="12">
        <v>8.9399999999999993E-2</v>
      </c>
      <c r="E168" s="4">
        <f>VLOOKUP(B168,'[2]Luy ke T9 2023'!$B$38:$D$181,2,FALSE)</f>
        <v>3</v>
      </c>
      <c r="F168" s="164">
        <f>VLOOKUP(B168,'[1]Luy ke T10 2023'!$B$38:$D$180,3,FALSE)</f>
        <v>8.9399999999999993E-2</v>
      </c>
      <c r="G168" s="145">
        <f t="shared" si="5"/>
        <v>0</v>
      </c>
    </row>
    <row r="169" spans="1:7" ht="18" customHeight="1">
      <c r="A169" s="19">
        <v>132</v>
      </c>
      <c r="B169" s="10" t="s">
        <v>140</v>
      </c>
      <c r="C169" s="11">
        <v>2</v>
      </c>
      <c r="D169" s="12">
        <v>8.8900000000000007E-2</v>
      </c>
      <c r="E169" s="4">
        <f>VLOOKUP(B169,'[2]Luy ke T9 2023'!$B$38:$D$181,2,FALSE)</f>
        <v>2</v>
      </c>
      <c r="F169" s="164">
        <f>VLOOKUP(B169,'[1]Luy ke T10 2023'!$B$38:$D$180,3,FALSE)</f>
        <v>8.8900000000000007E-2</v>
      </c>
      <c r="G169" s="145">
        <f t="shared" si="5"/>
        <v>0</v>
      </c>
    </row>
    <row r="170" spans="1:7" ht="18" customHeight="1">
      <c r="A170" s="19">
        <v>133</v>
      </c>
      <c r="B170" s="10" t="s">
        <v>254</v>
      </c>
      <c r="C170" s="11">
        <v>1</v>
      </c>
      <c r="D170" s="12">
        <v>7.0935999999999999E-2</v>
      </c>
      <c r="E170" s="4">
        <f>VLOOKUP(B170,'[2]Luy ke T9 2023'!$B$38:$D$181,2,FALSE)</f>
        <v>1</v>
      </c>
      <c r="F170" s="164">
        <f>VLOOKUP(B170,'[1]Luy ke T10 2023'!$B$38:$D$180,3,FALSE)</f>
        <v>7.0935999999999999E-2</v>
      </c>
      <c r="G170" s="145">
        <f t="shared" si="5"/>
        <v>0</v>
      </c>
    </row>
    <row r="171" spans="1:7" ht="18" customHeight="1">
      <c r="A171" s="19">
        <v>134</v>
      </c>
      <c r="B171" s="10" t="s">
        <v>256</v>
      </c>
      <c r="C171" s="11">
        <v>1</v>
      </c>
      <c r="D171" s="12">
        <v>3.3184999999999999E-2</v>
      </c>
      <c r="E171" s="4">
        <f>VLOOKUP(B171,'[2]Luy ke T9 2023'!$B$38:$D$181,2,FALSE)</f>
        <v>1</v>
      </c>
      <c r="F171" s="164">
        <f>VLOOKUP(B171,'[1]Luy ke T10 2023'!$B$38:$D$180,3,FALSE)</f>
        <v>3.3184999999999999E-2</v>
      </c>
      <c r="G171" s="145">
        <f t="shared" si="5"/>
        <v>0</v>
      </c>
    </row>
    <row r="172" spans="1:7" ht="18" customHeight="1">
      <c r="A172" s="19">
        <v>135</v>
      </c>
      <c r="B172" s="10" t="s">
        <v>276</v>
      </c>
      <c r="C172" s="11">
        <v>1</v>
      </c>
      <c r="D172" s="12">
        <v>2.4464E-2</v>
      </c>
      <c r="E172" s="4">
        <f>VLOOKUP(B172,'[2]Luy ke T9 2023'!$B$38:$D$181,2,FALSE)</f>
        <v>1</v>
      </c>
      <c r="F172" s="164">
        <f>VLOOKUP(B172,'[1]Luy ke T10 2023'!$B$38:$D$180,3,FALSE)</f>
        <v>2.4464E-2</v>
      </c>
      <c r="G172" s="145">
        <f t="shared" si="5"/>
        <v>0</v>
      </c>
    </row>
    <row r="173" spans="1:7" ht="18" customHeight="1">
      <c r="A173" s="19">
        <v>136</v>
      </c>
      <c r="B173" s="10" t="s">
        <v>257</v>
      </c>
      <c r="C173" s="11">
        <v>1</v>
      </c>
      <c r="D173" s="12">
        <v>0.02</v>
      </c>
      <c r="E173" s="4">
        <f>VLOOKUP(B173,'[2]Luy ke T9 2023'!$B$38:$D$181,2,FALSE)</f>
        <v>1</v>
      </c>
      <c r="F173" s="164">
        <f>VLOOKUP(B173,'[1]Luy ke T10 2023'!$B$38:$D$180,3,FALSE)</f>
        <v>0.02</v>
      </c>
      <c r="G173" s="145">
        <f t="shared" si="5"/>
        <v>0</v>
      </c>
    </row>
    <row r="174" spans="1:7" ht="18" customHeight="1">
      <c r="A174" s="19">
        <v>137</v>
      </c>
      <c r="B174" s="10" t="s">
        <v>289</v>
      </c>
      <c r="C174" s="11">
        <v>1</v>
      </c>
      <c r="D174" s="12">
        <v>0.01</v>
      </c>
      <c r="E174" s="4">
        <f>VLOOKUP(B174,'[2]Luy ke T9 2023'!$B$38:$D$181,2,FALSE)</f>
        <v>1</v>
      </c>
      <c r="F174" s="164">
        <f>VLOOKUP(B174,'[1]Luy ke T10 2023'!$B$38:$D$180,3,FALSE)</f>
        <v>0.01</v>
      </c>
      <c r="G174" s="145">
        <f t="shared" si="5"/>
        <v>0</v>
      </c>
    </row>
    <row r="175" spans="1:7" ht="18" customHeight="1">
      <c r="A175" s="19">
        <v>138</v>
      </c>
      <c r="B175" s="10" t="s">
        <v>274</v>
      </c>
      <c r="C175" s="11">
        <v>1</v>
      </c>
      <c r="D175" s="12">
        <v>0.01</v>
      </c>
      <c r="E175" s="4">
        <f>VLOOKUP(B175,'[2]Luy ke T9 2023'!$B$38:$D$181,2,FALSE)</f>
        <v>1</v>
      </c>
      <c r="F175" s="164">
        <f>VLOOKUP(B175,'[1]Luy ke T10 2023'!$B$38:$D$180,3,FALSE)</f>
        <v>0.01</v>
      </c>
      <c r="G175" s="145">
        <f t="shared" si="5"/>
        <v>0</v>
      </c>
    </row>
    <row r="176" spans="1:7" ht="18" customHeight="1">
      <c r="A176" s="19">
        <v>139</v>
      </c>
      <c r="B176" s="10" t="s">
        <v>141</v>
      </c>
      <c r="C176" s="11">
        <v>1</v>
      </c>
      <c r="D176" s="12">
        <v>0.01</v>
      </c>
      <c r="E176" s="4">
        <f>VLOOKUP(B176,'[2]Luy ke T9 2023'!$B$38:$D$181,2,FALSE)</f>
        <v>1</v>
      </c>
      <c r="F176" s="164">
        <f>VLOOKUP(B176,'[1]Luy ke T10 2023'!$B$38:$D$180,3,FALSE)</f>
        <v>0.01</v>
      </c>
      <c r="G176" s="145">
        <f t="shared" si="5"/>
        <v>0</v>
      </c>
    </row>
    <row r="177" spans="1:7" ht="18" customHeight="1">
      <c r="A177" s="19">
        <v>140</v>
      </c>
      <c r="B177" s="10" t="s">
        <v>104</v>
      </c>
      <c r="C177" s="11">
        <v>1</v>
      </c>
      <c r="D177" s="12">
        <v>0.01</v>
      </c>
      <c r="E177" s="4">
        <f>VLOOKUP(B177,'[2]Luy ke T9 2023'!$B$38:$D$181,2,FALSE)</f>
        <v>1</v>
      </c>
      <c r="F177" s="164">
        <f>VLOOKUP(B177,'[1]Luy ke T10 2023'!$B$38:$D$180,3,FALSE)</f>
        <v>0.01</v>
      </c>
      <c r="G177" s="145">
        <f t="shared" si="5"/>
        <v>0</v>
      </c>
    </row>
    <row r="178" spans="1:7" ht="18" customHeight="1">
      <c r="A178" s="19">
        <v>141</v>
      </c>
      <c r="B178" s="10" t="s">
        <v>285</v>
      </c>
      <c r="C178" s="11">
        <v>1</v>
      </c>
      <c r="D178" s="12">
        <v>5.2859999999999999E-3</v>
      </c>
      <c r="E178" s="4">
        <f>VLOOKUP(B178,'[2]Luy ke T9 2023'!$B$38:$D$181,2,FALSE)</f>
        <v>1</v>
      </c>
      <c r="F178" s="164">
        <f>VLOOKUP(B178,'[1]Luy ke T10 2023'!$B$38:$D$180,3,FALSE)</f>
        <v>5.2859999999999999E-3</v>
      </c>
      <c r="G178" s="145">
        <f t="shared" si="5"/>
        <v>0</v>
      </c>
    </row>
    <row r="179" spans="1:7" ht="18" customHeight="1">
      <c r="A179" s="19">
        <v>142</v>
      </c>
      <c r="B179" s="10" t="s">
        <v>281</v>
      </c>
      <c r="C179" s="11">
        <v>1</v>
      </c>
      <c r="D179" s="12">
        <v>5.0000000000000001E-3</v>
      </c>
      <c r="E179" s="4">
        <f>VLOOKUP(B179,'[2]Luy ke T9 2023'!$B$38:$D$181,2,FALSE)</f>
        <v>1</v>
      </c>
      <c r="F179" s="164">
        <f>VLOOKUP(B179,'[1]Luy ke T10 2023'!$B$38:$D$180,3,FALSE)</f>
        <v>5.0000000000000001E-3</v>
      </c>
      <c r="G179" s="145">
        <f t="shared" si="5"/>
        <v>0</v>
      </c>
    </row>
    <row r="180" spans="1:7" ht="18" customHeight="1">
      <c r="A180" s="19">
        <v>143</v>
      </c>
      <c r="B180" s="10" t="s">
        <v>275</v>
      </c>
      <c r="C180" s="11">
        <v>1</v>
      </c>
      <c r="D180" s="12">
        <v>5.0000000000000001E-3</v>
      </c>
      <c r="E180" s="4">
        <f>VLOOKUP(B180,'[2]Luy ke T9 2023'!$B$38:$D$181,2,FALSE)</f>
        <v>1</v>
      </c>
      <c r="F180" s="164">
        <f>VLOOKUP(B180,'[1]Luy ke T10 2023'!$B$38:$D$180,3,FALSE)</f>
        <v>5.0000000000000001E-3</v>
      </c>
      <c r="G180" s="145">
        <f t="shared" si="5"/>
        <v>0</v>
      </c>
    </row>
    <row r="181" spans="1:7" ht="18" customHeight="1">
      <c r="A181" s="209" t="s">
        <v>206</v>
      </c>
      <c r="B181" s="209"/>
      <c r="C181" s="13">
        <f>SUM(C38:C180)</f>
        <v>38844</v>
      </c>
      <c r="D181" s="14">
        <f>SUM(D38:D180)</f>
        <v>462398.65913557989</v>
      </c>
    </row>
    <row r="182" spans="1:7" ht="15" customHeight="1">
      <c r="A182" s="15"/>
      <c r="B182" s="15"/>
      <c r="C182" s="16"/>
      <c r="D182" s="17"/>
      <c r="F182" s="145">
        <f>D181-D28</f>
        <v>0</v>
      </c>
    </row>
    <row r="183" spans="1:7" ht="15.75" customHeight="1">
      <c r="A183" s="210" t="s">
        <v>280</v>
      </c>
      <c r="B183" s="210"/>
      <c r="C183" s="210"/>
      <c r="D183" s="210"/>
    </row>
    <row r="184" spans="1:7" ht="15.75" customHeight="1">
      <c r="A184" s="210" t="str">
        <f>A6</f>
        <v>(Lũy kế các dự án còn hiệu lực đến ngày 20/11/2023)</v>
      </c>
      <c r="B184" s="210"/>
      <c r="C184" s="210"/>
      <c r="D184" s="210"/>
    </row>
    <row r="185" spans="1:7" ht="19.5" customHeight="1"/>
    <row r="186" spans="1:7" ht="47.25">
      <c r="A186" s="6" t="s">
        <v>201</v>
      </c>
      <c r="B186" s="7" t="s">
        <v>259</v>
      </c>
      <c r="C186" s="8" t="s">
        <v>203</v>
      </c>
      <c r="D186" s="9" t="s">
        <v>208</v>
      </c>
    </row>
    <row r="187" spans="1:7" ht="19.5" customHeight="1">
      <c r="A187" s="19">
        <v>1</v>
      </c>
      <c r="B187" s="10" t="s">
        <v>147</v>
      </c>
      <c r="C187" s="11">
        <v>12300</v>
      </c>
      <c r="D187" s="12">
        <v>57251.314283650005</v>
      </c>
      <c r="E187" s="4">
        <f>D187/$D$181*100</f>
        <v>12.381375497644632</v>
      </c>
      <c r="F187" s="164">
        <f>VLOOKUP(B187,'[1]Luy ke T10 2023'!$B$187:$D$250,3,FALSE)</f>
        <v>57149.536689259978</v>
      </c>
      <c r="G187" s="145">
        <f>D187-F187</f>
        <v>101.77759439002693</v>
      </c>
    </row>
    <row r="188" spans="1:7" ht="19.5" customHeight="1">
      <c r="A188" s="19">
        <v>2</v>
      </c>
      <c r="B188" s="10" t="s">
        <v>150</v>
      </c>
      <c r="C188" s="11">
        <v>4195</v>
      </c>
      <c r="D188" s="12">
        <v>40302.875053720003</v>
      </c>
      <c r="E188" s="4">
        <f t="shared" ref="E188:E250" si="6">D188/$D$181*100</f>
        <v>8.7160449662772042</v>
      </c>
      <c r="F188" s="164">
        <f>VLOOKUP(B188,'[1]Luy ke T10 2023'!$B$187:$D$250,3,FALSE)</f>
        <v>40224.082053219994</v>
      </c>
      <c r="G188" s="145">
        <f t="shared" ref="G188:G205" si="7">D188-F188</f>
        <v>78.79300050000893</v>
      </c>
    </row>
    <row r="189" spans="1:7" ht="19.5" customHeight="1">
      <c r="A189" s="19">
        <v>3</v>
      </c>
      <c r="B189" s="10" t="s">
        <v>149</v>
      </c>
      <c r="C189" s="11">
        <v>7333</v>
      </c>
      <c r="D189" s="12">
        <v>39582.248255420003</v>
      </c>
      <c r="E189" s="4">
        <f t="shared" si="6"/>
        <v>8.5601996185317866</v>
      </c>
      <c r="F189" s="164">
        <f>VLOOKUP(B189,'[1]Luy ke T10 2023'!$B$187:$D$250,3,FALSE)</f>
        <v>39540.037511909999</v>
      </c>
      <c r="G189" s="145">
        <f t="shared" si="7"/>
        <v>42.210743510004249</v>
      </c>
    </row>
    <row r="190" spans="1:7" ht="19.5" customHeight="1">
      <c r="A190" s="19">
        <v>4</v>
      </c>
      <c r="B190" s="10" t="s">
        <v>152</v>
      </c>
      <c r="C190" s="11">
        <v>1886</v>
      </c>
      <c r="D190" s="12">
        <v>36441.588040710005</v>
      </c>
      <c r="E190" s="4">
        <f t="shared" si="6"/>
        <v>7.8809891250192763</v>
      </c>
      <c r="F190" s="164">
        <f>VLOOKUP(B190,'[1]Luy ke T10 2023'!$B$187:$D$250,3,FALSE)</f>
        <v>36432.007683470001</v>
      </c>
      <c r="G190" s="145">
        <f t="shared" si="7"/>
        <v>9.5803572400036501</v>
      </c>
    </row>
    <row r="191" spans="1:7" ht="19.5" customHeight="1">
      <c r="A191" s="19">
        <v>5</v>
      </c>
      <c r="B191" s="10" t="s">
        <v>151</v>
      </c>
      <c r="C191" s="11">
        <v>551</v>
      </c>
      <c r="D191" s="12">
        <v>33890.77175485</v>
      </c>
      <c r="E191" s="4">
        <f t="shared" si="6"/>
        <v>7.3293404047075512</v>
      </c>
      <c r="F191" s="164">
        <f>VLOOKUP(B191,'[1]Luy ke T10 2023'!$B$187:$D$250,3,FALSE)</f>
        <v>33875.09147485</v>
      </c>
      <c r="G191" s="145">
        <f t="shared" si="7"/>
        <v>15.680280000000494</v>
      </c>
    </row>
    <row r="192" spans="1:7" ht="19.5" customHeight="1">
      <c r="A192" s="19">
        <v>6</v>
      </c>
      <c r="B192" s="10" t="s">
        <v>153</v>
      </c>
      <c r="C192" s="11">
        <v>1089</v>
      </c>
      <c r="D192" s="12">
        <v>28176.17401346</v>
      </c>
      <c r="E192" s="4">
        <f t="shared" si="6"/>
        <v>6.0934809080401049</v>
      </c>
      <c r="F192" s="164">
        <f>VLOOKUP(B192,'[1]Luy ke T10 2023'!$B$187:$D$250,3,FALSE)</f>
        <v>28113.577904459999</v>
      </c>
      <c r="G192" s="145">
        <f t="shared" si="7"/>
        <v>62.596109000001888</v>
      </c>
    </row>
    <row r="193" spans="1:8" ht="19.5" customHeight="1">
      <c r="A193" s="19">
        <v>7</v>
      </c>
      <c r="B193" s="10" t="s">
        <v>154</v>
      </c>
      <c r="C193" s="11">
        <v>2112</v>
      </c>
      <c r="D193" s="12">
        <v>24704.011802090004</v>
      </c>
      <c r="E193" s="4">
        <f t="shared" si="6"/>
        <v>5.3425785983619258</v>
      </c>
      <c r="F193" s="164">
        <f>VLOOKUP(B193,'[1]Luy ke T10 2023'!$B$187:$D$250,3,FALSE)</f>
        <v>24432.800041480008</v>
      </c>
      <c r="G193" s="145">
        <f t="shared" si="7"/>
        <v>271.21176060999642</v>
      </c>
    </row>
    <row r="194" spans="1:8" ht="19.5" customHeight="1">
      <c r="A194" s="19">
        <v>8</v>
      </c>
      <c r="B194" s="10" t="s">
        <v>158</v>
      </c>
      <c r="C194" s="11">
        <v>192</v>
      </c>
      <c r="D194" s="12">
        <v>15125.140716</v>
      </c>
      <c r="E194" s="4">
        <f t="shared" si="6"/>
        <v>3.2710174255858204</v>
      </c>
      <c r="F194" s="164">
        <f>VLOOKUP(B194,'[1]Luy ke T10 2023'!$B$187:$D$250,3,FALSE)</f>
        <v>15082.07727</v>
      </c>
      <c r="G194" s="145">
        <f t="shared" si="7"/>
        <v>43.063446000000113</v>
      </c>
    </row>
    <row r="195" spans="1:8" ht="19.5" customHeight="1">
      <c r="A195" s="19">
        <v>9</v>
      </c>
      <c r="B195" s="10" t="s">
        <v>157</v>
      </c>
      <c r="C195" s="11">
        <v>1375</v>
      </c>
      <c r="D195" s="12">
        <v>13552.13895187</v>
      </c>
      <c r="E195" s="4">
        <f t="shared" si="6"/>
        <v>2.9308343967096966</v>
      </c>
      <c r="F195" s="164">
        <f>VLOOKUP(B195,'[1]Luy ke T10 2023'!$B$187:$D$250,3,FALSE)</f>
        <v>13507.228906869997</v>
      </c>
      <c r="G195" s="145">
        <f t="shared" si="7"/>
        <v>44.910045000002356</v>
      </c>
    </row>
    <row r="196" spans="1:8" ht="19.5" customHeight="1">
      <c r="A196" s="19">
        <v>10</v>
      </c>
      <c r="B196" s="10" t="s">
        <v>176</v>
      </c>
      <c r="C196" s="11">
        <v>180</v>
      </c>
      <c r="D196" s="12">
        <v>12955.30904624</v>
      </c>
      <c r="E196" s="4">
        <f t="shared" si="6"/>
        <v>2.8017618110007048</v>
      </c>
      <c r="F196" s="164">
        <f>VLOOKUP(B196,'[1]Luy ke T10 2023'!$B$187:$D$250,3,FALSE)</f>
        <v>12933.63574724</v>
      </c>
      <c r="G196" s="145">
        <f t="shared" si="7"/>
        <v>21.673299000000043</v>
      </c>
    </row>
    <row r="197" spans="1:8" ht="19.5" customHeight="1">
      <c r="A197" s="19">
        <v>11</v>
      </c>
      <c r="B197" s="10" t="s">
        <v>159</v>
      </c>
      <c r="C197" s="11">
        <v>669</v>
      </c>
      <c r="D197" s="12">
        <v>12133.428684369999</v>
      </c>
      <c r="E197" s="4">
        <f t="shared" si="6"/>
        <v>2.6240190027913464</v>
      </c>
      <c r="F197" s="164">
        <f>VLOOKUP(B197,'[1]Luy ke T10 2023'!$B$187:$D$250,3,FALSE)</f>
        <v>11338.085794370001</v>
      </c>
      <c r="G197" s="145">
        <f t="shared" si="7"/>
        <v>795.34288999999808</v>
      </c>
    </row>
    <row r="198" spans="1:8" ht="19.5" customHeight="1">
      <c r="A198" s="19">
        <v>12</v>
      </c>
      <c r="B198" s="10" t="s">
        <v>190</v>
      </c>
      <c r="C198" s="11">
        <v>84</v>
      </c>
      <c r="D198" s="12">
        <v>12087.984806</v>
      </c>
      <c r="E198" s="4">
        <f t="shared" si="6"/>
        <v>2.6141911459253784</v>
      </c>
      <c r="F198" s="164">
        <f>VLOOKUP(B198,'[1]Luy ke T10 2023'!$B$187:$D$250,3,FALSE)</f>
        <v>12087.984806</v>
      </c>
      <c r="G198" s="145">
        <f t="shared" si="7"/>
        <v>0</v>
      </c>
    </row>
    <row r="199" spans="1:8" ht="19.5" customHeight="1">
      <c r="A199" s="19">
        <v>13</v>
      </c>
      <c r="B199" s="10" t="s">
        <v>169</v>
      </c>
      <c r="C199" s="11">
        <v>226</v>
      </c>
      <c r="D199" s="12">
        <v>10766.232349540001</v>
      </c>
      <c r="E199" s="4">
        <f t="shared" si="6"/>
        <v>2.3283441975516705</v>
      </c>
      <c r="F199" s="164">
        <f>VLOOKUP(B199,'[1]Luy ke T10 2023'!$B$187:$D$250,3,FALSE)</f>
        <v>10690.278382009999</v>
      </c>
      <c r="G199" s="145">
        <f t="shared" si="7"/>
        <v>75.953967530002046</v>
      </c>
    </row>
    <row r="200" spans="1:8" ht="19.5" customHeight="1">
      <c r="A200" s="19">
        <v>14</v>
      </c>
      <c r="B200" s="10" t="s">
        <v>161</v>
      </c>
      <c r="C200" s="11">
        <v>571</v>
      </c>
      <c r="D200" s="12">
        <v>10169.80275468</v>
      </c>
      <c r="E200" s="4">
        <f t="shared" si="6"/>
        <v>2.1993581844920778</v>
      </c>
      <c r="F200" s="164">
        <f>VLOOKUP(B200,'[1]Luy ke T10 2023'!$B$187:$D$250,3,FALSE)</f>
        <v>9768.70275468</v>
      </c>
      <c r="G200" s="145">
        <f t="shared" si="7"/>
        <v>401.10000000000036</v>
      </c>
    </row>
    <row r="201" spans="1:8" ht="19.5" customHeight="1">
      <c r="A201" s="19">
        <v>15</v>
      </c>
      <c r="B201" s="10" t="s">
        <v>148</v>
      </c>
      <c r="C201" s="11">
        <v>364</v>
      </c>
      <c r="D201" s="12">
        <v>9640.1892117799998</v>
      </c>
      <c r="E201" s="4">
        <f t="shared" si="6"/>
        <v>2.0848220515607943</v>
      </c>
      <c r="F201" s="164">
        <f>VLOOKUP(B201,'[1]Luy ke T10 2023'!$B$187:$D$250,3,FALSE)</f>
        <v>9641.189211779998</v>
      </c>
      <c r="G201" s="145">
        <f t="shared" si="7"/>
        <v>-0.99999999999818101</v>
      </c>
    </row>
    <row r="202" spans="1:8" ht="19.5" customHeight="1">
      <c r="A202" s="19">
        <v>16</v>
      </c>
      <c r="B202" s="10" t="s">
        <v>155</v>
      </c>
      <c r="C202" s="11">
        <v>570</v>
      </c>
      <c r="D202" s="12">
        <v>7305.8587800400001</v>
      </c>
      <c r="E202" s="4">
        <f t="shared" si="6"/>
        <v>1.5799913420375751</v>
      </c>
      <c r="F202" s="164">
        <f>VLOOKUP(B202,'[1]Luy ke T10 2023'!$B$187:$D$250,3,FALSE)</f>
        <v>7294.3487900399996</v>
      </c>
      <c r="G202" s="145">
        <f t="shared" si="7"/>
        <v>11.509990000000471</v>
      </c>
      <c r="H202" s="145">
        <f>D202-G7/1000000+G5/1000000</f>
        <v>5398.9995480400003</v>
      </c>
    </row>
    <row r="203" spans="1:8" ht="19.5" customHeight="1">
      <c r="A203" s="19">
        <v>17</v>
      </c>
      <c r="B203" s="10" t="s">
        <v>168</v>
      </c>
      <c r="C203" s="11">
        <v>530</v>
      </c>
      <c r="D203" s="12">
        <v>7033.5078990499997</v>
      </c>
      <c r="E203" s="4">
        <f t="shared" si="6"/>
        <v>1.5210917592621533</v>
      </c>
      <c r="F203" s="164">
        <f>VLOOKUP(B203,'[1]Luy ke T10 2023'!$B$187:$D$250,3,FALSE)</f>
        <v>7002.2106540500008</v>
      </c>
      <c r="G203" s="145">
        <f t="shared" si="7"/>
        <v>31.297244999998838</v>
      </c>
    </row>
    <row r="204" spans="1:8" ht="19.5" customHeight="1">
      <c r="A204" s="19">
        <v>18</v>
      </c>
      <c r="B204" s="10" t="s">
        <v>160</v>
      </c>
      <c r="C204" s="11">
        <v>1012</v>
      </c>
      <c r="D204" s="12">
        <v>6477.8299289299994</v>
      </c>
      <c r="E204" s="4">
        <f t="shared" si="6"/>
        <v>1.4009188393927923</v>
      </c>
      <c r="F204" s="164">
        <f>VLOOKUP(B204,'[1]Luy ke T10 2023'!$B$187:$D$250,3,FALSE)</f>
        <v>6477.931046929999</v>
      </c>
      <c r="G204" s="145">
        <f t="shared" si="7"/>
        <v>-0.10111799999958748</v>
      </c>
    </row>
    <row r="205" spans="1:8" ht="19.5" customHeight="1">
      <c r="A205" s="19">
        <v>19</v>
      </c>
      <c r="B205" s="10" t="s">
        <v>166</v>
      </c>
      <c r="C205" s="11">
        <v>224</v>
      </c>
      <c r="D205" s="12">
        <v>6321.9349164700006</v>
      </c>
      <c r="E205" s="4">
        <f t="shared" si="6"/>
        <v>1.3672044223243187</v>
      </c>
      <c r="F205" s="164">
        <f>VLOOKUP(B205,'[1]Luy ke T10 2023'!$B$187:$D$250,3,FALSE)</f>
        <v>6321.2349164699999</v>
      </c>
      <c r="G205" s="145">
        <f t="shared" si="7"/>
        <v>0.7000000000007276</v>
      </c>
    </row>
    <row r="206" spans="1:8" ht="19.5" customHeight="1">
      <c r="A206" s="19">
        <v>20</v>
      </c>
      <c r="B206" s="10" t="s">
        <v>156</v>
      </c>
      <c r="C206" s="11">
        <v>403</v>
      </c>
      <c r="D206" s="12">
        <v>5759.0413662199999</v>
      </c>
      <c r="E206" s="4">
        <f t="shared" si="6"/>
        <v>1.2454710350990426</v>
      </c>
      <c r="F206" s="164">
        <f>D206-780</f>
        <v>4979.0413662199999</v>
      </c>
    </row>
    <row r="207" spans="1:8" ht="19.5" customHeight="1">
      <c r="A207" s="19">
        <v>21</v>
      </c>
      <c r="B207" s="10" t="s">
        <v>181</v>
      </c>
      <c r="C207" s="11">
        <v>64</v>
      </c>
      <c r="D207" s="12">
        <v>4810.3202350000001</v>
      </c>
      <c r="E207" s="4">
        <f t="shared" si="6"/>
        <v>1.0402971851156615</v>
      </c>
    </row>
    <row r="208" spans="1:8" ht="19.5" customHeight="1">
      <c r="A208" s="19">
        <v>22</v>
      </c>
      <c r="B208" s="10" t="s">
        <v>162</v>
      </c>
      <c r="C208" s="11">
        <v>454</v>
      </c>
      <c r="D208" s="12">
        <v>4703.0603790600007</v>
      </c>
      <c r="E208" s="4">
        <f t="shared" si="6"/>
        <v>1.0171007822237252</v>
      </c>
    </row>
    <row r="209" spans="1:5" ht="19.5" customHeight="1">
      <c r="A209" s="19">
        <v>23</v>
      </c>
      <c r="B209" s="10" t="s">
        <v>146</v>
      </c>
      <c r="C209" s="11">
        <v>15</v>
      </c>
      <c r="D209" s="12">
        <v>4675.8393880000003</v>
      </c>
      <c r="E209" s="4">
        <f t="shared" si="6"/>
        <v>1.0112138726226274</v>
      </c>
    </row>
    <row r="210" spans="1:5" ht="19.5" customHeight="1">
      <c r="A210" s="19">
        <v>24</v>
      </c>
      <c r="B210" s="10" t="s">
        <v>185</v>
      </c>
      <c r="C210" s="11">
        <v>120</v>
      </c>
      <c r="D210" s="12">
        <v>4410.1252450000002</v>
      </c>
      <c r="E210" s="4">
        <f t="shared" si="6"/>
        <v>0.9537495747164153</v>
      </c>
    </row>
    <row r="211" spans="1:5" ht="19.5" customHeight="1">
      <c r="A211" s="19">
        <v>25</v>
      </c>
      <c r="B211" s="10" t="s">
        <v>180</v>
      </c>
      <c r="C211" s="11">
        <v>136</v>
      </c>
      <c r="D211" s="12">
        <v>4273.2816380000004</v>
      </c>
      <c r="E211" s="4">
        <f t="shared" si="6"/>
        <v>0.92415528323299745</v>
      </c>
    </row>
    <row r="212" spans="1:5" ht="19.5" customHeight="1">
      <c r="A212" s="19">
        <v>26</v>
      </c>
      <c r="B212" s="10" t="s">
        <v>163</v>
      </c>
      <c r="C212" s="11">
        <v>142</v>
      </c>
      <c r="D212" s="12">
        <v>3962.9909010000001</v>
      </c>
      <c r="E212" s="4">
        <f t="shared" si="6"/>
        <v>0.85705069050341065</v>
      </c>
    </row>
    <row r="213" spans="1:5" ht="19.5" customHeight="1">
      <c r="A213" s="19">
        <v>27</v>
      </c>
      <c r="B213" s="10" t="s">
        <v>179</v>
      </c>
      <c r="C213" s="11">
        <v>146</v>
      </c>
      <c r="D213" s="12">
        <v>3893.6272230100003</v>
      </c>
      <c r="E213" s="4">
        <f t="shared" si="6"/>
        <v>0.84204985159101642</v>
      </c>
    </row>
    <row r="214" spans="1:5" ht="19.5" customHeight="1">
      <c r="A214" s="19">
        <v>28</v>
      </c>
      <c r="B214" s="10" t="s">
        <v>173</v>
      </c>
      <c r="C214" s="11">
        <v>160</v>
      </c>
      <c r="D214" s="12">
        <v>3850.7315979999998</v>
      </c>
      <c r="E214" s="4">
        <f t="shared" si="6"/>
        <v>0.83277308917777959</v>
      </c>
    </row>
    <row r="215" spans="1:5" ht="19.5" customHeight="1">
      <c r="A215" s="19">
        <v>29</v>
      </c>
      <c r="B215" s="10" t="s">
        <v>167</v>
      </c>
      <c r="C215" s="11">
        <v>221</v>
      </c>
      <c r="D215" s="12">
        <v>3328.950257</v>
      </c>
      <c r="E215" s="4">
        <f t="shared" si="6"/>
        <v>0.71993077644801706</v>
      </c>
    </row>
    <row r="216" spans="1:5" ht="19.5" customHeight="1">
      <c r="A216" s="19">
        <v>30</v>
      </c>
      <c r="B216" s="10" t="s">
        <v>170</v>
      </c>
      <c r="C216" s="11">
        <v>40</v>
      </c>
      <c r="D216" s="12">
        <v>3198.402427</v>
      </c>
      <c r="E216" s="4">
        <f t="shared" si="6"/>
        <v>0.69169803238166316</v>
      </c>
    </row>
    <row r="217" spans="1:5" ht="19.5" customHeight="1">
      <c r="A217" s="19">
        <v>31</v>
      </c>
      <c r="B217" s="10" t="s">
        <v>260</v>
      </c>
      <c r="C217" s="11">
        <v>50</v>
      </c>
      <c r="D217" s="12">
        <v>2768.6918150000001</v>
      </c>
      <c r="E217" s="4">
        <f t="shared" si="6"/>
        <v>0.59876726722691298</v>
      </c>
    </row>
    <row r="218" spans="1:5" ht="19.5" customHeight="1">
      <c r="A218" s="19">
        <v>32</v>
      </c>
      <c r="B218" s="10" t="s">
        <v>172</v>
      </c>
      <c r="C218" s="11">
        <v>140</v>
      </c>
      <c r="D218" s="12">
        <v>2757.7401439999999</v>
      </c>
      <c r="E218" s="4">
        <f t="shared" si="6"/>
        <v>0.59639881939869621</v>
      </c>
    </row>
    <row r="219" spans="1:5" ht="19.5" customHeight="1">
      <c r="A219" s="19">
        <v>33</v>
      </c>
      <c r="B219" s="10" t="s">
        <v>165</v>
      </c>
      <c r="C219" s="11">
        <v>138</v>
      </c>
      <c r="D219" s="12">
        <v>2535.70029815</v>
      </c>
      <c r="E219" s="4">
        <f t="shared" si="6"/>
        <v>0.54837968234819368</v>
      </c>
    </row>
    <row r="220" spans="1:5" ht="19.5" customHeight="1">
      <c r="A220" s="19">
        <v>34</v>
      </c>
      <c r="B220" s="10" t="s">
        <v>264</v>
      </c>
      <c r="C220" s="11">
        <v>26</v>
      </c>
      <c r="D220" s="12">
        <v>2524.2635248299998</v>
      </c>
      <c r="E220" s="4">
        <f t="shared" si="6"/>
        <v>0.5459063245444794</v>
      </c>
    </row>
    <row r="221" spans="1:5" ht="19.5" customHeight="1">
      <c r="A221" s="19">
        <v>35</v>
      </c>
      <c r="B221" s="10" t="s">
        <v>196</v>
      </c>
      <c r="C221" s="11">
        <v>83</v>
      </c>
      <c r="D221" s="12">
        <v>2269.3871477399998</v>
      </c>
      <c r="E221" s="4">
        <f t="shared" si="6"/>
        <v>0.49078584094133221</v>
      </c>
    </row>
    <row r="222" spans="1:5" ht="19.5" customHeight="1">
      <c r="A222" s="19">
        <v>36</v>
      </c>
      <c r="B222" s="10" t="s">
        <v>164</v>
      </c>
      <c r="C222" s="11">
        <v>67</v>
      </c>
      <c r="D222" s="12">
        <v>2098.002927</v>
      </c>
      <c r="E222" s="4">
        <f t="shared" si="6"/>
        <v>0.4537216718841835</v>
      </c>
    </row>
    <row r="223" spans="1:5" ht="19.5" customHeight="1">
      <c r="A223" s="19">
        <v>37</v>
      </c>
      <c r="B223" s="10" t="s">
        <v>194</v>
      </c>
      <c r="C223" s="11">
        <v>54</v>
      </c>
      <c r="D223" s="12">
        <v>2038.546439</v>
      </c>
      <c r="E223" s="4">
        <f t="shared" si="6"/>
        <v>0.44086339757362436</v>
      </c>
    </row>
    <row r="224" spans="1:5" ht="19.5" customHeight="1">
      <c r="A224" s="19">
        <v>38</v>
      </c>
      <c r="B224" s="10" t="s">
        <v>175</v>
      </c>
      <c r="C224" s="11">
        <v>102</v>
      </c>
      <c r="D224" s="12">
        <v>1751.1357399999999</v>
      </c>
      <c r="E224" s="4">
        <f t="shared" si="6"/>
        <v>0.37870692429636771</v>
      </c>
    </row>
    <row r="225" spans="1:5" ht="19.5" customHeight="1">
      <c r="A225" s="19">
        <v>39</v>
      </c>
      <c r="B225" s="10" t="s">
        <v>174</v>
      </c>
      <c r="C225" s="11">
        <v>58</v>
      </c>
      <c r="D225" s="12">
        <v>1730.801293</v>
      </c>
      <c r="E225" s="4">
        <f t="shared" si="6"/>
        <v>0.37430932352520335</v>
      </c>
    </row>
    <row r="226" spans="1:5" ht="19.5" customHeight="1">
      <c r="A226" s="19">
        <v>40</v>
      </c>
      <c r="B226" s="10" t="s">
        <v>192</v>
      </c>
      <c r="C226" s="11">
        <v>67</v>
      </c>
      <c r="D226" s="12">
        <v>1590.3570695700002</v>
      </c>
      <c r="E226" s="4">
        <f t="shared" si="6"/>
        <v>0.34393634975997883</v>
      </c>
    </row>
    <row r="227" spans="1:5" ht="19.5" customHeight="1">
      <c r="A227" s="19">
        <v>41</v>
      </c>
      <c r="B227" s="10" t="s">
        <v>178</v>
      </c>
      <c r="C227" s="11">
        <v>104</v>
      </c>
      <c r="D227" s="12">
        <v>1258.23347928</v>
      </c>
      <c r="E227" s="4">
        <f t="shared" si="6"/>
        <v>0.27211010551634696</v>
      </c>
    </row>
    <row r="228" spans="1:5" ht="19.5" customHeight="1">
      <c r="A228" s="19">
        <v>42</v>
      </c>
      <c r="B228" s="10" t="s">
        <v>261</v>
      </c>
      <c r="C228" s="11">
        <v>24</v>
      </c>
      <c r="D228" s="12">
        <v>1116.2776690000001</v>
      </c>
      <c r="E228" s="4">
        <f t="shared" si="6"/>
        <v>0.24141023053284769</v>
      </c>
    </row>
    <row r="229" spans="1:5" ht="19.5" customHeight="1">
      <c r="A229" s="19">
        <v>43</v>
      </c>
      <c r="B229" s="10" t="s">
        <v>171</v>
      </c>
      <c r="C229" s="11">
        <v>71</v>
      </c>
      <c r="D229" s="12">
        <v>1084.56527785</v>
      </c>
      <c r="E229" s="4">
        <f t="shared" si="6"/>
        <v>0.23455199456622874</v>
      </c>
    </row>
    <row r="230" spans="1:5" ht="19.5" customHeight="1">
      <c r="A230" s="19">
        <v>44</v>
      </c>
      <c r="B230" s="10" t="s">
        <v>186</v>
      </c>
      <c r="C230" s="11">
        <v>32</v>
      </c>
      <c r="D230" s="12">
        <v>774.11769311</v>
      </c>
      <c r="E230" s="4">
        <f t="shared" si="6"/>
        <v>0.16741348137928339</v>
      </c>
    </row>
    <row r="231" spans="1:5" ht="19.5" customHeight="1">
      <c r="A231" s="19">
        <v>45</v>
      </c>
      <c r="B231" s="10" t="s">
        <v>177</v>
      </c>
      <c r="C231" s="11">
        <v>51</v>
      </c>
      <c r="D231" s="12">
        <v>720.141302</v>
      </c>
      <c r="E231" s="4">
        <f t="shared" si="6"/>
        <v>0.15574035256638738</v>
      </c>
    </row>
    <row r="232" spans="1:5" ht="19.5" customHeight="1">
      <c r="A232" s="19">
        <v>46</v>
      </c>
      <c r="B232" s="10" t="s">
        <v>184</v>
      </c>
      <c r="C232" s="11">
        <v>30</v>
      </c>
      <c r="D232" s="12">
        <v>706.827808</v>
      </c>
      <c r="E232" s="4">
        <f t="shared" si="6"/>
        <v>0.15286112838678259</v>
      </c>
    </row>
    <row r="233" spans="1:5" ht="19.5" customHeight="1">
      <c r="A233" s="19">
        <v>47</v>
      </c>
      <c r="B233" s="10" t="s">
        <v>200</v>
      </c>
      <c r="C233" s="11">
        <v>33</v>
      </c>
      <c r="D233" s="12">
        <v>655.75248099999999</v>
      </c>
      <c r="E233" s="4">
        <f t="shared" si="6"/>
        <v>0.14181539415055414</v>
      </c>
    </row>
    <row r="234" spans="1:5" ht="19.5" customHeight="1">
      <c r="A234" s="19">
        <v>48</v>
      </c>
      <c r="B234" s="10" t="s">
        <v>182</v>
      </c>
      <c r="C234" s="11">
        <v>103</v>
      </c>
      <c r="D234" s="12">
        <v>514.82372221000003</v>
      </c>
      <c r="E234" s="4">
        <f t="shared" si="6"/>
        <v>0.11133763302264434</v>
      </c>
    </row>
    <row r="235" spans="1:5" ht="19.5" customHeight="1">
      <c r="A235" s="19">
        <v>49</v>
      </c>
      <c r="B235" s="10" t="s">
        <v>191</v>
      </c>
      <c r="C235" s="11">
        <v>17</v>
      </c>
      <c r="D235" s="12">
        <v>431.86485599999997</v>
      </c>
      <c r="E235" s="4">
        <f t="shared" si="6"/>
        <v>9.3396649723712311E-2</v>
      </c>
    </row>
    <row r="236" spans="1:5" ht="19.5" customHeight="1">
      <c r="A236" s="19">
        <v>50</v>
      </c>
      <c r="B236" s="10" t="s">
        <v>188</v>
      </c>
      <c r="C236" s="11">
        <v>30</v>
      </c>
      <c r="D236" s="12">
        <v>317.28799900000001</v>
      </c>
      <c r="E236" s="4">
        <f t="shared" si="6"/>
        <v>6.8617845820129864E-2</v>
      </c>
    </row>
    <row r="237" spans="1:5" ht="19.5" customHeight="1">
      <c r="A237" s="19">
        <v>51</v>
      </c>
      <c r="B237" s="10" t="s">
        <v>262</v>
      </c>
      <c r="C237" s="11">
        <v>20</v>
      </c>
      <c r="D237" s="12">
        <v>311.87284799999998</v>
      </c>
      <c r="E237" s="4">
        <f t="shared" si="6"/>
        <v>6.7446745754631554E-2</v>
      </c>
    </row>
    <row r="238" spans="1:5" ht="19.5" customHeight="1">
      <c r="A238" s="19">
        <v>52</v>
      </c>
      <c r="B238" s="10" t="s">
        <v>187</v>
      </c>
      <c r="C238" s="11">
        <v>33</v>
      </c>
      <c r="D238" s="12">
        <v>264.02032500000001</v>
      </c>
      <c r="E238" s="4">
        <f t="shared" si="6"/>
        <v>5.709798672287815E-2</v>
      </c>
    </row>
    <row r="239" spans="1:5" ht="19.5" customHeight="1">
      <c r="A239" s="19">
        <v>53</v>
      </c>
      <c r="B239" s="10" t="s">
        <v>195</v>
      </c>
      <c r="C239" s="11">
        <v>9</v>
      </c>
      <c r="D239" s="12">
        <v>245.35986299999999</v>
      </c>
      <c r="E239" s="4">
        <f t="shared" si="6"/>
        <v>5.3062407979011468E-2</v>
      </c>
    </row>
    <row r="240" spans="1:5" ht="19.5" customHeight="1">
      <c r="A240" s="19">
        <v>54</v>
      </c>
      <c r="B240" s="10" t="s">
        <v>198</v>
      </c>
      <c r="C240" s="11">
        <v>42</v>
      </c>
      <c r="D240" s="12">
        <v>240.36246</v>
      </c>
      <c r="E240" s="4">
        <f t="shared" si="6"/>
        <v>5.1981651601096732E-2</v>
      </c>
    </row>
    <row r="241" spans="1:5" ht="19.5" customHeight="1">
      <c r="A241" s="19">
        <v>55</v>
      </c>
      <c r="B241" s="10" t="s">
        <v>183</v>
      </c>
      <c r="C241" s="11">
        <v>21</v>
      </c>
      <c r="D241" s="12">
        <v>231.58128487000002</v>
      </c>
      <c r="E241" s="4">
        <f t="shared" si="6"/>
        <v>5.008260302980206E-2</v>
      </c>
    </row>
    <row r="242" spans="1:5" ht="19.5" customHeight="1">
      <c r="A242" s="19">
        <v>56</v>
      </c>
      <c r="B242" s="10" t="s">
        <v>193</v>
      </c>
      <c r="C242" s="11">
        <v>20</v>
      </c>
      <c r="D242" s="12">
        <v>230.53464199999999</v>
      </c>
      <c r="E242" s="4">
        <f t="shared" si="6"/>
        <v>4.985625227178804E-2</v>
      </c>
    </row>
    <row r="243" spans="1:5" ht="19.5" customHeight="1">
      <c r="A243" s="19">
        <v>57</v>
      </c>
      <c r="B243" s="10" t="s">
        <v>199</v>
      </c>
      <c r="C243" s="11">
        <v>11</v>
      </c>
      <c r="D243" s="12">
        <v>154.67383799999999</v>
      </c>
      <c r="E243" s="4">
        <f t="shared" si="6"/>
        <v>3.345032147998684E-2</v>
      </c>
    </row>
    <row r="244" spans="1:5" ht="19.5" customHeight="1">
      <c r="A244" s="19">
        <v>58</v>
      </c>
      <c r="B244" s="10" t="s">
        <v>263</v>
      </c>
      <c r="C244" s="11">
        <v>10</v>
      </c>
      <c r="D244" s="12">
        <v>135.72999999999999</v>
      </c>
      <c r="E244" s="4">
        <f t="shared" si="6"/>
        <v>2.935345882138525E-2</v>
      </c>
    </row>
    <row r="245" spans="1:5" ht="19.5" customHeight="1">
      <c r="A245" s="19">
        <v>59</v>
      </c>
      <c r="B245" s="10" t="s">
        <v>189</v>
      </c>
      <c r="C245" s="11">
        <v>8</v>
      </c>
      <c r="D245" s="12">
        <v>93.020026999999999</v>
      </c>
      <c r="E245" s="4">
        <f t="shared" si="6"/>
        <v>2.0116846180716456E-2</v>
      </c>
    </row>
    <row r="246" spans="1:5" ht="19.5" customHeight="1">
      <c r="A246" s="19">
        <v>60</v>
      </c>
      <c r="B246" s="10" t="s">
        <v>265</v>
      </c>
      <c r="C246" s="11">
        <v>5</v>
      </c>
      <c r="D246" s="12">
        <v>32.901261810000001</v>
      </c>
      <c r="E246" s="4">
        <f t="shared" si="6"/>
        <v>7.1153454189305998E-3</v>
      </c>
    </row>
    <row r="247" spans="1:5" ht="19.5" customHeight="1">
      <c r="A247" s="19">
        <v>61</v>
      </c>
      <c r="B247" s="10" t="s">
        <v>197</v>
      </c>
      <c r="C247" s="11">
        <v>13</v>
      </c>
      <c r="D247" s="12">
        <v>20.725000000000001</v>
      </c>
      <c r="E247" s="4">
        <f t="shared" si="6"/>
        <v>4.4820631700671146E-3</v>
      </c>
    </row>
    <row r="248" spans="1:5" ht="19.5" customHeight="1">
      <c r="A248" s="19">
        <v>62</v>
      </c>
      <c r="B248" s="10" t="s">
        <v>266</v>
      </c>
      <c r="C248" s="11">
        <v>6</v>
      </c>
      <c r="D248" s="12">
        <v>4.1469940000000003</v>
      </c>
      <c r="E248" s="4">
        <f t="shared" si="6"/>
        <v>8.96843863637602E-4</v>
      </c>
    </row>
    <row r="249" spans="1:5" ht="19.5" customHeight="1">
      <c r="A249" s="19">
        <v>63</v>
      </c>
      <c r="B249" s="10" t="s">
        <v>267</v>
      </c>
      <c r="C249" s="11">
        <v>1</v>
      </c>
      <c r="D249" s="12">
        <v>3</v>
      </c>
      <c r="E249" s="4">
        <f t="shared" si="6"/>
        <v>6.4879080869487777E-4</v>
      </c>
    </row>
    <row r="250" spans="1:5" ht="19.5" customHeight="1">
      <c r="A250" s="19">
        <v>64</v>
      </c>
      <c r="B250" s="10" t="s">
        <v>268</v>
      </c>
      <c r="C250" s="11">
        <v>1</v>
      </c>
      <c r="D250" s="12">
        <v>1.5</v>
      </c>
      <c r="E250" s="4">
        <f t="shared" si="6"/>
        <v>3.2439540434743889E-4</v>
      </c>
    </row>
    <row r="251" spans="1:5" ht="19.5" customHeight="1">
      <c r="A251" s="209" t="s">
        <v>206</v>
      </c>
      <c r="B251" s="209"/>
      <c r="C251" s="13">
        <f>SUM(C187:C250)</f>
        <v>38844</v>
      </c>
      <c r="D251" s="14">
        <f>SUM(D187:D250)</f>
        <v>462398.65913557977</v>
      </c>
    </row>
    <row r="252" spans="1:5" ht="18" customHeight="1"/>
    <row r="253" spans="1:5" ht="15.75" customHeight="1">
      <c r="A253" s="200" t="s">
        <v>306</v>
      </c>
      <c r="B253" s="200"/>
      <c r="C253" s="200"/>
      <c r="D253" s="200"/>
    </row>
    <row r="254" spans="1:5">
      <c r="A254" s="201" t="str">
        <f>A6</f>
        <v>(Lũy kế các dự án còn hiệu lực đến ngày 20/11/2023)</v>
      </c>
      <c r="B254" s="201"/>
      <c r="C254" s="201"/>
      <c r="D254" s="201"/>
    </row>
    <row r="255" spans="1:5">
      <c r="A255" s="125"/>
      <c r="B255" s="124"/>
      <c r="C255" s="126"/>
      <c r="D255" s="126"/>
    </row>
    <row r="256" spans="1:5" ht="47.25">
      <c r="A256" s="127" t="s">
        <v>1</v>
      </c>
      <c r="B256" s="128" t="s">
        <v>308</v>
      </c>
      <c r="C256" s="129" t="s">
        <v>203</v>
      </c>
      <c r="D256" s="130" t="s">
        <v>208</v>
      </c>
    </row>
    <row r="257" spans="1:7" s="163" customFormat="1">
      <c r="A257" s="159" t="s">
        <v>294</v>
      </c>
      <c r="B257" s="160" t="s">
        <v>303</v>
      </c>
      <c r="C257" s="161">
        <f>SUM(C258:C263)</f>
        <v>19750</v>
      </c>
      <c r="D257" s="162">
        <f>SUM(D258:D263)</f>
        <v>182229.79872377001</v>
      </c>
    </row>
    <row r="258" spans="1:7">
      <c r="A258" s="150">
        <v>1</v>
      </c>
      <c r="B258" s="133" t="s">
        <v>147</v>
      </c>
      <c r="C258" s="132">
        <f t="shared" ref="C258:C263" si="8">VLOOKUP(B258,$B$187:$D$250,2,FALSE)</f>
        <v>12300</v>
      </c>
      <c r="D258" s="140">
        <f t="shared" ref="D258:D263" si="9">VLOOKUP(B258,$B$187:$D$250,3,FALSE)</f>
        <v>57251.314283650005</v>
      </c>
    </row>
    <row r="259" spans="1:7">
      <c r="A259" s="150">
        <v>2</v>
      </c>
      <c r="B259" s="133" t="s">
        <v>150</v>
      </c>
      <c r="C259" s="132">
        <f t="shared" si="8"/>
        <v>4195</v>
      </c>
      <c r="D259" s="140">
        <f t="shared" si="9"/>
        <v>40302.875053720003</v>
      </c>
    </row>
    <row r="260" spans="1:7">
      <c r="A260" s="150">
        <v>3</v>
      </c>
      <c r="B260" s="133" t="s">
        <v>152</v>
      </c>
      <c r="C260" s="132">
        <f t="shared" si="8"/>
        <v>1886</v>
      </c>
      <c r="D260" s="140">
        <f t="shared" si="9"/>
        <v>36441.588040710005</v>
      </c>
    </row>
    <row r="261" spans="1:7">
      <c r="A261" s="150">
        <v>4</v>
      </c>
      <c r="B261" s="133" t="s">
        <v>151</v>
      </c>
      <c r="C261" s="132">
        <f t="shared" si="8"/>
        <v>551</v>
      </c>
      <c r="D261" s="140">
        <f t="shared" si="9"/>
        <v>33890.77175485</v>
      </c>
      <c r="G261" s="4">
        <f>3043000-1770000</f>
        <v>1273000</v>
      </c>
    </row>
    <row r="262" spans="1:7">
      <c r="A262" s="150">
        <v>5</v>
      </c>
      <c r="B262" s="133" t="s">
        <v>148</v>
      </c>
      <c r="C262" s="132">
        <f t="shared" si="8"/>
        <v>364</v>
      </c>
      <c r="D262" s="140">
        <f t="shared" si="9"/>
        <v>9640.1892117799998</v>
      </c>
    </row>
    <row r="263" spans="1:7">
      <c r="A263" s="151">
        <v>6</v>
      </c>
      <c r="B263" s="135" t="s">
        <v>162</v>
      </c>
      <c r="C263" s="148">
        <f t="shared" si="8"/>
        <v>454</v>
      </c>
      <c r="D263" s="149">
        <f t="shared" si="9"/>
        <v>4703.0603790600007</v>
      </c>
    </row>
    <row r="264" spans="1:7">
      <c r="A264" s="152" t="s">
        <v>296</v>
      </c>
      <c r="B264" s="136" t="s">
        <v>295</v>
      </c>
      <c r="C264" s="137">
        <f>SUM(C265:C275)</f>
        <v>13170</v>
      </c>
      <c r="D264" s="142">
        <f>SUM(D265:D275)</f>
        <v>143935.78085635003</v>
      </c>
    </row>
    <row r="265" spans="1:7">
      <c r="A265" s="153">
        <v>1</v>
      </c>
      <c r="B265" s="131" t="s">
        <v>149</v>
      </c>
      <c r="C265" s="132">
        <f t="shared" ref="C265:C275" si="10">VLOOKUP(B265,$B$187:$D$250,2,FALSE)</f>
        <v>7333</v>
      </c>
      <c r="D265" s="140">
        <f t="shared" ref="D265:D275" si="11">VLOOKUP(B265,$B$187:$D$250,3,FALSE)</f>
        <v>39582.248255420003</v>
      </c>
    </row>
    <row r="266" spans="1:7">
      <c r="A266" s="153">
        <v>2</v>
      </c>
      <c r="B266" s="131" t="s">
        <v>153</v>
      </c>
      <c r="C266" s="132">
        <f t="shared" si="10"/>
        <v>1089</v>
      </c>
      <c r="D266" s="140">
        <f t="shared" si="11"/>
        <v>28176.17401346</v>
      </c>
    </row>
    <row r="267" spans="1:7">
      <c r="A267" s="153">
        <v>3</v>
      </c>
      <c r="B267" s="131" t="s">
        <v>154</v>
      </c>
      <c r="C267" s="132">
        <f t="shared" si="10"/>
        <v>2112</v>
      </c>
      <c r="D267" s="140">
        <f t="shared" si="11"/>
        <v>24704.011802090004</v>
      </c>
    </row>
    <row r="268" spans="1:7">
      <c r="A268" s="153">
        <v>4</v>
      </c>
      <c r="B268" s="131" t="s">
        <v>176</v>
      </c>
      <c r="C268" s="132">
        <f t="shared" si="10"/>
        <v>180</v>
      </c>
      <c r="D268" s="140">
        <f t="shared" si="11"/>
        <v>12955.30904624</v>
      </c>
    </row>
    <row r="269" spans="1:7">
      <c r="A269" s="153">
        <v>5</v>
      </c>
      <c r="B269" s="131" t="s">
        <v>161</v>
      </c>
      <c r="C269" s="132">
        <f t="shared" si="10"/>
        <v>571</v>
      </c>
      <c r="D269" s="140">
        <f t="shared" si="11"/>
        <v>10169.80275468</v>
      </c>
    </row>
    <row r="270" spans="1:7">
      <c r="A270" s="153">
        <v>6</v>
      </c>
      <c r="B270" s="131" t="s">
        <v>155</v>
      </c>
      <c r="C270" s="132">
        <f t="shared" si="10"/>
        <v>570</v>
      </c>
      <c r="D270" s="140">
        <f t="shared" si="11"/>
        <v>7305.8587800400001</v>
      </c>
    </row>
    <row r="271" spans="1:7">
      <c r="A271" s="153">
        <v>7</v>
      </c>
      <c r="B271" s="131" t="s">
        <v>168</v>
      </c>
      <c r="C271" s="132">
        <f t="shared" si="10"/>
        <v>530</v>
      </c>
      <c r="D271" s="140">
        <f t="shared" si="11"/>
        <v>7033.5078990499997</v>
      </c>
    </row>
    <row r="272" spans="1:7">
      <c r="A272" s="153">
        <v>8</v>
      </c>
      <c r="B272" s="131" t="s">
        <v>156</v>
      </c>
      <c r="C272" s="132">
        <f t="shared" si="10"/>
        <v>403</v>
      </c>
      <c r="D272" s="140">
        <f t="shared" si="11"/>
        <v>5759.0413662199999</v>
      </c>
    </row>
    <row r="273" spans="1:4">
      <c r="A273" s="153">
        <v>9</v>
      </c>
      <c r="B273" s="131" t="s">
        <v>163</v>
      </c>
      <c r="C273" s="132">
        <f t="shared" si="10"/>
        <v>142</v>
      </c>
      <c r="D273" s="140">
        <f t="shared" si="11"/>
        <v>3962.9909010000001</v>
      </c>
    </row>
    <row r="274" spans="1:4">
      <c r="A274" s="153">
        <v>10</v>
      </c>
      <c r="B274" s="131" t="s">
        <v>165</v>
      </c>
      <c r="C274" s="132">
        <f t="shared" si="10"/>
        <v>138</v>
      </c>
      <c r="D274" s="140">
        <f t="shared" si="11"/>
        <v>2535.70029815</v>
      </c>
    </row>
    <row r="275" spans="1:4">
      <c r="A275" s="154">
        <v>11</v>
      </c>
      <c r="B275" s="134" t="s">
        <v>175</v>
      </c>
      <c r="C275" s="132">
        <f t="shared" si="10"/>
        <v>102</v>
      </c>
      <c r="D275" s="140">
        <f t="shared" si="11"/>
        <v>1751.1357399999999</v>
      </c>
    </row>
    <row r="276" spans="1:4">
      <c r="A276" s="152" t="s">
        <v>298</v>
      </c>
      <c r="B276" s="136" t="s">
        <v>299</v>
      </c>
      <c r="C276" s="137">
        <f>SUM(C277:C290)</f>
        <v>2407</v>
      </c>
      <c r="D276" s="142">
        <f>SUM(D277:D290)</f>
        <v>67206.781403519999</v>
      </c>
    </row>
    <row r="277" spans="1:4">
      <c r="A277" s="150">
        <v>1</v>
      </c>
      <c r="B277" s="133" t="s">
        <v>158</v>
      </c>
      <c r="C277" s="132">
        <f t="shared" ref="C277:C290" si="12">VLOOKUP(B277,$B$187:$D$250,2,FALSE)</f>
        <v>192</v>
      </c>
      <c r="D277" s="140">
        <f t="shared" ref="D277:D290" si="13">VLOOKUP(B277,$B$187:$D$250,3,FALSE)</f>
        <v>15125.140716</v>
      </c>
    </row>
    <row r="278" spans="1:4">
      <c r="A278" s="150">
        <v>2</v>
      </c>
      <c r="B278" s="133" t="s">
        <v>190</v>
      </c>
      <c r="C278" s="132">
        <f t="shared" si="12"/>
        <v>84</v>
      </c>
      <c r="D278" s="140">
        <f t="shared" si="13"/>
        <v>12087.984806</v>
      </c>
    </row>
    <row r="279" spans="1:4">
      <c r="A279" s="150">
        <v>3</v>
      </c>
      <c r="B279" s="133" t="s">
        <v>160</v>
      </c>
      <c r="C279" s="132">
        <f t="shared" si="12"/>
        <v>1012</v>
      </c>
      <c r="D279" s="140">
        <f t="shared" si="13"/>
        <v>6477.8299289299994</v>
      </c>
    </row>
    <row r="280" spans="1:4">
      <c r="A280" s="150">
        <v>4</v>
      </c>
      <c r="B280" s="133" t="s">
        <v>166</v>
      </c>
      <c r="C280" s="132">
        <f t="shared" si="12"/>
        <v>224</v>
      </c>
      <c r="D280" s="140">
        <f t="shared" si="13"/>
        <v>6321.9349164700006</v>
      </c>
    </row>
    <row r="281" spans="1:4">
      <c r="A281" s="150">
        <v>5</v>
      </c>
      <c r="B281" s="133" t="s">
        <v>185</v>
      </c>
      <c r="C281" s="132">
        <f t="shared" si="12"/>
        <v>120</v>
      </c>
      <c r="D281" s="140">
        <f t="shared" si="13"/>
        <v>4410.1252450000002</v>
      </c>
    </row>
    <row r="282" spans="1:4">
      <c r="A282" s="150">
        <v>6</v>
      </c>
      <c r="B282" s="133" t="s">
        <v>180</v>
      </c>
      <c r="C282" s="132">
        <f t="shared" si="12"/>
        <v>136</v>
      </c>
      <c r="D282" s="140">
        <f t="shared" si="13"/>
        <v>4273.2816380000004</v>
      </c>
    </row>
    <row r="283" spans="1:4">
      <c r="A283" s="150">
        <v>7</v>
      </c>
      <c r="B283" s="138" t="s">
        <v>179</v>
      </c>
      <c r="C283" s="132">
        <f t="shared" si="12"/>
        <v>146</v>
      </c>
      <c r="D283" s="140">
        <f t="shared" si="13"/>
        <v>3893.6272230100003</v>
      </c>
    </row>
    <row r="284" spans="1:4">
      <c r="A284" s="150">
        <v>8</v>
      </c>
      <c r="B284" s="138" t="s">
        <v>173</v>
      </c>
      <c r="C284" s="132">
        <f t="shared" si="12"/>
        <v>160</v>
      </c>
      <c r="D284" s="140">
        <f t="shared" si="13"/>
        <v>3850.7315979999998</v>
      </c>
    </row>
    <row r="285" spans="1:4">
      <c r="A285" s="150">
        <v>9</v>
      </c>
      <c r="B285" s="133" t="s">
        <v>264</v>
      </c>
      <c r="C285" s="132">
        <f t="shared" si="12"/>
        <v>26</v>
      </c>
      <c r="D285" s="140">
        <f t="shared" si="13"/>
        <v>2524.2635248299998</v>
      </c>
    </row>
    <row r="286" spans="1:4">
      <c r="A286" s="150">
        <v>10</v>
      </c>
      <c r="B286" s="133" t="s">
        <v>164</v>
      </c>
      <c r="C286" s="132">
        <f t="shared" si="12"/>
        <v>67</v>
      </c>
      <c r="D286" s="140">
        <f t="shared" si="13"/>
        <v>2098.002927</v>
      </c>
    </row>
    <row r="287" spans="1:4">
      <c r="A287" s="150">
        <v>11</v>
      </c>
      <c r="B287" s="133" t="s">
        <v>194</v>
      </c>
      <c r="C287" s="132">
        <f t="shared" si="12"/>
        <v>54</v>
      </c>
      <c r="D287" s="140">
        <f t="shared" si="13"/>
        <v>2038.546439</v>
      </c>
    </row>
    <row r="288" spans="1:4">
      <c r="A288" s="150">
        <v>12</v>
      </c>
      <c r="B288" s="133" t="s">
        <v>174</v>
      </c>
      <c r="C288" s="132">
        <f t="shared" si="12"/>
        <v>58</v>
      </c>
      <c r="D288" s="140">
        <f t="shared" si="13"/>
        <v>1730.801293</v>
      </c>
    </row>
    <row r="289" spans="1:4">
      <c r="A289" s="150">
        <v>13</v>
      </c>
      <c r="B289" s="133" t="s">
        <v>178</v>
      </c>
      <c r="C289" s="132">
        <f t="shared" si="12"/>
        <v>104</v>
      </c>
      <c r="D289" s="140">
        <f t="shared" si="13"/>
        <v>1258.23347928</v>
      </c>
    </row>
    <row r="290" spans="1:4">
      <c r="A290" s="151">
        <v>14</v>
      </c>
      <c r="B290" s="135" t="s">
        <v>261</v>
      </c>
      <c r="C290" s="132">
        <f t="shared" si="12"/>
        <v>24</v>
      </c>
      <c r="D290" s="140">
        <f t="shared" si="13"/>
        <v>1116.2776690000001</v>
      </c>
    </row>
    <row r="291" spans="1:4">
      <c r="A291" s="152" t="s">
        <v>300</v>
      </c>
      <c r="B291" s="136" t="s">
        <v>305</v>
      </c>
      <c r="C291" s="137">
        <f>SUM(C292:C304)</f>
        <v>1966</v>
      </c>
      <c r="D291" s="142">
        <f>SUM(D292:D304)</f>
        <v>35848.276312010006</v>
      </c>
    </row>
    <row r="292" spans="1:4">
      <c r="A292" s="150">
        <v>1</v>
      </c>
      <c r="B292" s="133" t="s">
        <v>157</v>
      </c>
      <c r="C292" s="132">
        <f t="shared" ref="C292:C304" si="14">VLOOKUP(B292,$B$187:$D$250,2,FALSE)</f>
        <v>1375</v>
      </c>
      <c r="D292" s="140">
        <f t="shared" ref="D292:D304" si="15">VLOOKUP(B292,$B$187:$D$250,3,FALSE)</f>
        <v>13552.13895187</v>
      </c>
    </row>
    <row r="293" spans="1:4">
      <c r="A293" s="150">
        <v>2</v>
      </c>
      <c r="B293" s="133" t="s">
        <v>181</v>
      </c>
      <c r="C293" s="132">
        <f t="shared" si="14"/>
        <v>64</v>
      </c>
      <c r="D293" s="140">
        <f t="shared" si="15"/>
        <v>4810.3202350000001</v>
      </c>
    </row>
    <row r="294" spans="1:4">
      <c r="A294" s="150">
        <v>3</v>
      </c>
      <c r="B294" s="138" t="s">
        <v>146</v>
      </c>
      <c r="C294" s="132">
        <f t="shared" si="14"/>
        <v>15</v>
      </c>
      <c r="D294" s="140">
        <f t="shared" si="15"/>
        <v>4675.8393880000003</v>
      </c>
    </row>
    <row r="295" spans="1:4">
      <c r="A295" s="150">
        <v>4</v>
      </c>
      <c r="B295" s="133" t="s">
        <v>170</v>
      </c>
      <c r="C295" s="132">
        <f t="shared" si="14"/>
        <v>40</v>
      </c>
      <c r="D295" s="140">
        <f t="shared" si="15"/>
        <v>3198.402427</v>
      </c>
    </row>
    <row r="296" spans="1:4">
      <c r="A296" s="150">
        <v>5</v>
      </c>
      <c r="B296" s="133" t="s">
        <v>172</v>
      </c>
      <c r="C296" s="132">
        <f t="shared" si="14"/>
        <v>140</v>
      </c>
      <c r="D296" s="140">
        <f t="shared" si="15"/>
        <v>2757.7401439999999</v>
      </c>
    </row>
    <row r="297" spans="1:4">
      <c r="A297" s="150">
        <v>6</v>
      </c>
      <c r="B297" s="133" t="s">
        <v>196</v>
      </c>
      <c r="C297" s="132">
        <f t="shared" si="14"/>
        <v>83</v>
      </c>
      <c r="D297" s="140">
        <f t="shared" si="15"/>
        <v>2269.3871477399998</v>
      </c>
    </row>
    <row r="298" spans="1:4">
      <c r="A298" s="150">
        <v>7</v>
      </c>
      <c r="B298" s="133" t="s">
        <v>192</v>
      </c>
      <c r="C298" s="132">
        <f t="shared" si="14"/>
        <v>67</v>
      </c>
      <c r="D298" s="140">
        <f t="shared" si="15"/>
        <v>1590.3570695700002</v>
      </c>
    </row>
    <row r="299" spans="1:4">
      <c r="A299" s="150">
        <v>8</v>
      </c>
      <c r="B299" s="133" t="s">
        <v>171</v>
      </c>
      <c r="C299" s="132">
        <f t="shared" si="14"/>
        <v>71</v>
      </c>
      <c r="D299" s="140">
        <f t="shared" si="15"/>
        <v>1084.56527785</v>
      </c>
    </row>
    <row r="300" spans="1:4">
      <c r="A300" s="150">
        <v>9</v>
      </c>
      <c r="B300" s="133" t="s">
        <v>186</v>
      </c>
      <c r="C300" s="132">
        <f t="shared" si="14"/>
        <v>32</v>
      </c>
      <c r="D300" s="140">
        <f t="shared" si="15"/>
        <v>774.11769311</v>
      </c>
    </row>
    <row r="301" spans="1:4">
      <c r="A301" s="150">
        <v>10</v>
      </c>
      <c r="B301" s="133" t="s">
        <v>191</v>
      </c>
      <c r="C301" s="132">
        <f t="shared" si="14"/>
        <v>17</v>
      </c>
      <c r="D301" s="140">
        <f t="shared" si="15"/>
        <v>431.86485599999997</v>
      </c>
    </row>
    <row r="302" spans="1:4">
      <c r="A302" s="150">
        <v>11</v>
      </c>
      <c r="B302" s="138" t="s">
        <v>188</v>
      </c>
      <c r="C302" s="132">
        <f t="shared" si="14"/>
        <v>30</v>
      </c>
      <c r="D302" s="140">
        <f t="shared" si="15"/>
        <v>317.28799900000001</v>
      </c>
    </row>
    <row r="303" spans="1:4">
      <c r="A303" s="150">
        <v>12</v>
      </c>
      <c r="B303" s="133" t="s">
        <v>183</v>
      </c>
      <c r="C303" s="132">
        <f t="shared" si="14"/>
        <v>21</v>
      </c>
      <c r="D303" s="140">
        <f t="shared" si="15"/>
        <v>231.58128487000002</v>
      </c>
    </row>
    <row r="304" spans="1:4">
      <c r="A304" s="150">
        <v>13</v>
      </c>
      <c r="B304" s="133" t="s">
        <v>199</v>
      </c>
      <c r="C304" s="132">
        <f t="shared" si="14"/>
        <v>11</v>
      </c>
      <c r="D304" s="140">
        <f t="shared" si="15"/>
        <v>154.67383799999999</v>
      </c>
    </row>
    <row r="305" spans="1:4">
      <c r="A305" s="152" t="s">
        <v>302</v>
      </c>
      <c r="B305" s="136" t="s">
        <v>297</v>
      </c>
      <c r="C305" s="137">
        <f>SUM(C306:C319)</f>
        <v>1331</v>
      </c>
      <c r="D305" s="142">
        <f>SUM(D306:D319)</f>
        <v>28537.425756719997</v>
      </c>
    </row>
    <row r="306" spans="1:4">
      <c r="A306" s="150">
        <v>1</v>
      </c>
      <c r="B306" s="133" t="s">
        <v>159</v>
      </c>
      <c r="C306" s="132">
        <f t="shared" ref="C306:C319" si="16">VLOOKUP(B306,$B$187:$D$250,2,FALSE)</f>
        <v>669</v>
      </c>
      <c r="D306" s="140">
        <f t="shared" ref="D306:D319" si="17">VLOOKUP(B306,$B$187:$D$250,3,FALSE)</f>
        <v>12133.428684369999</v>
      </c>
    </row>
    <row r="307" spans="1:4">
      <c r="A307" s="150">
        <v>2</v>
      </c>
      <c r="B307" s="133" t="s">
        <v>169</v>
      </c>
      <c r="C307" s="132">
        <f t="shared" si="16"/>
        <v>226</v>
      </c>
      <c r="D307" s="140">
        <f t="shared" si="17"/>
        <v>10766.232349540001</v>
      </c>
    </row>
    <row r="308" spans="1:4">
      <c r="A308" s="150">
        <v>3</v>
      </c>
      <c r="B308" s="133" t="s">
        <v>167</v>
      </c>
      <c r="C308" s="132">
        <f t="shared" si="16"/>
        <v>221</v>
      </c>
      <c r="D308" s="140">
        <f t="shared" si="17"/>
        <v>3328.950257</v>
      </c>
    </row>
    <row r="309" spans="1:4">
      <c r="A309" s="150">
        <v>4</v>
      </c>
      <c r="B309" s="133" t="s">
        <v>177</v>
      </c>
      <c r="C309" s="132">
        <f t="shared" si="16"/>
        <v>51</v>
      </c>
      <c r="D309" s="140">
        <f t="shared" si="17"/>
        <v>720.141302</v>
      </c>
    </row>
    <row r="310" spans="1:4">
      <c r="A310" s="150">
        <v>5</v>
      </c>
      <c r="B310" s="135" t="s">
        <v>200</v>
      </c>
      <c r="C310" s="132">
        <f t="shared" si="16"/>
        <v>33</v>
      </c>
      <c r="D310" s="140">
        <f t="shared" si="17"/>
        <v>655.75248099999999</v>
      </c>
    </row>
    <row r="311" spans="1:4">
      <c r="A311" s="150">
        <v>6</v>
      </c>
      <c r="B311" s="135" t="s">
        <v>187</v>
      </c>
      <c r="C311" s="132">
        <f t="shared" si="16"/>
        <v>33</v>
      </c>
      <c r="D311" s="140">
        <f t="shared" si="17"/>
        <v>264.02032500000001</v>
      </c>
    </row>
    <row r="312" spans="1:4">
      <c r="A312" s="150">
        <v>7</v>
      </c>
      <c r="B312" s="135" t="s">
        <v>198</v>
      </c>
      <c r="C312" s="132">
        <f t="shared" si="16"/>
        <v>42</v>
      </c>
      <c r="D312" s="140">
        <f t="shared" si="17"/>
        <v>240.36246</v>
      </c>
    </row>
    <row r="313" spans="1:4">
      <c r="A313" s="150">
        <v>8</v>
      </c>
      <c r="B313" s="135" t="s">
        <v>193</v>
      </c>
      <c r="C313" s="132">
        <f t="shared" si="16"/>
        <v>20</v>
      </c>
      <c r="D313" s="140">
        <f t="shared" si="17"/>
        <v>230.53464199999999</v>
      </c>
    </row>
    <row r="314" spans="1:4">
      <c r="A314" s="150">
        <v>9</v>
      </c>
      <c r="B314" s="135" t="s">
        <v>263</v>
      </c>
      <c r="C314" s="132">
        <f t="shared" si="16"/>
        <v>10</v>
      </c>
      <c r="D314" s="140">
        <f t="shared" si="17"/>
        <v>135.72999999999999</v>
      </c>
    </row>
    <row r="315" spans="1:4">
      <c r="A315" s="150">
        <v>10</v>
      </c>
      <c r="B315" s="135" t="s">
        <v>265</v>
      </c>
      <c r="C315" s="132">
        <f t="shared" si="16"/>
        <v>5</v>
      </c>
      <c r="D315" s="140">
        <f t="shared" si="17"/>
        <v>32.901261810000001</v>
      </c>
    </row>
    <row r="316" spans="1:4">
      <c r="A316" s="150">
        <v>11</v>
      </c>
      <c r="B316" s="135" t="s">
        <v>197</v>
      </c>
      <c r="C316" s="132">
        <f t="shared" si="16"/>
        <v>13</v>
      </c>
      <c r="D316" s="140">
        <f t="shared" si="17"/>
        <v>20.725000000000001</v>
      </c>
    </row>
    <row r="317" spans="1:4">
      <c r="A317" s="150">
        <v>12</v>
      </c>
      <c r="B317" s="135" t="s">
        <v>266</v>
      </c>
      <c r="C317" s="132">
        <f t="shared" si="16"/>
        <v>6</v>
      </c>
      <c r="D317" s="140">
        <f t="shared" si="17"/>
        <v>4.1469940000000003</v>
      </c>
    </row>
    <row r="318" spans="1:4">
      <c r="A318" s="150">
        <v>13</v>
      </c>
      <c r="B318" s="135" t="s">
        <v>267</v>
      </c>
      <c r="C318" s="132">
        <f t="shared" si="16"/>
        <v>1</v>
      </c>
      <c r="D318" s="140">
        <f t="shared" si="17"/>
        <v>3</v>
      </c>
    </row>
    <row r="319" spans="1:4">
      <c r="A319" s="151">
        <v>14</v>
      </c>
      <c r="B319" s="135" t="s">
        <v>268</v>
      </c>
      <c r="C319" s="132">
        <f t="shared" si="16"/>
        <v>1</v>
      </c>
      <c r="D319" s="140">
        <f t="shared" si="17"/>
        <v>1.5</v>
      </c>
    </row>
    <row r="320" spans="1:4">
      <c r="A320" s="152" t="s">
        <v>304</v>
      </c>
      <c r="B320" s="136" t="s">
        <v>301</v>
      </c>
      <c r="C320" s="137">
        <f>SUM(C321:C325)</f>
        <v>170</v>
      </c>
      <c r="D320" s="142">
        <f>SUM(D321:D325)</f>
        <v>1871.9042682100001</v>
      </c>
    </row>
    <row r="321" spans="1:4">
      <c r="A321" s="150">
        <v>1</v>
      </c>
      <c r="B321" s="133" t="s">
        <v>184</v>
      </c>
      <c r="C321" s="132">
        <f>VLOOKUP(B321,$B$187:$D$250,2,FALSE)</f>
        <v>30</v>
      </c>
      <c r="D321" s="140">
        <f>VLOOKUP(B321,$B$187:$D$250,3,FALSE)</f>
        <v>706.827808</v>
      </c>
    </row>
    <row r="322" spans="1:4">
      <c r="A322" s="150">
        <v>2</v>
      </c>
      <c r="B322" s="133" t="s">
        <v>182</v>
      </c>
      <c r="C322" s="132">
        <f>VLOOKUP(B322,$B$187:$D$250,2,FALSE)</f>
        <v>103</v>
      </c>
      <c r="D322" s="140">
        <f>VLOOKUP(B322,$B$187:$D$250,3,FALSE)</f>
        <v>514.82372221000003</v>
      </c>
    </row>
    <row r="323" spans="1:4">
      <c r="A323" s="150">
        <v>3</v>
      </c>
      <c r="B323" s="133" t="s">
        <v>262</v>
      </c>
      <c r="C323" s="132">
        <f>VLOOKUP(B323,$B$187:$D$250,2,FALSE)</f>
        <v>20</v>
      </c>
      <c r="D323" s="140">
        <f>VLOOKUP(B323,$B$187:$D$250,3,FALSE)</f>
        <v>311.87284799999998</v>
      </c>
    </row>
    <row r="324" spans="1:4">
      <c r="A324" s="150">
        <v>4</v>
      </c>
      <c r="B324" s="133" t="s">
        <v>195</v>
      </c>
      <c r="C324" s="132">
        <f>VLOOKUP(B324,$B$187:$D$250,2,FALSE)</f>
        <v>9</v>
      </c>
      <c r="D324" s="140">
        <f>VLOOKUP(B324,$B$187:$D$250,3,FALSE)</f>
        <v>245.35986299999999</v>
      </c>
    </row>
    <row r="325" spans="1:4">
      <c r="A325" s="151">
        <v>5</v>
      </c>
      <c r="B325" s="135" t="s">
        <v>189</v>
      </c>
      <c r="C325" s="132">
        <f>VLOOKUP(B325,$B$187:$D$250,2,FALSE)</f>
        <v>8</v>
      </c>
      <c r="D325" s="140">
        <f>VLOOKUP(B325,$B$187:$D$250,3,FALSE)</f>
        <v>93.020026999999999</v>
      </c>
    </row>
    <row r="326" spans="1:4">
      <c r="A326" s="152" t="s">
        <v>307</v>
      </c>
      <c r="B326" s="136" t="s">
        <v>260</v>
      </c>
      <c r="C326" s="136">
        <f t="shared" ref="C326" si="18">VLOOKUP(B326,$B$187:$D$250,2,FALSE)</f>
        <v>50</v>
      </c>
      <c r="D326" s="142">
        <f t="shared" ref="D326" si="19">VLOOKUP(B326,$B$187:$D$250,3,FALSE)</f>
        <v>2768.6918150000001</v>
      </c>
    </row>
    <row r="327" spans="1:4">
      <c r="A327" s="206" t="s">
        <v>62</v>
      </c>
      <c r="B327" s="207"/>
      <c r="C327" s="139">
        <f>C291+C257+C320+C276+C305+C264+C326</f>
        <v>38844</v>
      </c>
      <c r="D327" s="141">
        <f>D291+D257+D320+D276+D305+D264+D326</f>
        <v>462398.65913558012</v>
      </c>
    </row>
  </sheetData>
  <sortState xmlns:xlrd2="http://schemas.microsoft.com/office/spreadsheetml/2017/richdata2" ref="B9:D27">
    <sortCondition descending="1" ref="D9:D27"/>
  </sortState>
  <mergeCells count="14">
    <mergeCell ref="A253:D253"/>
    <mergeCell ref="A254:D254"/>
    <mergeCell ref="A327:B327"/>
    <mergeCell ref="A1:D1"/>
    <mergeCell ref="A181:B181"/>
    <mergeCell ref="A183:D183"/>
    <mergeCell ref="A184:D184"/>
    <mergeCell ref="A251:B251"/>
    <mergeCell ref="A3:B3"/>
    <mergeCell ref="A5:D5"/>
    <mergeCell ref="A6:D6"/>
    <mergeCell ref="A28:B28"/>
    <mergeCell ref="A34:D34"/>
    <mergeCell ref="A35:D35"/>
  </mergeCells>
  <conditionalFormatting sqref="B9:B27">
    <cfRule type="duplicateValues" dxfId="12" priority="12"/>
  </conditionalFormatting>
  <conditionalFormatting sqref="B38:B180">
    <cfRule type="duplicateValues" dxfId="11" priority="1144"/>
  </conditionalFormatting>
  <conditionalFormatting sqref="B258:B264 B276:B325">
    <cfRule type="duplicateValues" dxfId="10" priority="825" stopIfTrue="1"/>
  </conditionalFormatting>
  <conditionalFormatting sqref="B276:B325 B255:B264">
    <cfRule type="duplicateValues" dxfId="9" priority="819" stopIfTrue="1"/>
    <cfRule type="duplicateValues" dxfId="8" priority="820" stopIfTrue="1"/>
  </conditionalFormatting>
  <conditionalFormatting sqref="B327">
    <cfRule type="duplicateValues" dxfId="7" priority="6" stopIfTrue="1"/>
    <cfRule type="duplicateValues" dxfId="6" priority="7" stopIfTrue="1"/>
  </conditionalFormatting>
  <conditionalFormatting sqref="B328:B1048576 B181:B252 B1:B8 B28:B37">
    <cfRule type="duplicateValues" dxfId="5" priority="14"/>
  </conditionalFormatting>
  <conditionalFormatting sqref="B326:D326">
    <cfRule type="duplicateValues" dxfId="4" priority="1" stopIfTrue="1"/>
    <cfRule type="duplicateValues" dxfId="3" priority="2" stopIfTrue="1"/>
    <cfRule type="duplicateValues" dxfId="2" priority="3" stopIfTrue="1"/>
  </conditionalFormatting>
  <conditionalFormatting sqref="C256:D256">
    <cfRule type="duplicateValues" dxfId="1" priority="4" stopIfTrue="1"/>
    <cfRule type="duplicateValues" dxfId="0" priority="5" stopIfTrue="1"/>
  </conditionalFormatting>
  <pageMargins left="0.7" right="0.45" top="0.5" bottom="0.5" header="0.3" footer="0.3"/>
  <pageSetup paperSize="9" fitToHeight="0" orientation="portrait" r:id="rId1"/>
  <rowBreaks count="3" manualBreakCount="3">
    <brk id="33" max="3" man="1"/>
    <brk id="182" max="3" man="1"/>
    <brk id="25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thang 11</vt:lpstr>
      <vt:lpstr>Thang 11 2023</vt:lpstr>
      <vt:lpstr>Luy ke T11 2023</vt:lpstr>
      <vt:lpstr>'Luy ke T11 2023'!Print_Area</vt:lpstr>
      <vt:lpstr>'thang 11'!Print_Area</vt:lpstr>
      <vt:lpstr>'Thang 11 2023'!Print_Area</vt:lpstr>
      <vt:lpstr>'Luy ke T11 2023'!Print_Titles</vt:lpstr>
      <vt:lpstr>'Thang 11 2023'!Print_Titles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cp:lastPrinted>2023-10-26T07:48:37Z</cp:lastPrinted>
  <dcterms:created xsi:type="dcterms:W3CDTF">2020-03-20T08:58:11Z</dcterms:created>
  <dcterms:modified xsi:type="dcterms:W3CDTF">2023-11-24T02:42:16Z</dcterms:modified>
</cp:coreProperties>
</file>