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autoCompressPictures="0"/>
  <bookViews>
    <workbookView xWindow="4600" yWindow="1080" windowWidth="29520" windowHeight="16640" activeTab="2"/>
  </bookViews>
  <sheets>
    <sheet name="Sheet5" sheetId="5" r:id="rId1"/>
    <sheet name="Sheet9" sheetId="10" r:id="rId2"/>
    <sheet name="Calib" sheetId="11" r:id="rId3"/>
    <sheet name="25mg" sheetId="13" r:id="rId4"/>
    <sheet name="26Mg" sheetId="15" r:id="rId5"/>
    <sheet name="Sheet6" sheetId="1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4" i="11" l="1"/>
  <c r="L64" i="11"/>
  <c r="J65" i="11"/>
  <c r="J66" i="11"/>
  <c r="F64" i="11"/>
  <c r="C9" i="13"/>
  <c r="C14" i="13"/>
  <c r="F42" i="13"/>
  <c r="H8" i="13"/>
  <c r="K42" i="13"/>
  <c r="M42" i="13"/>
  <c r="N42" i="13"/>
  <c r="T42" i="13"/>
  <c r="F43" i="13"/>
  <c r="K43" i="13"/>
  <c r="M43" i="13"/>
  <c r="N43" i="13"/>
  <c r="T43" i="13"/>
  <c r="F44" i="13"/>
  <c r="K44" i="13"/>
  <c r="M44" i="13"/>
  <c r="N44" i="13"/>
  <c r="T44" i="13"/>
  <c r="F45" i="13"/>
  <c r="K45" i="13"/>
  <c r="M45" i="13"/>
  <c r="N45" i="13"/>
  <c r="T45" i="13"/>
  <c r="F46" i="13"/>
  <c r="K46" i="13"/>
  <c r="M46" i="13"/>
  <c r="N46" i="13"/>
  <c r="T46" i="13"/>
  <c r="F47" i="13"/>
  <c r="K47" i="13"/>
  <c r="M47" i="13"/>
  <c r="N47" i="13"/>
  <c r="T47" i="13"/>
  <c r="F48" i="13"/>
  <c r="K48" i="13"/>
  <c r="M48" i="13"/>
  <c r="N48" i="13"/>
  <c r="T48" i="13"/>
  <c r="F49" i="13"/>
  <c r="K49" i="13"/>
  <c r="M49" i="13"/>
  <c r="N49" i="13"/>
  <c r="T49" i="13"/>
  <c r="F50" i="13"/>
  <c r="K50" i="13"/>
  <c r="M50" i="13"/>
  <c r="N50" i="13"/>
  <c r="T50" i="13"/>
  <c r="F51" i="13"/>
  <c r="K51" i="13"/>
  <c r="M51" i="13"/>
  <c r="N51" i="13"/>
  <c r="T51" i="13"/>
  <c r="F52" i="13"/>
  <c r="K52" i="13"/>
  <c r="M52" i="13"/>
  <c r="N52" i="13"/>
  <c r="T52" i="13"/>
  <c r="F53" i="13"/>
  <c r="K53" i="13"/>
  <c r="M53" i="13"/>
  <c r="N53" i="13"/>
  <c r="T53" i="13"/>
  <c r="F54" i="13"/>
  <c r="K54" i="13"/>
  <c r="M54" i="13"/>
  <c r="N54" i="13"/>
  <c r="T54" i="13"/>
  <c r="F55" i="13"/>
  <c r="K55" i="13"/>
  <c r="M55" i="13"/>
  <c r="N55" i="13"/>
  <c r="T55" i="13"/>
  <c r="F56" i="13"/>
  <c r="K56" i="13"/>
  <c r="M56" i="13"/>
  <c r="N56" i="13"/>
  <c r="T56" i="13"/>
  <c r="F57" i="13"/>
  <c r="K57" i="13"/>
  <c r="M57" i="13"/>
  <c r="N57" i="13"/>
  <c r="T57" i="13"/>
  <c r="F58" i="13"/>
  <c r="K58" i="13"/>
  <c r="M58" i="13"/>
  <c r="N58" i="13"/>
  <c r="T58" i="13"/>
  <c r="F59" i="13"/>
  <c r="K59" i="13"/>
  <c r="M59" i="13"/>
  <c r="N59" i="13"/>
  <c r="T59" i="13"/>
  <c r="O42" i="13"/>
  <c r="V42" i="13"/>
  <c r="O43" i="13"/>
  <c r="V43" i="13"/>
  <c r="O44" i="13"/>
  <c r="V44" i="13"/>
  <c r="O45" i="13"/>
  <c r="V45" i="13"/>
  <c r="O46" i="13"/>
  <c r="V46" i="13"/>
  <c r="O47" i="13"/>
  <c r="V47" i="13"/>
  <c r="O48" i="13"/>
  <c r="V48" i="13"/>
  <c r="O49" i="13"/>
  <c r="V49" i="13"/>
  <c r="O50" i="13"/>
  <c r="V50" i="13"/>
  <c r="O51" i="13"/>
  <c r="V51" i="13"/>
  <c r="O52" i="13"/>
  <c r="V52" i="13"/>
  <c r="O53" i="13"/>
  <c r="V53" i="13"/>
  <c r="O54" i="13"/>
  <c r="V54" i="13"/>
  <c r="O55" i="13"/>
  <c r="V55" i="13"/>
  <c r="O56" i="13"/>
  <c r="V56" i="13"/>
  <c r="O57" i="13"/>
  <c r="V57" i="13"/>
  <c r="O58" i="13"/>
  <c r="V58" i="13"/>
  <c r="O59" i="13"/>
  <c r="V59" i="13"/>
  <c r="X42" i="13"/>
  <c r="H6" i="13"/>
  <c r="H7" i="13"/>
  <c r="K9" i="13"/>
  <c r="K11" i="13"/>
  <c r="C12" i="13"/>
  <c r="Z42" i="13"/>
  <c r="H9" i="13"/>
  <c r="AA42" i="13"/>
  <c r="AD42" i="13"/>
  <c r="R42" i="13"/>
  <c r="H8" i="15"/>
  <c r="C9" i="15"/>
  <c r="D98" i="15"/>
  <c r="H98" i="15"/>
  <c r="K98" i="15"/>
  <c r="M98" i="15"/>
  <c r="J98" i="15"/>
  <c r="L98" i="15"/>
  <c r="F98" i="15"/>
  <c r="D97" i="15"/>
  <c r="H97" i="15"/>
  <c r="K97" i="15"/>
  <c r="M97" i="15"/>
  <c r="J97" i="15"/>
  <c r="L97" i="15"/>
  <c r="F97" i="15"/>
  <c r="D96" i="15"/>
  <c r="H96" i="15"/>
  <c r="K96" i="15"/>
  <c r="M96" i="15"/>
  <c r="J96" i="15"/>
  <c r="L96" i="15"/>
  <c r="F96" i="15"/>
  <c r="D94" i="15"/>
  <c r="H94" i="15"/>
  <c r="K94" i="15"/>
  <c r="M94" i="15"/>
  <c r="J94" i="15"/>
  <c r="L94" i="15"/>
  <c r="F94" i="15"/>
  <c r="D93" i="15"/>
  <c r="H93" i="15"/>
  <c r="K93" i="15"/>
  <c r="M93" i="15"/>
  <c r="J93" i="15"/>
  <c r="L93" i="15"/>
  <c r="F93" i="15"/>
  <c r="D92" i="15"/>
  <c r="H92" i="15"/>
  <c r="K92" i="15"/>
  <c r="M92" i="15"/>
  <c r="J92" i="15"/>
  <c r="L92" i="15"/>
  <c r="F92" i="15"/>
  <c r="D90" i="15"/>
  <c r="H90" i="15"/>
  <c r="K90" i="15"/>
  <c r="M90" i="15"/>
  <c r="J90" i="15"/>
  <c r="L90" i="15"/>
  <c r="F90" i="15"/>
  <c r="D89" i="15"/>
  <c r="H89" i="15"/>
  <c r="K89" i="15"/>
  <c r="M89" i="15"/>
  <c r="J89" i="15"/>
  <c r="L89" i="15"/>
  <c r="F89" i="15"/>
  <c r="D88" i="15"/>
  <c r="H88" i="15"/>
  <c r="K88" i="15"/>
  <c r="M88" i="15"/>
  <c r="J88" i="15"/>
  <c r="L88" i="15"/>
  <c r="F88" i="15"/>
  <c r="D86" i="15"/>
  <c r="H86" i="15"/>
  <c r="K86" i="15"/>
  <c r="M86" i="15"/>
  <c r="J86" i="15"/>
  <c r="L86" i="15"/>
  <c r="F86" i="15"/>
  <c r="D85" i="15"/>
  <c r="H85" i="15"/>
  <c r="K85" i="15"/>
  <c r="M85" i="15"/>
  <c r="J85" i="15"/>
  <c r="L85" i="15"/>
  <c r="F85" i="15"/>
  <c r="D84" i="15"/>
  <c r="H84" i="15"/>
  <c r="K84" i="15"/>
  <c r="M84" i="15"/>
  <c r="J84" i="15"/>
  <c r="L84" i="15"/>
  <c r="F84" i="15"/>
  <c r="D82" i="15"/>
  <c r="H82" i="15"/>
  <c r="K82" i="15"/>
  <c r="M82" i="15"/>
  <c r="J82" i="15"/>
  <c r="L82" i="15"/>
  <c r="F82" i="15"/>
  <c r="D81" i="15"/>
  <c r="H81" i="15"/>
  <c r="K81" i="15"/>
  <c r="M81" i="15"/>
  <c r="J81" i="15"/>
  <c r="L81" i="15"/>
  <c r="F81" i="15"/>
  <c r="D80" i="15"/>
  <c r="H80" i="15"/>
  <c r="K80" i="15"/>
  <c r="M80" i="15"/>
  <c r="J80" i="15"/>
  <c r="L80" i="15"/>
  <c r="F80" i="15"/>
  <c r="D78" i="15"/>
  <c r="H78" i="15"/>
  <c r="K78" i="15"/>
  <c r="M78" i="15"/>
  <c r="J78" i="15"/>
  <c r="L78" i="15"/>
  <c r="F78" i="15"/>
  <c r="D77" i="15"/>
  <c r="H77" i="15"/>
  <c r="K77" i="15"/>
  <c r="M77" i="15"/>
  <c r="J77" i="15"/>
  <c r="L77" i="15"/>
  <c r="F77" i="15"/>
  <c r="D76" i="15"/>
  <c r="H76" i="15"/>
  <c r="K76" i="15"/>
  <c r="M76" i="15"/>
  <c r="J76" i="15"/>
  <c r="L76" i="15"/>
  <c r="F76" i="15"/>
  <c r="D74" i="15"/>
  <c r="H74" i="15"/>
  <c r="K74" i="15"/>
  <c r="M74" i="15"/>
  <c r="J74" i="15"/>
  <c r="L74" i="15"/>
  <c r="F74" i="15"/>
  <c r="D73" i="15"/>
  <c r="H73" i="15"/>
  <c r="K73" i="15"/>
  <c r="M73" i="15"/>
  <c r="J73" i="15"/>
  <c r="L73" i="15"/>
  <c r="N73" i="15"/>
  <c r="F73" i="15"/>
  <c r="D72" i="15"/>
  <c r="H72" i="15"/>
  <c r="K72" i="15"/>
  <c r="M72" i="15"/>
  <c r="J72" i="15"/>
  <c r="L72" i="15"/>
  <c r="N72" i="15"/>
  <c r="F72" i="15"/>
  <c r="D70" i="15"/>
  <c r="H70" i="15"/>
  <c r="K70" i="15"/>
  <c r="M70" i="15"/>
  <c r="J70" i="15"/>
  <c r="L70" i="15"/>
  <c r="F70" i="15"/>
  <c r="D69" i="15"/>
  <c r="H69" i="15"/>
  <c r="K69" i="15"/>
  <c r="M69" i="15"/>
  <c r="J69" i="15"/>
  <c r="L69" i="15"/>
  <c r="F69" i="15"/>
  <c r="D68" i="15"/>
  <c r="H68" i="15"/>
  <c r="K68" i="15"/>
  <c r="M68" i="15"/>
  <c r="J68" i="15"/>
  <c r="L68" i="15"/>
  <c r="N68" i="15"/>
  <c r="F68" i="15"/>
  <c r="D66" i="15"/>
  <c r="H66" i="15"/>
  <c r="K66" i="15"/>
  <c r="M66" i="15"/>
  <c r="J66" i="15"/>
  <c r="L66" i="15"/>
  <c r="F66" i="15"/>
  <c r="D65" i="15"/>
  <c r="H65" i="15"/>
  <c r="K65" i="15"/>
  <c r="M65" i="15"/>
  <c r="J65" i="15"/>
  <c r="L65" i="15"/>
  <c r="F65" i="15"/>
  <c r="D64" i="15"/>
  <c r="H64" i="15"/>
  <c r="K64" i="15"/>
  <c r="M64" i="15"/>
  <c r="J64" i="15"/>
  <c r="L64" i="15"/>
  <c r="N64" i="15"/>
  <c r="F64" i="15"/>
  <c r="H6" i="15"/>
  <c r="H7" i="15"/>
  <c r="K9" i="15"/>
  <c r="C14" i="15"/>
  <c r="F59" i="15"/>
  <c r="K59" i="15"/>
  <c r="M59" i="15"/>
  <c r="N59" i="15"/>
  <c r="O59" i="15"/>
  <c r="V59" i="15"/>
  <c r="K11" i="15"/>
  <c r="X59" i="15"/>
  <c r="C12" i="15"/>
  <c r="Z59" i="15"/>
  <c r="H9" i="15"/>
  <c r="AA59" i="15"/>
  <c r="AD59" i="15"/>
  <c r="W59" i="15"/>
  <c r="Y59" i="15"/>
  <c r="U59" i="15"/>
  <c r="R59" i="15"/>
  <c r="F58" i="15"/>
  <c r="K58" i="15"/>
  <c r="M58" i="15"/>
  <c r="N58" i="15"/>
  <c r="O58" i="15"/>
  <c r="V58" i="15"/>
  <c r="X58" i="15"/>
  <c r="Z58" i="15"/>
  <c r="AA58" i="15"/>
  <c r="AD58" i="15"/>
  <c r="W58" i="15"/>
  <c r="Y58" i="15"/>
  <c r="U58" i="15"/>
  <c r="R58" i="15"/>
  <c r="F57" i="15"/>
  <c r="K57" i="15"/>
  <c r="M57" i="15"/>
  <c r="N57" i="15"/>
  <c r="O57" i="15"/>
  <c r="V57" i="15"/>
  <c r="X57" i="15"/>
  <c r="Z57" i="15"/>
  <c r="AA57" i="15"/>
  <c r="AD57" i="15"/>
  <c r="W57" i="15"/>
  <c r="Y57" i="15"/>
  <c r="U57" i="15"/>
  <c r="R57" i="15"/>
  <c r="F56" i="15"/>
  <c r="K56" i="15"/>
  <c r="M56" i="15"/>
  <c r="N56" i="15"/>
  <c r="O56" i="15"/>
  <c r="V56" i="15"/>
  <c r="X56" i="15"/>
  <c r="Z56" i="15"/>
  <c r="AA56" i="15"/>
  <c r="AD56" i="15"/>
  <c r="W56" i="15"/>
  <c r="Y56" i="15"/>
  <c r="U56" i="15"/>
  <c r="R56" i="15"/>
  <c r="F55" i="15"/>
  <c r="K55" i="15"/>
  <c r="M55" i="15"/>
  <c r="N55" i="15"/>
  <c r="O55" i="15"/>
  <c r="V55" i="15"/>
  <c r="X55" i="15"/>
  <c r="Z55" i="15"/>
  <c r="AA55" i="15"/>
  <c r="AD55" i="15"/>
  <c r="W55" i="15"/>
  <c r="Y55" i="15"/>
  <c r="U55" i="15"/>
  <c r="R55" i="15"/>
  <c r="F54" i="15"/>
  <c r="K54" i="15"/>
  <c r="M54" i="15"/>
  <c r="N54" i="15"/>
  <c r="O54" i="15"/>
  <c r="V54" i="15"/>
  <c r="X54" i="15"/>
  <c r="Z54" i="15"/>
  <c r="AA54" i="15"/>
  <c r="AD54" i="15"/>
  <c r="W54" i="15"/>
  <c r="Y54" i="15"/>
  <c r="U54" i="15"/>
  <c r="R54" i="15"/>
  <c r="F53" i="15"/>
  <c r="K53" i="15"/>
  <c r="M53" i="15"/>
  <c r="N53" i="15"/>
  <c r="O53" i="15"/>
  <c r="V53" i="15"/>
  <c r="X53" i="15"/>
  <c r="Z53" i="15"/>
  <c r="AA53" i="15"/>
  <c r="AD53" i="15"/>
  <c r="W53" i="15"/>
  <c r="Y53" i="15"/>
  <c r="U53" i="15"/>
  <c r="R53" i="15"/>
  <c r="F52" i="15"/>
  <c r="K52" i="15"/>
  <c r="M52" i="15"/>
  <c r="N52" i="15"/>
  <c r="O52" i="15"/>
  <c r="V52" i="15"/>
  <c r="X52" i="15"/>
  <c r="Z52" i="15"/>
  <c r="AA52" i="15"/>
  <c r="AD52" i="15"/>
  <c r="W52" i="15"/>
  <c r="Y52" i="15"/>
  <c r="U52" i="15"/>
  <c r="R52" i="15"/>
  <c r="F51" i="15"/>
  <c r="K51" i="15"/>
  <c r="M51" i="15"/>
  <c r="N51" i="15"/>
  <c r="O51" i="15"/>
  <c r="V51" i="15"/>
  <c r="X51" i="15"/>
  <c r="Z51" i="15"/>
  <c r="AA51" i="15"/>
  <c r="AD51" i="15"/>
  <c r="W51" i="15"/>
  <c r="Y51" i="15"/>
  <c r="U51" i="15"/>
  <c r="R51" i="15"/>
  <c r="F50" i="15"/>
  <c r="K50" i="15"/>
  <c r="M50" i="15"/>
  <c r="N50" i="15"/>
  <c r="O50" i="15"/>
  <c r="V50" i="15"/>
  <c r="X50" i="15"/>
  <c r="Z50" i="15"/>
  <c r="AA50" i="15"/>
  <c r="AD50" i="15"/>
  <c r="W50" i="15"/>
  <c r="Y50" i="15"/>
  <c r="U50" i="15"/>
  <c r="R50" i="15"/>
  <c r="F49" i="15"/>
  <c r="K49" i="15"/>
  <c r="M49" i="15"/>
  <c r="N49" i="15"/>
  <c r="O49" i="15"/>
  <c r="V49" i="15"/>
  <c r="X49" i="15"/>
  <c r="Z49" i="15"/>
  <c r="AA49" i="15"/>
  <c r="AD49" i="15"/>
  <c r="W49" i="15"/>
  <c r="Y49" i="15"/>
  <c r="U49" i="15"/>
  <c r="R49" i="15"/>
  <c r="F48" i="15"/>
  <c r="K48" i="15"/>
  <c r="M48" i="15"/>
  <c r="N48" i="15"/>
  <c r="O48" i="15"/>
  <c r="V48" i="15"/>
  <c r="X48" i="15"/>
  <c r="Z48" i="15"/>
  <c r="AA48" i="15"/>
  <c r="AD48" i="15"/>
  <c r="W48" i="15"/>
  <c r="Y48" i="15"/>
  <c r="U48" i="15"/>
  <c r="R48" i="15"/>
  <c r="F47" i="15"/>
  <c r="K47" i="15"/>
  <c r="M47" i="15"/>
  <c r="N47" i="15"/>
  <c r="O47" i="15"/>
  <c r="V47" i="15"/>
  <c r="X47" i="15"/>
  <c r="Z47" i="15"/>
  <c r="AA47" i="15"/>
  <c r="AD47" i="15"/>
  <c r="W47" i="15"/>
  <c r="Y47" i="15"/>
  <c r="U47" i="15"/>
  <c r="R47" i="15"/>
  <c r="F46" i="15"/>
  <c r="K46" i="15"/>
  <c r="M46" i="15"/>
  <c r="N46" i="15"/>
  <c r="O46" i="15"/>
  <c r="V46" i="15"/>
  <c r="X46" i="15"/>
  <c r="Z46" i="15"/>
  <c r="AA46" i="15"/>
  <c r="AD46" i="15"/>
  <c r="W46" i="15"/>
  <c r="Y46" i="15"/>
  <c r="U46" i="15"/>
  <c r="R46" i="15"/>
  <c r="F45" i="15"/>
  <c r="K45" i="15"/>
  <c r="M45" i="15"/>
  <c r="N45" i="15"/>
  <c r="O45" i="15"/>
  <c r="V45" i="15"/>
  <c r="X45" i="15"/>
  <c r="Z45" i="15"/>
  <c r="AA45" i="15"/>
  <c r="AD45" i="15"/>
  <c r="W45" i="15"/>
  <c r="Y45" i="15"/>
  <c r="U45" i="15"/>
  <c r="R45" i="15"/>
  <c r="F44" i="15"/>
  <c r="K44" i="15"/>
  <c r="M44" i="15"/>
  <c r="N44" i="15"/>
  <c r="O44" i="15"/>
  <c r="V44" i="15"/>
  <c r="X44" i="15"/>
  <c r="Z44" i="15"/>
  <c r="AA44" i="15"/>
  <c r="AD44" i="15"/>
  <c r="W44" i="15"/>
  <c r="Y44" i="15"/>
  <c r="U44" i="15"/>
  <c r="R44" i="15"/>
  <c r="F43" i="15"/>
  <c r="K43" i="15"/>
  <c r="M43" i="15"/>
  <c r="N43" i="15"/>
  <c r="O43" i="15"/>
  <c r="V43" i="15"/>
  <c r="X43" i="15"/>
  <c r="Z43" i="15"/>
  <c r="AA43" i="15"/>
  <c r="AD43" i="15"/>
  <c r="W43" i="15"/>
  <c r="Y43" i="15"/>
  <c r="U43" i="15"/>
  <c r="R43" i="15"/>
  <c r="F42" i="15"/>
  <c r="K42" i="15"/>
  <c r="M42" i="15"/>
  <c r="N42" i="15"/>
  <c r="O42" i="15"/>
  <c r="V42" i="15"/>
  <c r="X42" i="15"/>
  <c r="Z42" i="15"/>
  <c r="AA42" i="15"/>
  <c r="AD42" i="15"/>
  <c r="W42" i="15"/>
  <c r="Y42" i="15"/>
  <c r="U42" i="15"/>
  <c r="R42" i="15"/>
  <c r="H18" i="15"/>
  <c r="X43" i="13"/>
  <c r="Z43" i="13"/>
  <c r="AA43" i="13"/>
  <c r="AD43" i="13"/>
  <c r="X44" i="13"/>
  <c r="Z44" i="13"/>
  <c r="AA44" i="13"/>
  <c r="AD44" i="13"/>
  <c r="X45" i="13"/>
  <c r="Z45" i="13"/>
  <c r="AA45" i="13"/>
  <c r="AD45" i="13"/>
  <c r="X46" i="13"/>
  <c r="Z46" i="13"/>
  <c r="AA46" i="13"/>
  <c r="AD46" i="13"/>
  <c r="X47" i="13"/>
  <c r="Z47" i="13"/>
  <c r="AA47" i="13"/>
  <c r="AD47" i="13"/>
  <c r="X48" i="13"/>
  <c r="Z48" i="13"/>
  <c r="AA48" i="13"/>
  <c r="AD48" i="13"/>
  <c r="X49" i="13"/>
  <c r="Z49" i="13"/>
  <c r="AA49" i="13"/>
  <c r="AD49" i="13"/>
  <c r="X50" i="13"/>
  <c r="Z50" i="13"/>
  <c r="AA50" i="13"/>
  <c r="AD50" i="13"/>
  <c r="X51" i="13"/>
  <c r="Z51" i="13"/>
  <c r="AA51" i="13"/>
  <c r="AD51" i="13"/>
  <c r="X52" i="13"/>
  <c r="Z52" i="13"/>
  <c r="AA52" i="13"/>
  <c r="AD52" i="13"/>
  <c r="X53" i="13"/>
  <c r="Z53" i="13"/>
  <c r="AA53" i="13"/>
  <c r="AD53" i="13"/>
  <c r="X54" i="13"/>
  <c r="Z54" i="13"/>
  <c r="AA54" i="13"/>
  <c r="AD54" i="13"/>
  <c r="X55" i="13"/>
  <c r="Z55" i="13"/>
  <c r="AA55" i="13"/>
  <c r="AD55" i="13"/>
  <c r="X56" i="13"/>
  <c r="Z56" i="13"/>
  <c r="AA56" i="13"/>
  <c r="AD56" i="13"/>
  <c r="X57" i="13"/>
  <c r="Z57" i="13"/>
  <c r="AA57" i="13"/>
  <c r="AD57" i="13"/>
  <c r="X58" i="13"/>
  <c r="Z58" i="13"/>
  <c r="AA58" i="13"/>
  <c r="AD58" i="13"/>
  <c r="X59" i="13"/>
  <c r="Z59" i="13"/>
  <c r="AA59" i="13"/>
  <c r="AD59" i="13"/>
  <c r="W51" i="13"/>
  <c r="Y51" i="13"/>
  <c r="W52" i="13"/>
  <c r="Y52" i="13"/>
  <c r="W53" i="13"/>
  <c r="Y53" i="13"/>
  <c r="W54" i="13"/>
  <c r="Y54" i="13"/>
  <c r="W55" i="13"/>
  <c r="Y55" i="13"/>
  <c r="W56" i="13"/>
  <c r="Y56" i="13"/>
  <c r="W57" i="13"/>
  <c r="Y57" i="13"/>
  <c r="W58" i="13"/>
  <c r="Y58" i="13"/>
  <c r="W59" i="13"/>
  <c r="Y59" i="13"/>
  <c r="U51" i="13"/>
  <c r="U52" i="13"/>
  <c r="U53" i="13"/>
  <c r="U54" i="13"/>
  <c r="U55" i="13"/>
  <c r="U56" i="13"/>
  <c r="U57" i="13"/>
  <c r="U58" i="13"/>
  <c r="U59" i="13"/>
  <c r="R51" i="13"/>
  <c r="R52" i="13"/>
  <c r="R53" i="13"/>
  <c r="R54" i="13"/>
  <c r="R55" i="13"/>
  <c r="R56" i="13"/>
  <c r="R57" i="13"/>
  <c r="R58" i="13"/>
  <c r="R59" i="13"/>
  <c r="W43" i="13"/>
  <c r="Y43" i="13"/>
  <c r="W44" i="13"/>
  <c r="Y44" i="13"/>
  <c r="W45" i="13"/>
  <c r="Y45" i="13"/>
  <c r="W46" i="13"/>
  <c r="Y46" i="13"/>
  <c r="W47" i="13"/>
  <c r="Y47" i="13"/>
  <c r="W48" i="13"/>
  <c r="Y48" i="13"/>
  <c r="W49" i="13"/>
  <c r="Y49" i="13"/>
  <c r="W50" i="13"/>
  <c r="Y50" i="13"/>
  <c r="U43" i="13"/>
  <c r="U44" i="13"/>
  <c r="U45" i="13"/>
  <c r="U46" i="13"/>
  <c r="U47" i="13"/>
  <c r="U48" i="13"/>
  <c r="U49" i="13"/>
  <c r="U50" i="13"/>
  <c r="R43" i="13"/>
  <c r="R44" i="13"/>
  <c r="R45" i="13"/>
  <c r="R46" i="13"/>
  <c r="R47" i="13"/>
  <c r="R48" i="13"/>
  <c r="R49" i="13"/>
  <c r="R50" i="13"/>
  <c r="W42" i="13"/>
  <c r="Y42" i="13"/>
  <c r="U42" i="13"/>
  <c r="D98" i="13"/>
  <c r="H98" i="13"/>
  <c r="K98" i="13"/>
  <c r="M98" i="13"/>
  <c r="J98" i="13"/>
  <c r="L98" i="13"/>
  <c r="F98" i="13"/>
  <c r="D97" i="13"/>
  <c r="H97" i="13"/>
  <c r="K97" i="13"/>
  <c r="M97" i="13"/>
  <c r="J97" i="13"/>
  <c r="L97" i="13"/>
  <c r="F97" i="13"/>
  <c r="D96" i="13"/>
  <c r="H96" i="13"/>
  <c r="K96" i="13"/>
  <c r="M96" i="13"/>
  <c r="J96" i="13"/>
  <c r="L96" i="13"/>
  <c r="F96" i="13"/>
  <c r="D94" i="13"/>
  <c r="H94" i="13"/>
  <c r="K94" i="13"/>
  <c r="M94" i="13"/>
  <c r="J94" i="13"/>
  <c r="L94" i="13"/>
  <c r="F94" i="13"/>
  <c r="D93" i="13"/>
  <c r="H93" i="13"/>
  <c r="K93" i="13"/>
  <c r="M93" i="13"/>
  <c r="J93" i="13"/>
  <c r="L93" i="13"/>
  <c r="F93" i="13"/>
  <c r="D92" i="13"/>
  <c r="H92" i="13"/>
  <c r="K92" i="13"/>
  <c r="M92" i="13"/>
  <c r="J92" i="13"/>
  <c r="L92" i="13"/>
  <c r="F92" i="13"/>
  <c r="D90" i="13"/>
  <c r="H90" i="13"/>
  <c r="K90" i="13"/>
  <c r="M90" i="13"/>
  <c r="J90" i="13"/>
  <c r="L90" i="13"/>
  <c r="F90" i="13"/>
  <c r="D89" i="13"/>
  <c r="H89" i="13"/>
  <c r="K89" i="13"/>
  <c r="M89" i="13"/>
  <c r="J89" i="13"/>
  <c r="L89" i="13"/>
  <c r="F89" i="13"/>
  <c r="D88" i="13"/>
  <c r="H88" i="13"/>
  <c r="K88" i="13"/>
  <c r="M88" i="13"/>
  <c r="J88" i="13"/>
  <c r="L88" i="13"/>
  <c r="F88" i="13"/>
  <c r="D86" i="13"/>
  <c r="H86" i="13"/>
  <c r="K86" i="13"/>
  <c r="M86" i="13"/>
  <c r="J86" i="13"/>
  <c r="L86" i="13"/>
  <c r="F86" i="13"/>
  <c r="D85" i="13"/>
  <c r="H85" i="13"/>
  <c r="K85" i="13"/>
  <c r="M85" i="13"/>
  <c r="J85" i="13"/>
  <c r="L85" i="13"/>
  <c r="F85" i="13"/>
  <c r="D84" i="13"/>
  <c r="H84" i="13"/>
  <c r="K84" i="13"/>
  <c r="M84" i="13"/>
  <c r="J84" i="13"/>
  <c r="L84" i="13"/>
  <c r="F84" i="13"/>
  <c r="D82" i="13"/>
  <c r="H82" i="13"/>
  <c r="K82" i="13"/>
  <c r="M82" i="13"/>
  <c r="J82" i="13"/>
  <c r="L82" i="13"/>
  <c r="F82" i="13"/>
  <c r="D81" i="13"/>
  <c r="H81" i="13"/>
  <c r="K81" i="13"/>
  <c r="M81" i="13"/>
  <c r="J81" i="13"/>
  <c r="L81" i="13"/>
  <c r="F81" i="13"/>
  <c r="D80" i="13"/>
  <c r="H80" i="13"/>
  <c r="K80" i="13"/>
  <c r="M80" i="13"/>
  <c r="J80" i="13"/>
  <c r="L80" i="13"/>
  <c r="F80" i="13"/>
  <c r="D78" i="13"/>
  <c r="H78" i="13"/>
  <c r="K78" i="13"/>
  <c r="M78" i="13"/>
  <c r="J78" i="13"/>
  <c r="L78" i="13"/>
  <c r="F78" i="13"/>
  <c r="D77" i="13"/>
  <c r="H77" i="13"/>
  <c r="K77" i="13"/>
  <c r="M77" i="13"/>
  <c r="J77" i="13"/>
  <c r="L77" i="13"/>
  <c r="F77" i="13"/>
  <c r="D76" i="13"/>
  <c r="H76" i="13"/>
  <c r="K76" i="13"/>
  <c r="M76" i="13"/>
  <c r="J76" i="13"/>
  <c r="L76" i="13"/>
  <c r="F76" i="13"/>
  <c r="D74" i="13"/>
  <c r="H74" i="13"/>
  <c r="K74" i="13"/>
  <c r="M74" i="13"/>
  <c r="J74" i="13"/>
  <c r="L74" i="13"/>
  <c r="F74" i="13"/>
  <c r="D73" i="13"/>
  <c r="H73" i="13"/>
  <c r="K73" i="13"/>
  <c r="M73" i="13"/>
  <c r="J73" i="13"/>
  <c r="L73" i="13"/>
  <c r="N73" i="13"/>
  <c r="F73" i="13"/>
  <c r="D72" i="13"/>
  <c r="H72" i="13"/>
  <c r="K72" i="13"/>
  <c r="M72" i="13"/>
  <c r="J72" i="13"/>
  <c r="L72" i="13"/>
  <c r="N72" i="13"/>
  <c r="F72" i="13"/>
  <c r="D70" i="13"/>
  <c r="H70" i="13"/>
  <c r="K70" i="13"/>
  <c r="M70" i="13"/>
  <c r="J70" i="13"/>
  <c r="L70" i="13"/>
  <c r="F70" i="13"/>
  <c r="D69" i="13"/>
  <c r="H69" i="13"/>
  <c r="K69" i="13"/>
  <c r="M69" i="13"/>
  <c r="J69" i="13"/>
  <c r="L69" i="13"/>
  <c r="F69" i="13"/>
  <c r="D68" i="13"/>
  <c r="H68" i="13"/>
  <c r="K68" i="13"/>
  <c r="M68" i="13"/>
  <c r="J68" i="13"/>
  <c r="L68" i="13"/>
  <c r="N68" i="13"/>
  <c r="F68" i="13"/>
  <c r="D66" i="13"/>
  <c r="H66" i="13"/>
  <c r="K66" i="13"/>
  <c r="M66" i="13"/>
  <c r="J66" i="13"/>
  <c r="L66" i="13"/>
  <c r="F66" i="13"/>
  <c r="D65" i="13"/>
  <c r="H65" i="13"/>
  <c r="K65" i="13"/>
  <c r="M65" i="13"/>
  <c r="J65" i="13"/>
  <c r="L65" i="13"/>
  <c r="F65" i="13"/>
  <c r="D64" i="13"/>
  <c r="H64" i="13"/>
  <c r="K64" i="13"/>
  <c r="M64" i="13"/>
  <c r="J64" i="13"/>
  <c r="L64" i="13"/>
  <c r="N64" i="13"/>
  <c r="F64" i="13"/>
  <c r="H18" i="13"/>
  <c r="H9" i="11"/>
  <c r="H7" i="11"/>
  <c r="H6" i="11"/>
  <c r="K9" i="11"/>
  <c r="K11" i="11"/>
  <c r="C14" i="11"/>
  <c r="D65" i="11"/>
  <c r="H65" i="11"/>
  <c r="K65" i="11"/>
  <c r="H8" i="11"/>
  <c r="C9" i="11"/>
  <c r="M65" i="11"/>
  <c r="D66" i="11"/>
  <c r="H66" i="11"/>
  <c r="K66" i="11"/>
  <c r="M66" i="11"/>
  <c r="D68" i="11"/>
  <c r="H68" i="11"/>
  <c r="K68" i="11"/>
  <c r="M68" i="11"/>
  <c r="D69" i="11"/>
  <c r="H69" i="11"/>
  <c r="K69" i="11"/>
  <c r="M69" i="11"/>
  <c r="D70" i="11"/>
  <c r="H70" i="11"/>
  <c r="K70" i="11"/>
  <c r="M70" i="11"/>
  <c r="D72" i="11"/>
  <c r="H72" i="11"/>
  <c r="K72" i="11"/>
  <c r="M72" i="11"/>
  <c r="D73" i="11"/>
  <c r="H73" i="11"/>
  <c r="K73" i="11"/>
  <c r="M73" i="11"/>
  <c r="D74" i="11"/>
  <c r="H74" i="11"/>
  <c r="K74" i="11"/>
  <c r="M74" i="11"/>
  <c r="D76" i="11"/>
  <c r="H76" i="11"/>
  <c r="K76" i="11"/>
  <c r="M76" i="11"/>
  <c r="D77" i="11"/>
  <c r="H77" i="11"/>
  <c r="K77" i="11"/>
  <c r="M77" i="11"/>
  <c r="D78" i="11"/>
  <c r="H78" i="11"/>
  <c r="K78" i="11"/>
  <c r="M78" i="11"/>
  <c r="D80" i="11"/>
  <c r="H80" i="11"/>
  <c r="K80" i="11"/>
  <c r="M80" i="11"/>
  <c r="D81" i="11"/>
  <c r="H81" i="11"/>
  <c r="K81" i="11"/>
  <c r="M81" i="11"/>
  <c r="D82" i="11"/>
  <c r="H82" i="11"/>
  <c r="K82" i="11"/>
  <c r="M82" i="11"/>
  <c r="D84" i="11"/>
  <c r="H84" i="11"/>
  <c r="K84" i="11"/>
  <c r="M84" i="11"/>
  <c r="D85" i="11"/>
  <c r="H85" i="11"/>
  <c r="K85" i="11"/>
  <c r="M85" i="11"/>
  <c r="D86" i="11"/>
  <c r="H86" i="11"/>
  <c r="K86" i="11"/>
  <c r="M86" i="11"/>
  <c r="D88" i="11"/>
  <c r="H88" i="11"/>
  <c r="K88" i="11"/>
  <c r="M88" i="11"/>
  <c r="D89" i="11"/>
  <c r="H89" i="11"/>
  <c r="K89" i="11"/>
  <c r="M89" i="11"/>
  <c r="D90" i="11"/>
  <c r="H90" i="11"/>
  <c r="K90" i="11"/>
  <c r="M90" i="11"/>
  <c r="D92" i="11"/>
  <c r="H92" i="11"/>
  <c r="K92" i="11"/>
  <c r="M92" i="11"/>
  <c r="D93" i="11"/>
  <c r="H93" i="11"/>
  <c r="K93" i="11"/>
  <c r="M93" i="11"/>
  <c r="D94" i="11"/>
  <c r="H94" i="11"/>
  <c r="K94" i="11"/>
  <c r="M94" i="11"/>
  <c r="D96" i="11"/>
  <c r="H96" i="11"/>
  <c r="K96" i="11"/>
  <c r="M96" i="11"/>
  <c r="D97" i="11"/>
  <c r="H97" i="11"/>
  <c r="K97" i="11"/>
  <c r="M97" i="11"/>
  <c r="D98" i="11"/>
  <c r="H98" i="11"/>
  <c r="K98" i="11"/>
  <c r="M98" i="11"/>
  <c r="L65" i="11"/>
  <c r="L66" i="11"/>
  <c r="J68" i="11"/>
  <c r="L68" i="11"/>
  <c r="J69" i="11"/>
  <c r="L69" i="11"/>
  <c r="J70" i="11"/>
  <c r="L70" i="11"/>
  <c r="J72" i="11"/>
  <c r="L72" i="11"/>
  <c r="J73" i="11"/>
  <c r="L73" i="11"/>
  <c r="J74" i="11"/>
  <c r="L74" i="11"/>
  <c r="J76" i="11"/>
  <c r="L76" i="11"/>
  <c r="J77" i="11"/>
  <c r="L77" i="11"/>
  <c r="J78" i="11"/>
  <c r="L78" i="11"/>
  <c r="J80" i="11"/>
  <c r="L80" i="11"/>
  <c r="J81" i="11"/>
  <c r="L81" i="11"/>
  <c r="J82" i="11"/>
  <c r="L82" i="11"/>
  <c r="J84" i="11"/>
  <c r="L84" i="11"/>
  <c r="J85" i="11"/>
  <c r="L85" i="11"/>
  <c r="J86" i="11"/>
  <c r="L86" i="11"/>
  <c r="J88" i="11"/>
  <c r="L88" i="11"/>
  <c r="J89" i="11"/>
  <c r="L89" i="11"/>
  <c r="J90" i="11"/>
  <c r="L90" i="11"/>
  <c r="J92" i="11"/>
  <c r="L92" i="11"/>
  <c r="J93" i="11"/>
  <c r="L93" i="11"/>
  <c r="J94" i="11"/>
  <c r="L94" i="11"/>
  <c r="J96" i="11"/>
  <c r="L96" i="11"/>
  <c r="J97" i="11"/>
  <c r="L97" i="11"/>
  <c r="J98" i="11"/>
  <c r="L98" i="11"/>
  <c r="F76" i="11"/>
  <c r="F65" i="11"/>
  <c r="F66" i="11"/>
  <c r="F68" i="11"/>
  <c r="F69" i="11"/>
  <c r="F70" i="11"/>
  <c r="F72" i="11"/>
  <c r="F73" i="11"/>
  <c r="F74" i="11"/>
  <c r="F77" i="11"/>
  <c r="F78" i="11"/>
  <c r="F80" i="11"/>
  <c r="F81" i="11"/>
  <c r="F82" i="11"/>
  <c r="F84" i="11"/>
  <c r="F85" i="11"/>
  <c r="F86" i="11"/>
  <c r="F88" i="11"/>
  <c r="F89" i="11"/>
  <c r="F90" i="11"/>
  <c r="F92" i="11"/>
  <c r="F93" i="11"/>
  <c r="F94" i="11"/>
  <c r="F96" i="11"/>
  <c r="F97" i="11"/>
  <c r="F98" i="11"/>
  <c r="D64" i="11"/>
  <c r="L8" i="5"/>
  <c r="M8" i="5"/>
  <c r="N8" i="5"/>
  <c r="L12" i="5"/>
  <c r="M12" i="5"/>
  <c r="N12" i="5"/>
  <c r="L16" i="5"/>
  <c r="M16" i="5"/>
  <c r="N16" i="5"/>
  <c r="L20" i="5"/>
  <c r="M20" i="5"/>
  <c r="N20" i="5"/>
  <c r="L5" i="5"/>
  <c r="M5" i="5"/>
  <c r="N5" i="5"/>
  <c r="L6" i="5"/>
  <c r="M6" i="5"/>
  <c r="N6" i="5"/>
  <c r="L7" i="5"/>
  <c r="M7" i="5"/>
  <c r="N7" i="5"/>
  <c r="L9" i="5"/>
  <c r="M9" i="5"/>
  <c r="N9" i="5"/>
  <c r="L10" i="5"/>
  <c r="M10" i="5"/>
  <c r="N10" i="5"/>
  <c r="L11" i="5"/>
  <c r="M11" i="5"/>
  <c r="N11" i="5"/>
  <c r="L13" i="5"/>
  <c r="M13" i="5"/>
  <c r="N13" i="5"/>
  <c r="L14" i="5"/>
  <c r="M14" i="5"/>
  <c r="N14" i="5"/>
  <c r="L15" i="5"/>
  <c r="M15" i="5"/>
  <c r="N15" i="5"/>
  <c r="L17" i="5"/>
  <c r="M17" i="5"/>
  <c r="N17" i="5"/>
  <c r="L18" i="5"/>
  <c r="M18" i="5"/>
  <c r="N18" i="5"/>
  <c r="L19" i="5"/>
  <c r="M19" i="5"/>
  <c r="N19" i="5"/>
  <c r="L21" i="5"/>
  <c r="M21" i="5"/>
  <c r="N21" i="5"/>
  <c r="L22" i="5"/>
  <c r="M22" i="5"/>
  <c r="N22" i="5"/>
  <c r="L4" i="5"/>
  <c r="M4" i="5"/>
  <c r="N4" i="5"/>
  <c r="C12" i="11"/>
  <c r="H64" i="11"/>
  <c r="H18" i="11"/>
  <c r="F67" i="5"/>
  <c r="G67" i="5"/>
  <c r="F70" i="5"/>
  <c r="G70" i="5"/>
  <c r="F73" i="5"/>
  <c r="G73" i="5"/>
  <c r="F76" i="5"/>
  <c r="G76" i="5"/>
  <c r="F79" i="5"/>
  <c r="G79" i="5"/>
  <c r="F82" i="5"/>
  <c r="G82" i="5"/>
  <c r="F85" i="5"/>
  <c r="G85" i="5"/>
  <c r="F88" i="5"/>
  <c r="G88" i="5"/>
  <c r="F91" i="5"/>
  <c r="G91" i="5"/>
  <c r="F94" i="5"/>
  <c r="G94" i="5"/>
  <c r="F97" i="5"/>
  <c r="G97" i="5"/>
  <c r="F100" i="5"/>
  <c r="G100" i="5"/>
  <c r="F103" i="5"/>
  <c r="G103" i="5"/>
  <c r="F106" i="5"/>
  <c r="G106" i="5"/>
  <c r="F109" i="5"/>
  <c r="G109" i="5"/>
  <c r="F112" i="5"/>
  <c r="G112" i="5"/>
  <c r="F115" i="5"/>
  <c r="G115" i="5"/>
  <c r="F118" i="5"/>
  <c r="G118" i="5"/>
  <c r="F64" i="5"/>
  <c r="G64" i="5"/>
  <c r="K64" i="11"/>
  <c r="M64" i="11"/>
  <c r="N68" i="11"/>
  <c r="N72" i="11"/>
  <c r="N64" i="11"/>
  <c r="N73" i="11"/>
</calcChain>
</file>

<file path=xl/sharedStrings.xml><?xml version="1.0" encoding="utf-8"?>
<sst xmlns="http://schemas.openxmlformats.org/spreadsheetml/2006/main" count="631" uniqueCount="171">
  <si>
    <t>P0</t>
  </si>
  <si>
    <t>Error</t>
  </si>
  <si>
    <t>P1</t>
  </si>
  <si>
    <t>P2</t>
  </si>
  <si>
    <t>22Ne(6Li,d)</t>
  </si>
  <si>
    <t>KE</t>
  </si>
  <si>
    <t>q=</t>
  </si>
  <si>
    <t>e</t>
  </si>
  <si>
    <t>2H</t>
  </si>
  <si>
    <t>u=</t>
  </si>
  <si>
    <t>θ=</t>
  </si>
  <si>
    <t>Ex(cal)</t>
  </si>
  <si>
    <t>Ex(NNDC)</t>
  </si>
  <si>
    <t>Channel</t>
  </si>
  <si>
    <t>Energy lost by deutrons in Target</t>
  </si>
  <si>
    <t>dE/dx(MeV/(atoms/cm2))</t>
  </si>
  <si>
    <t>dE/dx(MeV/um)</t>
  </si>
  <si>
    <t>KE1</t>
  </si>
  <si>
    <t>KE2</t>
  </si>
  <si>
    <t>Proj Eloss (Aramid)</t>
  </si>
  <si>
    <t xml:space="preserve">Final Proj Eloss </t>
  </si>
  <si>
    <t>Proj Eloss (22Ne)</t>
  </si>
  <si>
    <t>800 channels</t>
  </si>
  <si>
    <t>a</t>
  </si>
  <si>
    <t>b</t>
  </si>
  <si>
    <t>∆b</t>
  </si>
  <si>
    <t>c</t>
  </si>
  <si>
    <t>∆c</t>
  </si>
  <si>
    <t>Covariance Matrix</t>
  </si>
  <si>
    <t>∆xfit</t>
  </si>
  <si>
    <t>∆xstatistical</t>
  </si>
  <si>
    <t>∆Bρfinal</t>
  </si>
  <si>
    <t>∆p (MeV/c)</t>
  </si>
  <si>
    <t>∆p_out</t>
  </si>
  <si>
    <t>Ex Errors (keV)</t>
  </si>
  <si>
    <t>N</t>
  </si>
  <si>
    <t>N^0.5</t>
  </si>
  <si>
    <t>FWHM</t>
  </si>
  <si>
    <t>Statistical Error</t>
  </si>
  <si>
    <t xml:space="preserve">∆E_out </t>
  </si>
  <si>
    <t>fixed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</si>
  <si>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</si>
  <si>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</si>
  <si>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</si>
  <si>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</si>
  <si>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</si>
  <si>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</si>
  <si>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</si>
  <si>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</si>
  <si>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</si>
  <si>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</si>
  <si>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</si>
  <si>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</si>
  <si>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</si>
  <si>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</si>
  <si>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</si>
  <si>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</si>
  <si>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</si>
  <si>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</si>
  <si>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</si>
  <si>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</si>
  <si>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</si>
  <si>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</si>
  <si>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</si>
  <si>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</si>
  <si>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</si>
  <si>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</si>
  <si>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</si>
  <si>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</si>
  <si>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</si>
  <si>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</si>
  <si>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</si>
  <si>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</si>
  <si>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</si>
  <si>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</si>
  <si>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</si>
  <si>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run4028</t>
  </si>
  <si>
    <t>Error in N</t>
  </si>
  <si>
    <t>(∆x)</t>
  </si>
  <si>
    <t>Constant</t>
  </si>
  <si>
    <t>Mean</t>
  </si>
  <si>
    <t>Sigma</t>
  </si>
  <si>
    <r>
      <t>1</t>
    </r>
    <r>
      <rPr>
        <sz val="11"/>
        <color theme="1"/>
        <rFont val="Calibri"/>
        <family val="2"/>
      </rPr>
      <t>σ</t>
    </r>
  </si>
  <si>
    <r>
      <t>2</t>
    </r>
    <r>
      <rPr>
        <sz val="11"/>
        <color theme="1"/>
        <rFont val="Calibri"/>
        <family val="2"/>
      </rPr>
      <t>σ</t>
    </r>
  </si>
  <si>
    <t>(keV)</t>
  </si>
  <si>
    <t>Real KE+∆Ex</t>
  </si>
  <si>
    <t>Bρ (Real KE)</t>
  </si>
  <si>
    <t>Bρ(Real KE+∆Ex)</t>
  </si>
  <si>
    <t>Error in Bρ</t>
  </si>
  <si>
    <t>Res Diff (keV)</t>
    <phoneticPr fontId="0" type="noConversion"/>
  </si>
  <si>
    <t>P*P</t>
    <phoneticPr fontId="0" type="noConversion"/>
  </si>
  <si>
    <t>p_out</t>
    <phoneticPr fontId="0" type="noConversion"/>
  </si>
  <si>
    <t>E_out</t>
    <phoneticPr fontId="0" type="noConversion"/>
  </si>
  <si>
    <t>p</t>
    <phoneticPr fontId="0" type="noConversion"/>
  </si>
  <si>
    <t>β</t>
    <phoneticPr fontId="0" type="noConversion"/>
  </si>
  <si>
    <t>γ</t>
    <phoneticPr fontId="0" type="noConversion"/>
  </si>
  <si>
    <r>
      <t>∆Bρ</t>
    </r>
    <r>
      <rPr>
        <vertAlign val="subscript"/>
        <sz val="11"/>
        <color theme="1"/>
        <rFont val="Calibri"/>
        <family val="2"/>
      </rPr>
      <t>pos</t>
    </r>
  </si>
  <si>
    <r>
      <t>∆Bρ</t>
    </r>
    <r>
      <rPr>
        <vertAlign val="subscript"/>
        <sz val="11"/>
        <color theme="1"/>
        <rFont val="Calibri"/>
        <family val="2"/>
      </rPr>
      <t>fit</t>
    </r>
    <r>
      <rPr>
        <vertAlign val="superscript"/>
        <sz val="11"/>
        <color theme="1"/>
        <rFont val="Calibri"/>
        <family val="2"/>
      </rPr>
      <t>2</t>
    </r>
  </si>
  <si>
    <t>Bρ</t>
    <phoneticPr fontId="0" type="noConversion"/>
  </si>
  <si>
    <t>Channel</t>
    <phoneticPr fontId="0" type="noConversion"/>
  </si>
  <si>
    <r>
      <rPr>
        <sz val="8"/>
        <rFont val="Calibri"/>
        <family val="2"/>
      </rPr>
      <t>∆</t>
    </r>
    <r>
      <rPr>
        <sz val="8"/>
        <rFont val="Verdana"/>
        <family val="2"/>
      </rPr>
      <t>a</t>
    </r>
  </si>
  <si>
    <t>f=</t>
    <phoneticPr fontId="0" type="noConversion"/>
  </si>
  <si>
    <t>Calibration factor</t>
    <phoneticPr fontId="0" type="noConversion"/>
  </si>
  <si>
    <t>Cos(θ)=</t>
    <phoneticPr fontId="0" type="noConversion"/>
  </si>
  <si>
    <t>MeV/c</t>
    <phoneticPr fontId="0" type="noConversion"/>
  </si>
  <si>
    <t>MeV</t>
    <phoneticPr fontId="0" type="noConversion"/>
  </si>
  <si>
    <t>°</t>
    <phoneticPr fontId="0" type="noConversion"/>
  </si>
  <si>
    <t xml:space="preserve">Momentum In </t>
    <phoneticPr fontId="0" type="noConversion"/>
  </si>
  <si>
    <t>a-Threshold</t>
    <phoneticPr fontId="0" type="noConversion"/>
  </si>
  <si>
    <t>Target Thickness</t>
    <phoneticPr fontId="0" type="noConversion"/>
  </si>
  <si>
    <t>MeV/c^2</t>
    <phoneticPr fontId="0" type="noConversion"/>
  </si>
  <si>
    <t>Recoil</t>
    <phoneticPr fontId="0" type="noConversion"/>
  </si>
  <si>
    <t>1 kg =</t>
    <phoneticPr fontId="0" type="noConversion"/>
  </si>
  <si>
    <t>Energy In:</t>
    <phoneticPr fontId="0" type="noConversion"/>
  </si>
  <si>
    <t xml:space="preserve">Projectile </t>
    <phoneticPr fontId="0" type="noConversion"/>
  </si>
  <si>
    <t>1 J =</t>
    <phoneticPr fontId="0" type="noConversion"/>
  </si>
  <si>
    <t>Target</t>
    <phoneticPr fontId="0" type="noConversion"/>
  </si>
  <si>
    <t>m/s</t>
    <phoneticPr fontId="0" type="noConversion"/>
  </si>
  <si>
    <t>c=</t>
    <phoneticPr fontId="0" type="noConversion"/>
  </si>
  <si>
    <t>Energy Loss</t>
    <phoneticPr fontId="0" type="noConversion"/>
  </si>
  <si>
    <t>Beam</t>
    <phoneticPr fontId="0" type="noConversion"/>
  </si>
  <si>
    <t>Total</t>
    <phoneticPr fontId="0" type="noConversion"/>
  </si>
  <si>
    <t>Type</t>
    <phoneticPr fontId="0" type="noConversion"/>
  </si>
  <si>
    <t>C</t>
    <phoneticPr fontId="0" type="noConversion"/>
  </si>
  <si>
    <t>e=</t>
    <phoneticPr fontId="0" type="noConversion"/>
  </si>
  <si>
    <t>Needed Masses</t>
    <phoneticPr fontId="0" type="noConversion"/>
  </si>
  <si>
    <t>Needed Constants</t>
    <phoneticPr fontId="0" type="noConversion"/>
  </si>
  <si>
    <t>∆Ein</t>
  </si>
  <si>
    <t>∆KE (MeV)</t>
  </si>
  <si>
    <r>
      <rPr>
        <sz val="11"/>
        <rFont val="Calibri"/>
        <family val="2"/>
      </rPr>
      <t>∆</t>
    </r>
    <r>
      <rPr>
        <sz val="11"/>
        <rFont val="Verdana"/>
        <family val="2"/>
      </rPr>
      <t>p_in</t>
    </r>
  </si>
  <si>
    <r>
      <rPr>
        <sz val="8"/>
        <rFont val="Calibri"/>
        <family val="2"/>
      </rPr>
      <t>∆</t>
    </r>
    <r>
      <rPr>
        <sz val="8"/>
        <rFont val="Verdana"/>
        <family val="2"/>
      </rPr>
      <t>f=</t>
    </r>
  </si>
  <si>
    <t>2H</t>
    <phoneticPr fontId="10" type="noConversion"/>
  </si>
  <si>
    <t>Excess(keV)</t>
    <phoneticPr fontId="0" type="noConversion"/>
  </si>
  <si>
    <t>24Mg</t>
  </si>
  <si>
    <t>1H</t>
  </si>
  <si>
    <t>25Mg</t>
  </si>
  <si>
    <r>
      <rPr>
        <sz val="8"/>
        <rFont val="Calibri"/>
        <family val="2"/>
      </rPr>
      <t>∆</t>
    </r>
    <r>
      <rPr>
        <sz val="8"/>
        <rFont val="Verdana"/>
        <family val="2"/>
      </rPr>
      <t>m (KeV)</t>
    </r>
    <phoneticPr fontId="10" type="noConversion"/>
  </si>
  <si>
    <t>2H:</t>
    <phoneticPr fontId="10" type="noConversion"/>
  </si>
  <si>
    <t>2H in 12C</t>
    <phoneticPr fontId="10" type="noConversion"/>
  </si>
  <si>
    <t>2H</t>
    <phoneticPr fontId="10" type="noConversion"/>
  </si>
  <si>
    <t xml:space="preserve">25mg states </t>
  </si>
  <si>
    <t>Known States of 13C</t>
    <phoneticPr fontId="0" type="noConversion"/>
  </si>
  <si>
    <t>Anlge(deg)</t>
  </si>
  <si>
    <t>State(MeV)</t>
  </si>
  <si>
    <t>KE1 (MeV)</t>
  </si>
  <si>
    <r>
      <t xml:space="preserve">KE1 + </t>
    </r>
    <r>
      <rPr>
        <sz val="11"/>
        <color theme="1"/>
        <rFont val="Calibri"/>
        <family val="2"/>
      </rPr>
      <t>∆Ex (MeV)</t>
    </r>
  </si>
  <si>
    <t>Proj Eloss (1H in 12C) (MeV)</t>
  </si>
  <si>
    <t>Real KE</t>
  </si>
  <si>
    <t>1.06902 - 0.0000474826 x - 1.14538*10^-9 x^2</t>
  </si>
  <si>
    <t>1.06902 - 0.0000474826 x - 1.14538*10^-9 x^2</t>
    <phoneticPr fontId="10" type="noConversion"/>
  </si>
  <si>
    <t>12C</t>
  </si>
  <si>
    <t>1mg/cm2</t>
  </si>
  <si>
    <t>12C</t>
    <phoneticPr fontId="10" type="noConversion"/>
  </si>
  <si>
    <t>13C</t>
    <phoneticPr fontId="10" type="noConversion"/>
  </si>
  <si>
    <t>Known States of 13C</t>
    <phoneticPr fontId="0" type="noConversion"/>
  </si>
  <si>
    <t>12C</t>
    <phoneticPr fontId="10" type="noConversion"/>
  </si>
  <si>
    <t>Energy lost by proton in Target</t>
    <phoneticPr fontId="10" type="noConversion"/>
  </si>
  <si>
    <t>12C</t>
    <phoneticPr fontId="10" type="noConversion"/>
  </si>
  <si>
    <r>
      <t>Energy lost by</t>
    </r>
    <r>
      <rPr>
        <b/>
        <sz val="8"/>
        <rFont val="Verdana"/>
        <family val="2"/>
      </rPr>
      <t xml:space="preserve"> deutrons</t>
    </r>
    <r>
      <rPr>
        <sz val="8"/>
        <rFont val="Verdana"/>
        <family val="2"/>
      </rPr>
      <t xml:space="preserve"> in Target</t>
    </r>
    <phoneticPr fontId="10" type="noConversion"/>
  </si>
  <si>
    <t>(d,p)</t>
    <phoneticPr fontId="10" type="noConversion"/>
  </si>
  <si>
    <t>24Mg</t>
    <phoneticPr fontId="10" type="noConversion"/>
  </si>
  <si>
    <t>24Mg</t>
    <phoneticPr fontId="10" type="noConversion"/>
  </si>
  <si>
    <r>
      <t>Energy lost by</t>
    </r>
    <r>
      <rPr>
        <b/>
        <sz val="8"/>
        <rFont val="Verdana"/>
        <family val="2"/>
      </rPr>
      <t xml:space="preserve"> proton</t>
    </r>
    <r>
      <rPr>
        <sz val="8"/>
        <rFont val="Verdana"/>
        <family val="2"/>
      </rPr>
      <t xml:space="preserve"> in Target</t>
    </r>
    <phoneticPr fontId="10" type="noConversion"/>
  </si>
  <si>
    <t>24Mg</t>
    <phoneticPr fontId="10" type="noConversion"/>
  </si>
  <si>
    <t>1.2mg/cm2</t>
    <phoneticPr fontId="10" type="noConversion"/>
  </si>
  <si>
    <t>dE/dx(MeV/(mg/cm2))</t>
    <phoneticPr fontId="10" type="noConversion"/>
  </si>
  <si>
    <t>{</t>
    <phoneticPr fontId="10" type="noConversion"/>
  </si>
  <si>
    <t>,</t>
    <phoneticPr fontId="10" type="noConversion"/>
  </si>
  <si>
    <t>}</t>
    <phoneticPr fontId="10" type="noConversion"/>
  </si>
  <si>
    <t>}</t>
    <phoneticPr fontId="10" type="noConversion"/>
  </si>
  <si>
    <t xml:space="preserve">Proj Eloss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</si>
</sst>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00"/>
    <numFmt numFmtId="177" formatCode="0.000000"/>
    <numFmt numFmtId="178" formatCode="0.00000"/>
    <numFmt numFmtId="179" formatCode="0.000"/>
    <numFmt numFmtId="180" formatCode="0.00000E+00"/>
    <numFmt numFmtId="181" formatCode="0.000000E+00"/>
    <numFmt numFmtId="182" formatCode="0.000E+00"/>
  </numFmts>
  <fonts count="18" x14ac:knownFonts="1">
    <font>
      <sz val="11"/>
      <color theme="1"/>
      <name val="宋体"/>
      <family val="2"/>
      <scheme val="minor"/>
    </font>
    <font>
      <sz val="10"/>
      <name val="Verdana"/>
      <family val="2"/>
    </font>
    <font>
      <sz val="8"/>
      <name val="Verdana"/>
      <family val="2"/>
    </font>
    <font>
      <sz val="10"/>
      <color rgb="FF000000"/>
      <name val="Verdana"/>
      <family val="2"/>
    </font>
    <font>
      <sz val="8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name val="Calibri"/>
      <family val="2"/>
    </font>
    <font>
      <sz val="11"/>
      <name val="Verdana"/>
      <family val="2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color rgb="FF000000"/>
      <name val="Arial Unicode MS"/>
      <family val="2"/>
      <charset val="134"/>
    </font>
    <font>
      <sz val="8"/>
      <color rgb="FF000000"/>
      <name val="Courier New"/>
      <family val="3"/>
    </font>
    <font>
      <sz val="11"/>
      <color theme="1"/>
      <name val="宋体"/>
      <family val="3"/>
      <charset val="134"/>
      <scheme val="minor"/>
    </font>
    <font>
      <u/>
      <sz val="11"/>
      <color theme="11"/>
      <name val="宋体"/>
      <family val="2"/>
      <scheme val="minor"/>
    </font>
    <font>
      <b/>
      <sz val="8"/>
      <name val="Verdana"/>
      <family val="2"/>
    </font>
    <font>
      <sz val="1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44">
    <xf numFmtId="0" fontId="0" fillId="0" borderId="0"/>
    <xf numFmtId="0" fontId="1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/>
    <xf numFmtId="0" fontId="2" fillId="0" borderId="0" xfId="0" applyFont="1" applyBorder="1"/>
    <xf numFmtId="0" fontId="2" fillId="0" borderId="4" xfId="0" applyFont="1" applyBorder="1" applyAlignment="1">
      <alignment horizontal="right"/>
    </xf>
    <xf numFmtId="0" fontId="2" fillId="0" borderId="0" xfId="0" applyFont="1"/>
    <xf numFmtId="0" fontId="2" fillId="0" borderId="0" xfId="0" applyFont="1" applyFill="1" applyBorder="1"/>
    <xf numFmtId="179" fontId="0" fillId="0" borderId="0" xfId="0" applyNumberFormat="1"/>
    <xf numFmtId="11" fontId="2" fillId="0" borderId="4" xfId="0" applyNumberFormat="1" applyFont="1" applyBorder="1" applyAlignment="1">
      <alignment horizontal="right"/>
    </xf>
    <xf numFmtId="11" fontId="2" fillId="0" borderId="0" xfId="0" applyNumberFormat="1" applyFont="1" applyBorder="1"/>
    <xf numFmtId="11" fontId="2" fillId="0" borderId="5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10" xfId="0" applyFont="1" applyBorder="1"/>
    <xf numFmtId="11" fontId="2" fillId="0" borderId="0" xfId="0" applyNumberFormat="1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11" xfId="0" applyFont="1" applyBorder="1"/>
    <xf numFmtId="0" fontId="2" fillId="0" borderId="9" xfId="0" applyFont="1" applyBorder="1" applyAlignment="1">
      <alignment horizontal="right"/>
    </xf>
    <xf numFmtId="176" fontId="2" fillId="0" borderId="0" xfId="0" applyNumberFormat="1" applyFont="1" applyFill="1" applyBorder="1"/>
    <xf numFmtId="178" fontId="2" fillId="0" borderId="0" xfId="0" applyNumberFormat="1" applyFont="1" applyFill="1" applyBorder="1"/>
    <xf numFmtId="179" fontId="2" fillId="0" borderId="0" xfId="0" applyNumberFormat="1" applyFont="1" applyFill="1" applyBorder="1"/>
    <xf numFmtId="11" fontId="2" fillId="0" borderId="0" xfId="0" applyNumberFormat="1" applyFont="1" applyFill="1" applyBorder="1"/>
    <xf numFmtId="180" fontId="2" fillId="0" borderId="0" xfId="0" applyNumberFormat="1" applyFont="1" applyFill="1" applyBorder="1"/>
    <xf numFmtId="179" fontId="2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76" fontId="2" fillId="5" borderId="13" xfId="0" applyNumberFormat="1" applyFont="1" applyFill="1" applyBorder="1"/>
    <xf numFmtId="176" fontId="2" fillId="0" borderId="13" xfId="0" applyNumberFormat="1" applyFont="1" applyFill="1" applyBorder="1"/>
    <xf numFmtId="0" fontId="2" fillId="0" borderId="13" xfId="0" applyFont="1" applyBorder="1"/>
    <xf numFmtId="179" fontId="2" fillId="0" borderId="4" xfId="0" applyNumberFormat="1" applyFont="1" applyBorder="1"/>
    <xf numFmtId="179" fontId="2" fillId="0" borderId="9" xfId="0" applyNumberFormat="1" applyFont="1" applyBorder="1"/>
    <xf numFmtId="176" fontId="0" fillId="0" borderId="13" xfId="0" applyNumberFormat="1" applyFill="1" applyBorder="1"/>
    <xf numFmtId="176" fontId="2" fillId="4" borderId="13" xfId="0" applyNumberFormat="1" applyFont="1" applyFill="1" applyBorder="1"/>
    <xf numFmtId="0" fontId="2" fillId="0" borderId="1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4" xfId="0" applyBorder="1"/>
    <xf numFmtId="176" fontId="0" fillId="0" borderId="0" xfId="0" applyNumberFormat="1"/>
    <xf numFmtId="176" fontId="2" fillId="4" borderId="0" xfId="0" applyNumberFormat="1" applyFont="1" applyFill="1" applyBorder="1"/>
    <xf numFmtId="0" fontId="2" fillId="0" borderId="3" xfId="0" applyFont="1" applyBorder="1" applyAlignment="1"/>
    <xf numFmtId="0" fontId="2" fillId="0" borderId="9" xfId="0" applyFont="1" applyBorder="1" applyAlignment="1"/>
    <xf numFmtId="0" fontId="2" fillId="0" borderId="14" xfId="0" applyFont="1" applyBorder="1" applyAlignment="1"/>
    <xf numFmtId="11" fontId="0" fillId="0" borderId="0" xfId="0" applyNumberFormat="1"/>
    <xf numFmtId="0" fontId="2" fillId="0" borderId="2" xfId="0" applyFont="1" applyBorder="1"/>
    <xf numFmtId="0" fontId="4" fillId="0" borderId="15" xfId="0" applyFont="1" applyBorder="1" applyAlignment="1"/>
    <xf numFmtId="0" fontId="2" fillId="0" borderId="3" xfId="0" applyFont="1" applyBorder="1"/>
    <xf numFmtId="0" fontId="2" fillId="0" borderId="15" xfId="0" applyFont="1" applyBorder="1" applyAlignment="1"/>
    <xf numFmtId="11" fontId="2" fillId="0" borderId="15" xfId="0" applyNumberFormat="1" applyFont="1" applyBorder="1"/>
    <xf numFmtId="11" fontId="2" fillId="0" borderId="12" xfId="0" applyNumberFormat="1" applyFont="1" applyBorder="1"/>
    <xf numFmtId="11" fontId="2" fillId="0" borderId="14" xfId="0" applyNumberFormat="1" applyFont="1" applyBorder="1"/>
    <xf numFmtId="0" fontId="5" fillId="6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5" fillId="0" borderId="0" xfId="0" applyFont="1"/>
    <xf numFmtId="181" fontId="0" fillId="0" borderId="0" xfId="0" applyNumberFormat="1"/>
    <xf numFmtId="0" fontId="2" fillId="0" borderId="2" xfId="0" applyFont="1" applyBorder="1" applyAlignment="1"/>
    <xf numFmtId="0" fontId="2" fillId="0" borderId="4" xfId="0" applyFont="1" applyFill="1" applyBorder="1" applyAlignment="1">
      <alignment horizontal="right"/>
    </xf>
    <xf numFmtId="177" fontId="2" fillId="0" borderId="0" xfId="0" applyNumberFormat="1" applyFont="1" applyBorder="1"/>
    <xf numFmtId="0" fontId="2" fillId="0" borderId="5" xfId="0" applyFont="1" applyFill="1" applyBorder="1" applyAlignment="1">
      <alignment horizontal="left"/>
    </xf>
    <xf numFmtId="0" fontId="0" fillId="0" borderId="2" xfId="0" applyBorder="1"/>
    <xf numFmtId="178" fontId="0" fillId="0" borderId="0" xfId="0" applyNumberFormat="1"/>
    <xf numFmtId="178" fontId="2" fillId="0" borderId="5" xfId="0" applyNumberFormat="1" applyFont="1" applyFill="1" applyBorder="1"/>
    <xf numFmtId="178" fontId="2" fillId="0" borderId="13" xfId="0" applyNumberFormat="1" applyFont="1" applyFill="1" applyBorder="1"/>
    <xf numFmtId="176" fontId="0" fillId="5" borderId="13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77" fontId="2" fillId="3" borderId="13" xfId="0" applyNumberFormat="1" applyFont="1" applyFill="1" applyBorder="1"/>
    <xf numFmtId="179" fontId="2" fillId="0" borderId="5" xfId="0" applyNumberFormat="1" applyFont="1" applyBorder="1"/>
    <xf numFmtId="180" fontId="0" fillId="0" borderId="0" xfId="0" applyNumberFormat="1"/>
    <xf numFmtId="177" fontId="0" fillId="0" borderId="0" xfId="0" applyNumberFormat="1"/>
    <xf numFmtId="0" fontId="0" fillId="0" borderId="13" xfId="0" applyBorder="1"/>
    <xf numFmtId="0" fontId="0" fillId="2" borderId="2" xfId="0" applyFill="1" applyBorder="1" applyAlignment="1"/>
    <xf numFmtId="0" fontId="2" fillId="0" borderId="10" xfId="0" applyFont="1" applyBorder="1" applyAlignment="1"/>
    <xf numFmtId="11" fontId="2" fillId="0" borderId="0" xfId="0" applyNumberFormat="1" applyFont="1"/>
    <xf numFmtId="0" fontId="9" fillId="2" borderId="2" xfId="0" applyFont="1" applyFill="1" applyBorder="1"/>
    <xf numFmtId="182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right"/>
    </xf>
    <xf numFmtId="0" fontId="11" fillId="0" borderId="0" xfId="2" applyBorder="1"/>
    <xf numFmtId="0" fontId="2" fillId="0" borderId="0" xfId="0" applyFont="1" applyBorder="1"/>
    <xf numFmtId="0" fontId="2" fillId="0" borderId="10" xfId="0" applyFont="1" applyBorder="1"/>
    <xf numFmtId="179" fontId="2" fillId="0" borderId="4" xfId="0" applyNumberFormat="1" applyFont="1" applyBorder="1"/>
    <xf numFmtId="0" fontId="12" fillId="0" borderId="0" xfId="0" applyFont="1" applyAlignment="1">
      <alignment vertical="center"/>
    </xf>
    <xf numFmtId="179" fontId="2" fillId="0" borderId="0" xfId="0" applyNumberFormat="1" applyFont="1" applyBorder="1"/>
    <xf numFmtId="0" fontId="0" fillId="0" borderId="0" xfId="0"/>
    <xf numFmtId="0" fontId="2" fillId="0" borderId="0" xfId="0" applyFont="1"/>
    <xf numFmtId="0" fontId="0" fillId="0" borderId="0" xfId="0"/>
    <xf numFmtId="0" fontId="0" fillId="0" borderId="8" xfId="0" applyBorder="1"/>
    <xf numFmtId="0" fontId="5" fillId="0" borderId="12" xfId="0" applyFont="1" applyBorder="1"/>
    <xf numFmtId="0" fontId="2" fillId="3" borderId="8" xfId="0" applyFont="1" applyFill="1" applyBorder="1"/>
    <xf numFmtId="0" fontId="2" fillId="3" borderId="1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0" fontId="0" fillId="0" borderId="7" xfId="0" applyBorder="1"/>
    <xf numFmtId="0" fontId="2" fillId="0" borderId="6" xfId="0" applyFont="1" applyFill="1" applyBorder="1" applyAlignment="1">
      <alignment horizontal="center"/>
    </xf>
    <xf numFmtId="0" fontId="0" fillId="0" borderId="0" xfId="0"/>
    <xf numFmtId="0" fontId="13" fillId="0" borderId="0" xfId="0" applyFont="1"/>
    <xf numFmtId="0" fontId="0" fillId="0" borderId="0" xfId="0"/>
    <xf numFmtId="179" fontId="0" fillId="0" borderId="0" xfId="0" applyNumberFormat="1"/>
    <xf numFmtId="179" fontId="2" fillId="0" borderId="0" xfId="0" applyNumberFormat="1" applyFont="1" applyBorder="1"/>
    <xf numFmtId="0" fontId="0" fillId="0" borderId="0" xfId="0"/>
    <xf numFmtId="179" fontId="0" fillId="0" borderId="0" xfId="0" applyNumberFormat="1"/>
    <xf numFmtId="0" fontId="0" fillId="0" borderId="0" xfId="0"/>
    <xf numFmtId="179" fontId="0" fillId="0" borderId="0" xfId="0" applyNumberFormat="1"/>
    <xf numFmtId="177" fontId="2" fillId="3" borderId="13" xfId="0" applyNumberFormat="1" applyFont="1" applyFill="1" applyBorder="1"/>
    <xf numFmtId="179" fontId="2" fillId="0" borderId="5" xfId="0" applyNumberFormat="1" applyFont="1" applyBorder="1"/>
    <xf numFmtId="177" fontId="0" fillId="0" borderId="0" xfId="0" applyNumberFormat="1"/>
    <xf numFmtId="0" fontId="0" fillId="0" borderId="0" xfId="0"/>
    <xf numFmtId="179" fontId="0" fillId="0" borderId="0" xfId="0" applyNumberFormat="1"/>
    <xf numFmtId="11" fontId="0" fillId="0" borderId="0" xfId="0" applyNumberFormat="1"/>
    <xf numFmtId="181" fontId="0" fillId="0" borderId="0" xfId="0" applyNumberFormat="1"/>
    <xf numFmtId="179" fontId="14" fillId="0" borderId="0" xfId="0" applyNumberFormat="1" applyFont="1"/>
    <xf numFmtId="11" fontId="14" fillId="0" borderId="0" xfId="0" applyNumberFormat="1" applyFont="1"/>
    <xf numFmtId="179" fontId="0" fillId="0" borderId="0" xfId="0" applyNumberFormat="1"/>
    <xf numFmtId="0" fontId="2" fillId="0" borderId="0" xfId="0" applyFont="1" applyBorder="1"/>
    <xf numFmtId="179" fontId="0" fillId="0" borderId="0" xfId="0" applyNumberFormat="1"/>
    <xf numFmtId="0" fontId="2" fillId="0" borderId="9" xfId="0" applyFont="1" applyBorder="1"/>
    <xf numFmtId="0" fontId="2" fillId="8" borderId="11" xfId="0" applyFont="1" applyFill="1" applyBorder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/>
    <xf numFmtId="0" fontId="2" fillId="0" borderId="0" xfId="0" applyFont="1" applyBorder="1"/>
    <xf numFmtId="0" fontId="2" fillId="0" borderId="4" xfId="0" applyFont="1" applyBorder="1" applyAlignment="1">
      <alignment horizontal="right"/>
    </xf>
    <xf numFmtId="0" fontId="2" fillId="0" borderId="0" xfId="0" applyFont="1"/>
    <xf numFmtId="0" fontId="2" fillId="0" borderId="0" xfId="0" applyFont="1" applyFill="1" applyBorder="1"/>
    <xf numFmtId="179" fontId="0" fillId="0" borderId="0" xfId="0" applyNumberFormat="1"/>
    <xf numFmtId="11" fontId="2" fillId="0" borderId="4" xfId="0" applyNumberFormat="1" applyFont="1" applyBorder="1" applyAlignment="1">
      <alignment horizontal="right"/>
    </xf>
    <xf numFmtId="11" fontId="2" fillId="0" borderId="0" xfId="0" applyNumberFormat="1" applyFont="1" applyBorder="1"/>
    <xf numFmtId="11" fontId="2" fillId="0" borderId="5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10" xfId="0" applyFont="1" applyBorder="1"/>
    <xf numFmtId="11" fontId="2" fillId="0" borderId="0" xfId="0" applyNumberFormat="1" applyFont="1" applyBorder="1" applyAlignment="1">
      <alignment horizontal="left"/>
    </xf>
    <xf numFmtId="0" fontId="2" fillId="0" borderId="11" xfId="0" applyFont="1" applyBorder="1"/>
    <xf numFmtId="0" fontId="2" fillId="0" borderId="9" xfId="0" applyFont="1" applyBorder="1" applyAlignment="1">
      <alignment horizontal="right"/>
    </xf>
    <xf numFmtId="176" fontId="2" fillId="0" borderId="0" xfId="0" applyNumberFormat="1" applyFont="1" applyFill="1" applyBorder="1"/>
    <xf numFmtId="178" fontId="2" fillId="0" borderId="0" xfId="0" applyNumberFormat="1" applyFont="1" applyFill="1" applyBorder="1"/>
    <xf numFmtId="179" fontId="2" fillId="0" borderId="0" xfId="0" applyNumberFormat="1" applyFont="1" applyFill="1" applyBorder="1"/>
    <xf numFmtId="11" fontId="2" fillId="0" borderId="0" xfId="0" applyNumberFormat="1" applyFont="1" applyFill="1" applyBorder="1"/>
    <xf numFmtId="180" fontId="2" fillId="0" borderId="0" xfId="0" applyNumberFormat="1" applyFont="1" applyFill="1" applyBorder="1"/>
    <xf numFmtId="179" fontId="2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76" fontId="2" fillId="5" borderId="13" xfId="0" applyNumberFormat="1" applyFont="1" applyFill="1" applyBorder="1"/>
    <xf numFmtId="176" fontId="2" fillId="0" borderId="13" xfId="0" applyNumberFormat="1" applyFont="1" applyFill="1" applyBorder="1"/>
    <xf numFmtId="179" fontId="2" fillId="0" borderId="4" xfId="0" applyNumberFormat="1" applyFont="1" applyBorder="1"/>
    <xf numFmtId="179" fontId="2" fillId="0" borderId="9" xfId="0" applyNumberFormat="1" applyFont="1" applyBorder="1"/>
    <xf numFmtId="179" fontId="2" fillId="0" borderId="0" xfId="0" applyNumberFormat="1" applyFont="1" applyBorder="1"/>
    <xf numFmtId="176" fontId="2" fillId="4" borderId="13" xfId="0" applyNumberFormat="1" applyFont="1" applyFill="1" applyBorder="1"/>
    <xf numFmtId="0" fontId="0" fillId="0" borderId="8" xfId="0" applyBorder="1"/>
    <xf numFmtId="176" fontId="0" fillId="0" borderId="0" xfId="0" applyNumberFormat="1"/>
    <xf numFmtId="176" fontId="2" fillId="4" borderId="0" xfId="0" applyNumberFormat="1" applyFont="1" applyFill="1" applyBorder="1"/>
    <xf numFmtId="0" fontId="2" fillId="0" borderId="3" xfId="0" applyFont="1" applyBorder="1" applyAlignment="1"/>
    <xf numFmtId="0" fontId="2" fillId="0" borderId="9" xfId="0" applyFont="1" applyBorder="1" applyAlignment="1"/>
    <xf numFmtId="0" fontId="2" fillId="0" borderId="14" xfId="0" applyFont="1" applyBorder="1" applyAlignment="1"/>
    <xf numFmtId="11" fontId="0" fillId="0" borderId="0" xfId="0" applyNumberFormat="1"/>
    <xf numFmtId="0" fontId="2" fillId="0" borderId="2" xfId="0" applyFont="1" applyBorder="1"/>
    <xf numFmtId="0" fontId="4" fillId="0" borderId="15" xfId="0" applyFont="1" applyBorder="1" applyAlignment="1"/>
    <xf numFmtId="0" fontId="2" fillId="0" borderId="3" xfId="0" applyFont="1" applyBorder="1"/>
    <xf numFmtId="0" fontId="2" fillId="0" borderId="15" xfId="0" applyFont="1" applyBorder="1" applyAlignment="1"/>
    <xf numFmtId="11" fontId="2" fillId="0" borderId="15" xfId="0" applyNumberFormat="1" applyFont="1" applyBorder="1"/>
    <xf numFmtId="11" fontId="2" fillId="0" borderId="12" xfId="0" applyNumberFormat="1" applyFont="1" applyBorder="1"/>
    <xf numFmtId="11" fontId="2" fillId="0" borderId="14" xfId="0" applyNumberFormat="1" applyFont="1" applyBorder="1"/>
    <xf numFmtId="0" fontId="5" fillId="6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81" fontId="0" fillId="0" borderId="0" xfId="0" applyNumberFormat="1"/>
    <xf numFmtId="0" fontId="2" fillId="0" borderId="2" xfId="0" applyFont="1" applyBorder="1" applyAlignment="1"/>
    <xf numFmtId="0" fontId="2" fillId="0" borderId="4" xfId="0" applyFont="1" applyFill="1" applyBorder="1" applyAlignment="1">
      <alignment horizontal="right"/>
    </xf>
    <xf numFmtId="177" fontId="2" fillId="0" borderId="0" xfId="0" applyNumberFormat="1" applyFont="1" applyBorder="1"/>
    <xf numFmtId="0" fontId="2" fillId="0" borderId="5" xfId="0" applyFont="1" applyFill="1" applyBorder="1" applyAlignment="1">
      <alignment horizontal="left"/>
    </xf>
    <xf numFmtId="0" fontId="0" fillId="0" borderId="2" xfId="0" applyBorder="1"/>
    <xf numFmtId="178" fontId="0" fillId="0" borderId="0" xfId="0" applyNumberFormat="1"/>
    <xf numFmtId="178" fontId="2" fillId="0" borderId="13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77" fontId="2" fillId="3" borderId="13" xfId="0" applyNumberFormat="1" applyFont="1" applyFill="1" applyBorder="1"/>
    <xf numFmtId="179" fontId="2" fillId="0" borderId="5" xfId="0" applyNumberFormat="1" applyFont="1" applyBorder="1"/>
    <xf numFmtId="180" fontId="0" fillId="0" borderId="0" xfId="0" applyNumberFormat="1"/>
    <xf numFmtId="177" fontId="0" fillId="0" borderId="0" xfId="0" applyNumberFormat="1"/>
    <xf numFmtId="0" fontId="5" fillId="0" borderId="12" xfId="0" applyFont="1" applyBorder="1"/>
    <xf numFmtId="0" fontId="2" fillId="3" borderId="8" xfId="0" applyFont="1" applyFill="1" applyBorder="1"/>
    <xf numFmtId="0" fontId="2" fillId="3" borderId="1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0" fontId="0" fillId="0" borderId="7" xfId="0" applyBorder="1"/>
    <xf numFmtId="0" fontId="2" fillId="0" borderId="6" xfId="0" applyFont="1" applyFill="1" applyBorder="1" applyAlignment="1">
      <alignment horizontal="center"/>
    </xf>
    <xf numFmtId="0" fontId="0" fillId="2" borderId="2" xfId="0" applyFill="1" applyBorder="1" applyAlignment="1"/>
    <xf numFmtId="0" fontId="2" fillId="0" borderId="10" xfId="0" applyFont="1" applyBorder="1" applyAlignment="1"/>
    <xf numFmtId="182" fontId="2" fillId="0" borderId="4" xfId="0" applyNumberFormat="1" applyFont="1" applyBorder="1"/>
    <xf numFmtId="11" fontId="2" fillId="0" borderId="0" xfId="0" applyNumberFormat="1" applyFont="1"/>
    <xf numFmtId="0" fontId="9" fillId="2" borderId="2" xfId="0" applyFont="1" applyFill="1" applyBorder="1"/>
    <xf numFmtId="182" fontId="0" fillId="0" borderId="0" xfId="0" applyNumberFormat="1"/>
    <xf numFmtId="0" fontId="2" fillId="0" borderId="0" xfId="0" applyFont="1" applyAlignment="1">
      <alignment horizontal="right"/>
    </xf>
    <xf numFmtId="0" fontId="2" fillId="8" borderId="11" xfId="0" applyFont="1" applyFill="1" applyBorder="1"/>
    <xf numFmtId="0" fontId="12" fillId="0" borderId="0" xfId="0" applyFont="1" applyAlignment="1">
      <alignment vertical="center"/>
    </xf>
    <xf numFmtId="0" fontId="11" fillId="0" borderId="0" xfId="2" applyBorder="1"/>
    <xf numFmtId="0" fontId="13" fillId="0" borderId="0" xfId="0" applyFont="1"/>
    <xf numFmtId="179" fontId="14" fillId="0" borderId="0" xfId="0" applyNumberFormat="1" applyFont="1"/>
    <xf numFmtId="11" fontId="14" fillId="0" borderId="0" xfId="0" applyNumberFormat="1" applyFont="1"/>
    <xf numFmtId="0" fontId="2" fillId="0" borderId="0" xfId="0" applyFont="1" applyBorder="1"/>
    <xf numFmtId="0" fontId="2" fillId="0" borderId="10" xfId="0" applyFont="1" applyBorder="1"/>
    <xf numFmtId="0" fontId="12" fillId="0" borderId="0" xfId="0" applyFont="1" applyAlignment="1">
      <alignment vertical="center"/>
    </xf>
    <xf numFmtId="178" fontId="2" fillId="0" borderId="0" xfId="0" applyNumberFormat="1" applyFont="1" applyFill="1" applyBorder="1"/>
    <xf numFmtId="179" fontId="2" fillId="0" borderId="0" xfId="0" applyNumberFormat="1" applyFont="1" applyFill="1" applyBorder="1"/>
    <xf numFmtId="0" fontId="0" fillId="0" borderId="0" xfId="0"/>
    <xf numFmtId="179" fontId="2" fillId="0" borderId="0" xfId="0" applyNumberFormat="1" applyFont="1" applyFill="1" applyBorder="1"/>
    <xf numFmtId="11" fontId="2" fillId="0" borderId="0" xfId="0" applyNumberFormat="1" applyFont="1" applyFill="1" applyBorder="1"/>
    <xf numFmtId="176" fontId="0" fillId="0" borderId="0" xfId="0" applyNumberFormat="1"/>
    <xf numFmtId="0" fontId="0" fillId="0" borderId="0" xfId="0"/>
    <xf numFmtId="0" fontId="2" fillId="0" borderId="0" xfId="0" applyFont="1" applyBorder="1"/>
    <xf numFmtId="0" fontId="2" fillId="0" borderId="4" xfId="0" applyFont="1" applyBorder="1" applyAlignment="1">
      <alignment horizontal="right"/>
    </xf>
    <xf numFmtId="0" fontId="2" fillId="0" borderId="0" xfId="0" applyFont="1"/>
    <xf numFmtId="0" fontId="2" fillId="0" borderId="0" xfId="0" applyFont="1" applyFill="1" applyBorder="1"/>
    <xf numFmtId="179" fontId="0" fillId="0" borderId="0" xfId="0" applyNumberFormat="1"/>
    <xf numFmtId="11" fontId="2" fillId="0" borderId="4" xfId="0" applyNumberFormat="1" applyFont="1" applyBorder="1" applyAlignment="1">
      <alignment horizontal="right"/>
    </xf>
    <xf numFmtId="11" fontId="2" fillId="0" borderId="0" xfId="0" applyNumberFormat="1" applyFont="1" applyBorder="1"/>
    <xf numFmtId="11" fontId="2" fillId="0" borderId="5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10" xfId="0" applyFont="1" applyBorder="1"/>
    <xf numFmtId="11" fontId="2" fillId="0" borderId="0" xfId="0" applyNumberFormat="1" applyFont="1" applyBorder="1" applyAlignment="1">
      <alignment horizontal="left"/>
    </xf>
    <xf numFmtId="0" fontId="2" fillId="0" borderId="11" xfId="0" applyFont="1" applyBorder="1"/>
    <xf numFmtId="0" fontId="2" fillId="0" borderId="9" xfId="0" applyFont="1" applyBorder="1" applyAlignment="1">
      <alignment horizontal="right"/>
    </xf>
    <xf numFmtId="176" fontId="2" fillId="0" borderId="0" xfId="0" applyNumberFormat="1" applyFont="1" applyFill="1" applyBorder="1"/>
    <xf numFmtId="178" fontId="2" fillId="0" borderId="0" xfId="0" applyNumberFormat="1" applyFont="1" applyFill="1" applyBorder="1"/>
    <xf numFmtId="179" fontId="2" fillId="0" borderId="0" xfId="0" applyNumberFormat="1" applyFont="1" applyFill="1" applyBorder="1"/>
    <xf numFmtId="11" fontId="2" fillId="0" borderId="0" xfId="0" applyNumberFormat="1" applyFont="1" applyFill="1" applyBorder="1"/>
    <xf numFmtId="180" fontId="2" fillId="0" borderId="0" xfId="0" applyNumberFormat="1" applyFont="1" applyFill="1" applyBorder="1"/>
    <xf numFmtId="179" fontId="2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76" fontId="2" fillId="5" borderId="13" xfId="0" applyNumberFormat="1" applyFont="1" applyFill="1" applyBorder="1"/>
    <xf numFmtId="176" fontId="2" fillId="0" borderId="13" xfId="0" applyNumberFormat="1" applyFont="1" applyFill="1" applyBorder="1"/>
    <xf numFmtId="0" fontId="2" fillId="0" borderId="13" xfId="0" applyFont="1" applyBorder="1"/>
    <xf numFmtId="179" fontId="2" fillId="0" borderId="4" xfId="0" applyNumberFormat="1" applyFont="1" applyBorder="1"/>
    <xf numFmtId="179" fontId="2" fillId="0" borderId="9" xfId="0" applyNumberFormat="1" applyFont="1" applyBorder="1"/>
    <xf numFmtId="0" fontId="2" fillId="0" borderId="14" xfId="0" applyFont="1" applyBorder="1"/>
    <xf numFmtId="179" fontId="2" fillId="0" borderId="0" xfId="0" applyNumberFormat="1" applyFont="1" applyBorder="1"/>
    <xf numFmtId="176" fontId="2" fillId="4" borderId="13" xfId="0" applyNumberFormat="1" applyFont="1" applyFill="1" applyBorder="1"/>
    <xf numFmtId="0" fontId="2" fillId="0" borderId="1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8" xfId="0" applyBorder="1"/>
    <xf numFmtId="0" fontId="0" fillId="0" borderId="14" xfId="0" applyBorder="1"/>
    <xf numFmtId="176" fontId="0" fillId="0" borderId="0" xfId="0" applyNumberFormat="1"/>
    <xf numFmtId="176" fontId="2" fillId="4" borderId="0" xfId="0" applyNumberFormat="1" applyFont="1" applyFill="1" applyBorder="1"/>
    <xf numFmtId="0" fontId="2" fillId="0" borderId="3" xfId="0" applyFont="1" applyBorder="1" applyAlignment="1"/>
    <xf numFmtId="0" fontId="2" fillId="0" borderId="9" xfId="0" applyFont="1" applyBorder="1" applyAlignment="1"/>
    <xf numFmtId="0" fontId="2" fillId="0" borderId="14" xfId="0" applyFont="1" applyBorder="1" applyAlignment="1"/>
    <xf numFmtId="11" fontId="0" fillId="0" borderId="0" xfId="0" applyNumberFormat="1"/>
    <xf numFmtId="0" fontId="2" fillId="0" borderId="2" xfId="0" applyFont="1" applyBorder="1"/>
    <xf numFmtId="0" fontId="4" fillId="0" borderId="15" xfId="0" applyFont="1" applyBorder="1" applyAlignment="1"/>
    <xf numFmtId="0" fontId="2" fillId="0" borderId="3" xfId="0" applyFont="1" applyBorder="1"/>
    <xf numFmtId="0" fontId="2" fillId="0" borderId="15" xfId="0" applyFont="1" applyBorder="1" applyAlignment="1"/>
    <xf numFmtId="11" fontId="2" fillId="0" borderId="15" xfId="0" applyNumberFormat="1" applyFont="1" applyBorder="1"/>
    <xf numFmtId="11" fontId="2" fillId="0" borderId="12" xfId="0" applyNumberFormat="1" applyFont="1" applyBorder="1"/>
    <xf numFmtId="11" fontId="2" fillId="0" borderId="14" xfId="0" applyNumberFormat="1" applyFont="1" applyBorder="1"/>
    <xf numFmtId="0" fontId="5" fillId="6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81" fontId="0" fillId="0" borderId="0" xfId="0" applyNumberFormat="1"/>
    <xf numFmtId="0" fontId="2" fillId="0" borderId="2" xfId="0" applyFont="1" applyBorder="1" applyAlignment="1"/>
    <xf numFmtId="0" fontId="2" fillId="0" borderId="4" xfId="0" applyFont="1" applyFill="1" applyBorder="1" applyAlignment="1">
      <alignment horizontal="right"/>
    </xf>
    <xf numFmtId="177" fontId="2" fillId="0" borderId="0" xfId="0" applyNumberFormat="1" applyFont="1" applyBorder="1"/>
    <xf numFmtId="0" fontId="2" fillId="0" borderId="5" xfId="0" applyFont="1" applyFill="1" applyBorder="1" applyAlignment="1">
      <alignment horizontal="left"/>
    </xf>
    <xf numFmtId="0" fontId="0" fillId="0" borderId="2" xfId="0" applyBorder="1"/>
    <xf numFmtId="178" fontId="0" fillId="0" borderId="0" xfId="0" applyNumberFormat="1"/>
    <xf numFmtId="178" fontId="2" fillId="0" borderId="5" xfId="0" applyNumberFormat="1" applyFont="1" applyFill="1" applyBorder="1"/>
    <xf numFmtId="178" fontId="2" fillId="0" borderId="13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77" fontId="2" fillId="3" borderId="13" xfId="0" applyNumberFormat="1" applyFont="1" applyFill="1" applyBorder="1"/>
    <xf numFmtId="179" fontId="2" fillId="0" borderId="5" xfId="0" applyNumberFormat="1" applyFont="1" applyBorder="1"/>
    <xf numFmtId="180" fontId="0" fillId="0" borderId="0" xfId="0" applyNumberFormat="1"/>
    <xf numFmtId="177" fontId="0" fillId="0" borderId="0" xfId="0" applyNumberFormat="1"/>
    <xf numFmtId="0" fontId="5" fillId="0" borderId="12" xfId="0" applyFont="1" applyBorder="1"/>
    <xf numFmtId="0" fontId="2" fillId="3" borderId="8" xfId="0" applyFont="1" applyFill="1" applyBorder="1"/>
    <xf numFmtId="0" fontId="2" fillId="3" borderId="1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0" fontId="0" fillId="0" borderId="7" xfId="0" applyBorder="1"/>
    <xf numFmtId="0" fontId="2" fillId="0" borderId="6" xfId="0" applyFont="1" applyFill="1" applyBorder="1" applyAlignment="1">
      <alignment horizontal="center"/>
    </xf>
    <xf numFmtId="0" fontId="0" fillId="0" borderId="13" xfId="0" applyBorder="1"/>
    <xf numFmtId="0" fontId="0" fillId="2" borderId="2" xfId="0" applyFill="1" applyBorder="1" applyAlignment="1"/>
    <xf numFmtId="0" fontId="2" fillId="0" borderId="10" xfId="0" applyFont="1" applyBorder="1" applyAlignment="1"/>
    <xf numFmtId="182" fontId="2" fillId="0" borderId="4" xfId="0" applyNumberFormat="1" applyFont="1" applyBorder="1"/>
    <xf numFmtId="11" fontId="2" fillId="0" borderId="0" xfId="0" applyNumberFormat="1" applyFont="1"/>
    <xf numFmtId="0" fontId="9" fillId="2" borderId="2" xfId="0" applyFont="1" applyFill="1" applyBorder="1"/>
    <xf numFmtId="182" fontId="0" fillId="0" borderId="0" xfId="0" applyNumberFormat="1"/>
    <xf numFmtId="0" fontId="2" fillId="0" borderId="0" xfId="0" applyFont="1" applyAlignment="1">
      <alignment horizontal="right"/>
    </xf>
    <xf numFmtId="0" fontId="2" fillId="8" borderId="11" xfId="0" applyFont="1" applyFill="1" applyBorder="1"/>
    <xf numFmtId="0" fontId="12" fillId="0" borderId="0" xfId="0" applyFont="1" applyAlignment="1">
      <alignment vertical="center"/>
    </xf>
    <xf numFmtId="0" fontId="11" fillId="0" borderId="0" xfId="2" applyBorder="1"/>
    <xf numFmtId="0" fontId="13" fillId="0" borderId="0" xfId="0" applyFont="1"/>
    <xf numFmtId="179" fontId="14" fillId="0" borderId="0" xfId="0" applyNumberFormat="1" applyFont="1"/>
    <xf numFmtId="11" fontId="14" fillId="0" borderId="0" xfId="0" applyNumberFormat="1" applyFont="1"/>
    <xf numFmtId="0" fontId="17" fillId="0" borderId="5" xfId="0" applyFont="1" applyBorder="1"/>
    <xf numFmtId="0" fontId="17" fillId="0" borderId="14" xfId="0" applyFont="1" applyBorder="1"/>
    <xf numFmtId="11" fontId="0" fillId="0" borderId="13" xfId="0" applyNumberFormat="1" applyBorder="1"/>
    <xf numFmtId="0" fontId="2" fillId="0" borderId="12" xfId="0" applyFon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0" xfId="0" applyFill="1" applyBorder="1"/>
    <xf numFmtId="0" fontId="17" fillId="0" borderId="5" xfId="0" applyNumberFormat="1" applyFont="1" applyBorder="1"/>
    <xf numFmtId="0" fontId="17" fillId="0" borderId="14" xfId="0" applyNumberFormat="1" applyFont="1" applyBorder="1"/>
    <xf numFmtId="11" fontId="17" fillId="0" borderId="5" xfId="0" applyNumberFormat="1" applyFont="1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/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2" xfId="0" applyFill="1" applyBorder="1" applyAlignment="1"/>
    <xf numFmtId="0" fontId="0" fillId="2" borderId="3" xfId="0" applyFill="1" applyBorder="1" applyAlignment="1"/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 applyBorder="1" applyAlignment="1"/>
    <xf numFmtId="0" fontId="2" fillId="3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NumberFormat="1"/>
  </cellXfs>
  <cellStyles count="544">
    <cellStyle name="Normal 2" xfId="1"/>
    <cellStyle name="普通" xfId="0" builtinId="0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6" builtinId="9" hidden="1"/>
    <cellStyle name="访问过的超链接" xfId="27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访问过的超链接" xfId="37" builtinId="9" hidden="1"/>
    <cellStyle name="访问过的超链接" xfId="38" builtinId="9" hidden="1"/>
    <cellStyle name="访问过的超链接" xfId="39" builtinId="9" hidden="1"/>
    <cellStyle name="访问过的超链接" xfId="40" builtinId="9" hidden="1"/>
    <cellStyle name="访问过的超链接" xfId="41" builtinId="9" hidden="1"/>
    <cellStyle name="访问过的超链接" xfId="42" builtinId="9" hidden="1"/>
    <cellStyle name="访问过的超链接" xfId="43" builtinId="9" hidden="1"/>
    <cellStyle name="访问过的超链接" xfId="44" builtinId="9" hidden="1"/>
    <cellStyle name="访问过的超链接" xfId="45" builtinId="9" hidden="1"/>
    <cellStyle name="访问过的超链接" xfId="46" builtinId="9" hidden="1"/>
    <cellStyle name="访问过的超链接" xfId="47" builtinId="9" hidden="1"/>
    <cellStyle name="访问过的超链接" xfId="48" builtinId="9" hidden="1"/>
    <cellStyle name="访问过的超链接" xfId="49" builtinId="9" hidden="1"/>
    <cellStyle name="访问过的超链接" xfId="50" builtinId="9" hidden="1"/>
    <cellStyle name="访问过的超链接" xfId="51" builtinId="9" hidden="1"/>
    <cellStyle name="访问过的超链接" xfId="52" builtinId="9" hidden="1"/>
    <cellStyle name="访问过的超链接" xfId="53" builtinId="9" hidden="1"/>
    <cellStyle name="访问过的超链接" xfId="54" builtinId="9" hidden="1"/>
    <cellStyle name="访问过的超链接" xfId="55" builtinId="9" hidden="1"/>
    <cellStyle name="访问过的超链接" xfId="56" builtinId="9" hidden="1"/>
    <cellStyle name="访问过的超链接" xfId="57" builtinId="9" hidden="1"/>
    <cellStyle name="访问过的超链接" xfId="3" builtinId="9" hidden="1"/>
    <cellStyle name="访问过的超链接" xfId="59" builtinId="9" hidden="1"/>
    <cellStyle name="访问过的超链接" xfId="60" builtinId="9" hidden="1"/>
    <cellStyle name="访问过的超链接" xfId="61" builtinId="9" hidden="1"/>
    <cellStyle name="访问过的超链接" xfId="62" builtinId="9" hidden="1"/>
    <cellStyle name="访问过的超链接" xfId="63" builtinId="9" hidden="1"/>
    <cellStyle name="访问过的超链接" xfId="64" builtinId="9" hidden="1"/>
    <cellStyle name="访问过的超链接" xfId="65" builtinId="9" hidden="1"/>
    <cellStyle name="访问过的超链接" xfId="66" builtinId="9" hidden="1"/>
    <cellStyle name="访问过的超链接" xfId="67" builtinId="9" hidden="1"/>
    <cellStyle name="访问过的超链接" xfId="68" builtinId="9" hidden="1"/>
    <cellStyle name="访问过的超链接" xfId="69" builtinId="9" hidden="1"/>
    <cellStyle name="访问过的超链接" xfId="70" builtinId="9" hidden="1"/>
    <cellStyle name="访问过的超链接" xfId="71" builtinId="9" hidden="1"/>
    <cellStyle name="访问过的超链接" xfId="72" builtinId="9" hidden="1"/>
    <cellStyle name="访问过的超链接" xfId="73" builtinId="9" hidden="1"/>
    <cellStyle name="访问过的超链接" xfId="74" builtinId="9" hidden="1"/>
    <cellStyle name="访问过的超链接" xfId="75" builtinId="9" hidden="1"/>
    <cellStyle name="访问过的超链接" xfId="76" builtinId="9" hidden="1"/>
    <cellStyle name="访问过的超链接" xfId="77" builtinId="9" hidden="1"/>
    <cellStyle name="访问过的超链接" xfId="78" builtinId="9" hidden="1"/>
    <cellStyle name="访问过的超链接" xfId="79" builtinId="9" hidden="1"/>
    <cellStyle name="访问过的超链接" xfId="80" builtinId="9" hidden="1"/>
    <cellStyle name="访问过的超链接" xfId="81" builtinId="9" hidden="1"/>
    <cellStyle name="访问过的超链接" xfId="82" builtinId="9" hidden="1"/>
    <cellStyle name="访问过的超链接" xfId="83" builtinId="9" hidden="1"/>
    <cellStyle name="访问过的超链接" xfId="84" builtinId="9" hidden="1"/>
    <cellStyle name="访问过的超链接" xfId="58" builtinId="9" hidden="1"/>
    <cellStyle name="访问过的超链接" xfId="86" builtinId="9" hidden="1"/>
    <cellStyle name="访问过的超链接" xfId="87" builtinId="9" hidden="1"/>
    <cellStyle name="访问过的超链接" xfId="88" builtinId="9" hidden="1"/>
    <cellStyle name="访问过的超链接" xfId="89" builtinId="9" hidden="1"/>
    <cellStyle name="访问过的超链接" xfId="90" builtinId="9" hidden="1"/>
    <cellStyle name="访问过的超链接" xfId="91" builtinId="9" hidden="1"/>
    <cellStyle name="访问过的超链接" xfId="92" builtinId="9" hidden="1"/>
    <cellStyle name="访问过的超链接" xfId="93" builtinId="9" hidden="1"/>
    <cellStyle name="访问过的超链接" xfId="94" builtinId="9" hidden="1"/>
    <cellStyle name="访问过的超链接" xfId="95" builtinId="9" hidden="1"/>
    <cellStyle name="访问过的超链接" xfId="96" builtinId="9" hidden="1"/>
    <cellStyle name="访问过的超链接" xfId="97" builtinId="9" hidden="1"/>
    <cellStyle name="访问过的超链接" xfId="98" builtinId="9" hidden="1"/>
    <cellStyle name="访问过的超链接" xfId="99" builtinId="9" hidden="1"/>
    <cellStyle name="访问过的超链接" xfId="100" builtinId="9" hidden="1"/>
    <cellStyle name="访问过的超链接" xfId="101" builtinId="9" hidden="1"/>
    <cellStyle name="访问过的超链接" xfId="102" builtinId="9" hidden="1"/>
    <cellStyle name="访问过的超链接" xfId="103" builtinId="9" hidden="1"/>
    <cellStyle name="访问过的超链接" xfId="104" builtinId="9" hidden="1"/>
    <cellStyle name="访问过的超链接" xfId="105" builtinId="9" hidden="1"/>
    <cellStyle name="访问过的超链接" xfId="106" builtinId="9" hidden="1"/>
    <cellStyle name="访问过的超链接" xfId="107" builtinId="9" hidden="1"/>
    <cellStyle name="访问过的超链接" xfId="108" builtinId="9" hidden="1"/>
    <cellStyle name="访问过的超链接" xfId="109" builtinId="9" hidden="1"/>
    <cellStyle name="访问过的超链接" xfId="110" builtinId="9" hidden="1"/>
    <cellStyle name="访问过的超链接" xfId="111" builtinId="9" hidden="1"/>
    <cellStyle name="访问过的超链接" xfId="85" builtinId="9" hidden="1"/>
    <cellStyle name="访问过的超链接" xfId="115" builtinId="9" hidden="1"/>
    <cellStyle name="访问过的超链接" xfId="116" builtinId="9" hidden="1"/>
    <cellStyle name="访问过的超链接" xfId="117" builtinId="9" hidden="1"/>
    <cellStyle name="访问过的超链接" xfId="118" builtinId="9" hidden="1"/>
    <cellStyle name="访问过的超链接" xfId="119" builtinId="9" hidden="1"/>
    <cellStyle name="访问过的超链接" xfId="120" builtinId="9" hidden="1"/>
    <cellStyle name="访问过的超链接" xfId="121" builtinId="9" hidden="1"/>
    <cellStyle name="访问过的超链接" xfId="122" builtinId="9" hidden="1"/>
    <cellStyle name="访问过的超链接" xfId="123" builtinId="9" hidden="1"/>
    <cellStyle name="访问过的超链接" xfId="124" builtinId="9" hidden="1"/>
    <cellStyle name="访问过的超链接" xfId="125" builtinId="9" hidden="1"/>
    <cellStyle name="访问过的超链接" xfId="126" builtinId="9" hidden="1"/>
    <cellStyle name="访问过的超链接" xfId="127" builtinId="9" hidden="1"/>
    <cellStyle name="访问过的超链接" xfId="128" builtinId="9" hidden="1"/>
    <cellStyle name="访问过的超链接" xfId="129" builtinId="9" hidden="1"/>
    <cellStyle name="访问过的超链接" xfId="130" builtinId="9" hidden="1"/>
    <cellStyle name="访问过的超链接" xfId="131" builtinId="9" hidden="1"/>
    <cellStyle name="访问过的超链接" xfId="132" builtinId="9" hidden="1"/>
    <cellStyle name="访问过的超链接" xfId="133" builtinId="9" hidden="1"/>
    <cellStyle name="访问过的超链接" xfId="134" builtinId="9" hidden="1"/>
    <cellStyle name="访问过的超链接" xfId="135" builtinId="9" hidden="1"/>
    <cellStyle name="访问过的超链接" xfId="136" builtinId="9" hidden="1"/>
    <cellStyle name="访问过的超链接" xfId="137" builtinId="9" hidden="1"/>
    <cellStyle name="访问过的超链接" xfId="138" builtinId="9" hidden="1"/>
    <cellStyle name="访问过的超链接" xfId="139" builtinId="9" hidden="1"/>
    <cellStyle name="访问过的超链接" xfId="140" builtinId="9" hidden="1"/>
    <cellStyle name="访问过的超链接" xfId="112" builtinId="9" hidden="1"/>
    <cellStyle name="访问过的超链接" xfId="141" builtinId="9" hidden="1"/>
    <cellStyle name="访问过的超链接" xfId="142" builtinId="9" hidden="1"/>
    <cellStyle name="访问过的超链接" xfId="143" builtinId="9" hidden="1"/>
    <cellStyle name="访问过的超链接" xfId="144" builtinId="9" hidden="1"/>
    <cellStyle name="访问过的超链接" xfId="145" builtinId="9" hidden="1"/>
    <cellStyle name="访问过的超链接" xfId="146" builtinId="9" hidden="1"/>
    <cellStyle name="访问过的超链接" xfId="147" builtinId="9" hidden="1"/>
    <cellStyle name="访问过的超链接" xfId="148" builtinId="9" hidden="1"/>
    <cellStyle name="访问过的超链接" xfId="149" builtinId="9" hidden="1"/>
    <cellStyle name="访问过的超链接" xfId="150" builtinId="9" hidden="1"/>
    <cellStyle name="访问过的超链接" xfId="151" builtinId="9" hidden="1"/>
    <cellStyle name="访问过的超链接" xfId="152" builtinId="9" hidden="1"/>
    <cellStyle name="访问过的超链接" xfId="153" builtinId="9" hidden="1"/>
    <cellStyle name="访问过的超链接" xfId="154" builtinId="9" hidden="1"/>
    <cellStyle name="访问过的超链接" xfId="155" builtinId="9" hidden="1"/>
    <cellStyle name="访问过的超链接" xfId="156" builtinId="9" hidden="1"/>
    <cellStyle name="访问过的超链接" xfId="157" builtinId="9" hidden="1"/>
    <cellStyle name="访问过的超链接" xfId="158" builtinId="9" hidden="1"/>
    <cellStyle name="访问过的超链接" xfId="159" builtinId="9" hidden="1"/>
    <cellStyle name="访问过的超链接" xfId="160" builtinId="9" hidden="1"/>
    <cellStyle name="访问过的超链接" xfId="161" builtinId="9" hidden="1"/>
    <cellStyle name="访问过的超链接" xfId="162" builtinId="9" hidden="1"/>
    <cellStyle name="访问过的超链接" xfId="163" builtinId="9" hidden="1"/>
    <cellStyle name="访问过的超链接" xfId="164" builtinId="9" hidden="1"/>
    <cellStyle name="访问过的超链接" xfId="165" builtinId="9" hidden="1"/>
    <cellStyle name="访问过的超链接" xfId="166" builtinId="9" hidden="1"/>
    <cellStyle name="访问过的超链接" xfId="167" builtinId="9" hidden="1"/>
    <cellStyle name="访问过的超链接" xfId="168" builtinId="9" hidden="1"/>
    <cellStyle name="访问过的超链接" xfId="169" builtinId="9" hidden="1"/>
    <cellStyle name="访问过的超链接" xfId="170" builtinId="9" hidden="1"/>
    <cellStyle name="访问过的超链接" xfId="171" builtinId="9" hidden="1"/>
    <cellStyle name="访问过的超链接" xfId="172" builtinId="9" hidden="1"/>
    <cellStyle name="访问过的超链接" xfId="173" builtinId="9" hidden="1"/>
    <cellStyle name="访问过的超链接" xfId="174" builtinId="9" hidden="1"/>
    <cellStyle name="访问过的超链接" xfId="175" builtinId="9" hidden="1"/>
    <cellStyle name="访问过的超链接" xfId="176" builtinId="9" hidden="1"/>
    <cellStyle name="访问过的超链接" xfId="177" builtinId="9" hidden="1"/>
    <cellStyle name="访问过的超链接" xfId="178" builtinId="9" hidden="1"/>
    <cellStyle name="访问过的超链接" xfId="179" builtinId="9" hidden="1"/>
    <cellStyle name="访问过的超链接" xfId="180" builtinId="9" hidden="1"/>
    <cellStyle name="访问过的超链接" xfId="181" builtinId="9" hidden="1"/>
    <cellStyle name="访问过的超链接" xfId="182" builtinId="9" hidden="1"/>
    <cellStyle name="访问过的超链接" xfId="183" builtinId="9" hidden="1"/>
    <cellStyle name="访问过的超链接" xfId="184" builtinId="9" hidden="1"/>
    <cellStyle name="访问过的超链接" xfId="185" builtinId="9" hidden="1"/>
    <cellStyle name="访问过的超链接" xfId="186" builtinId="9" hidden="1"/>
    <cellStyle name="访问过的超链接" xfId="187" builtinId="9" hidden="1"/>
    <cellStyle name="访问过的超链接" xfId="188" builtinId="9" hidden="1"/>
    <cellStyle name="访问过的超链接" xfId="189" builtinId="9" hidden="1"/>
    <cellStyle name="访问过的超链接" xfId="190" builtinId="9" hidden="1"/>
    <cellStyle name="访问过的超链接" xfId="191" builtinId="9" hidden="1"/>
    <cellStyle name="访问过的超链接" xfId="192" builtinId="9" hidden="1"/>
    <cellStyle name="访问过的超链接" xfId="193" builtinId="9" hidden="1"/>
    <cellStyle name="访问过的超链接" xfId="194" builtinId="9" hidden="1"/>
    <cellStyle name="访问过的超链接" xfId="195" builtinId="9" hidden="1"/>
    <cellStyle name="访问过的超链接" xfId="196" builtinId="9" hidden="1"/>
    <cellStyle name="访问过的超链接" xfId="197" builtinId="9" hidden="1"/>
    <cellStyle name="访问过的超链接" xfId="198" builtinId="9" hidden="1"/>
    <cellStyle name="访问过的超链接" xfId="199" builtinId="9" hidden="1"/>
    <cellStyle name="访问过的超链接" xfId="200" builtinId="9" hidden="1"/>
    <cellStyle name="访问过的超链接" xfId="201" builtinId="9" hidden="1"/>
    <cellStyle name="访问过的超链接" xfId="202" builtinId="9" hidden="1"/>
    <cellStyle name="访问过的超链接" xfId="203" builtinId="9" hidden="1"/>
    <cellStyle name="访问过的超链接" xfId="204" builtinId="9" hidden="1"/>
    <cellStyle name="访问过的超链接" xfId="205" builtinId="9" hidden="1"/>
    <cellStyle name="访问过的超链接" xfId="206" builtinId="9" hidden="1"/>
    <cellStyle name="访问过的超链接" xfId="207" builtinId="9" hidden="1"/>
    <cellStyle name="访问过的超链接" xfId="208" builtinId="9" hidden="1"/>
    <cellStyle name="访问过的超链接" xfId="209" builtinId="9" hidden="1"/>
    <cellStyle name="访问过的超链接" xfId="210" builtinId="9" hidden="1"/>
    <cellStyle name="访问过的超链接" xfId="211" builtinId="9" hidden="1"/>
    <cellStyle name="访问过的超链接" xfId="212" builtinId="9" hidden="1"/>
    <cellStyle name="访问过的超链接" xfId="213" builtinId="9" hidden="1"/>
    <cellStyle name="访问过的超链接" xfId="214" builtinId="9" hidden="1"/>
    <cellStyle name="访问过的超链接" xfId="215" builtinId="9" hidden="1"/>
    <cellStyle name="访问过的超链接" xfId="216" builtinId="9" hidden="1"/>
    <cellStyle name="访问过的超链接" xfId="217" builtinId="9" hidden="1"/>
    <cellStyle name="访问过的超链接" xfId="218" builtinId="9" hidden="1"/>
    <cellStyle name="访问过的超链接" xfId="219" builtinId="9" hidden="1"/>
    <cellStyle name="访问过的超链接" xfId="220" builtinId="9" hidden="1"/>
    <cellStyle name="访问过的超链接" xfId="221" builtinId="9" hidden="1"/>
    <cellStyle name="访问过的超链接" xfId="222" builtinId="9" hidden="1"/>
    <cellStyle name="访问过的超链接" xfId="223" builtinId="9" hidden="1"/>
    <cellStyle name="访问过的超链接" xfId="224" builtinId="9" hidden="1"/>
    <cellStyle name="访问过的超链接" xfId="225" builtinId="9" hidden="1"/>
    <cellStyle name="访问过的超链接" xfId="226" builtinId="9" hidden="1"/>
    <cellStyle name="访问过的超链接" xfId="227" builtinId="9" hidden="1"/>
    <cellStyle name="访问过的超链接" xfId="228" builtinId="9" hidden="1"/>
    <cellStyle name="访问过的超链接" xfId="229" builtinId="9" hidden="1"/>
    <cellStyle name="访问过的超链接" xfId="230" builtinId="9" hidden="1"/>
    <cellStyle name="访问过的超链接" xfId="231" builtinId="9" hidden="1"/>
    <cellStyle name="访问过的超链接" xfId="232" builtinId="9" hidden="1"/>
    <cellStyle name="访问过的超链接" xfId="233" builtinId="9" hidden="1"/>
    <cellStyle name="访问过的超链接" xfId="234" builtinId="9" hidden="1"/>
    <cellStyle name="访问过的超链接" xfId="235" builtinId="9" hidden="1"/>
    <cellStyle name="访问过的超链接" xfId="236" builtinId="9" hidden="1"/>
    <cellStyle name="访问过的超链接" xfId="237" builtinId="9" hidden="1"/>
    <cellStyle name="访问过的超链接" xfId="238" builtinId="9" hidden="1"/>
    <cellStyle name="访问过的超链接" xfId="239" builtinId="9" hidden="1"/>
    <cellStyle name="访问过的超链接" xfId="240" builtinId="9" hidden="1"/>
    <cellStyle name="访问过的超链接" xfId="241" builtinId="9" hidden="1"/>
    <cellStyle name="访问过的超链接" xfId="242" builtinId="9" hidden="1"/>
    <cellStyle name="访问过的超链接" xfId="243" builtinId="9" hidden="1"/>
    <cellStyle name="访问过的超链接" xfId="244" builtinId="9" hidden="1"/>
    <cellStyle name="访问过的超链接" xfId="245" builtinId="9" hidden="1"/>
    <cellStyle name="访问过的超链接" xfId="246" builtinId="9" hidden="1"/>
    <cellStyle name="访问过的超链接" xfId="247" builtinId="9" hidden="1"/>
    <cellStyle name="访问过的超链接" xfId="248" builtinId="9" hidden="1"/>
    <cellStyle name="访问过的超链接" xfId="249" builtinId="9" hidden="1"/>
    <cellStyle name="访问过的超链接" xfId="250" builtinId="9" hidden="1"/>
    <cellStyle name="访问过的超链接" xfId="251" builtinId="9" hidden="1"/>
    <cellStyle name="访问过的超链接" xfId="252" builtinId="9" hidden="1"/>
    <cellStyle name="访问过的超链接" xfId="253" builtinId="9" hidden="1"/>
    <cellStyle name="访问过的超链接" xfId="254" builtinId="9" hidden="1"/>
    <cellStyle name="访问过的超链接" xfId="255" builtinId="9" hidden="1"/>
    <cellStyle name="访问过的超链接" xfId="256" builtinId="9" hidden="1"/>
    <cellStyle name="访问过的超链接" xfId="257" builtinId="9" hidden="1"/>
    <cellStyle name="访问过的超链接" xfId="258" builtinId="9" hidden="1"/>
    <cellStyle name="访问过的超链接" xfId="259" builtinId="9" hidden="1"/>
    <cellStyle name="访问过的超链接" xfId="260" builtinId="9" hidden="1"/>
    <cellStyle name="访问过的超链接" xfId="261" builtinId="9" hidden="1"/>
    <cellStyle name="访问过的超链接" xfId="262" builtinId="9" hidden="1"/>
    <cellStyle name="访问过的超链接" xfId="263" builtinId="9" hidden="1"/>
    <cellStyle name="访问过的超链接" xfId="264" builtinId="9" hidden="1"/>
    <cellStyle name="访问过的超链接" xfId="265" builtinId="9" hidden="1"/>
    <cellStyle name="访问过的超链接" xfId="266" builtinId="9" hidden="1"/>
    <cellStyle name="访问过的超链接" xfId="267" builtinId="9" hidden="1"/>
    <cellStyle name="访问过的超链接" xfId="268" builtinId="9" hidden="1"/>
    <cellStyle name="访问过的超链接" xfId="269" builtinId="9" hidden="1"/>
    <cellStyle name="访问过的超链接" xfId="270" builtinId="9" hidden="1"/>
    <cellStyle name="访问过的超链接" xfId="271" builtinId="9" hidden="1"/>
    <cellStyle name="访问过的超链接" xfId="272" builtinId="9" hidden="1"/>
    <cellStyle name="访问过的超链接" xfId="273" builtinId="9" hidden="1"/>
    <cellStyle name="访问过的超链接" xfId="274" builtinId="9" hidden="1"/>
    <cellStyle name="访问过的超链接" xfId="275" builtinId="9" hidden="1"/>
    <cellStyle name="访问过的超链接" xfId="276" builtinId="9" hidden="1"/>
    <cellStyle name="访问过的超链接" xfId="277" builtinId="9" hidden="1"/>
    <cellStyle name="访问过的超链接" xfId="278" builtinId="9" hidden="1"/>
    <cellStyle name="访问过的超链接" xfId="279" builtinId="9" hidden="1"/>
    <cellStyle name="访问过的超链接" xfId="280" builtinId="9" hidden="1"/>
    <cellStyle name="访问过的超链接" xfId="281" builtinId="9" hidden="1"/>
    <cellStyle name="访问过的超链接" xfId="282" builtinId="9" hidden="1"/>
    <cellStyle name="访问过的超链接" xfId="283" builtinId="9" hidden="1"/>
    <cellStyle name="访问过的超链接" xfId="284" builtinId="9" hidden="1"/>
    <cellStyle name="访问过的超链接" xfId="285" builtinId="9" hidden="1"/>
    <cellStyle name="访问过的超链接" xfId="286" builtinId="9" hidden="1"/>
    <cellStyle name="访问过的超链接" xfId="287" builtinId="9" hidden="1"/>
    <cellStyle name="访问过的超链接" xfId="288" builtinId="9" hidden="1"/>
    <cellStyle name="访问过的超链接" xfId="289" builtinId="9" hidden="1"/>
    <cellStyle name="访问过的超链接" xfId="290" builtinId="9" hidden="1"/>
    <cellStyle name="访问过的超链接" xfId="291" builtinId="9" hidden="1"/>
    <cellStyle name="访问过的超链接" xfId="292" builtinId="9" hidden="1"/>
    <cellStyle name="访问过的超链接" xfId="293" builtinId="9" hidden="1"/>
    <cellStyle name="访问过的超链接" xfId="294" builtinId="9" hidden="1"/>
    <cellStyle name="访问过的超链接" xfId="295" builtinId="9" hidden="1"/>
    <cellStyle name="访问过的超链接" xfId="296" builtinId="9" hidden="1"/>
    <cellStyle name="访问过的超链接" xfId="297" builtinId="9" hidden="1"/>
    <cellStyle name="访问过的超链接" xfId="298" builtinId="9" hidden="1"/>
    <cellStyle name="访问过的超链接" xfId="299" builtinId="9" hidden="1"/>
    <cellStyle name="访问过的超链接" xfId="300" builtinId="9" hidden="1"/>
    <cellStyle name="访问过的超链接" xfId="301" builtinId="9" hidden="1"/>
    <cellStyle name="访问过的超链接" xfId="113" builtinId="9" hidden="1"/>
    <cellStyle name="访问过的超链接" xfId="304" builtinId="9" hidden="1"/>
    <cellStyle name="访问过的超链接" xfId="305" builtinId="9" hidden="1"/>
    <cellStyle name="访问过的超链接" xfId="306" builtinId="9" hidden="1"/>
    <cellStyle name="访问过的超链接" xfId="307" builtinId="9" hidden="1"/>
    <cellStyle name="访问过的超链接" xfId="308" builtinId="9" hidden="1"/>
    <cellStyle name="访问过的超链接" xfId="309" builtinId="9" hidden="1"/>
    <cellStyle name="访问过的超链接" xfId="310" builtinId="9" hidden="1"/>
    <cellStyle name="访问过的超链接" xfId="311" builtinId="9" hidden="1"/>
    <cellStyle name="访问过的超链接" xfId="312" builtinId="9" hidden="1"/>
    <cellStyle name="访问过的超链接" xfId="313" builtinId="9" hidden="1"/>
    <cellStyle name="访问过的超链接" xfId="314" builtinId="9" hidden="1"/>
    <cellStyle name="访问过的超链接" xfId="315" builtinId="9" hidden="1"/>
    <cellStyle name="访问过的超链接" xfId="316" builtinId="9" hidden="1"/>
    <cellStyle name="访问过的超链接" xfId="317" builtinId="9" hidden="1"/>
    <cellStyle name="访问过的超链接" xfId="318" builtinId="9" hidden="1"/>
    <cellStyle name="访问过的超链接" xfId="319" builtinId="9" hidden="1"/>
    <cellStyle name="访问过的超链接" xfId="320" builtinId="9" hidden="1"/>
    <cellStyle name="访问过的超链接" xfId="321" builtinId="9" hidden="1"/>
    <cellStyle name="访问过的超链接" xfId="322" builtinId="9" hidden="1"/>
    <cellStyle name="访问过的超链接" xfId="323" builtinId="9" hidden="1"/>
    <cellStyle name="访问过的超链接" xfId="324" builtinId="9" hidden="1"/>
    <cellStyle name="访问过的超链接" xfId="325" builtinId="9" hidden="1"/>
    <cellStyle name="访问过的超链接" xfId="326" builtinId="9" hidden="1"/>
    <cellStyle name="访问过的超链接" xfId="327" builtinId="9" hidden="1"/>
    <cellStyle name="访问过的超链接" xfId="328" builtinId="9" hidden="1"/>
    <cellStyle name="访问过的超链接" xfId="329" builtinId="9" hidden="1"/>
    <cellStyle name="访问过的超链接" xfId="302" builtinId="9" hidden="1"/>
    <cellStyle name="访问过的超链接" xfId="330" builtinId="9" hidden="1"/>
    <cellStyle name="访问过的超链接" xfId="331" builtinId="9" hidden="1"/>
    <cellStyle name="访问过的超链接" xfId="332" builtinId="9" hidden="1"/>
    <cellStyle name="访问过的超链接" xfId="333" builtinId="9" hidden="1"/>
    <cellStyle name="访问过的超链接" xfId="334" builtinId="9" hidden="1"/>
    <cellStyle name="访问过的超链接" xfId="335" builtinId="9" hidden="1"/>
    <cellStyle name="访问过的超链接" xfId="336" builtinId="9" hidden="1"/>
    <cellStyle name="访问过的超链接" xfId="337" builtinId="9" hidden="1"/>
    <cellStyle name="访问过的超链接" xfId="338" builtinId="9" hidden="1"/>
    <cellStyle name="访问过的超链接" xfId="339" builtinId="9" hidden="1"/>
    <cellStyle name="访问过的超链接" xfId="340" builtinId="9" hidden="1"/>
    <cellStyle name="访问过的超链接" xfId="341" builtinId="9" hidden="1"/>
    <cellStyle name="访问过的超链接" xfId="342" builtinId="9" hidden="1"/>
    <cellStyle name="访问过的超链接" xfId="343" builtinId="9" hidden="1"/>
    <cellStyle name="访问过的超链接" xfId="344" builtinId="9" hidden="1"/>
    <cellStyle name="访问过的超链接" xfId="345" builtinId="9" hidden="1"/>
    <cellStyle name="访问过的超链接" xfId="346" builtinId="9" hidden="1"/>
    <cellStyle name="访问过的超链接" xfId="347" builtinId="9" hidden="1"/>
    <cellStyle name="访问过的超链接" xfId="348" builtinId="9" hidden="1"/>
    <cellStyle name="访问过的超链接" xfId="349" builtinId="9" hidden="1"/>
    <cellStyle name="访问过的超链接" xfId="350" builtinId="9" hidden="1"/>
    <cellStyle name="访问过的超链接" xfId="351" builtinId="9" hidden="1"/>
    <cellStyle name="访问过的超链接" xfId="352" builtinId="9" hidden="1"/>
    <cellStyle name="访问过的超链接" xfId="353" builtinId="9" hidden="1"/>
    <cellStyle name="访问过的超链接" xfId="354" builtinId="9" hidden="1"/>
    <cellStyle name="访问过的超链接" xfId="355" builtinId="9" hidden="1"/>
    <cellStyle name="访问过的超链接" xfId="114" builtinId="9" hidden="1"/>
    <cellStyle name="访问过的超链接" xfId="357" builtinId="9" hidden="1"/>
    <cellStyle name="访问过的超链接" xfId="358" builtinId="9" hidden="1"/>
    <cellStyle name="访问过的超链接" xfId="359" builtinId="9" hidden="1"/>
    <cellStyle name="访问过的超链接" xfId="360" builtinId="9" hidden="1"/>
    <cellStyle name="访问过的超链接" xfId="361" builtinId="9" hidden="1"/>
    <cellStyle name="访问过的超链接" xfId="362" builtinId="9" hidden="1"/>
    <cellStyle name="访问过的超链接" xfId="363" builtinId="9" hidden="1"/>
    <cellStyle name="访问过的超链接" xfId="364" builtinId="9" hidden="1"/>
    <cellStyle name="访问过的超链接" xfId="365" builtinId="9" hidden="1"/>
    <cellStyle name="访问过的超链接" xfId="366" builtinId="9" hidden="1"/>
    <cellStyle name="访问过的超链接" xfId="367" builtinId="9" hidden="1"/>
    <cellStyle name="访问过的超链接" xfId="368" builtinId="9" hidden="1"/>
    <cellStyle name="访问过的超链接" xfId="369" builtinId="9" hidden="1"/>
    <cellStyle name="访问过的超链接" xfId="370" builtinId="9" hidden="1"/>
    <cellStyle name="访问过的超链接" xfId="371" builtinId="9" hidden="1"/>
    <cellStyle name="访问过的超链接" xfId="372" builtinId="9" hidden="1"/>
    <cellStyle name="访问过的超链接" xfId="373" builtinId="9" hidden="1"/>
    <cellStyle name="访问过的超链接" xfId="374" builtinId="9" hidden="1"/>
    <cellStyle name="访问过的超链接" xfId="375" builtinId="9" hidden="1"/>
    <cellStyle name="访问过的超链接" xfId="376" builtinId="9" hidden="1"/>
    <cellStyle name="访问过的超链接" xfId="377" builtinId="9" hidden="1"/>
    <cellStyle name="访问过的超链接" xfId="378" builtinId="9" hidden="1"/>
    <cellStyle name="访问过的超链接" xfId="379" builtinId="9" hidden="1"/>
    <cellStyle name="访问过的超链接" xfId="380" builtinId="9" hidden="1"/>
    <cellStyle name="访问过的超链接" xfId="381" builtinId="9" hidden="1"/>
    <cellStyle name="访问过的超链接" xfId="382" builtinId="9" hidden="1"/>
    <cellStyle name="访问过的超链接" xfId="303" builtinId="9" hidden="1"/>
    <cellStyle name="访问过的超链接" xfId="384" builtinId="9" hidden="1"/>
    <cellStyle name="访问过的超链接" xfId="385" builtinId="9" hidden="1"/>
    <cellStyle name="访问过的超链接" xfId="386" builtinId="9" hidden="1"/>
    <cellStyle name="访问过的超链接" xfId="387" builtinId="9" hidden="1"/>
    <cellStyle name="访问过的超链接" xfId="388" builtinId="9" hidden="1"/>
    <cellStyle name="访问过的超链接" xfId="389" builtinId="9" hidden="1"/>
    <cellStyle name="访问过的超链接" xfId="390" builtinId="9" hidden="1"/>
    <cellStyle name="访问过的超链接" xfId="391" builtinId="9" hidden="1"/>
    <cellStyle name="访问过的超链接" xfId="392" builtinId="9" hidden="1"/>
    <cellStyle name="访问过的超链接" xfId="393" builtinId="9" hidden="1"/>
    <cellStyle name="访问过的超链接" xfId="394" builtinId="9" hidden="1"/>
    <cellStyle name="访问过的超链接" xfId="395" builtinId="9" hidden="1"/>
    <cellStyle name="访问过的超链接" xfId="396" builtinId="9" hidden="1"/>
    <cellStyle name="访问过的超链接" xfId="397" builtinId="9" hidden="1"/>
    <cellStyle name="访问过的超链接" xfId="398" builtinId="9" hidden="1"/>
    <cellStyle name="访问过的超链接" xfId="399" builtinId="9" hidden="1"/>
    <cellStyle name="访问过的超链接" xfId="400" builtinId="9" hidden="1"/>
    <cellStyle name="访问过的超链接" xfId="401" builtinId="9" hidden="1"/>
    <cellStyle name="访问过的超链接" xfId="402" builtinId="9" hidden="1"/>
    <cellStyle name="访问过的超链接" xfId="403" builtinId="9" hidden="1"/>
    <cellStyle name="访问过的超链接" xfId="404" builtinId="9" hidden="1"/>
    <cellStyle name="访问过的超链接" xfId="405" builtinId="9" hidden="1"/>
    <cellStyle name="访问过的超链接" xfId="406" builtinId="9" hidden="1"/>
    <cellStyle name="访问过的超链接" xfId="407" builtinId="9" hidden="1"/>
    <cellStyle name="访问过的超链接" xfId="408" builtinId="9" hidden="1"/>
    <cellStyle name="访问过的超链接" xfId="409" builtinId="9" hidden="1"/>
    <cellStyle name="访问过的超链接" xfId="356" builtinId="9" hidden="1"/>
    <cellStyle name="访问过的超链接" xfId="410" builtinId="9" hidden="1"/>
    <cellStyle name="访问过的超链接" xfId="411" builtinId="9" hidden="1"/>
    <cellStyle name="访问过的超链接" xfId="412" builtinId="9" hidden="1"/>
    <cellStyle name="访问过的超链接" xfId="413" builtinId="9" hidden="1"/>
    <cellStyle name="访问过的超链接" xfId="414" builtinId="9" hidden="1"/>
    <cellStyle name="访问过的超链接" xfId="415" builtinId="9" hidden="1"/>
    <cellStyle name="访问过的超链接" xfId="416" builtinId="9" hidden="1"/>
    <cellStyle name="访问过的超链接" xfId="417" builtinId="9" hidden="1"/>
    <cellStyle name="访问过的超链接" xfId="418" builtinId="9" hidden="1"/>
    <cellStyle name="访问过的超链接" xfId="419" builtinId="9" hidden="1"/>
    <cellStyle name="访问过的超链接" xfId="420" builtinId="9" hidden="1"/>
    <cellStyle name="访问过的超链接" xfId="421" builtinId="9" hidden="1"/>
    <cellStyle name="访问过的超链接" xfId="422" builtinId="9" hidden="1"/>
    <cellStyle name="访问过的超链接" xfId="423" builtinId="9" hidden="1"/>
    <cellStyle name="访问过的超链接" xfId="424" builtinId="9" hidden="1"/>
    <cellStyle name="访问过的超链接" xfId="425" builtinId="9" hidden="1"/>
    <cellStyle name="访问过的超链接" xfId="426" builtinId="9" hidden="1"/>
    <cellStyle name="访问过的超链接" xfId="427" builtinId="9" hidden="1"/>
    <cellStyle name="访问过的超链接" xfId="428" builtinId="9" hidden="1"/>
    <cellStyle name="访问过的超链接" xfId="429" builtinId="9" hidden="1"/>
    <cellStyle name="访问过的超链接" xfId="430" builtinId="9" hidden="1"/>
    <cellStyle name="访问过的超链接" xfId="431" builtinId="9" hidden="1"/>
    <cellStyle name="访问过的超链接" xfId="432" builtinId="9" hidden="1"/>
    <cellStyle name="访问过的超链接" xfId="433" builtinId="9" hidden="1"/>
    <cellStyle name="访问过的超链接" xfId="434" builtinId="9" hidden="1"/>
    <cellStyle name="访问过的超链接" xfId="435" builtinId="9" hidden="1"/>
    <cellStyle name="访问过的超链接" xfId="383" builtinId="9" hidden="1"/>
    <cellStyle name="访问过的超链接" xfId="438" builtinId="9" hidden="1"/>
    <cellStyle name="访问过的超链接" xfId="439" builtinId="9" hidden="1"/>
    <cellStyle name="访问过的超链接" xfId="440" builtinId="9" hidden="1"/>
    <cellStyle name="访问过的超链接" xfId="441" builtinId="9" hidden="1"/>
    <cellStyle name="访问过的超链接" xfId="442" builtinId="9" hidden="1"/>
    <cellStyle name="访问过的超链接" xfId="443" builtinId="9" hidden="1"/>
    <cellStyle name="访问过的超链接" xfId="444" builtinId="9" hidden="1"/>
    <cellStyle name="访问过的超链接" xfId="445" builtinId="9" hidden="1"/>
    <cellStyle name="访问过的超链接" xfId="446" builtinId="9" hidden="1"/>
    <cellStyle name="访问过的超链接" xfId="447" builtinId="9" hidden="1"/>
    <cellStyle name="访问过的超链接" xfId="448" builtinId="9" hidden="1"/>
    <cellStyle name="访问过的超链接" xfId="449" builtinId="9" hidden="1"/>
    <cellStyle name="访问过的超链接" xfId="450" builtinId="9" hidden="1"/>
    <cellStyle name="访问过的超链接" xfId="451" builtinId="9" hidden="1"/>
    <cellStyle name="访问过的超链接" xfId="452" builtinId="9" hidden="1"/>
    <cellStyle name="访问过的超链接" xfId="453" builtinId="9" hidden="1"/>
    <cellStyle name="访问过的超链接" xfId="454" builtinId="9" hidden="1"/>
    <cellStyle name="访问过的超链接" xfId="455" builtinId="9" hidden="1"/>
    <cellStyle name="访问过的超链接" xfId="456" builtinId="9" hidden="1"/>
    <cellStyle name="访问过的超链接" xfId="457" builtinId="9" hidden="1"/>
    <cellStyle name="访问过的超链接" xfId="458" builtinId="9" hidden="1"/>
    <cellStyle name="访问过的超链接" xfId="459" builtinId="9" hidden="1"/>
    <cellStyle name="访问过的超链接" xfId="460" builtinId="9" hidden="1"/>
    <cellStyle name="访问过的超链接" xfId="461" builtinId="9" hidden="1"/>
    <cellStyle name="访问过的超链接" xfId="462" builtinId="9" hidden="1"/>
    <cellStyle name="访问过的超链接" xfId="463" builtinId="9" hidden="1"/>
    <cellStyle name="访问过的超链接" xfId="436" builtinId="9" hidden="1"/>
    <cellStyle name="访问过的超链接" xfId="464" builtinId="9" hidden="1"/>
    <cellStyle name="访问过的超链接" xfId="465" builtinId="9" hidden="1"/>
    <cellStyle name="访问过的超链接" xfId="466" builtinId="9" hidden="1"/>
    <cellStyle name="访问过的超链接" xfId="467" builtinId="9" hidden="1"/>
    <cellStyle name="访问过的超链接" xfId="468" builtinId="9" hidden="1"/>
    <cellStyle name="访问过的超链接" xfId="469" builtinId="9" hidden="1"/>
    <cellStyle name="访问过的超链接" xfId="470" builtinId="9" hidden="1"/>
    <cellStyle name="访问过的超链接" xfId="471" builtinId="9" hidden="1"/>
    <cellStyle name="访问过的超链接" xfId="472" builtinId="9" hidden="1"/>
    <cellStyle name="访问过的超链接" xfId="473" builtinId="9" hidden="1"/>
    <cellStyle name="访问过的超链接" xfId="474" builtinId="9" hidden="1"/>
    <cellStyle name="访问过的超链接" xfId="475" builtinId="9" hidden="1"/>
    <cellStyle name="访问过的超链接" xfId="476" builtinId="9" hidden="1"/>
    <cellStyle name="访问过的超链接" xfId="477" builtinId="9" hidden="1"/>
    <cellStyle name="访问过的超链接" xfId="478" builtinId="9" hidden="1"/>
    <cellStyle name="访问过的超链接" xfId="479" builtinId="9" hidden="1"/>
    <cellStyle name="访问过的超链接" xfId="480" builtinId="9" hidden="1"/>
    <cellStyle name="访问过的超链接" xfId="481" builtinId="9" hidden="1"/>
    <cellStyle name="访问过的超链接" xfId="482" builtinId="9" hidden="1"/>
    <cellStyle name="访问过的超链接" xfId="483" builtinId="9" hidden="1"/>
    <cellStyle name="访问过的超链接" xfId="484" builtinId="9" hidden="1"/>
    <cellStyle name="访问过的超链接" xfId="485" builtinId="9" hidden="1"/>
    <cellStyle name="访问过的超链接" xfId="486" builtinId="9" hidden="1"/>
    <cellStyle name="访问过的超链接" xfId="487" builtinId="9" hidden="1"/>
    <cellStyle name="访问过的超链接" xfId="488" builtinId="9" hidden="1"/>
    <cellStyle name="访问过的超链接" xfId="489" builtinId="9" hidden="1"/>
    <cellStyle name="访问过的超链接" xfId="437" builtinId="9" hidden="1"/>
    <cellStyle name="访问过的超链接" xfId="490" builtinId="9" hidden="1"/>
    <cellStyle name="访问过的超链接" xfId="491" builtinId="9" hidden="1"/>
    <cellStyle name="访问过的超链接" xfId="492" builtinId="9" hidden="1"/>
    <cellStyle name="访问过的超链接" xfId="493" builtinId="9" hidden="1"/>
    <cellStyle name="访问过的超链接" xfId="494" builtinId="9" hidden="1"/>
    <cellStyle name="访问过的超链接" xfId="495" builtinId="9" hidden="1"/>
    <cellStyle name="访问过的超链接" xfId="496" builtinId="9" hidden="1"/>
    <cellStyle name="访问过的超链接" xfId="497" builtinId="9" hidden="1"/>
    <cellStyle name="访问过的超链接" xfId="498" builtinId="9" hidden="1"/>
    <cellStyle name="访问过的超链接" xfId="499" builtinId="9" hidden="1"/>
    <cellStyle name="访问过的超链接" xfId="500" builtinId="9" hidden="1"/>
    <cellStyle name="访问过的超链接" xfId="501" builtinId="9" hidden="1"/>
    <cellStyle name="访问过的超链接" xfId="502" builtinId="9" hidden="1"/>
    <cellStyle name="访问过的超链接" xfId="503" builtinId="9" hidden="1"/>
    <cellStyle name="访问过的超链接" xfId="504" builtinId="9" hidden="1"/>
    <cellStyle name="访问过的超链接" xfId="505" builtinId="9" hidden="1"/>
    <cellStyle name="访问过的超链接" xfId="506" builtinId="9" hidden="1"/>
    <cellStyle name="访问过的超链接" xfId="507" builtinId="9" hidden="1"/>
    <cellStyle name="访问过的超链接" xfId="508" builtinId="9" hidden="1"/>
    <cellStyle name="访问过的超链接" xfId="509" builtinId="9" hidden="1"/>
    <cellStyle name="访问过的超链接" xfId="510" builtinId="9" hidden="1"/>
    <cellStyle name="访问过的超链接" xfId="511" builtinId="9" hidden="1"/>
    <cellStyle name="访问过的超链接" xfId="512" builtinId="9" hidden="1"/>
    <cellStyle name="访问过的超链接" xfId="513" builtinId="9" hidden="1"/>
    <cellStyle name="访问过的超链接" xfId="514" builtinId="9" hidden="1"/>
    <cellStyle name="访问过的超链接" xfId="515" builtinId="9" hidden="1"/>
    <cellStyle name="访问过的超链接" xfId="516" builtinId="9" hidden="1"/>
    <cellStyle name="访问过的超链接" xfId="517" builtinId="9" hidden="1"/>
    <cellStyle name="访问过的超链接" xfId="518" builtinId="9" hidden="1"/>
    <cellStyle name="访问过的超链接" xfId="519" builtinId="9" hidden="1"/>
    <cellStyle name="访问过的超链接" xfId="520" builtinId="9" hidden="1"/>
    <cellStyle name="访问过的超链接" xfId="521" builtinId="9" hidden="1"/>
    <cellStyle name="访问过的超链接" xfId="522" builtinId="9" hidden="1"/>
    <cellStyle name="访问过的超链接" xfId="523" builtinId="9" hidden="1"/>
    <cellStyle name="访问过的超链接" xfId="524" builtinId="9" hidden="1"/>
    <cellStyle name="访问过的超链接" xfId="525" builtinId="9" hidden="1"/>
    <cellStyle name="访问过的超链接" xfId="526" builtinId="9" hidden="1"/>
    <cellStyle name="访问过的超链接" xfId="527" builtinId="9" hidden="1"/>
    <cellStyle name="访问过的超链接" xfId="528" builtinId="9" hidden="1"/>
    <cellStyle name="访问过的超链接" xfId="529" builtinId="9" hidden="1"/>
    <cellStyle name="访问过的超链接" xfId="530" builtinId="9" hidden="1"/>
    <cellStyle name="访问过的超链接" xfId="531" builtinId="9" hidden="1"/>
    <cellStyle name="访问过的超链接" xfId="532" builtinId="9" hidden="1"/>
    <cellStyle name="访问过的超链接" xfId="533" builtinId="9" hidden="1"/>
    <cellStyle name="访问过的超链接" xfId="534" builtinId="9" hidden="1"/>
    <cellStyle name="访问过的超链接" xfId="535" builtinId="9" hidden="1"/>
    <cellStyle name="访问过的超链接" xfId="536" builtinId="9" hidden="1"/>
    <cellStyle name="访问过的超链接" xfId="537" builtinId="9" hidden="1"/>
    <cellStyle name="访问过的超链接" xfId="538" builtinId="9" hidden="1"/>
    <cellStyle name="访问过的超链接" xfId="539" builtinId="9" hidden="1"/>
    <cellStyle name="访问过的超链接" xfId="540" builtinId="9" hidden="1"/>
    <cellStyle name="访问过的超链接" xfId="541" builtinId="9" hidden="1"/>
    <cellStyle name="访问过的超链接" xfId="542" builtinId="9" hidden="1"/>
    <cellStyle name="访问过的超链接" xfId="543" builtinId="9" hidden="1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000389928566039684"/>
                  <c:y val="-0.662853061272207"/>
                </c:manualLayout>
              </c:layout>
              <c:numFmt formatCode="General" sourceLinked="0"/>
            </c:trendlineLbl>
          </c:trendline>
          <c:xVal>
            <c:numRef>
              <c:f>Calib!$O$64:$O$66</c:f>
              <c:numCache>
                <c:formatCode>0.000</c:formatCode>
                <c:ptCount val="3"/>
                <c:pt idx="0">
                  <c:v>-361.397</c:v>
                </c:pt>
                <c:pt idx="1">
                  <c:v>-227.084</c:v>
                </c:pt>
                <c:pt idx="2">
                  <c:v>-188.855</c:v>
                </c:pt>
              </c:numCache>
            </c:numRef>
          </c:xVal>
          <c:yVal>
            <c:numRef>
              <c:f>Calib!$L$64:$L$66</c:f>
              <c:numCache>
                <c:formatCode>0.000000</c:formatCode>
                <c:ptCount val="3"/>
                <c:pt idx="0">
                  <c:v>1.086031851590477</c:v>
                </c:pt>
                <c:pt idx="1">
                  <c:v>1.079740001591034</c:v>
                </c:pt>
                <c:pt idx="2">
                  <c:v>1.077943131600162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236120"/>
        <c:axId val="-2147233112"/>
      </c:scatterChart>
      <c:valAx>
        <c:axId val="-214723612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47233112"/>
        <c:crosses val="autoZero"/>
        <c:crossBetween val="midCat"/>
      </c:valAx>
      <c:valAx>
        <c:axId val="-2147233112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-2147236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8" l="0.700000000000001" r="0.700000000000001" t="0.750000000000008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000389928566039684"/>
                  <c:y val="-0.662853061272207"/>
                </c:manualLayout>
              </c:layout>
              <c:numFmt formatCode="General" sourceLinked="0"/>
            </c:trendlineLbl>
          </c:trendline>
          <c:xVal>
            <c:numRef>
              <c:f>'25mg'!$O$64:$O$66</c:f>
              <c:numCache>
                <c:formatCode>0.000</c:formatCode>
                <c:ptCount val="3"/>
                <c:pt idx="0">
                  <c:v>-361.397</c:v>
                </c:pt>
                <c:pt idx="1">
                  <c:v>-227.084</c:v>
                </c:pt>
                <c:pt idx="2">
                  <c:v>-188.855</c:v>
                </c:pt>
              </c:numCache>
            </c:numRef>
          </c:xVal>
          <c:yVal>
            <c:numRef>
              <c:f>'25mg'!$L$64:$L$66</c:f>
              <c:numCache>
                <c:formatCode>0.000000</c:formatCode>
                <c:ptCount val="3"/>
                <c:pt idx="0">
                  <c:v>1.086027404951915</c:v>
                </c:pt>
                <c:pt idx="1">
                  <c:v>1.079740001591034</c:v>
                </c:pt>
                <c:pt idx="2">
                  <c:v>1.077943131600162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184456"/>
        <c:axId val="-2147181592"/>
      </c:scatterChart>
      <c:valAx>
        <c:axId val="-214718445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47181592"/>
        <c:crosses val="autoZero"/>
        <c:crossBetween val="midCat"/>
      </c:valAx>
      <c:valAx>
        <c:axId val="-2147181592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-2147184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8" l="0.700000000000001" r="0.700000000000001" t="0.750000000000008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65674540682415"/>
                  <c:y val="-0.0911103820355789"/>
                </c:manualLayout>
              </c:layout>
              <c:numFmt formatCode="General" sourceLinked="0"/>
            </c:trendlineLbl>
          </c:trendline>
          <c:xVal>
            <c:numRef>
              <c:f>'25mg'!$M$7:$M$39</c:f>
              <c:numCache>
                <c:formatCode>General</c:formatCode>
                <c:ptCount val="33"/>
                <c:pt idx="0">
                  <c:v>56.0</c:v>
                </c:pt>
                <c:pt idx="1">
                  <c:v>55.8</c:v>
                </c:pt>
                <c:pt idx="2">
                  <c:v>55.6</c:v>
                </c:pt>
                <c:pt idx="3">
                  <c:v>55.4</c:v>
                </c:pt>
                <c:pt idx="4">
                  <c:v>55.2</c:v>
                </c:pt>
                <c:pt idx="5">
                  <c:v>55.0</c:v>
                </c:pt>
                <c:pt idx="6">
                  <c:v>54.8</c:v>
                </c:pt>
                <c:pt idx="7">
                  <c:v>54.6</c:v>
                </c:pt>
                <c:pt idx="8">
                  <c:v>54.4</c:v>
                </c:pt>
                <c:pt idx="9">
                  <c:v>54.2</c:v>
                </c:pt>
                <c:pt idx="10">
                  <c:v>54.0</c:v>
                </c:pt>
                <c:pt idx="11">
                  <c:v>53.8</c:v>
                </c:pt>
                <c:pt idx="12">
                  <c:v>53.6</c:v>
                </c:pt>
                <c:pt idx="13">
                  <c:v>53.4</c:v>
                </c:pt>
                <c:pt idx="14">
                  <c:v>53.2</c:v>
                </c:pt>
                <c:pt idx="15">
                  <c:v>53.0</c:v>
                </c:pt>
                <c:pt idx="16">
                  <c:v>52.7999999999999</c:v>
                </c:pt>
                <c:pt idx="17">
                  <c:v>52.6</c:v>
                </c:pt>
                <c:pt idx="18">
                  <c:v>52.3999999999999</c:v>
                </c:pt>
                <c:pt idx="19">
                  <c:v>52.2</c:v>
                </c:pt>
                <c:pt idx="20">
                  <c:v>51.9999999999999</c:v>
                </c:pt>
                <c:pt idx="21">
                  <c:v>51.7999999999999</c:v>
                </c:pt>
                <c:pt idx="22">
                  <c:v>51.5999999999999</c:v>
                </c:pt>
                <c:pt idx="23">
                  <c:v>51.3999999999999</c:v>
                </c:pt>
                <c:pt idx="24">
                  <c:v>51.1999999999999</c:v>
                </c:pt>
                <c:pt idx="25">
                  <c:v>50.9999999999999</c:v>
                </c:pt>
                <c:pt idx="26">
                  <c:v>50.7999999999999</c:v>
                </c:pt>
                <c:pt idx="27">
                  <c:v>50.5999999999999</c:v>
                </c:pt>
                <c:pt idx="28">
                  <c:v>50.3999999999999</c:v>
                </c:pt>
                <c:pt idx="29">
                  <c:v>50.1999999999999</c:v>
                </c:pt>
                <c:pt idx="30">
                  <c:v>49.9999999999999</c:v>
                </c:pt>
                <c:pt idx="31">
                  <c:v>49.7999999999999</c:v>
                </c:pt>
                <c:pt idx="32">
                  <c:v>49.5999999999999</c:v>
                </c:pt>
              </c:numCache>
            </c:numRef>
          </c:xVal>
          <c:yVal>
            <c:numRef>
              <c:f>'25mg'!$N$7:$N$39</c:f>
              <c:numCache>
                <c:formatCode>General</c:formatCode>
                <c:ptCount val="33"/>
                <c:pt idx="0">
                  <c:v>0.01563</c:v>
                </c:pt>
                <c:pt idx="1">
                  <c:v>0.01567</c:v>
                </c:pt>
                <c:pt idx="2">
                  <c:v>0.01572</c:v>
                </c:pt>
                <c:pt idx="3">
                  <c:v>0.01576</c:v>
                </c:pt>
                <c:pt idx="4">
                  <c:v>0.0158</c:v>
                </c:pt>
                <c:pt idx="5">
                  <c:v>0.01584</c:v>
                </c:pt>
                <c:pt idx="6">
                  <c:v>0.01589</c:v>
                </c:pt>
                <c:pt idx="7">
                  <c:v>0.01594</c:v>
                </c:pt>
                <c:pt idx="8">
                  <c:v>0.01599</c:v>
                </c:pt>
                <c:pt idx="9">
                  <c:v>0.01604</c:v>
                </c:pt>
                <c:pt idx="10">
                  <c:v>0.01609</c:v>
                </c:pt>
                <c:pt idx="11">
                  <c:v>0.01614</c:v>
                </c:pt>
                <c:pt idx="12">
                  <c:v>0.01619</c:v>
                </c:pt>
                <c:pt idx="13">
                  <c:v>0.01624</c:v>
                </c:pt>
                <c:pt idx="14">
                  <c:v>0.01629</c:v>
                </c:pt>
                <c:pt idx="15">
                  <c:v>0.01634</c:v>
                </c:pt>
                <c:pt idx="16">
                  <c:v>0.01639</c:v>
                </c:pt>
                <c:pt idx="17">
                  <c:v>0.01644</c:v>
                </c:pt>
                <c:pt idx="18">
                  <c:v>0.01649</c:v>
                </c:pt>
                <c:pt idx="19">
                  <c:v>0.01654</c:v>
                </c:pt>
                <c:pt idx="20">
                  <c:v>0.01659</c:v>
                </c:pt>
                <c:pt idx="21">
                  <c:v>0.01664</c:v>
                </c:pt>
                <c:pt idx="22">
                  <c:v>0.01669</c:v>
                </c:pt>
                <c:pt idx="23">
                  <c:v>0.01674</c:v>
                </c:pt>
                <c:pt idx="24">
                  <c:v>0.01678</c:v>
                </c:pt>
                <c:pt idx="25">
                  <c:v>0.01683</c:v>
                </c:pt>
                <c:pt idx="26">
                  <c:v>0.01688</c:v>
                </c:pt>
                <c:pt idx="27">
                  <c:v>0.01693</c:v>
                </c:pt>
                <c:pt idx="28">
                  <c:v>0.01698</c:v>
                </c:pt>
                <c:pt idx="29">
                  <c:v>0.01703</c:v>
                </c:pt>
                <c:pt idx="30">
                  <c:v>0.01708</c:v>
                </c:pt>
                <c:pt idx="31">
                  <c:v>0.01714</c:v>
                </c:pt>
                <c:pt idx="32">
                  <c:v>0.0172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153160"/>
        <c:axId val="-2147150328"/>
      </c:scatterChart>
      <c:valAx>
        <c:axId val="-214715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7150328"/>
        <c:crosses val="autoZero"/>
        <c:crossBetween val="midCat"/>
      </c:valAx>
      <c:valAx>
        <c:axId val="-214715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7153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000389928566039684"/>
                  <c:y val="-0.662853061272207"/>
                </c:manualLayout>
              </c:layout>
              <c:numFmt formatCode="General" sourceLinked="0"/>
            </c:trendlineLbl>
          </c:trendline>
          <c:xVal>
            <c:numRef>
              <c:f>'26Mg'!$O$64:$O$66</c:f>
              <c:numCache>
                <c:formatCode>0.000</c:formatCode>
                <c:ptCount val="3"/>
                <c:pt idx="0">
                  <c:v>-361.397</c:v>
                </c:pt>
                <c:pt idx="1">
                  <c:v>-227.084</c:v>
                </c:pt>
                <c:pt idx="2">
                  <c:v>-188.855</c:v>
                </c:pt>
              </c:numCache>
            </c:numRef>
          </c:xVal>
          <c:yVal>
            <c:numRef>
              <c:f>'26Mg'!$L$64:$L$66</c:f>
              <c:numCache>
                <c:formatCode>0.000000</c:formatCode>
                <c:ptCount val="3"/>
                <c:pt idx="0">
                  <c:v>1.086027404951915</c:v>
                </c:pt>
                <c:pt idx="1">
                  <c:v>1.079740001591034</c:v>
                </c:pt>
                <c:pt idx="2">
                  <c:v>1.077943131600162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46792"/>
        <c:axId val="2109249656"/>
      </c:scatterChart>
      <c:valAx>
        <c:axId val="210924679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09249656"/>
        <c:crosses val="autoZero"/>
        <c:crossBetween val="midCat"/>
      </c:valAx>
      <c:valAx>
        <c:axId val="210924965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2109246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" l="0.700000000000001" r="0.700000000000001" t="0.750000000000008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679450</xdr:colOff>
      <xdr:row>69</xdr:row>
      <xdr:rowOff>92074</xdr:rowOff>
    </xdr:from>
    <xdr:to>
      <xdr:col>14</xdr:col>
      <xdr:colOff>240665</xdr:colOff>
      <xdr:row>89</xdr:row>
      <xdr:rowOff>80645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64</xdr:row>
      <xdr:rowOff>66674</xdr:rowOff>
    </xdr:from>
    <xdr:to>
      <xdr:col>23</xdr:col>
      <xdr:colOff>405765</xdr:colOff>
      <xdr:row>84</xdr:row>
      <xdr:rowOff>55245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17</xdr:row>
      <xdr:rowOff>106680</xdr:rowOff>
    </xdr:from>
    <xdr:to>
      <xdr:col>10</xdr:col>
      <xdr:colOff>60960</xdr:colOff>
      <xdr:row>32</xdr:row>
      <xdr:rowOff>106680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64</xdr:row>
      <xdr:rowOff>66674</xdr:rowOff>
    </xdr:from>
    <xdr:to>
      <xdr:col>23</xdr:col>
      <xdr:colOff>405765</xdr:colOff>
      <xdr:row>84</xdr:row>
      <xdr:rowOff>55245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ndc.bnl.gov/masses/mass.mas12" TargetMode="External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ndc.bnl.gov/masses/mass.mas12" TargetMode="External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ndc.bnl.gov/masses/mass.mas12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topLeftCell="A103" workbookViewId="0">
      <selection activeCell="A122" sqref="A122:N236"/>
    </sheetView>
  </sheetViews>
  <sheetFormatPr baseColWidth="10" defaultColWidth="8.83203125" defaultRowHeight="14" x14ac:dyDescent="0"/>
  <cols>
    <col min="4" max="4" width="9.5" bestFit="1" customWidth="1"/>
    <col min="10" max="10" width="11" bestFit="1" customWidth="1"/>
    <col min="11" max="11" width="13.1640625" customWidth="1"/>
    <col min="13" max="13" width="16.1640625" customWidth="1"/>
  </cols>
  <sheetData>
    <row r="1" spans="1:16">
      <c r="A1" s="1" t="s">
        <v>4</v>
      </c>
      <c r="B1" s="1"/>
      <c r="C1" s="1"/>
      <c r="D1" s="1" t="s">
        <v>22</v>
      </c>
      <c r="E1" s="1"/>
      <c r="F1" s="1"/>
    </row>
    <row r="2" spans="1:16">
      <c r="A2" s="1"/>
      <c r="B2" s="1"/>
      <c r="C2" s="1"/>
      <c r="D2" s="1"/>
      <c r="E2" s="1"/>
      <c r="F2" s="1"/>
    </row>
    <row r="3" spans="1:16">
      <c r="A3" s="1" t="s">
        <v>0</v>
      </c>
      <c r="B3" s="1" t="s">
        <v>1</v>
      </c>
      <c r="C3" s="1" t="s">
        <v>2</v>
      </c>
      <c r="D3" s="1" t="s">
        <v>1</v>
      </c>
      <c r="E3" s="1" t="s">
        <v>3</v>
      </c>
      <c r="F3" s="1" t="s">
        <v>1</v>
      </c>
      <c r="J3" s="1" t="s">
        <v>35</v>
      </c>
      <c r="K3" s="1" t="s">
        <v>36</v>
      </c>
      <c r="L3" s="1" t="s">
        <v>37</v>
      </c>
      <c r="M3" s="1" t="s">
        <v>38</v>
      </c>
      <c r="N3" s="52" t="s">
        <v>78</v>
      </c>
      <c r="P3" s="1"/>
    </row>
    <row r="4" spans="1:16">
      <c r="A4" s="6">
        <v>599.67700000000002</v>
      </c>
      <c r="B4" s="6">
        <v>12.446999999999999</v>
      </c>
      <c r="C4" s="6">
        <v>-231.42099999999999</v>
      </c>
      <c r="D4" s="6">
        <v>0.14499999999999999</v>
      </c>
      <c r="E4" s="6">
        <v>6.5</v>
      </c>
      <c r="F4" s="6" t="s">
        <v>40</v>
      </c>
      <c r="J4" s="6">
        <v>9744.2099999999991</v>
      </c>
      <c r="K4" s="59">
        <v>98.712770000000006</v>
      </c>
      <c r="L4" s="1">
        <f>2.35482*E4</f>
        <v>15.306330000000001</v>
      </c>
      <c r="M4" s="1">
        <f>L4/K4</f>
        <v>0.15505926943393444</v>
      </c>
      <c r="N4" s="1">
        <f>SQRT(D4^2+M4^2)</f>
        <v>0.21229313940253811</v>
      </c>
    </row>
    <row r="5" spans="1:16">
      <c r="A5" s="6">
        <v>131.55500000000001</v>
      </c>
      <c r="B5" s="6">
        <v>10.263</v>
      </c>
      <c r="C5" s="6">
        <v>-219.119</v>
      </c>
      <c r="D5" s="6">
        <v>0.52900000000000003</v>
      </c>
      <c r="E5" s="6">
        <v>6.5</v>
      </c>
      <c r="F5" s="6" t="s">
        <v>40</v>
      </c>
      <c r="J5" s="6">
        <v>2137.6489999999999</v>
      </c>
      <c r="K5" s="59">
        <v>46.234720000000003</v>
      </c>
      <c r="L5" s="1">
        <f t="shared" ref="L5:L22" si="0">2.35482*E5</f>
        <v>15.306330000000001</v>
      </c>
      <c r="M5" s="1">
        <f t="shared" ref="M5:M22" si="1">L5/K5</f>
        <v>0.3310570497669284</v>
      </c>
      <c r="N5" s="1">
        <f t="shared" ref="N5:N22" si="2">SQRT(D5^2+M5^2)</f>
        <v>0.62405109582499929</v>
      </c>
    </row>
    <row r="6" spans="1:16">
      <c r="A6" s="6">
        <v>247.34100000000001</v>
      </c>
      <c r="B6" s="6">
        <v>12.398999999999999</v>
      </c>
      <c r="C6" s="6">
        <v>-183.804</v>
      </c>
      <c r="D6" s="6">
        <v>0.26</v>
      </c>
      <c r="E6" s="6">
        <v>6.5</v>
      </c>
      <c r="F6" s="6" t="s">
        <v>40</v>
      </c>
      <c r="J6" s="6">
        <v>4019.069</v>
      </c>
      <c r="K6" s="59">
        <v>63.396129999999999</v>
      </c>
      <c r="L6" s="1">
        <f t="shared" si="0"/>
        <v>15.306330000000001</v>
      </c>
      <c r="M6" s="1">
        <f t="shared" si="1"/>
        <v>0.24143950111781273</v>
      </c>
      <c r="N6" s="1">
        <f t="shared" si="2"/>
        <v>0.35481408187953634</v>
      </c>
    </row>
    <row r="7" spans="1:16">
      <c r="A7" s="6">
        <v>151.25200000000001</v>
      </c>
      <c r="B7" s="6">
        <v>11.85</v>
      </c>
      <c r="C7" s="6">
        <v>-163.59700000000001</v>
      </c>
      <c r="D7" s="6">
        <v>0.46500000000000002</v>
      </c>
      <c r="E7" s="6">
        <v>6.5</v>
      </c>
      <c r="F7" s="6" t="s">
        <v>40</v>
      </c>
      <c r="J7" s="6">
        <v>2457.7049999999999</v>
      </c>
      <c r="K7" s="59">
        <v>49.575249999999997</v>
      </c>
      <c r="L7" s="1">
        <f t="shared" si="0"/>
        <v>15.306330000000001</v>
      </c>
      <c r="M7" s="1">
        <f t="shared" si="1"/>
        <v>0.30874942637707325</v>
      </c>
      <c r="N7" s="1">
        <f t="shared" si="2"/>
        <v>0.55816772415482052</v>
      </c>
    </row>
    <row r="8" spans="1:16">
      <c r="A8" s="6">
        <v>250.929</v>
      </c>
      <c r="B8" s="6">
        <v>6.7640000000000002</v>
      </c>
      <c r="C8" s="6">
        <v>-126.79900000000001</v>
      </c>
      <c r="D8" s="6">
        <v>0.18</v>
      </c>
      <c r="E8" s="6">
        <v>6.5</v>
      </c>
      <c r="F8" s="6" t="s">
        <v>40</v>
      </c>
      <c r="J8" s="6">
        <v>4077.377</v>
      </c>
      <c r="K8" s="59">
        <v>63.854340000000001</v>
      </c>
      <c r="L8" s="1">
        <f t="shared" si="0"/>
        <v>15.306330000000001</v>
      </c>
      <c r="M8" s="1">
        <f t="shared" si="1"/>
        <v>0.23970696431910501</v>
      </c>
      <c r="N8" s="1">
        <f t="shared" si="2"/>
        <v>0.29976562301751797</v>
      </c>
    </row>
    <row r="9" spans="1:16">
      <c r="A9" s="6">
        <v>450.86</v>
      </c>
      <c r="B9" s="6">
        <v>8.1229999999999993</v>
      </c>
      <c r="C9" s="6">
        <v>-100.27</v>
      </c>
      <c r="D9" s="6">
        <v>0.13900000000000001</v>
      </c>
      <c r="E9" s="6">
        <v>6.5</v>
      </c>
      <c r="F9" s="6" t="s">
        <v>40</v>
      </c>
      <c r="J9" s="6">
        <v>7326.0630000000001</v>
      </c>
      <c r="K9" s="59">
        <v>85.592420000000004</v>
      </c>
      <c r="L9" s="1">
        <f t="shared" si="0"/>
        <v>15.306330000000001</v>
      </c>
      <c r="M9" s="1">
        <f t="shared" si="1"/>
        <v>0.17882810183425121</v>
      </c>
      <c r="N9" s="1">
        <f t="shared" si="2"/>
        <v>0.22649611476941789</v>
      </c>
    </row>
    <row r="10" spans="1:16">
      <c r="A10" s="6">
        <v>310.65699999999998</v>
      </c>
      <c r="B10" s="6">
        <v>25.95</v>
      </c>
      <c r="C10" s="6">
        <v>-57.042999999999999</v>
      </c>
      <c r="D10" s="6">
        <v>0.29299999999999998</v>
      </c>
      <c r="E10" s="6">
        <v>6.5</v>
      </c>
      <c r="F10" s="6" t="s">
        <v>40</v>
      </c>
      <c r="J10" s="6">
        <v>5047.8940000000002</v>
      </c>
      <c r="K10" s="59">
        <v>71.04853</v>
      </c>
      <c r="L10" s="1">
        <f t="shared" si="0"/>
        <v>15.306330000000001</v>
      </c>
      <c r="M10" s="1">
        <f t="shared" si="1"/>
        <v>0.21543485839890003</v>
      </c>
      <c r="N10" s="1">
        <f t="shared" si="2"/>
        <v>0.36367729955738798</v>
      </c>
    </row>
    <row r="11" spans="1:16">
      <c r="A11" s="6">
        <v>1753.06</v>
      </c>
      <c r="B11" s="6">
        <v>30.709</v>
      </c>
      <c r="C11" s="6">
        <v>-35.981999999999999</v>
      </c>
      <c r="D11" s="6">
        <v>0.09</v>
      </c>
      <c r="E11" s="6">
        <v>6.5</v>
      </c>
      <c r="F11" s="6" t="s">
        <v>40</v>
      </c>
      <c r="J11" s="6">
        <v>28485.66</v>
      </c>
      <c r="K11" s="59">
        <v>168.77695</v>
      </c>
      <c r="L11" s="1">
        <f t="shared" si="0"/>
        <v>15.306330000000001</v>
      </c>
      <c r="M11" s="1">
        <f t="shared" si="1"/>
        <v>9.0689694297710677E-2</v>
      </c>
      <c r="N11" s="1">
        <f t="shared" si="2"/>
        <v>0.12776783887900828</v>
      </c>
    </row>
    <row r="12" spans="1:16">
      <c r="A12" s="6">
        <v>662.55799999999999</v>
      </c>
      <c r="B12" s="6">
        <v>13.042</v>
      </c>
      <c r="C12" s="6">
        <v>10.096</v>
      </c>
      <c r="D12" s="6">
        <v>0.14599999999999999</v>
      </c>
      <c r="E12" s="6">
        <v>6.5</v>
      </c>
      <c r="F12" s="6" t="s">
        <v>40</v>
      </c>
      <c r="J12" s="6">
        <v>10765.97</v>
      </c>
      <c r="K12" s="59">
        <v>103.75919</v>
      </c>
      <c r="L12" s="1">
        <f t="shared" si="0"/>
        <v>15.306330000000001</v>
      </c>
      <c r="M12" s="1">
        <f t="shared" si="1"/>
        <v>0.1475178246861796</v>
      </c>
      <c r="N12" s="1">
        <f t="shared" si="2"/>
        <v>0.20755121922104536</v>
      </c>
    </row>
    <row r="13" spans="1:16">
      <c r="A13" s="6">
        <v>949.48699999999997</v>
      </c>
      <c r="B13" s="6">
        <v>19.135999999999999</v>
      </c>
      <c r="C13" s="6">
        <v>79.462999999999994</v>
      </c>
      <c r="D13" s="6">
        <v>0.115</v>
      </c>
      <c r="E13" s="6">
        <v>6.5</v>
      </c>
      <c r="F13" s="6" t="s">
        <v>40</v>
      </c>
      <c r="J13" s="6">
        <v>15428.3</v>
      </c>
      <c r="K13" s="59">
        <v>124.21071000000001</v>
      </c>
      <c r="L13" s="1">
        <f t="shared" si="0"/>
        <v>15.306330000000001</v>
      </c>
      <c r="M13" s="1">
        <f t="shared" si="1"/>
        <v>0.12322874573376161</v>
      </c>
      <c r="N13" s="1">
        <f t="shared" si="2"/>
        <v>0.16855362284779307</v>
      </c>
    </row>
    <row r="14" spans="1:16">
      <c r="A14" s="6">
        <v>592.59900000000005</v>
      </c>
      <c r="B14" s="6">
        <v>25.829000000000001</v>
      </c>
      <c r="C14" s="6">
        <v>115.11799999999999</v>
      </c>
      <c r="D14" s="6">
        <v>0.434</v>
      </c>
      <c r="E14" s="6">
        <v>6.5</v>
      </c>
      <c r="F14" s="6" t="s">
        <v>40</v>
      </c>
      <c r="J14" s="6">
        <v>9629.2060000000001</v>
      </c>
      <c r="K14" s="59">
        <v>98.128519999999995</v>
      </c>
      <c r="L14" s="1">
        <f t="shared" si="0"/>
        <v>15.306330000000001</v>
      </c>
      <c r="M14" s="1">
        <f t="shared" si="1"/>
        <v>0.15598248093418715</v>
      </c>
      <c r="N14" s="1">
        <f t="shared" si="2"/>
        <v>0.46117950340229136</v>
      </c>
    </row>
    <row r="15" spans="1:16">
      <c r="A15" s="6">
        <v>369.58600000000001</v>
      </c>
      <c r="B15" s="6">
        <v>17.7</v>
      </c>
      <c r="C15" s="6">
        <v>143.39500000000001</v>
      </c>
      <c r="D15" s="6">
        <v>0.27700000000000002</v>
      </c>
      <c r="E15" s="6">
        <v>6.5</v>
      </c>
      <c r="F15" s="6" t="s">
        <v>40</v>
      </c>
      <c r="J15" s="6">
        <v>6005.4350000000004</v>
      </c>
      <c r="K15" s="59">
        <v>77.494739999999993</v>
      </c>
      <c r="L15" s="1">
        <f t="shared" si="0"/>
        <v>15.306330000000001</v>
      </c>
      <c r="M15" s="1">
        <f t="shared" si="1"/>
        <v>0.19751443775409791</v>
      </c>
      <c r="N15" s="1">
        <f t="shared" si="2"/>
        <v>0.34020722085416916</v>
      </c>
    </row>
    <row r="16" spans="1:16">
      <c r="A16" s="6">
        <v>308.09699999999998</v>
      </c>
      <c r="B16" s="6">
        <v>20.600999999999999</v>
      </c>
      <c r="C16" s="6">
        <v>172.005</v>
      </c>
      <c r="D16" s="6">
        <v>0.39500000000000002</v>
      </c>
      <c r="E16" s="6">
        <v>6.5</v>
      </c>
      <c r="F16" s="6" t="s">
        <v>40</v>
      </c>
      <c r="J16" s="6">
        <v>5006.2910000000002</v>
      </c>
      <c r="K16" s="59">
        <v>70.75515</v>
      </c>
      <c r="L16" s="1">
        <f t="shared" si="0"/>
        <v>15.306330000000001</v>
      </c>
      <c r="M16" s="1">
        <f t="shared" si="1"/>
        <v>0.21632814007178278</v>
      </c>
      <c r="N16" s="1">
        <f t="shared" si="2"/>
        <v>0.45035859510718446</v>
      </c>
    </row>
    <row r="17" spans="1:14">
      <c r="A17" s="6">
        <v>861.58699999999999</v>
      </c>
      <c r="B17" s="6">
        <v>16.437999999999999</v>
      </c>
      <c r="C17" s="6">
        <v>227.02799999999999</v>
      </c>
      <c r="D17" s="6">
        <v>0.12</v>
      </c>
      <c r="E17" s="6">
        <v>6.5</v>
      </c>
      <c r="F17" s="6" t="s">
        <v>40</v>
      </c>
      <c r="J17" s="6">
        <v>14000.02</v>
      </c>
      <c r="K17" s="59">
        <v>118.32168</v>
      </c>
      <c r="L17" s="1">
        <f t="shared" si="0"/>
        <v>15.306330000000001</v>
      </c>
      <c r="M17" s="1">
        <f t="shared" si="1"/>
        <v>0.12936200703032616</v>
      </c>
      <c r="N17" s="1">
        <f t="shared" si="2"/>
        <v>0.17644979133712274</v>
      </c>
    </row>
    <row r="18" spans="1:14">
      <c r="A18" s="6">
        <v>339.77100000000002</v>
      </c>
      <c r="B18" s="6">
        <v>9.1039999999999992</v>
      </c>
      <c r="C18" s="6">
        <v>282.02499999999998</v>
      </c>
      <c r="D18" s="6">
        <v>0.218</v>
      </c>
      <c r="E18" s="6">
        <v>6.5</v>
      </c>
      <c r="F18" s="6" t="s">
        <v>40</v>
      </c>
      <c r="J18" s="6">
        <v>5520.9660000000003</v>
      </c>
      <c r="K18" s="59">
        <v>74.303200000000004</v>
      </c>
      <c r="L18" s="1">
        <f t="shared" si="0"/>
        <v>15.306330000000001</v>
      </c>
      <c r="M18" s="1">
        <f t="shared" si="1"/>
        <v>0.2059982611785226</v>
      </c>
      <c r="N18" s="1">
        <f t="shared" si="2"/>
        <v>0.29993213167077448</v>
      </c>
    </row>
    <row r="19" spans="1:14">
      <c r="A19" s="6">
        <v>407.089</v>
      </c>
      <c r="B19" s="6">
        <v>15.39</v>
      </c>
      <c r="C19" s="6">
        <v>305.54500000000002</v>
      </c>
      <c r="D19" s="6">
        <v>0.27900000000000003</v>
      </c>
      <c r="E19" s="6">
        <v>6.5</v>
      </c>
      <c r="F19" s="6" t="s">
        <v>40</v>
      </c>
      <c r="J19" s="6">
        <v>6614.8280000000004</v>
      </c>
      <c r="K19" s="59">
        <v>81.331590000000006</v>
      </c>
      <c r="L19" s="1">
        <f t="shared" si="0"/>
        <v>15.306330000000001</v>
      </c>
      <c r="M19" s="1">
        <f t="shared" si="1"/>
        <v>0.18819661585369227</v>
      </c>
      <c r="N19" s="1">
        <f t="shared" si="2"/>
        <v>0.33653969486344731</v>
      </c>
    </row>
    <row r="20" spans="1:14">
      <c r="A20" s="6">
        <v>640.36900000000003</v>
      </c>
      <c r="B20" s="6">
        <v>10.832000000000001</v>
      </c>
      <c r="C20" s="6">
        <v>319.89699999999999</v>
      </c>
      <c r="D20" s="6">
        <v>0.30299999999999999</v>
      </c>
      <c r="E20" s="6">
        <v>6.5</v>
      </c>
      <c r="F20" s="6" t="s">
        <v>40</v>
      </c>
      <c r="J20" s="6">
        <v>10405.41</v>
      </c>
      <c r="K20" s="59">
        <v>102.00691</v>
      </c>
      <c r="L20" s="1">
        <f t="shared" si="0"/>
        <v>15.306330000000001</v>
      </c>
      <c r="M20" s="1">
        <f t="shared" si="1"/>
        <v>0.15005189354329035</v>
      </c>
      <c r="N20" s="1">
        <f t="shared" si="2"/>
        <v>0.33811916650188134</v>
      </c>
    </row>
    <row r="21" spans="1:14">
      <c r="A21" s="6">
        <v>1853.31</v>
      </c>
      <c r="B21" s="6">
        <v>48.293999999999997</v>
      </c>
      <c r="C21" s="6">
        <v>348.55799999999999</v>
      </c>
      <c r="D21" s="6">
        <v>0.11</v>
      </c>
      <c r="E21" s="6">
        <v>6.5</v>
      </c>
      <c r="F21" s="6" t="s">
        <v>40</v>
      </c>
      <c r="J21" s="6">
        <v>30114.66</v>
      </c>
      <c r="K21" s="59">
        <v>173.53576000000001</v>
      </c>
      <c r="L21" s="1">
        <f t="shared" si="0"/>
        <v>15.306330000000001</v>
      </c>
      <c r="M21" s="1">
        <f t="shared" si="1"/>
        <v>8.8202742766101933E-2</v>
      </c>
      <c r="N21" s="1">
        <f t="shared" si="2"/>
        <v>0.14099547450703212</v>
      </c>
    </row>
    <row r="22" spans="1:14" s="1" customFormat="1">
      <c r="A22" s="1">
        <v>2186.9699999999998</v>
      </c>
      <c r="B22" s="6">
        <v>44.619</v>
      </c>
      <c r="C22" s="6">
        <v>370.85199999999998</v>
      </c>
      <c r="D22" s="41">
        <v>0.1</v>
      </c>
      <c r="E22" s="41">
        <v>6.5</v>
      </c>
      <c r="F22" s="41" t="s">
        <v>40</v>
      </c>
      <c r="G22" s="41"/>
      <c r="J22" s="1">
        <v>35536.31</v>
      </c>
      <c r="K22" s="1">
        <v>188.51077000000001</v>
      </c>
      <c r="L22" s="1">
        <f t="shared" si="0"/>
        <v>15.306330000000001</v>
      </c>
      <c r="M22" s="1">
        <f t="shared" si="1"/>
        <v>8.1196050496213035E-2</v>
      </c>
      <c r="N22" s="1">
        <f t="shared" si="2"/>
        <v>0.12881303744646183</v>
      </c>
    </row>
    <row r="23" spans="1:14">
      <c r="A23" s="6"/>
      <c r="B23" s="6"/>
      <c r="C23" s="6"/>
      <c r="F23" s="41"/>
      <c r="G23" s="41"/>
    </row>
    <row r="24" spans="1:14">
      <c r="A24" s="6" t="s">
        <v>41</v>
      </c>
      <c r="B24" s="6">
        <v>-194.274</v>
      </c>
      <c r="C24" s="6">
        <v>0.1</v>
      </c>
      <c r="F24" s="41"/>
      <c r="G24" s="41"/>
    </row>
    <row r="25" spans="1:14">
      <c r="A25" s="6" t="s">
        <v>42</v>
      </c>
      <c r="B25" s="6">
        <v>0.45</v>
      </c>
      <c r="C25" s="6">
        <v>0.193</v>
      </c>
    </row>
    <row r="26" spans="1:14">
      <c r="A26" s="6" t="s">
        <v>43</v>
      </c>
      <c r="B26" s="6">
        <v>50</v>
      </c>
      <c r="C26" s="6" t="s">
        <v>40</v>
      </c>
      <c r="F26" s="41"/>
      <c r="G26" s="41"/>
    </row>
    <row r="27" spans="1:14">
      <c r="A27" s="6" t="s">
        <v>44</v>
      </c>
      <c r="B27" s="6">
        <v>1.6259999999999999</v>
      </c>
      <c r="C27" s="6">
        <v>0.309</v>
      </c>
      <c r="F27" s="41"/>
      <c r="G27" s="41"/>
    </row>
    <row r="28" spans="1:14">
      <c r="A28" s="6" t="s">
        <v>45</v>
      </c>
      <c r="B28" s="6">
        <v>52.287999999999997</v>
      </c>
      <c r="C28" s="6">
        <v>2.7040000000000002</v>
      </c>
      <c r="F28" s="41"/>
      <c r="G28" s="41"/>
    </row>
    <row r="29" spans="1:14">
      <c r="A29" s="6" t="s">
        <v>46</v>
      </c>
      <c r="B29" s="6">
        <v>-65.17</v>
      </c>
      <c r="C29" s="6">
        <v>8.7999999999999995E-2</v>
      </c>
      <c r="F29" s="41"/>
      <c r="G29" s="41"/>
    </row>
    <row r="30" spans="1:14">
      <c r="A30" s="6" t="s">
        <v>47</v>
      </c>
      <c r="B30" s="6">
        <v>1.3129999999999999</v>
      </c>
      <c r="C30" s="6">
        <v>7.8E-2</v>
      </c>
    </row>
    <row r="31" spans="1:14">
      <c r="A31" s="6" t="s">
        <v>48</v>
      </c>
      <c r="B31" s="6">
        <v>50</v>
      </c>
      <c r="C31" s="6" t="s">
        <v>40</v>
      </c>
      <c r="F31" s="41"/>
      <c r="G31" s="41"/>
    </row>
    <row r="32" spans="1:14">
      <c r="A32" s="6" t="s">
        <v>49</v>
      </c>
      <c r="B32" s="6">
        <v>7.8719999999999999</v>
      </c>
      <c r="C32" s="6">
        <v>0.29499999999999998</v>
      </c>
      <c r="F32" s="41"/>
      <c r="G32" s="41"/>
    </row>
    <row r="33" spans="1:7">
      <c r="A33" s="6" t="s">
        <v>50</v>
      </c>
      <c r="B33" s="6">
        <v>433.80200000000002</v>
      </c>
      <c r="C33" s="6">
        <v>6.423</v>
      </c>
      <c r="F33" s="41"/>
      <c r="G33" s="41"/>
    </row>
    <row r="34" spans="1:7">
      <c r="A34" s="6" t="s">
        <v>51</v>
      </c>
      <c r="B34" s="6">
        <v>-15.215999999999999</v>
      </c>
      <c r="C34" s="6">
        <v>0.61399999999999999</v>
      </c>
      <c r="F34" s="41"/>
      <c r="G34" s="41"/>
    </row>
    <row r="35" spans="1:7">
      <c r="A35" s="6" t="s">
        <v>52</v>
      </c>
      <c r="B35" s="6">
        <v>187.898</v>
      </c>
      <c r="C35" s="6">
        <v>11.21</v>
      </c>
    </row>
    <row r="36" spans="1:7">
      <c r="A36" s="6" t="s">
        <v>53</v>
      </c>
      <c r="B36" s="6">
        <v>50</v>
      </c>
      <c r="C36" s="6" t="s">
        <v>40</v>
      </c>
      <c r="F36" s="41"/>
      <c r="G36" s="41"/>
    </row>
    <row r="37" spans="1:7">
      <c r="A37" s="6" t="s">
        <v>54</v>
      </c>
      <c r="B37" s="6">
        <v>6.8150000000000004</v>
      </c>
      <c r="C37" s="6">
        <v>0.61899999999999999</v>
      </c>
      <c r="F37" s="41"/>
      <c r="G37" s="41"/>
    </row>
    <row r="38" spans="1:7">
      <c r="A38" s="6" t="s">
        <v>55</v>
      </c>
      <c r="B38" s="6">
        <v>112.042</v>
      </c>
      <c r="C38" s="6">
        <v>3.9729999999999999</v>
      </c>
      <c r="F38" s="41"/>
      <c r="G38" s="41"/>
    </row>
    <row r="39" spans="1:7">
      <c r="A39" s="6" t="s">
        <v>56</v>
      </c>
      <c r="B39" s="6">
        <v>60.567</v>
      </c>
      <c r="C39" s="6">
        <v>0.46400000000000002</v>
      </c>
      <c r="F39" s="41"/>
      <c r="G39" s="41"/>
    </row>
    <row r="40" spans="1:7">
      <c r="A40" s="6" t="s">
        <v>57</v>
      </c>
      <c r="B40" s="6">
        <v>14.446</v>
      </c>
      <c r="C40" s="6">
        <v>0.78800000000000003</v>
      </c>
    </row>
    <row r="41" spans="1:7">
      <c r="A41" s="6" t="s">
        <v>58</v>
      </c>
      <c r="B41" s="6">
        <v>50</v>
      </c>
      <c r="C41" s="6" t="s">
        <v>40</v>
      </c>
      <c r="F41" s="41"/>
      <c r="G41" s="41"/>
    </row>
    <row r="42" spans="1:7">
      <c r="A42" s="6" t="s">
        <v>59</v>
      </c>
      <c r="B42" s="6">
        <v>2.7480000000000002</v>
      </c>
      <c r="C42" s="6">
        <v>0.25800000000000001</v>
      </c>
      <c r="F42" s="41"/>
      <c r="G42" s="41"/>
    </row>
    <row r="43" spans="1:7">
      <c r="A43" s="6" t="s">
        <v>60</v>
      </c>
      <c r="B43" s="6">
        <v>325.99900000000002</v>
      </c>
      <c r="C43" s="6">
        <v>8.9489999999999998</v>
      </c>
      <c r="F43" s="41"/>
      <c r="G43" s="41"/>
    </row>
    <row r="44" spans="1:7">
      <c r="A44" s="6" t="s">
        <v>61</v>
      </c>
      <c r="B44" s="6">
        <v>152.43</v>
      </c>
      <c r="C44" s="6">
        <v>0.375</v>
      </c>
      <c r="F44" s="41"/>
      <c r="G44" s="41"/>
    </row>
    <row r="45" spans="1:7">
      <c r="A45" s="6" t="s">
        <v>62</v>
      </c>
      <c r="B45" s="6">
        <v>19.841000000000001</v>
      </c>
      <c r="C45" s="6">
        <v>1.109</v>
      </c>
    </row>
    <row r="46" spans="1:7">
      <c r="A46" s="6" t="s">
        <v>63</v>
      </c>
      <c r="B46" s="6">
        <v>50</v>
      </c>
      <c r="C46" s="6" t="s">
        <v>40</v>
      </c>
      <c r="F46" s="41"/>
      <c r="G46" s="41"/>
    </row>
    <row r="47" spans="1:7">
      <c r="A47" s="6" t="s">
        <v>64</v>
      </c>
      <c r="B47" s="6">
        <v>25.939</v>
      </c>
      <c r="C47" s="6">
        <v>0.311</v>
      </c>
      <c r="F47" s="41"/>
      <c r="G47" s="41"/>
    </row>
    <row r="48" spans="1:7">
      <c r="A48" s="6" t="s">
        <v>65</v>
      </c>
      <c r="B48" s="6">
        <v>1862.7</v>
      </c>
      <c r="C48" s="6">
        <v>30.678000000000001</v>
      </c>
      <c r="F48" s="41"/>
      <c r="G48" s="41"/>
    </row>
    <row r="49" spans="1:7">
      <c r="A49" s="6" t="s">
        <v>66</v>
      </c>
      <c r="B49" s="6">
        <v>155.74</v>
      </c>
      <c r="C49" s="6">
        <v>0.23599999999999999</v>
      </c>
      <c r="F49" s="41"/>
      <c r="G49" s="41"/>
    </row>
    <row r="50" spans="1:7">
      <c r="A50" s="6" t="s">
        <v>67</v>
      </c>
      <c r="B50" s="6">
        <v>-16.350000000000001</v>
      </c>
      <c r="C50" s="6">
        <v>1.617</v>
      </c>
    </row>
    <row r="51" spans="1:7">
      <c r="A51" s="6" t="s">
        <v>68</v>
      </c>
      <c r="B51" s="6">
        <v>50</v>
      </c>
      <c r="C51" s="6" t="s">
        <v>40</v>
      </c>
      <c r="F51" s="41"/>
      <c r="G51" s="41"/>
    </row>
    <row r="52" spans="1:7">
      <c r="A52" s="6" t="s">
        <v>69</v>
      </c>
      <c r="B52" s="6">
        <v>-11.083</v>
      </c>
      <c r="C52" s="6">
        <v>0.25600000000000001</v>
      </c>
      <c r="F52" s="41"/>
      <c r="G52" s="41"/>
    </row>
    <row r="53" spans="1:7">
      <c r="A53" s="6" t="s">
        <v>70</v>
      </c>
      <c r="B53" s="6">
        <v>1150</v>
      </c>
      <c r="C53" s="6">
        <v>24.140999999999998</v>
      </c>
      <c r="F53" s="41"/>
      <c r="G53" s="41"/>
    </row>
    <row r="54" spans="1:7">
      <c r="A54" s="6" t="s">
        <v>71</v>
      </c>
      <c r="B54" s="6">
        <v>337.13499999999999</v>
      </c>
      <c r="C54" s="6">
        <v>0.13700000000000001</v>
      </c>
      <c r="F54" s="41"/>
      <c r="G54" s="41"/>
    </row>
    <row r="55" spans="1:7">
      <c r="A55" s="6" t="s">
        <v>72</v>
      </c>
      <c r="B55" s="6">
        <v>5.3789999999999996</v>
      </c>
      <c r="C55" s="6">
        <v>0.19400000000000001</v>
      </c>
    </row>
    <row r="56" spans="1:7">
      <c r="A56" s="6" t="s">
        <v>73</v>
      </c>
      <c r="B56" s="6">
        <v>50</v>
      </c>
      <c r="C56" s="6" t="s">
        <v>40</v>
      </c>
      <c r="F56" s="41"/>
      <c r="G56" s="41"/>
    </row>
    <row r="57" spans="1:7">
      <c r="A57" s="6" t="s">
        <v>74</v>
      </c>
      <c r="B57" s="6">
        <v>14.179</v>
      </c>
      <c r="C57" s="6">
        <v>0.29299999999999998</v>
      </c>
      <c r="F57" s="41"/>
      <c r="G57" s="41"/>
    </row>
    <row r="58" spans="1:7" s="1" customFormat="1">
      <c r="A58" s="6" t="s">
        <v>75</v>
      </c>
      <c r="B58" s="6">
        <v>1164.44</v>
      </c>
      <c r="C58" s="6">
        <v>8.8979999999999997</v>
      </c>
      <c r="F58" s="41"/>
      <c r="G58" s="41"/>
    </row>
    <row r="59" spans="1:7" s="1" customFormat="1">
      <c r="A59" s="6"/>
      <c r="B59" s="6"/>
      <c r="C59" s="6"/>
      <c r="F59" s="41"/>
      <c r="G59" s="41"/>
    </row>
    <row r="60" spans="1:7" s="1" customFormat="1">
      <c r="A60" s="6"/>
      <c r="B60" s="6"/>
      <c r="C60" s="6"/>
      <c r="F60" s="41"/>
      <c r="G60" s="41"/>
    </row>
    <row r="61" spans="1:7" s="1" customFormat="1">
      <c r="A61"/>
      <c r="B61"/>
      <c r="C61" s="6"/>
      <c r="D61" s="6"/>
      <c r="E61" s="6"/>
      <c r="F61" s="1" t="s">
        <v>82</v>
      </c>
      <c r="G61" s="1" t="s">
        <v>83</v>
      </c>
    </row>
    <row r="62" spans="1:7" s="1" customFormat="1">
      <c r="A62">
        <v>1</v>
      </c>
      <c r="B62" t="s">
        <v>79</v>
      </c>
      <c r="C62" s="6">
        <v>447.471</v>
      </c>
      <c r="D62" s="6">
        <v>358.52600000000001</v>
      </c>
      <c r="E62" s="6"/>
      <c r="F62" s="6" t="s">
        <v>84</v>
      </c>
      <c r="G62" s="6" t="s">
        <v>84</v>
      </c>
    </row>
    <row r="63" spans="1:7" s="1" customFormat="1">
      <c r="A63">
        <v>2</v>
      </c>
      <c r="B63" t="s">
        <v>80</v>
      </c>
      <c r="C63" s="6">
        <v>-232.37799999999999</v>
      </c>
      <c r="D63" s="6">
        <v>0.256212</v>
      </c>
      <c r="E63" s="6"/>
      <c r="F63" s="6"/>
      <c r="G63" s="6"/>
    </row>
    <row r="64" spans="1:7" s="1" customFormat="1">
      <c r="A64">
        <v>3</v>
      </c>
      <c r="B64" t="s">
        <v>81</v>
      </c>
      <c r="C64" s="6">
        <v>0.248139</v>
      </c>
      <c r="D64" s="6">
        <v>0.339223</v>
      </c>
      <c r="E64" s="6"/>
      <c r="F64" s="6">
        <f>C64*6.51</f>
        <v>1.6153848899999999</v>
      </c>
      <c r="G64" s="6">
        <f>F64*2</f>
        <v>3.2307697799999997</v>
      </c>
    </row>
    <row r="65" spans="1:21" s="1" customFormat="1">
      <c r="A65">
        <v>1</v>
      </c>
      <c r="B65" t="s">
        <v>79</v>
      </c>
      <c r="C65" s="6">
        <v>443.39600000000002</v>
      </c>
      <c r="D65" s="6">
        <v>355.16199999999998</v>
      </c>
      <c r="E65" s="6"/>
      <c r="F65" s="6"/>
      <c r="G65" s="6"/>
    </row>
    <row r="66" spans="1:21" s="1" customFormat="1">
      <c r="A66">
        <v>2</v>
      </c>
      <c r="B66" t="s">
        <v>80</v>
      </c>
      <c r="C66" s="6">
        <v>-220.369</v>
      </c>
      <c r="D66" s="6">
        <v>0.25420799999999999</v>
      </c>
      <c r="E66" s="6"/>
      <c r="F66" s="6"/>
      <c r="G66" s="6"/>
    </row>
    <row r="67" spans="1:21" s="1" customFormat="1">
      <c r="A67">
        <v>3</v>
      </c>
      <c r="B67" t="s">
        <v>81</v>
      </c>
      <c r="C67" s="6">
        <v>0.240038</v>
      </c>
      <c r="D67" s="6">
        <v>0.34096199999999999</v>
      </c>
      <c r="E67" s="6"/>
      <c r="F67" s="6">
        <f t="shared" ref="F67:F118" si="3">C67*6.51</f>
        <v>1.56264738</v>
      </c>
      <c r="G67" s="6">
        <f t="shared" ref="G67:G118" si="4">F67*2</f>
        <v>3.1252947600000001</v>
      </c>
    </row>
    <row r="68" spans="1:21" s="1" customFormat="1">
      <c r="A68">
        <v>1</v>
      </c>
      <c r="B68" t="s">
        <v>79</v>
      </c>
      <c r="C68" s="6">
        <v>448.762</v>
      </c>
      <c r="D68" s="6">
        <v>331.03800000000001</v>
      </c>
      <c r="E68" s="6"/>
      <c r="F68" s="6"/>
      <c r="G68" s="6"/>
    </row>
    <row r="69" spans="1:21" s="1" customFormat="1">
      <c r="A69">
        <v>2</v>
      </c>
      <c r="B69" t="s">
        <v>80</v>
      </c>
      <c r="C69" s="6">
        <v>-182.82</v>
      </c>
      <c r="D69" s="6">
        <v>0.27060099999999998</v>
      </c>
      <c r="E69" s="6"/>
      <c r="F69" s="6"/>
      <c r="G69" s="6"/>
    </row>
    <row r="70" spans="1:21">
      <c r="A70">
        <v>3</v>
      </c>
      <c r="B70" t="s">
        <v>81</v>
      </c>
      <c r="C70" s="6">
        <v>0.24967</v>
      </c>
      <c r="D70" s="6">
        <v>0.363234</v>
      </c>
      <c r="E70" s="6"/>
      <c r="F70" s="6">
        <f t="shared" si="3"/>
        <v>1.6253517</v>
      </c>
      <c r="G70" s="6">
        <f t="shared" si="4"/>
        <v>3.2507033999999999</v>
      </c>
      <c r="M70" s="6"/>
      <c r="N70" s="6"/>
      <c r="O70" s="6"/>
      <c r="P70" s="6"/>
      <c r="Q70" s="6"/>
      <c r="R70" s="6"/>
      <c r="S70" s="6"/>
      <c r="T70" s="6"/>
      <c r="U70" s="6"/>
    </row>
    <row r="71" spans="1:21">
      <c r="A71">
        <v>1</v>
      </c>
      <c r="B71" t="s">
        <v>79</v>
      </c>
      <c r="C71" s="6">
        <v>445.29899999999998</v>
      </c>
      <c r="D71" s="6">
        <v>352.73</v>
      </c>
      <c r="E71" s="6"/>
      <c r="F71" s="6"/>
      <c r="G71" s="6"/>
      <c r="H71" s="1"/>
      <c r="R71" s="6"/>
      <c r="S71" s="6"/>
      <c r="T71" s="6"/>
      <c r="U71" s="6"/>
    </row>
    <row r="72" spans="1:21">
      <c r="A72">
        <v>2</v>
      </c>
      <c r="B72" t="s">
        <v>80</v>
      </c>
      <c r="C72" s="6">
        <v>-162.42599999999999</v>
      </c>
      <c r="D72" s="6">
        <v>0.27532800000000002</v>
      </c>
      <c r="E72" s="6"/>
      <c r="F72" s="6"/>
      <c r="G72" s="6"/>
      <c r="H72" s="6"/>
      <c r="R72" s="6"/>
      <c r="S72" s="6"/>
      <c r="T72" s="6"/>
      <c r="U72" s="6"/>
    </row>
    <row r="73" spans="1:21">
      <c r="A73">
        <v>3</v>
      </c>
      <c r="B73" t="s">
        <v>81</v>
      </c>
      <c r="C73" s="6">
        <v>0.244841</v>
      </c>
      <c r="D73" s="6">
        <v>0.37059599999999998</v>
      </c>
      <c r="E73" s="6"/>
      <c r="F73" s="6">
        <f t="shared" si="3"/>
        <v>1.5939149100000001</v>
      </c>
      <c r="G73" s="6">
        <f t="shared" si="4"/>
        <v>3.1878298200000001</v>
      </c>
      <c r="H73" s="6"/>
      <c r="R73" s="6"/>
      <c r="S73" s="6"/>
      <c r="T73" s="6"/>
      <c r="U73" s="6"/>
    </row>
    <row r="74" spans="1:21">
      <c r="A74">
        <v>1</v>
      </c>
      <c r="B74" t="s">
        <v>79</v>
      </c>
      <c r="C74" s="6">
        <v>448.69299999999998</v>
      </c>
      <c r="D74" s="6">
        <v>359.61500000000001</v>
      </c>
      <c r="E74" s="6"/>
      <c r="F74" s="6"/>
      <c r="G74" s="6"/>
      <c r="H74" s="6"/>
      <c r="R74" s="6"/>
      <c r="S74" s="6"/>
      <c r="T74" s="6"/>
      <c r="U74" s="6"/>
    </row>
    <row r="75" spans="1:21">
      <c r="A75">
        <v>2</v>
      </c>
      <c r="B75" t="s">
        <v>80</v>
      </c>
      <c r="C75" s="6">
        <v>-126.78</v>
      </c>
      <c r="D75" s="6">
        <v>0.26342399999999999</v>
      </c>
      <c r="E75" s="6"/>
      <c r="F75" s="6"/>
      <c r="G75" s="6"/>
      <c r="H75" s="6"/>
      <c r="R75" s="6"/>
      <c r="S75" s="6"/>
      <c r="T75" s="6"/>
      <c r="U75" s="6"/>
    </row>
    <row r="76" spans="1:21">
      <c r="A76">
        <v>3</v>
      </c>
      <c r="B76" t="s">
        <v>81</v>
      </c>
      <c r="C76" s="6">
        <v>0.24959400000000001</v>
      </c>
      <c r="D76" s="6">
        <v>0.34907100000000002</v>
      </c>
      <c r="E76" s="6"/>
      <c r="F76" s="6">
        <f t="shared" si="3"/>
        <v>1.6248569399999999</v>
      </c>
      <c r="G76" s="6">
        <f t="shared" si="4"/>
        <v>3.2497138799999998</v>
      </c>
      <c r="H76" s="6"/>
      <c r="R76" s="6"/>
      <c r="S76" s="6"/>
      <c r="T76" s="6"/>
      <c r="U76" s="6"/>
    </row>
    <row r="77" spans="1:21">
      <c r="A77" s="1">
        <v>1</v>
      </c>
      <c r="B77" s="1" t="s">
        <v>79</v>
      </c>
      <c r="C77" s="6">
        <v>37.942799999999998</v>
      </c>
      <c r="D77" s="6">
        <v>4.4953599999999998</v>
      </c>
      <c r="E77" s="6"/>
      <c r="F77" s="6"/>
      <c r="G77" s="6"/>
      <c r="H77" s="6"/>
      <c r="R77" s="6"/>
      <c r="S77" s="6"/>
      <c r="T77" s="6"/>
      <c r="U77" s="6"/>
    </row>
    <row r="78" spans="1:21">
      <c r="A78" s="1">
        <v>2</v>
      </c>
      <c r="B78" s="1" t="s">
        <v>80</v>
      </c>
      <c r="C78" s="6">
        <v>-100.09099999999999</v>
      </c>
      <c r="D78" s="6">
        <v>3.6719300000000003E-2</v>
      </c>
      <c r="E78" s="6"/>
      <c r="F78" s="6"/>
      <c r="G78" s="6"/>
      <c r="H78" s="6"/>
      <c r="R78" s="6"/>
      <c r="S78" s="6"/>
      <c r="T78" s="6"/>
      <c r="U78" s="6"/>
    </row>
    <row r="79" spans="1:21">
      <c r="A79" s="1">
        <v>3</v>
      </c>
      <c r="B79" s="1" t="s">
        <v>81</v>
      </c>
      <c r="C79" s="6">
        <v>0.41237099999999999</v>
      </c>
      <c r="D79" s="6">
        <v>3.3264000000000002E-2</v>
      </c>
      <c r="E79" s="6"/>
      <c r="F79" s="6">
        <f t="shared" si="3"/>
        <v>2.6845352099999999</v>
      </c>
      <c r="G79" s="6">
        <f t="shared" si="4"/>
        <v>5.3690704199999999</v>
      </c>
      <c r="H79" s="6"/>
      <c r="R79" s="6"/>
      <c r="S79" s="6"/>
      <c r="T79" s="6"/>
      <c r="U79" s="6"/>
    </row>
    <row r="80" spans="1:21">
      <c r="A80">
        <v>1</v>
      </c>
      <c r="B80" t="s">
        <v>79</v>
      </c>
      <c r="C80" s="6">
        <v>1303.04</v>
      </c>
      <c r="D80" s="6">
        <v>609.51</v>
      </c>
      <c r="E80" s="6"/>
      <c r="F80" s="6"/>
      <c r="G80" s="6"/>
      <c r="H80" s="6"/>
      <c r="R80" s="6"/>
      <c r="S80" s="6"/>
      <c r="T80" s="6"/>
      <c r="U80" s="6"/>
    </row>
    <row r="81" spans="1:21">
      <c r="A81">
        <v>2</v>
      </c>
      <c r="B81" t="s">
        <v>80</v>
      </c>
      <c r="C81" s="6">
        <v>-55.6248</v>
      </c>
      <c r="D81" s="6">
        <v>0.16178899999999999</v>
      </c>
      <c r="E81" s="6"/>
      <c r="F81" s="6"/>
      <c r="G81" s="6"/>
      <c r="H81" s="6"/>
      <c r="R81" s="6"/>
      <c r="S81" s="6"/>
      <c r="T81" s="6"/>
      <c r="U81" s="6"/>
    </row>
    <row r="82" spans="1:21">
      <c r="A82">
        <v>3</v>
      </c>
      <c r="B82" t="s">
        <v>81</v>
      </c>
      <c r="C82" s="6">
        <v>0.24595700000000001</v>
      </c>
      <c r="D82" s="6">
        <v>0.22362899999999999</v>
      </c>
      <c r="E82" s="6"/>
      <c r="F82" s="6">
        <f t="shared" si="3"/>
        <v>1.6011800700000001</v>
      </c>
      <c r="G82" s="6">
        <f t="shared" si="4"/>
        <v>3.2023601400000001</v>
      </c>
      <c r="H82" s="6"/>
      <c r="R82" s="6"/>
      <c r="S82" s="6"/>
      <c r="T82" s="6"/>
      <c r="U82" s="6"/>
    </row>
    <row r="83" spans="1:21">
      <c r="A83">
        <v>1</v>
      </c>
      <c r="B83" t="s">
        <v>79</v>
      </c>
      <c r="C83" s="6">
        <v>1311.93</v>
      </c>
      <c r="D83" s="6">
        <v>607.35299999999995</v>
      </c>
      <c r="E83" s="6"/>
      <c r="F83" s="6"/>
      <c r="G83" s="6"/>
      <c r="H83" s="6"/>
      <c r="R83" s="6"/>
      <c r="S83" s="6"/>
      <c r="T83" s="6"/>
      <c r="U83" s="6"/>
    </row>
    <row r="84" spans="1:21">
      <c r="A84">
        <v>2</v>
      </c>
      <c r="B84" t="s">
        <v>80</v>
      </c>
      <c r="C84" s="6">
        <v>-36.419600000000003</v>
      </c>
      <c r="D84" s="6">
        <v>0.16167500000000001</v>
      </c>
      <c r="E84" s="6"/>
      <c r="F84" s="6"/>
      <c r="G84" s="6"/>
      <c r="H84" s="6"/>
      <c r="R84" s="6"/>
      <c r="S84" s="6"/>
      <c r="T84" s="6"/>
      <c r="U84" s="6"/>
    </row>
    <row r="85" spans="1:21">
      <c r="A85">
        <v>3</v>
      </c>
      <c r="B85" t="s">
        <v>81</v>
      </c>
      <c r="C85" s="6">
        <v>0.249917</v>
      </c>
      <c r="D85" s="6">
        <v>0.22103900000000001</v>
      </c>
      <c r="E85" s="6"/>
      <c r="F85" s="6">
        <f t="shared" si="3"/>
        <v>1.62695967</v>
      </c>
      <c r="G85" s="6">
        <f t="shared" si="4"/>
        <v>3.2539193399999999</v>
      </c>
      <c r="H85" s="6"/>
      <c r="R85" s="6"/>
      <c r="S85" s="6"/>
      <c r="T85" s="6"/>
      <c r="U85" s="6"/>
    </row>
    <row r="86" spans="1:21">
      <c r="A86">
        <v>1</v>
      </c>
      <c r="B86" t="s">
        <v>79</v>
      </c>
      <c r="C86" s="6">
        <v>1296.56</v>
      </c>
      <c r="D86" s="6">
        <v>606.66399999999999</v>
      </c>
      <c r="E86" s="6"/>
      <c r="F86" s="6"/>
      <c r="G86" s="6"/>
      <c r="H86" s="6"/>
      <c r="R86" s="6"/>
      <c r="S86" s="6"/>
      <c r="T86" s="6"/>
      <c r="U86" s="6"/>
    </row>
    <row r="87" spans="1:21">
      <c r="A87">
        <v>2</v>
      </c>
      <c r="B87" t="s">
        <v>80</v>
      </c>
      <c r="C87" s="6">
        <v>10.370100000000001</v>
      </c>
      <c r="D87" s="6">
        <v>0.160248</v>
      </c>
      <c r="E87" s="6"/>
      <c r="F87" s="6"/>
      <c r="G87" s="6"/>
      <c r="H87" s="6"/>
      <c r="R87" s="6"/>
      <c r="S87" s="6"/>
      <c r="T87" s="6"/>
      <c r="U87" s="6"/>
    </row>
    <row r="88" spans="1:21">
      <c r="A88">
        <v>3</v>
      </c>
      <c r="B88" t="s">
        <v>81</v>
      </c>
      <c r="C88" s="6">
        <v>0.24118100000000001</v>
      </c>
      <c r="D88" s="6">
        <v>0.22362599999999999</v>
      </c>
      <c r="E88" s="6"/>
      <c r="F88" s="6">
        <f t="shared" si="3"/>
        <v>1.57008831</v>
      </c>
      <c r="G88" s="6">
        <f t="shared" si="4"/>
        <v>3.1401766200000001</v>
      </c>
      <c r="H88" s="6"/>
      <c r="R88" s="6"/>
      <c r="S88" s="6"/>
      <c r="T88" s="6"/>
      <c r="U88" s="6"/>
    </row>
    <row r="89" spans="1:21">
      <c r="A89">
        <v>1</v>
      </c>
      <c r="B89" t="s">
        <v>79</v>
      </c>
      <c r="C89" s="6">
        <v>275.71499999999997</v>
      </c>
      <c r="D89" s="6">
        <v>271.86099999999999</v>
      </c>
      <c r="E89" s="6"/>
      <c r="F89" s="6"/>
      <c r="G89" s="6"/>
      <c r="H89" s="6"/>
      <c r="R89" s="6"/>
      <c r="S89" s="6"/>
      <c r="T89" s="6"/>
      <c r="U89" s="6"/>
    </row>
    <row r="90" spans="1:21">
      <c r="A90">
        <v>2</v>
      </c>
      <c r="B90" t="s">
        <v>80</v>
      </c>
      <c r="C90" s="6">
        <v>79.9786</v>
      </c>
      <c r="D90" s="6">
        <v>0.34991699999999998</v>
      </c>
      <c r="E90" s="6"/>
      <c r="F90" s="6"/>
      <c r="G90" s="6"/>
      <c r="H90" s="6"/>
      <c r="R90" s="6"/>
      <c r="S90" s="6"/>
      <c r="T90" s="6"/>
      <c r="U90" s="6"/>
    </row>
    <row r="91" spans="1:21">
      <c r="A91">
        <v>3</v>
      </c>
      <c r="B91" t="s">
        <v>81</v>
      </c>
      <c r="C91" s="6">
        <v>0.248644</v>
      </c>
      <c r="D91" s="6">
        <v>0.454683</v>
      </c>
      <c r="E91" s="6"/>
      <c r="F91" s="6">
        <f t="shared" si="3"/>
        <v>1.6186724399999999</v>
      </c>
      <c r="G91" s="6">
        <f t="shared" si="4"/>
        <v>3.2373448799999998</v>
      </c>
      <c r="H91" s="6"/>
      <c r="R91" s="6"/>
      <c r="S91" s="6"/>
      <c r="T91" s="6"/>
      <c r="U91" s="6"/>
    </row>
    <row r="92" spans="1:21">
      <c r="A92">
        <v>1</v>
      </c>
      <c r="B92" t="s">
        <v>79</v>
      </c>
      <c r="C92" s="6">
        <v>276.20100000000002</v>
      </c>
      <c r="D92" s="6">
        <v>269.80900000000003</v>
      </c>
      <c r="E92" s="6"/>
      <c r="F92" s="6"/>
      <c r="G92" s="6"/>
      <c r="H92" s="6"/>
      <c r="R92" s="6"/>
      <c r="S92" s="6"/>
      <c r="T92" s="6"/>
      <c r="U92" s="6"/>
    </row>
    <row r="93" spans="1:21">
      <c r="A93">
        <v>2</v>
      </c>
      <c r="B93" t="s">
        <v>80</v>
      </c>
      <c r="C93" s="6">
        <v>109.98</v>
      </c>
      <c r="D93" s="6">
        <v>0.348416</v>
      </c>
      <c r="E93" s="6"/>
      <c r="F93" s="6"/>
      <c r="G93" s="6"/>
      <c r="H93" s="6"/>
      <c r="R93" s="6"/>
      <c r="S93" s="6"/>
      <c r="T93" s="6"/>
      <c r="U93" s="6"/>
    </row>
    <row r="94" spans="1:21">
      <c r="A94">
        <v>3</v>
      </c>
      <c r="B94" t="s">
        <v>81</v>
      </c>
      <c r="C94" s="6">
        <v>0.24956200000000001</v>
      </c>
      <c r="D94" s="6">
        <v>0.45347500000000002</v>
      </c>
      <c r="E94" s="6"/>
      <c r="F94" s="6">
        <f t="shared" si="3"/>
        <v>1.6246486199999999</v>
      </c>
      <c r="G94" s="6">
        <f t="shared" si="4"/>
        <v>3.2492972399999998</v>
      </c>
      <c r="H94" s="6"/>
      <c r="R94" s="6"/>
      <c r="S94" s="6"/>
      <c r="T94" s="6"/>
      <c r="U94" s="6"/>
    </row>
    <row r="95" spans="1:21">
      <c r="A95" s="1">
        <v>1</v>
      </c>
      <c r="B95" s="1" t="s">
        <v>79</v>
      </c>
      <c r="C95" s="6">
        <v>19.237400000000001</v>
      </c>
      <c r="D95" s="6">
        <v>2.4344700000000001</v>
      </c>
      <c r="E95" s="6"/>
      <c r="F95" s="6"/>
      <c r="G95" s="6"/>
      <c r="H95" s="6"/>
      <c r="R95" s="6"/>
      <c r="S95" s="6"/>
      <c r="T95" s="6"/>
      <c r="U95" s="6"/>
    </row>
    <row r="96" spans="1:21">
      <c r="A96" s="1">
        <v>2</v>
      </c>
      <c r="B96" s="1" t="s">
        <v>80</v>
      </c>
      <c r="C96" s="6">
        <v>145.80000000000001</v>
      </c>
      <c r="D96" s="6">
        <v>6.9627400000000006E-2</v>
      </c>
      <c r="E96" s="6"/>
      <c r="F96" s="6"/>
      <c r="G96" s="6"/>
      <c r="H96" s="6"/>
      <c r="R96" s="6"/>
      <c r="S96" s="6"/>
      <c r="T96" s="6"/>
      <c r="U96" s="6"/>
    </row>
    <row r="97" spans="1:21">
      <c r="A97" s="1">
        <v>3</v>
      </c>
      <c r="B97" s="1" t="s">
        <v>81</v>
      </c>
      <c r="C97" s="6">
        <v>0.72456100000000001</v>
      </c>
      <c r="D97" s="6">
        <v>6.5140400000000001E-2</v>
      </c>
      <c r="E97" s="6"/>
      <c r="F97" s="6">
        <f t="shared" si="3"/>
        <v>4.7168921099999999</v>
      </c>
      <c r="G97" s="6">
        <f t="shared" si="4"/>
        <v>9.4337842199999997</v>
      </c>
      <c r="H97" s="6"/>
      <c r="R97" s="6"/>
      <c r="S97" s="6"/>
      <c r="T97" s="6"/>
      <c r="U97" s="6"/>
    </row>
    <row r="98" spans="1:21">
      <c r="A98">
        <v>1</v>
      </c>
      <c r="B98" t="s">
        <v>79</v>
      </c>
      <c r="C98" s="6">
        <v>276.52300000000002</v>
      </c>
      <c r="D98" s="6">
        <v>261.19400000000002</v>
      </c>
      <c r="E98" s="6"/>
      <c r="F98" s="6"/>
      <c r="G98" s="6"/>
      <c r="H98" s="6"/>
      <c r="R98" s="6"/>
      <c r="S98" s="6"/>
      <c r="T98" s="6"/>
      <c r="U98" s="6"/>
    </row>
    <row r="99" spans="1:21">
      <c r="A99">
        <v>2</v>
      </c>
      <c r="B99" t="s">
        <v>80</v>
      </c>
      <c r="C99" s="6">
        <v>172.381</v>
      </c>
      <c r="D99" s="6">
        <v>0.34553200000000001</v>
      </c>
      <c r="E99" s="6"/>
      <c r="F99" s="6"/>
      <c r="G99" s="6"/>
      <c r="H99" s="6"/>
      <c r="R99" s="6"/>
      <c r="S99" s="6"/>
      <c r="T99" s="6"/>
      <c r="U99" s="6"/>
    </row>
    <row r="100" spans="1:21">
      <c r="A100">
        <v>3</v>
      </c>
      <c r="B100" t="s">
        <v>81</v>
      </c>
      <c r="C100" s="6">
        <v>0.25013000000000002</v>
      </c>
      <c r="D100" s="6">
        <v>0.44999899999999998</v>
      </c>
      <c r="E100" s="6"/>
      <c r="F100" s="6">
        <f t="shared" si="3"/>
        <v>1.6283463</v>
      </c>
      <c r="G100" s="6">
        <f t="shared" si="4"/>
        <v>3.2566926</v>
      </c>
      <c r="H100" s="6"/>
      <c r="R100" s="6"/>
      <c r="S100" s="6"/>
      <c r="T100" s="6"/>
      <c r="U100" s="6"/>
    </row>
    <row r="101" spans="1:21">
      <c r="A101">
        <v>1</v>
      </c>
      <c r="B101" t="s">
        <v>79</v>
      </c>
      <c r="C101" s="6">
        <v>273.12299999999999</v>
      </c>
      <c r="D101" s="6">
        <v>248.167</v>
      </c>
      <c r="E101" s="6"/>
      <c r="F101" s="6"/>
      <c r="G101" s="6"/>
      <c r="H101" s="6"/>
      <c r="R101" s="6"/>
      <c r="S101" s="6"/>
      <c r="T101" s="6"/>
      <c r="U101" s="6"/>
    </row>
    <row r="102" spans="1:21">
      <c r="A102">
        <v>2</v>
      </c>
      <c r="B102" t="s">
        <v>80</v>
      </c>
      <c r="C102" s="6">
        <v>226.37</v>
      </c>
      <c r="D102" s="6">
        <v>0.338642</v>
      </c>
      <c r="E102" s="6"/>
      <c r="F102" s="6"/>
      <c r="G102" s="6"/>
      <c r="H102" s="6"/>
      <c r="R102" s="6"/>
      <c r="S102" s="6"/>
      <c r="T102" s="6"/>
      <c r="U102" s="6"/>
    </row>
    <row r="103" spans="1:21">
      <c r="A103">
        <v>3</v>
      </c>
      <c r="B103" t="s">
        <v>81</v>
      </c>
      <c r="C103" s="6">
        <v>0.24098</v>
      </c>
      <c r="D103" s="6">
        <v>0.44967299999999999</v>
      </c>
      <c r="E103" s="6"/>
      <c r="F103" s="6">
        <f t="shared" si="3"/>
        <v>1.5687797999999999</v>
      </c>
      <c r="G103" s="6">
        <f t="shared" si="4"/>
        <v>3.1375595999999999</v>
      </c>
      <c r="H103" s="6"/>
      <c r="R103" s="6"/>
      <c r="S103" s="6"/>
      <c r="T103" s="6"/>
      <c r="U103" s="6"/>
    </row>
    <row r="104" spans="1:21">
      <c r="A104">
        <v>1</v>
      </c>
      <c r="B104" t="s">
        <v>79</v>
      </c>
      <c r="C104" s="6">
        <v>278.67200000000003</v>
      </c>
      <c r="D104" s="6">
        <v>252.46799999999999</v>
      </c>
      <c r="E104" s="6"/>
      <c r="F104" s="6"/>
      <c r="G104" s="6"/>
      <c r="H104" s="6"/>
      <c r="R104" s="6"/>
      <c r="S104" s="6"/>
      <c r="T104" s="6"/>
      <c r="U104" s="6"/>
    </row>
    <row r="105" spans="1:21">
      <c r="A105">
        <v>2</v>
      </c>
      <c r="B105" t="s">
        <v>80</v>
      </c>
      <c r="C105" s="6">
        <v>279.18599999999998</v>
      </c>
      <c r="D105" s="6">
        <v>0.34049200000000002</v>
      </c>
      <c r="E105" s="6"/>
      <c r="F105" s="6"/>
      <c r="G105" s="6"/>
      <c r="H105" s="6"/>
      <c r="R105" s="6"/>
      <c r="S105" s="6"/>
      <c r="T105" s="6"/>
      <c r="U105" s="6"/>
    </row>
    <row r="106" spans="1:21">
      <c r="A106">
        <v>3</v>
      </c>
      <c r="B106" t="s">
        <v>81</v>
      </c>
      <c r="C106" s="6">
        <v>0.25329600000000002</v>
      </c>
      <c r="D106" s="6">
        <v>0.441666</v>
      </c>
      <c r="E106" s="6"/>
      <c r="F106" s="6">
        <f t="shared" si="3"/>
        <v>1.64895696</v>
      </c>
      <c r="G106" s="6">
        <f t="shared" si="4"/>
        <v>3.2979139200000001</v>
      </c>
      <c r="H106" s="6"/>
      <c r="R106" s="6"/>
      <c r="S106" s="6"/>
      <c r="T106" s="6"/>
      <c r="U106" s="6"/>
    </row>
    <row r="107" spans="1:21">
      <c r="A107">
        <v>1</v>
      </c>
      <c r="B107" t="s">
        <v>79</v>
      </c>
      <c r="C107" s="6">
        <v>274.05900000000003</v>
      </c>
      <c r="D107" s="6">
        <v>272.95999999999998</v>
      </c>
      <c r="E107" s="6"/>
      <c r="F107" s="6"/>
      <c r="G107" s="6"/>
      <c r="H107" s="6"/>
      <c r="R107" s="6"/>
      <c r="S107" s="6"/>
      <c r="T107" s="6"/>
      <c r="U107" s="6"/>
    </row>
    <row r="108" spans="1:21">
      <c r="A108">
        <v>2</v>
      </c>
      <c r="B108" t="s">
        <v>80</v>
      </c>
      <c r="C108" s="6">
        <v>300.774</v>
      </c>
      <c r="D108" s="6">
        <v>0.34938900000000001</v>
      </c>
      <c r="E108" s="6"/>
      <c r="F108" s="6"/>
      <c r="G108" s="6"/>
      <c r="H108" s="6"/>
      <c r="R108" s="6"/>
      <c r="S108" s="6"/>
      <c r="T108" s="6"/>
      <c r="U108" s="6"/>
    </row>
    <row r="109" spans="1:21">
      <c r="A109">
        <v>3</v>
      </c>
      <c r="B109" t="s">
        <v>81</v>
      </c>
      <c r="C109" s="6">
        <v>0.24462800000000001</v>
      </c>
      <c r="D109" s="6">
        <v>0.45778799999999997</v>
      </c>
      <c r="E109" s="6"/>
      <c r="F109" s="6">
        <f t="shared" si="3"/>
        <v>1.59252828</v>
      </c>
      <c r="G109" s="6">
        <f t="shared" si="4"/>
        <v>3.18505656</v>
      </c>
      <c r="H109" s="6"/>
      <c r="R109" s="6"/>
      <c r="S109" s="6"/>
      <c r="T109" s="6"/>
      <c r="U109" s="6"/>
    </row>
    <row r="110" spans="1:21">
      <c r="A110">
        <v>1</v>
      </c>
      <c r="B110" t="s">
        <v>79</v>
      </c>
      <c r="C110" s="6">
        <v>274.30399999999997</v>
      </c>
      <c r="D110" s="6">
        <v>272.76900000000001</v>
      </c>
      <c r="E110" s="6"/>
      <c r="F110" s="6"/>
      <c r="G110" s="6"/>
      <c r="H110" s="6"/>
      <c r="R110" s="6"/>
      <c r="S110" s="6"/>
      <c r="T110" s="6"/>
      <c r="U110" s="6"/>
    </row>
    <row r="111" spans="1:21">
      <c r="A111">
        <v>2</v>
      </c>
      <c r="B111" t="s">
        <v>80</v>
      </c>
      <c r="C111" s="6">
        <v>316.375</v>
      </c>
      <c r="D111" s="6">
        <v>0.34963100000000003</v>
      </c>
      <c r="E111" s="6"/>
      <c r="F111" s="6"/>
      <c r="G111" s="6"/>
      <c r="H111" s="6"/>
      <c r="R111" s="6"/>
      <c r="S111" s="6"/>
      <c r="T111" s="6"/>
      <c r="U111" s="6"/>
    </row>
    <row r="112" spans="1:21">
      <c r="A112">
        <v>3</v>
      </c>
      <c r="B112" t="s">
        <v>81</v>
      </c>
      <c r="C112" s="6">
        <v>0.24534900000000001</v>
      </c>
      <c r="D112" s="6">
        <v>0.45752599999999999</v>
      </c>
      <c r="E112" s="6"/>
      <c r="F112" s="6">
        <f t="shared" si="3"/>
        <v>1.59722199</v>
      </c>
      <c r="G112" s="6">
        <f t="shared" si="4"/>
        <v>3.19444398</v>
      </c>
      <c r="H112" s="6"/>
      <c r="R112" s="6"/>
      <c r="S112" s="6"/>
      <c r="T112" s="6"/>
      <c r="U112" s="6"/>
    </row>
    <row r="113" spans="1:21">
      <c r="A113">
        <v>1</v>
      </c>
      <c r="B113" t="s">
        <v>79</v>
      </c>
      <c r="C113" s="6">
        <v>277.68299999999999</v>
      </c>
      <c r="D113" s="6">
        <v>243.613</v>
      </c>
      <c r="E113" s="6"/>
      <c r="F113" s="6"/>
      <c r="G113" s="6"/>
      <c r="H113" s="6"/>
      <c r="R113" s="6"/>
      <c r="S113" s="6"/>
      <c r="T113" s="6"/>
      <c r="U113" s="6"/>
    </row>
    <row r="114" spans="1:21">
      <c r="A114">
        <v>2</v>
      </c>
      <c r="B114" t="s">
        <v>80</v>
      </c>
      <c r="C114" s="6">
        <v>348.78300000000002</v>
      </c>
      <c r="D114" s="6">
        <v>0.338505</v>
      </c>
      <c r="E114" s="6"/>
      <c r="F114" s="6"/>
      <c r="G114" s="6"/>
      <c r="H114" s="6"/>
      <c r="R114" s="6"/>
      <c r="S114" s="6"/>
      <c r="T114" s="6"/>
      <c r="U114" s="6"/>
    </row>
    <row r="115" spans="1:21">
      <c r="A115">
        <v>3</v>
      </c>
      <c r="B115" t="s">
        <v>81</v>
      </c>
      <c r="C115" s="6">
        <v>0.25195200000000001</v>
      </c>
      <c r="D115" s="6">
        <v>0.44234099999999998</v>
      </c>
      <c r="E115" s="6"/>
      <c r="F115" s="6">
        <f t="shared" si="3"/>
        <v>1.6402075199999999</v>
      </c>
      <c r="G115" s="6">
        <f t="shared" si="4"/>
        <v>3.2804150399999998</v>
      </c>
      <c r="H115" s="6"/>
      <c r="R115" s="6"/>
      <c r="S115" s="6"/>
      <c r="T115" s="6"/>
      <c r="U115" s="6"/>
    </row>
    <row r="116" spans="1:21">
      <c r="A116">
        <v>1</v>
      </c>
      <c r="B116" t="s">
        <v>79</v>
      </c>
      <c r="C116" s="6">
        <v>277.87299999999999</v>
      </c>
      <c r="D116" s="6">
        <v>241.899</v>
      </c>
      <c r="E116" s="6"/>
      <c r="F116" s="6"/>
      <c r="G116" s="6"/>
      <c r="H116" s="6"/>
      <c r="R116" s="6"/>
      <c r="S116" s="6"/>
      <c r="T116" s="6"/>
      <c r="U116" s="6"/>
    </row>
    <row r="117" spans="1:21">
      <c r="A117">
        <v>2</v>
      </c>
      <c r="B117" t="s">
        <v>80</v>
      </c>
      <c r="C117" s="6">
        <v>370.38400000000001</v>
      </c>
      <c r="D117" s="6">
        <v>0.33771600000000002</v>
      </c>
      <c r="E117" s="6"/>
      <c r="F117" s="6"/>
      <c r="G117" s="6"/>
      <c r="H117" s="6"/>
      <c r="R117" s="6"/>
      <c r="S117" s="6"/>
      <c r="T117" s="6"/>
      <c r="U117" s="6"/>
    </row>
    <row r="118" spans="1:21">
      <c r="A118">
        <v>3</v>
      </c>
      <c r="B118" t="s">
        <v>81</v>
      </c>
      <c r="C118" s="6">
        <v>0.25222299999999997</v>
      </c>
      <c r="D118" s="6">
        <v>0.44140600000000002</v>
      </c>
      <c r="E118" s="6"/>
      <c r="F118" s="6">
        <f t="shared" si="3"/>
        <v>1.6419717299999999</v>
      </c>
      <c r="G118" s="6">
        <f t="shared" si="4"/>
        <v>3.2839434599999997</v>
      </c>
      <c r="H118" s="6"/>
      <c r="R118" s="6"/>
      <c r="S118" s="6"/>
      <c r="T118" s="6"/>
      <c r="U118" s="6"/>
    </row>
    <row r="119" spans="1:21">
      <c r="D119" s="6"/>
      <c r="E119" s="6"/>
      <c r="F119" s="6"/>
      <c r="G119" s="6"/>
      <c r="H119" s="6"/>
      <c r="R119" s="6"/>
      <c r="S119" s="6"/>
      <c r="T119" s="6"/>
      <c r="U119" s="6"/>
    </row>
    <row r="120" spans="1:21">
      <c r="D120" s="6"/>
      <c r="E120" s="6"/>
      <c r="F120" s="6"/>
      <c r="G120" s="6"/>
      <c r="H120" s="6"/>
      <c r="R120" s="6"/>
      <c r="S120" s="6"/>
      <c r="T120" s="6"/>
      <c r="U120" s="6"/>
    </row>
    <row r="121" spans="1:21">
      <c r="D121" s="6"/>
      <c r="E121" s="6"/>
      <c r="F121" s="6"/>
      <c r="G121" s="6"/>
      <c r="H121" s="6"/>
      <c r="R121" s="6"/>
      <c r="S121" s="6"/>
      <c r="T121" s="6"/>
      <c r="U121" s="6"/>
    </row>
    <row r="122" spans="1:21">
      <c r="A122" s="76"/>
      <c r="B122" s="76"/>
      <c r="C122" s="76"/>
      <c r="D122" s="76"/>
      <c r="E122" s="76"/>
      <c r="F122" s="6"/>
      <c r="J122" s="41"/>
      <c r="K122" s="41"/>
      <c r="M122" s="41"/>
      <c r="R122" s="6"/>
      <c r="S122" s="6"/>
      <c r="T122" s="6"/>
      <c r="U122" s="6"/>
    </row>
    <row r="123" spans="1:21">
      <c r="A123" s="76"/>
      <c r="B123" s="76"/>
      <c r="C123" s="76"/>
      <c r="D123" s="76"/>
      <c r="E123" s="76"/>
      <c r="J123" s="41"/>
      <c r="K123" s="41"/>
      <c r="L123" s="1"/>
      <c r="M123" s="41"/>
      <c r="N123" s="1"/>
      <c r="R123" s="6"/>
      <c r="S123" s="6"/>
      <c r="T123" s="6"/>
      <c r="U123" s="6"/>
    </row>
    <row r="124" spans="1:21">
      <c r="A124" s="76"/>
      <c r="B124" s="76"/>
      <c r="C124" s="76"/>
      <c r="D124" s="76"/>
      <c r="E124" s="76"/>
      <c r="J124" s="41"/>
      <c r="K124" s="41"/>
      <c r="L124" s="1"/>
      <c r="M124" s="41"/>
      <c r="N124" s="1"/>
      <c r="R124" s="6"/>
      <c r="S124" s="6"/>
      <c r="T124" s="6"/>
      <c r="U124" s="6"/>
    </row>
    <row r="125" spans="1:21">
      <c r="A125" s="76"/>
      <c r="B125" s="76"/>
      <c r="C125" s="76"/>
      <c r="D125" s="76"/>
      <c r="E125" s="76"/>
      <c r="J125" s="41"/>
      <c r="K125" s="41"/>
      <c r="L125" s="1"/>
      <c r="M125" s="41"/>
      <c r="N125" s="1"/>
      <c r="O125" s="6"/>
      <c r="P125" s="6"/>
      <c r="Q125" s="6"/>
      <c r="R125" s="6"/>
      <c r="S125" s="6"/>
      <c r="T125" s="6"/>
      <c r="U125" s="6"/>
    </row>
    <row r="126" spans="1:21">
      <c r="A126" s="76"/>
      <c r="B126" s="76"/>
      <c r="C126" s="76"/>
      <c r="D126" s="76"/>
      <c r="E126" s="76"/>
      <c r="J126" s="41"/>
      <c r="K126" s="41"/>
      <c r="L126" s="1"/>
      <c r="M126" s="41"/>
      <c r="N126" s="1"/>
      <c r="O126" s="6"/>
      <c r="P126" s="6"/>
      <c r="Q126" s="6"/>
      <c r="R126" s="6"/>
      <c r="S126" s="6"/>
      <c r="T126" s="6"/>
      <c r="U126" s="6"/>
    </row>
    <row r="127" spans="1:21">
      <c r="A127" s="76"/>
      <c r="B127" s="76"/>
      <c r="C127" s="76"/>
      <c r="D127" s="76"/>
      <c r="E127" s="76"/>
      <c r="J127" s="41"/>
      <c r="K127" s="41"/>
      <c r="L127" s="1"/>
      <c r="M127" s="41"/>
      <c r="N127" s="1"/>
      <c r="O127" s="6"/>
      <c r="P127" s="6"/>
      <c r="Q127" s="6"/>
      <c r="R127" s="6"/>
      <c r="S127" s="6"/>
      <c r="T127" s="6"/>
      <c r="U127" s="6"/>
    </row>
    <row r="128" spans="1:21">
      <c r="A128" s="76"/>
      <c r="B128" s="76"/>
      <c r="C128" s="76"/>
      <c r="D128" s="76"/>
      <c r="E128" s="76"/>
      <c r="J128" s="41"/>
      <c r="K128" s="41"/>
      <c r="L128" s="1"/>
      <c r="M128" s="41"/>
      <c r="N128" s="1"/>
      <c r="O128" s="6"/>
      <c r="P128" s="6"/>
      <c r="Q128" s="6"/>
      <c r="R128" s="6"/>
      <c r="S128" s="6"/>
      <c r="T128" s="6"/>
      <c r="U128" s="6"/>
    </row>
    <row r="129" spans="1:21">
      <c r="A129" s="76"/>
      <c r="B129" s="76"/>
      <c r="C129" s="76"/>
      <c r="D129" s="76"/>
      <c r="E129" s="76"/>
      <c r="J129" s="41"/>
      <c r="K129" s="41"/>
      <c r="L129" s="1"/>
      <c r="M129" s="41"/>
      <c r="N129" s="1"/>
      <c r="O129" s="6"/>
      <c r="P129" s="6"/>
      <c r="Q129" s="6"/>
      <c r="R129" s="6"/>
      <c r="S129" s="6"/>
      <c r="T129" s="6"/>
      <c r="U129" s="6"/>
    </row>
    <row r="130" spans="1:21">
      <c r="A130" s="76"/>
      <c r="B130" s="76"/>
      <c r="C130" s="76"/>
      <c r="D130" s="76"/>
      <c r="E130" s="76"/>
      <c r="J130" s="41"/>
      <c r="K130" s="41"/>
      <c r="L130" s="1"/>
      <c r="M130" s="41"/>
      <c r="N130" s="1"/>
      <c r="O130" s="6"/>
      <c r="P130" s="6"/>
      <c r="Q130" s="6"/>
      <c r="R130" s="6"/>
      <c r="S130" s="6"/>
      <c r="T130" s="6"/>
      <c r="U130" s="6"/>
    </row>
    <row r="131" spans="1:21">
      <c r="A131" s="76"/>
      <c r="B131" s="76"/>
      <c r="C131" s="76"/>
      <c r="D131" s="76"/>
      <c r="E131" s="76"/>
      <c r="J131" s="41"/>
      <c r="K131" s="41"/>
      <c r="L131" s="1"/>
      <c r="M131" s="41"/>
      <c r="N131" s="1"/>
      <c r="O131" s="6"/>
      <c r="P131" s="6"/>
      <c r="Q131" s="6"/>
      <c r="R131" s="6"/>
      <c r="S131" s="6"/>
      <c r="T131" s="6"/>
      <c r="U131" s="6"/>
    </row>
    <row r="132" spans="1:21">
      <c r="A132" s="76"/>
      <c r="B132" s="76"/>
      <c r="C132" s="76"/>
      <c r="D132" s="76"/>
      <c r="E132" s="76"/>
      <c r="J132" s="41"/>
      <c r="K132" s="41"/>
      <c r="L132" s="1"/>
      <c r="M132" s="41"/>
      <c r="N132" s="1"/>
      <c r="O132" s="6"/>
      <c r="P132" s="6"/>
      <c r="Q132" s="6"/>
      <c r="R132" s="6"/>
      <c r="S132" s="6"/>
      <c r="T132" s="6"/>
      <c r="U132" s="6"/>
    </row>
    <row r="133" spans="1:21">
      <c r="A133" s="76"/>
      <c r="B133" s="76"/>
      <c r="C133" s="76"/>
      <c r="D133" s="76"/>
      <c r="E133" s="76"/>
      <c r="J133" s="41"/>
      <c r="K133" s="41"/>
      <c r="L133" s="1"/>
      <c r="M133" s="41"/>
      <c r="N133" s="1"/>
      <c r="O133" s="6"/>
      <c r="P133" s="6"/>
      <c r="Q133" s="6"/>
      <c r="R133" s="6"/>
      <c r="S133" s="6"/>
      <c r="T133" s="6"/>
      <c r="U133" s="6"/>
    </row>
    <row r="134" spans="1:21">
      <c r="A134" s="76"/>
      <c r="B134" s="76"/>
      <c r="C134" s="76"/>
      <c r="D134" s="76"/>
      <c r="E134" s="76"/>
      <c r="J134" s="41"/>
      <c r="K134" s="41"/>
      <c r="L134" s="1"/>
      <c r="M134" s="41"/>
      <c r="N134" s="1"/>
      <c r="O134" s="6"/>
      <c r="P134" s="6"/>
      <c r="Q134" s="6"/>
      <c r="R134" s="6"/>
      <c r="S134" s="6"/>
      <c r="T134" s="6"/>
      <c r="U134" s="6"/>
    </row>
    <row r="135" spans="1:21">
      <c r="A135" s="76"/>
      <c r="B135" s="76"/>
      <c r="C135" s="76"/>
      <c r="D135" s="76"/>
      <c r="E135" s="76"/>
      <c r="J135" s="41"/>
      <c r="K135" s="41"/>
      <c r="L135" s="1"/>
      <c r="M135" s="41"/>
      <c r="N135" s="1"/>
      <c r="O135" s="6"/>
      <c r="P135" s="6"/>
      <c r="Q135" s="6"/>
      <c r="R135" s="6"/>
      <c r="S135" s="6"/>
      <c r="T135" s="6"/>
      <c r="U135" s="6"/>
    </row>
    <row r="136" spans="1:21">
      <c r="A136" s="76"/>
      <c r="B136" s="76"/>
      <c r="C136" s="76"/>
      <c r="D136" s="76"/>
      <c r="E136" s="76"/>
      <c r="J136" s="41"/>
      <c r="K136" s="41"/>
      <c r="L136" s="1"/>
      <c r="M136" s="41"/>
      <c r="N136" s="1"/>
      <c r="O136" s="6"/>
      <c r="P136" s="6"/>
      <c r="Q136" s="6"/>
      <c r="R136" s="6"/>
      <c r="S136" s="6"/>
      <c r="T136" s="6"/>
      <c r="U136" s="6"/>
    </row>
    <row r="137" spans="1:21">
      <c r="A137" s="76"/>
      <c r="B137" s="76"/>
      <c r="C137" s="76"/>
      <c r="D137" s="76"/>
      <c r="E137" s="76"/>
      <c r="J137" s="41"/>
      <c r="K137" s="41"/>
      <c r="L137" s="1"/>
      <c r="M137" s="41"/>
      <c r="N137" s="1"/>
      <c r="O137" s="6"/>
      <c r="P137" s="6"/>
      <c r="Q137" s="6"/>
      <c r="R137" s="6"/>
      <c r="S137" s="6"/>
      <c r="T137" s="6"/>
      <c r="U137" s="6"/>
    </row>
    <row r="138" spans="1:21">
      <c r="A138" s="76"/>
      <c r="B138" s="76"/>
      <c r="C138" s="76"/>
      <c r="D138" s="76"/>
      <c r="E138" s="76"/>
      <c r="J138" s="41"/>
      <c r="K138" s="41"/>
      <c r="L138" s="1"/>
      <c r="M138" s="41"/>
      <c r="N138" s="1"/>
      <c r="O138" s="6"/>
      <c r="P138" s="6"/>
      <c r="Q138" s="6"/>
      <c r="R138" s="6"/>
      <c r="S138" s="6"/>
      <c r="T138" s="6"/>
      <c r="U138" s="6"/>
    </row>
    <row r="139" spans="1:21">
      <c r="A139" s="76"/>
      <c r="B139" s="76"/>
      <c r="C139" s="76"/>
      <c r="D139" s="76"/>
      <c r="E139" s="76"/>
      <c r="J139" s="41"/>
      <c r="K139" s="41"/>
      <c r="L139" s="1"/>
      <c r="M139" s="41"/>
      <c r="N139" s="1"/>
      <c r="O139" s="6"/>
      <c r="P139" s="6"/>
      <c r="Q139" s="6"/>
      <c r="R139" s="6"/>
      <c r="S139" s="6"/>
      <c r="T139" s="6"/>
      <c r="U139" s="6"/>
    </row>
    <row r="140" spans="1:21">
      <c r="A140" s="76"/>
      <c r="B140" s="76"/>
      <c r="C140" s="76"/>
      <c r="D140" s="76"/>
      <c r="E140" s="76"/>
      <c r="J140" s="41"/>
      <c r="K140" s="41"/>
      <c r="L140" s="1"/>
      <c r="M140" s="41"/>
      <c r="N140" s="1"/>
      <c r="O140" s="6"/>
      <c r="P140" s="6"/>
      <c r="Q140" s="6"/>
      <c r="R140" s="6"/>
      <c r="S140" s="6"/>
      <c r="T140" s="6"/>
      <c r="U140" s="6"/>
    </row>
    <row r="141" spans="1:21">
      <c r="A141" s="76"/>
      <c r="B141" s="76"/>
      <c r="C141" s="76"/>
      <c r="D141" s="76"/>
      <c r="E141" s="76"/>
      <c r="J141" s="41"/>
      <c r="K141" s="41"/>
      <c r="L141" s="1"/>
      <c r="M141" s="41"/>
      <c r="N141" s="1"/>
      <c r="O141" s="6"/>
      <c r="P141" s="6"/>
      <c r="Q141" s="6"/>
      <c r="R141" s="6"/>
      <c r="S141" s="6"/>
      <c r="T141" s="6"/>
      <c r="U141" s="6"/>
    </row>
    <row r="142" spans="1:21">
      <c r="A142" s="76"/>
      <c r="B142" s="76"/>
      <c r="C142" s="76"/>
      <c r="D142" s="76"/>
      <c r="E142" s="76"/>
      <c r="J142" s="41"/>
      <c r="K142" s="41"/>
      <c r="L142" s="1"/>
      <c r="M142" s="41"/>
      <c r="N142" s="1"/>
      <c r="O142" s="6"/>
      <c r="P142" s="6"/>
      <c r="Q142" s="6"/>
      <c r="R142" s="6"/>
      <c r="S142" s="6"/>
      <c r="T142" s="6"/>
      <c r="U142" s="6"/>
    </row>
    <row r="143" spans="1:21">
      <c r="M143" s="6"/>
      <c r="N143" s="6"/>
      <c r="O143" s="6"/>
      <c r="P143" s="6"/>
      <c r="Q143" s="6"/>
      <c r="R143" s="6"/>
      <c r="S143" s="6"/>
      <c r="T143" s="6"/>
      <c r="U143" s="6"/>
    </row>
    <row r="144" spans="1:21">
      <c r="A144" s="41"/>
      <c r="B144" s="41"/>
      <c r="C144" s="41"/>
      <c r="D144" s="41"/>
      <c r="M144" s="6"/>
      <c r="N144" s="6"/>
      <c r="O144" s="6"/>
      <c r="P144" s="6"/>
      <c r="Q144" s="6"/>
      <c r="R144" s="6"/>
      <c r="S144" s="6"/>
      <c r="T144" s="6"/>
      <c r="U144" s="6"/>
    </row>
    <row r="145" spans="1:21">
      <c r="A145" s="41"/>
      <c r="B145" s="41"/>
      <c r="C145" s="41"/>
      <c r="D145" s="41"/>
      <c r="M145" s="6"/>
      <c r="N145" s="6"/>
      <c r="O145" s="6"/>
      <c r="P145" s="6"/>
      <c r="Q145" s="6"/>
      <c r="R145" s="6"/>
      <c r="S145" s="6"/>
      <c r="T145" s="6"/>
      <c r="U145" s="6"/>
    </row>
    <row r="146" spans="1:21">
      <c r="A146" s="41"/>
      <c r="M146" s="6"/>
      <c r="N146" s="6"/>
      <c r="O146" s="6"/>
      <c r="P146" s="6"/>
      <c r="Q146" s="6"/>
      <c r="R146" s="6"/>
      <c r="S146" s="6"/>
      <c r="T146" s="6"/>
      <c r="U146" s="6"/>
    </row>
    <row r="147" spans="1:21">
      <c r="A147" s="41"/>
      <c r="B147" s="41"/>
      <c r="C147" s="41"/>
      <c r="D147" s="41"/>
      <c r="M147" s="6"/>
      <c r="N147" s="6"/>
      <c r="O147" s="6"/>
      <c r="P147" s="6"/>
      <c r="Q147" s="6"/>
      <c r="R147" s="6"/>
      <c r="S147" s="6"/>
      <c r="T147" s="6"/>
      <c r="U147" s="6"/>
    </row>
    <row r="148" spans="1:21">
      <c r="A148" s="41"/>
      <c r="B148" s="41"/>
      <c r="C148" s="41"/>
      <c r="D148" s="41"/>
      <c r="M148" s="6"/>
      <c r="N148" s="6"/>
      <c r="O148" s="6"/>
      <c r="P148" s="6"/>
      <c r="Q148" s="6"/>
      <c r="R148" s="6"/>
      <c r="S148" s="6"/>
      <c r="T148" s="6"/>
      <c r="U148" s="6"/>
    </row>
    <row r="149" spans="1:21">
      <c r="A149" s="41"/>
      <c r="B149" s="41"/>
      <c r="C149" s="41"/>
      <c r="D149" s="41"/>
      <c r="M149" s="6"/>
      <c r="N149" s="6"/>
      <c r="O149" s="6"/>
      <c r="P149" s="6"/>
      <c r="Q149" s="6"/>
      <c r="R149" s="6"/>
      <c r="S149" s="6"/>
      <c r="T149" s="6"/>
      <c r="U149" s="6"/>
    </row>
    <row r="150" spans="1:21">
      <c r="A150" s="41"/>
      <c r="B150" s="41"/>
      <c r="C150" s="41"/>
      <c r="D150" s="41"/>
      <c r="M150" s="6"/>
      <c r="N150" s="6"/>
      <c r="O150" s="6"/>
      <c r="P150" s="6"/>
      <c r="Q150" s="6"/>
      <c r="R150" s="6"/>
      <c r="S150" s="6"/>
      <c r="T150" s="6"/>
      <c r="U150" s="6"/>
    </row>
    <row r="151" spans="1:21">
      <c r="A151" s="41"/>
      <c r="M151" s="6"/>
      <c r="N151" s="6"/>
      <c r="O151" s="6"/>
      <c r="P151" s="6"/>
      <c r="Q151" s="6"/>
      <c r="R151" s="6"/>
      <c r="S151" s="6"/>
      <c r="T151" s="6"/>
      <c r="U151" s="6"/>
    </row>
    <row r="152" spans="1:21">
      <c r="A152" s="41"/>
      <c r="B152" s="41"/>
      <c r="C152" s="41"/>
      <c r="D152" s="41"/>
      <c r="M152" s="6"/>
      <c r="N152" s="6"/>
      <c r="O152" s="6"/>
      <c r="P152" s="6"/>
      <c r="Q152" s="6"/>
      <c r="R152" s="6"/>
      <c r="S152" s="6"/>
      <c r="T152" s="6"/>
      <c r="U152" s="6"/>
    </row>
    <row r="153" spans="1:21">
      <c r="A153" s="41"/>
      <c r="B153" s="41"/>
      <c r="C153" s="41"/>
      <c r="D153" s="41"/>
      <c r="M153" s="6"/>
      <c r="N153" s="6"/>
      <c r="O153" s="6"/>
      <c r="P153" s="6"/>
      <c r="Q153" s="6"/>
      <c r="R153" s="6"/>
      <c r="S153" s="6"/>
      <c r="T153" s="6"/>
      <c r="U153" s="6"/>
    </row>
    <row r="154" spans="1:21">
      <c r="A154" s="41"/>
      <c r="B154" s="41"/>
      <c r="C154" s="41"/>
      <c r="D154" s="41"/>
      <c r="M154" s="6"/>
      <c r="N154" s="6"/>
      <c r="O154" s="6"/>
      <c r="P154" s="6"/>
      <c r="Q154" s="6"/>
      <c r="R154" s="6"/>
      <c r="S154" s="6"/>
      <c r="T154" s="6"/>
      <c r="U154" s="6"/>
    </row>
    <row r="155" spans="1:21">
      <c r="A155" s="41"/>
      <c r="B155" s="41"/>
      <c r="C155" s="41"/>
      <c r="D155" s="41"/>
      <c r="M155" s="6"/>
      <c r="N155" s="6"/>
      <c r="O155" s="6"/>
      <c r="P155" s="6"/>
      <c r="Q155" s="6"/>
      <c r="R155" s="6"/>
      <c r="S155" s="6"/>
      <c r="T155" s="6"/>
      <c r="U155" s="6"/>
    </row>
    <row r="156" spans="1:21">
      <c r="A156" s="41"/>
      <c r="M156" s="6"/>
      <c r="N156" s="6"/>
      <c r="O156" s="6"/>
      <c r="P156" s="6"/>
      <c r="Q156" s="6"/>
      <c r="R156" s="6"/>
      <c r="S156" s="6"/>
      <c r="T156" s="6"/>
      <c r="U156" s="6"/>
    </row>
    <row r="157" spans="1:21">
      <c r="A157" s="41"/>
      <c r="B157" s="41"/>
      <c r="C157" s="41"/>
      <c r="D157" s="41"/>
      <c r="M157" s="6"/>
      <c r="N157" s="6"/>
      <c r="O157" s="6"/>
      <c r="P157" s="6"/>
      <c r="Q157" s="6"/>
      <c r="R157" s="6"/>
      <c r="S157" s="6"/>
      <c r="T157" s="6"/>
      <c r="U157" s="6"/>
    </row>
    <row r="158" spans="1:21">
      <c r="A158" s="41"/>
      <c r="B158" s="41"/>
      <c r="C158" s="41"/>
      <c r="D158" s="41"/>
      <c r="M158" s="6"/>
      <c r="N158" s="6"/>
      <c r="O158" s="6"/>
      <c r="P158" s="6"/>
      <c r="Q158" s="6"/>
      <c r="R158" s="6"/>
      <c r="S158" s="6"/>
      <c r="T158" s="6"/>
      <c r="U158" s="6"/>
    </row>
    <row r="159" spans="1:21">
      <c r="A159" s="41"/>
      <c r="B159" s="41"/>
      <c r="C159" s="41"/>
      <c r="D159" s="41"/>
      <c r="M159" s="6"/>
      <c r="N159" s="6"/>
      <c r="O159" s="6"/>
      <c r="P159" s="6"/>
      <c r="Q159" s="6"/>
      <c r="R159" s="6"/>
      <c r="S159" s="6"/>
      <c r="T159" s="6"/>
      <c r="U159" s="6"/>
    </row>
    <row r="160" spans="1:21">
      <c r="A160" s="41"/>
      <c r="B160" s="41"/>
      <c r="C160" s="41"/>
      <c r="D160" s="41"/>
      <c r="M160" s="6"/>
      <c r="N160" s="6"/>
      <c r="O160" s="6"/>
      <c r="P160" s="6"/>
      <c r="Q160" s="6"/>
      <c r="R160" s="6"/>
      <c r="S160" s="6"/>
      <c r="T160" s="6"/>
      <c r="U160" s="6"/>
    </row>
    <row r="161" spans="1:21">
      <c r="A161" s="41"/>
      <c r="M161" s="6"/>
      <c r="N161" s="6"/>
      <c r="O161" s="6"/>
      <c r="P161" s="6"/>
      <c r="Q161" s="6"/>
      <c r="R161" s="6"/>
      <c r="S161" s="6"/>
      <c r="T161" s="6"/>
      <c r="U161" s="6"/>
    </row>
    <row r="162" spans="1:21">
      <c r="A162" s="41"/>
      <c r="B162" s="41"/>
      <c r="C162" s="41"/>
      <c r="D162" s="41"/>
      <c r="M162" s="6"/>
      <c r="N162" s="6"/>
      <c r="O162" s="6"/>
      <c r="P162" s="6"/>
      <c r="Q162" s="6"/>
      <c r="R162" s="6"/>
      <c r="S162" s="6"/>
      <c r="T162" s="6"/>
      <c r="U162" s="6"/>
    </row>
    <row r="163" spans="1:21">
      <c r="A163" s="41"/>
      <c r="B163" s="41"/>
      <c r="C163" s="41"/>
      <c r="D163" s="41"/>
      <c r="M163" s="6"/>
      <c r="N163" s="6"/>
      <c r="O163" s="6"/>
      <c r="P163" s="6"/>
      <c r="Q163" s="6"/>
      <c r="R163" s="6"/>
      <c r="S163" s="6"/>
      <c r="T163" s="6"/>
      <c r="U163" s="6"/>
    </row>
    <row r="164" spans="1:21">
      <c r="A164" s="41"/>
      <c r="B164" s="41"/>
      <c r="C164" s="41"/>
      <c r="D164" s="41"/>
      <c r="M164" s="6"/>
      <c r="N164" s="6"/>
      <c r="O164" s="6"/>
      <c r="P164" s="6"/>
      <c r="Q164" s="6"/>
      <c r="R164" s="6"/>
      <c r="S164" s="6"/>
      <c r="T164" s="6"/>
      <c r="U164" s="6"/>
    </row>
    <row r="165" spans="1:21">
      <c r="A165" s="41"/>
      <c r="B165" s="41"/>
      <c r="C165" s="41"/>
      <c r="D165" s="41"/>
      <c r="M165" s="6"/>
      <c r="N165" s="6"/>
      <c r="O165" s="6"/>
      <c r="P165" s="6"/>
      <c r="Q165" s="6"/>
      <c r="R165" s="6"/>
      <c r="S165" s="6"/>
      <c r="T165" s="6"/>
      <c r="U165" s="6"/>
    </row>
    <row r="166" spans="1:21">
      <c r="A166" s="41"/>
      <c r="M166" s="6"/>
      <c r="N166" s="6"/>
      <c r="O166" s="6"/>
      <c r="P166" s="6"/>
      <c r="Q166" s="6"/>
      <c r="R166" s="6"/>
      <c r="S166" s="6"/>
      <c r="T166" s="6"/>
      <c r="U166" s="6"/>
    </row>
    <row r="167" spans="1:21">
      <c r="A167" s="41"/>
      <c r="B167" s="41"/>
      <c r="C167" s="41"/>
      <c r="D167" s="41"/>
      <c r="M167" s="6"/>
      <c r="N167" s="6"/>
      <c r="O167" s="6"/>
      <c r="P167" s="6"/>
      <c r="Q167" s="6"/>
      <c r="R167" s="6"/>
      <c r="S167" s="6"/>
      <c r="T167" s="6"/>
      <c r="U167" s="6"/>
    </row>
    <row r="168" spans="1:21">
      <c r="A168" s="41"/>
      <c r="B168" s="41"/>
      <c r="C168" s="41"/>
      <c r="D168" s="41"/>
      <c r="M168" s="6"/>
      <c r="N168" s="6"/>
      <c r="O168" s="6"/>
      <c r="P168" s="6"/>
      <c r="Q168" s="6"/>
      <c r="R168" s="6"/>
      <c r="S168" s="6"/>
      <c r="T168" s="6"/>
      <c r="U168" s="6"/>
    </row>
    <row r="169" spans="1:21">
      <c r="A169" s="41"/>
      <c r="B169" s="41"/>
      <c r="C169" s="41"/>
      <c r="D169" s="41"/>
      <c r="M169" s="6"/>
      <c r="N169" s="6"/>
      <c r="O169" s="6"/>
      <c r="P169" s="6"/>
      <c r="Q169" s="6"/>
      <c r="R169" s="6"/>
      <c r="S169" s="6"/>
      <c r="T169" s="6"/>
      <c r="U169" s="6"/>
    </row>
    <row r="170" spans="1:21">
      <c r="A170" s="41"/>
      <c r="B170" s="41"/>
      <c r="C170" s="41"/>
      <c r="D170" s="41"/>
      <c r="M170" s="6"/>
      <c r="N170" s="6"/>
      <c r="O170" s="6"/>
      <c r="P170" s="6"/>
      <c r="Q170" s="6"/>
      <c r="R170" s="6"/>
      <c r="S170" s="6"/>
      <c r="T170" s="6"/>
      <c r="U170" s="6"/>
    </row>
    <row r="171" spans="1:21">
      <c r="A171" s="41"/>
    </row>
    <row r="172" spans="1:21">
      <c r="A172" s="41"/>
      <c r="B172" s="41"/>
      <c r="C172" s="41"/>
      <c r="D172" s="41"/>
    </row>
    <row r="173" spans="1:21">
      <c r="A173" s="41"/>
      <c r="B173" s="41"/>
      <c r="C173" s="41"/>
      <c r="D173" s="41"/>
    </row>
    <row r="174" spans="1:21">
      <c r="A174" s="41"/>
      <c r="B174" s="41"/>
      <c r="C174" s="41"/>
      <c r="D174" s="41"/>
    </row>
    <row r="175" spans="1:21">
      <c r="A175" s="41"/>
      <c r="B175" s="41"/>
      <c r="C175" s="41"/>
      <c r="D175" s="41"/>
    </row>
    <row r="176" spans="1:21">
      <c r="A176" s="41"/>
    </row>
    <row r="177" spans="1:4">
      <c r="A177" s="41"/>
      <c r="B177" s="41"/>
      <c r="C177" s="41"/>
      <c r="D177" s="41"/>
    </row>
    <row r="178" spans="1:4">
      <c r="A178" s="41"/>
      <c r="B178" s="41"/>
      <c r="C178" s="41"/>
      <c r="D178" s="41"/>
    </row>
  </sheetData>
  <phoneticPr fontId="10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workbookViewId="0">
      <selection activeCell="F39" sqref="F39"/>
    </sheetView>
  </sheetViews>
  <sheetFormatPr baseColWidth="10" defaultColWidth="8.83203125" defaultRowHeight="14" x14ac:dyDescent="0"/>
  <sheetData>
    <row r="2" spans="1:9">
      <c r="A2" t="s">
        <v>76</v>
      </c>
      <c r="D2" t="s">
        <v>22</v>
      </c>
    </row>
    <row r="4" spans="1:9">
      <c r="A4" t="s">
        <v>0</v>
      </c>
      <c r="B4" t="s">
        <v>1</v>
      </c>
      <c r="C4" t="s">
        <v>2</v>
      </c>
      <c r="D4" t="s">
        <v>1</v>
      </c>
      <c r="E4" t="s">
        <v>3</v>
      </c>
      <c r="F4" t="s">
        <v>1</v>
      </c>
      <c r="H4" t="s">
        <v>35</v>
      </c>
      <c r="I4" t="s">
        <v>77</v>
      </c>
    </row>
    <row r="5" spans="1:9">
      <c r="A5" s="6">
        <v>156</v>
      </c>
      <c r="B5" s="6">
        <v>0.84399999999999997</v>
      </c>
      <c r="C5" s="6">
        <v>-233.625</v>
      </c>
      <c r="D5" s="6">
        <v>0.35799999999999998</v>
      </c>
      <c r="E5" s="6">
        <v>6</v>
      </c>
      <c r="F5" s="6">
        <v>0.11899999999999999</v>
      </c>
      <c r="G5" s="6"/>
      <c r="H5" s="6">
        <v>2346.203074</v>
      </c>
      <c r="I5" s="6">
        <v>48.183733660000001</v>
      </c>
    </row>
    <row r="6" spans="1:9">
      <c r="A6" s="6">
        <v>37.372</v>
      </c>
      <c r="B6" s="6">
        <v>4.3220000000000001</v>
      </c>
      <c r="C6" s="6">
        <v>-219.77099999999999</v>
      </c>
      <c r="D6" s="6">
        <v>0.86499999999999999</v>
      </c>
      <c r="E6" s="6">
        <v>5</v>
      </c>
      <c r="F6" s="6">
        <v>0.21299999999999999</v>
      </c>
      <c r="G6" s="6"/>
      <c r="H6" s="6">
        <v>468.38334830000002</v>
      </c>
      <c r="I6" s="6">
        <v>57.72055538</v>
      </c>
    </row>
    <row r="7" spans="1:9">
      <c r="A7" s="6">
        <v>79</v>
      </c>
      <c r="B7" s="6">
        <v>3.1970000000000001</v>
      </c>
      <c r="C7" s="6">
        <v>-185.642</v>
      </c>
      <c r="D7" s="6">
        <v>0.28799999999999998</v>
      </c>
      <c r="E7" s="6">
        <v>5.5</v>
      </c>
      <c r="F7" s="6">
        <v>0.246</v>
      </c>
      <c r="G7" s="6"/>
      <c r="H7" s="6">
        <v>1089.1295250000001</v>
      </c>
      <c r="I7" s="6">
        <v>65.628056819999998</v>
      </c>
    </row>
    <row r="8" spans="1:9">
      <c r="A8" s="6">
        <v>35</v>
      </c>
      <c r="B8" s="6">
        <v>0.879</v>
      </c>
      <c r="C8" s="6">
        <v>-174</v>
      </c>
      <c r="D8" s="6">
        <v>0.122</v>
      </c>
      <c r="E8" s="6">
        <v>2</v>
      </c>
      <c r="F8" s="6">
        <v>0.66300000000000003</v>
      </c>
      <c r="G8" s="6"/>
      <c r="H8" s="6">
        <v>175.46390510000001</v>
      </c>
      <c r="I8" s="6">
        <v>58.30767608</v>
      </c>
    </row>
    <row r="9" spans="1:9">
      <c r="A9" s="6">
        <v>65</v>
      </c>
      <c r="B9" s="6">
        <v>0.749</v>
      </c>
      <c r="C9" s="6">
        <v>-163.55600000000001</v>
      </c>
      <c r="D9" s="6">
        <v>0.29199999999999998</v>
      </c>
      <c r="E9" s="6">
        <v>5</v>
      </c>
      <c r="F9" s="6">
        <v>0.20200000000000001</v>
      </c>
      <c r="G9" s="6"/>
      <c r="H9" s="6">
        <v>814.65384519999998</v>
      </c>
      <c r="I9" s="6">
        <v>34.250050629999997</v>
      </c>
    </row>
    <row r="10" spans="1:9">
      <c r="A10" s="6">
        <v>71</v>
      </c>
      <c r="B10" s="6">
        <v>2.9359999999999999</v>
      </c>
      <c r="C10" s="6">
        <v>-129.352</v>
      </c>
      <c r="D10" s="6">
        <v>0.36799999999999999</v>
      </c>
      <c r="E10" s="6">
        <v>6</v>
      </c>
      <c r="F10" s="6">
        <v>9.2999999999999999E-2</v>
      </c>
      <c r="G10" s="6"/>
      <c r="H10" s="6">
        <v>1067.8231940000001</v>
      </c>
      <c r="I10" s="6">
        <v>47.182946270000002</v>
      </c>
    </row>
    <row r="11" spans="1:9">
      <c r="A11" s="6">
        <v>76</v>
      </c>
      <c r="B11" s="6">
        <v>1.3109999999999999</v>
      </c>
      <c r="C11" s="6">
        <v>-103.307</v>
      </c>
      <c r="D11" s="6">
        <v>0.44400000000000001</v>
      </c>
      <c r="E11" s="6">
        <v>5.399</v>
      </c>
      <c r="F11" s="6">
        <v>0.62</v>
      </c>
      <c r="G11" s="6"/>
      <c r="H11" s="6">
        <v>1028.5140650000001</v>
      </c>
      <c r="I11" s="6">
        <v>119.3985529</v>
      </c>
    </row>
    <row r="12" spans="1:9">
      <c r="A12" s="6">
        <v>298</v>
      </c>
      <c r="B12" s="6">
        <v>1.4930000000000001</v>
      </c>
      <c r="C12" s="6">
        <v>-57.756</v>
      </c>
      <c r="D12" s="6">
        <v>0.185</v>
      </c>
      <c r="E12" s="6">
        <v>5</v>
      </c>
      <c r="F12" s="6">
        <v>2.1000000000000001E-2</v>
      </c>
      <c r="G12" s="6"/>
      <c r="H12" s="6">
        <v>3734.8745520000002</v>
      </c>
      <c r="I12" s="6">
        <v>24.414012379999999</v>
      </c>
    </row>
    <row r="13" spans="1:9">
      <c r="A13" s="6">
        <v>535</v>
      </c>
      <c r="B13" s="6">
        <v>5.1289999999999996</v>
      </c>
      <c r="C13" s="6">
        <v>-38.781999999999996</v>
      </c>
      <c r="D13" s="6">
        <v>0.13200000000000001</v>
      </c>
      <c r="E13" s="6">
        <v>5.7270000000000003</v>
      </c>
      <c r="F13" s="6">
        <v>0.14799999999999999</v>
      </c>
      <c r="G13" s="6"/>
      <c r="H13" s="6">
        <v>7680.637291</v>
      </c>
      <c r="I13" s="6">
        <v>211.07115020000001</v>
      </c>
    </row>
    <row r="14" spans="1:9">
      <c r="A14" s="6">
        <v>142.27799999999999</v>
      </c>
      <c r="B14" s="6">
        <v>10.166</v>
      </c>
      <c r="C14" s="6">
        <v>-27</v>
      </c>
      <c r="D14" s="6">
        <v>0.65400000000000003</v>
      </c>
      <c r="E14" s="6">
        <v>6</v>
      </c>
      <c r="F14" s="6">
        <v>8.5000000000000006E-2</v>
      </c>
      <c r="G14" s="6"/>
      <c r="H14" s="6">
        <v>2139.8274419999998</v>
      </c>
      <c r="I14" s="6">
        <v>155.85338290000001</v>
      </c>
    </row>
    <row r="15" spans="1:9">
      <c r="A15" s="6">
        <v>57.043999999999997</v>
      </c>
      <c r="B15" s="6">
        <v>6.1150000000000002</v>
      </c>
      <c r="C15" s="6">
        <v>-14</v>
      </c>
      <c r="D15" s="6">
        <v>0.14899999999999999</v>
      </c>
      <c r="E15" s="6">
        <v>4.5069999999999997</v>
      </c>
      <c r="F15" s="6">
        <v>0.53600000000000003</v>
      </c>
      <c r="G15" s="6"/>
      <c r="H15" s="6">
        <v>644.41572310000004</v>
      </c>
      <c r="I15" s="6">
        <v>103.13535760000001</v>
      </c>
    </row>
    <row r="16" spans="1:9">
      <c r="A16" s="6">
        <v>175</v>
      </c>
      <c r="B16" s="6">
        <v>4.3769999999999998</v>
      </c>
      <c r="C16" s="6">
        <v>8.1880000000000006</v>
      </c>
      <c r="D16" s="6">
        <v>0.318</v>
      </c>
      <c r="E16" s="6">
        <v>5</v>
      </c>
      <c r="F16" s="6">
        <v>6.2E-2</v>
      </c>
      <c r="G16" s="6"/>
      <c r="H16" s="6">
        <v>2193.2988140000002</v>
      </c>
      <c r="I16" s="6">
        <v>61.275165430000001</v>
      </c>
    </row>
    <row r="17" spans="1:9">
      <c r="A17" s="6">
        <v>40.137</v>
      </c>
      <c r="B17" s="6">
        <v>7.1890000000000001</v>
      </c>
      <c r="C17" s="6">
        <v>18.477</v>
      </c>
      <c r="D17" s="6">
        <v>0.73399999999999999</v>
      </c>
      <c r="E17" s="6">
        <v>3</v>
      </c>
      <c r="F17" s="6">
        <v>3.2000000000000001E-2</v>
      </c>
      <c r="G17" s="6"/>
      <c r="H17" s="6">
        <v>301.82849770000001</v>
      </c>
      <c r="I17" s="6">
        <v>54.153454330000002</v>
      </c>
    </row>
    <row r="18" spans="1:9">
      <c r="A18" s="6">
        <v>49.301000000000002</v>
      </c>
      <c r="B18" s="6">
        <v>5.58</v>
      </c>
      <c r="C18" s="6">
        <v>64</v>
      </c>
      <c r="D18" s="6">
        <v>0.153</v>
      </c>
      <c r="E18" s="6">
        <v>5</v>
      </c>
      <c r="F18" s="6">
        <v>0.17699999999999999</v>
      </c>
      <c r="G18" s="6"/>
      <c r="H18" s="6">
        <v>617.89488859999994</v>
      </c>
      <c r="I18" s="6">
        <v>73.291083369999996</v>
      </c>
    </row>
    <row r="19" spans="1:9">
      <c r="A19" s="6">
        <v>237</v>
      </c>
      <c r="B19" s="6">
        <v>1.347</v>
      </c>
      <c r="C19" s="6">
        <v>77.793999999999997</v>
      </c>
      <c r="D19" s="6">
        <v>0.221</v>
      </c>
      <c r="E19" s="6">
        <v>5.226</v>
      </c>
      <c r="F19" s="6">
        <v>0.253</v>
      </c>
      <c r="G19" s="6"/>
      <c r="H19" s="6">
        <v>3104.4112340000001</v>
      </c>
      <c r="I19" s="6">
        <v>151.09165110000001</v>
      </c>
    </row>
    <row r="20" spans="1:9">
      <c r="A20" s="6">
        <v>115</v>
      </c>
      <c r="B20" s="6">
        <v>3.4820000000000002</v>
      </c>
      <c r="C20" s="6">
        <v>105</v>
      </c>
      <c r="D20" s="6">
        <v>0.19600000000000001</v>
      </c>
      <c r="E20" s="6">
        <v>6</v>
      </c>
      <c r="F20" s="6">
        <v>5.6000000000000001E-2</v>
      </c>
      <c r="G20" s="6"/>
      <c r="H20" s="6">
        <v>1729.5727790000001</v>
      </c>
      <c r="I20" s="6">
        <v>54.766203599999997</v>
      </c>
    </row>
    <row r="21" spans="1:9">
      <c r="A21" s="6">
        <v>122</v>
      </c>
      <c r="B21" s="6">
        <v>5.3</v>
      </c>
      <c r="C21" s="6">
        <v>144.21299999999999</v>
      </c>
      <c r="D21" s="6">
        <v>0.189</v>
      </c>
      <c r="E21" s="6">
        <v>6</v>
      </c>
      <c r="F21" s="6">
        <v>3.9E-2</v>
      </c>
      <c r="G21" s="6"/>
      <c r="H21" s="6">
        <v>1834.851122</v>
      </c>
      <c r="I21" s="6">
        <v>80.614236390000002</v>
      </c>
    </row>
    <row r="22" spans="1:9">
      <c r="A22" s="6">
        <v>75</v>
      </c>
      <c r="B22" s="6">
        <v>4.3109999999999999</v>
      </c>
      <c r="C22" s="6">
        <v>159.41300000000001</v>
      </c>
      <c r="D22" s="6">
        <v>0.28299999999999997</v>
      </c>
      <c r="E22" s="6">
        <v>3</v>
      </c>
      <c r="F22" s="6">
        <v>6.9000000000000006E-2</v>
      </c>
      <c r="G22" s="6"/>
      <c r="H22" s="6">
        <v>563.99112360000004</v>
      </c>
      <c r="I22" s="6">
        <v>34.934458130000003</v>
      </c>
    </row>
    <row r="23" spans="1:9">
      <c r="A23" s="6">
        <v>122</v>
      </c>
      <c r="B23" s="6">
        <v>1.2569999999999999</v>
      </c>
      <c r="C23" s="6">
        <v>170</v>
      </c>
      <c r="D23" s="6">
        <v>0.13300000000000001</v>
      </c>
      <c r="E23" s="6">
        <v>6</v>
      </c>
      <c r="F23" s="6">
        <v>0.315</v>
      </c>
      <c r="G23" s="6"/>
      <c r="H23" s="6">
        <v>1834.851122</v>
      </c>
      <c r="I23" s="6">
        <v>98.158807830000001</v>
      </c>
    </row>
    <row r="24" spans="1:9">
      <c r="A24" s="6">
        <v>40</v>
      </c>
      <c r="B24" s="6">
        <v>1.2849999999999999</v>
      </c>
      <c r="C24" s="6">
        <v>187</v>
      </c>
      <c r="D24" s="6">
        <v>0.247</v>
      </c>
      <c r="E24" s="6">
        <v>6</v>
      </c>
      <c r="F24" s="6">
        <v>0.14000000000000001</v>
      </c>
      <c r="G24" s="6"/>
      <c r="H24" s="6">
        <v>601.59053180000001</v>
      </c>
      <c r="I24" s="6">
        <v>23.894173859999999</v>
      </c>
    </row>
    <row r="25" spans="1:9">
      <c r="A25" s="6">
        <v>120</v>
      </c>
      <c r="B25" s="6">
        <v>1.4259999999999999</v>
      </c>
      <c r="C25" s="6">
        <v>204.97900000000001</v>
      </c>
      <c r="D25" s="6">
        <v>0.223</v>
      </c>
      <c r="E25" s="6">
        <v>4.5</v>
      </c>
      <c r="F25" s="6">
        <v>3.6999999999999998E-2</v>
      </c>
      <c r="G25" s="6"/>
      <c r="H25" s="6">
        <v>1353.5786969999999</v>
      </c>
      <c r="I25" s="6">
        <v>19.493744490000001</v>
      </c>
    </row>
    <row r="26" spans="1:9">
      <c r="A26" s="6">
        <v>282.846</v>
      </c>
      <c r="B26" s="6">
        <v>7.1180000000000003</v>
      </c>
      <c r="C26" s="6">
        <v>222.797</v>
      </c>
      <c r="D26" s="6">
        <v>0.183</v>
      </c>
      <c r="E26" s="6">
        <v>6</v>
      </c>
      <c r="F26" s="6">
        <v>4.8000000000000001E-2</v>
      </c>
      <c r="G26" s="6"/>
      <c r="H26" s="6">
        <v>4253.9368889999996</v>
      </c>
      <c r="I26" s="6">
        <v>112.2397921</v>
      </c>
    </row>
    <row r="27" spans="1:9">
      <c r="A27" s="6">
        <v>53.515000000000001</v>
      </c>
      <c r="B27" s="6">
        <v>9.3179999999999996</v>
      </c>
      <c r="C27" s="6">
        <v>235</v>
      </c>
      <c r="D27" s="6">
        <v>3.0750000000000002</v>
      </c>
      <c r="E27" s="6">
        <v>3</v>
      </c>
      <c r="F27" s="6">
        <v>0.504</v>
      </c>
      <c r="G27" s="6"/>
      <c r="H27" s="6">
        <v>402.42797039999999</v>
      </c>
      <c r="I27" s="6">
        <v>97.406655119999996</v>
      </c>
    </row>
    <row r="28" spans="1:9">
      <c r="A28" s="6">
        <v>99.891999999999996</v>
      </c>
      <c r="B28" s="6">
        <v>4.7130000000000001</v>
      </c>
      <c r="C28" s="6">
        <v>276.19299999999998</v>
      </c>
      <c r="D28" s="6">
        <v>0.315</v>
      </c>
      <c r="E28" s="6">
        <v>4.9080000000000004</v>
      </c>
      <c r="F28" s="6">
        <v>0.46</v>
      </c>
      <c r="G28" s="6"/>
      <c r="H28" s="6">
        <v>1228.922691</v>
      </c>
      <c r="I28" s="6">
        <v>128.85781850000001</v>
      </c>
    </row>
    <row r="29" spans="1:9">
      <c r="A29" s="6">
        <v>120.033</v>
      </c>
      <c r="B29" s="6">
        <v>3.1240000000000001</v>
      </c>
      <c r="C29" s="6">
        <v>286.91899999999998</v>
      </c>
      <c r="D29" s="6">
        <v>0.34499999999999997</v>
      </c>
      <c r="E29" s="6">
        <v>5</v>
      </c>
      <c r="F29" s="6">
        <v>0.14299999999999999</v>
      </c>
      <c r="G29" s="6"/>
      <c r="H29" s="6">
        <v>1504.3417830000001</v>
      </c>
      <c r="I29" s="6">
        <v>58.215704119999998</v>
      </c>
    </row>
    <row r="30" spans="1:9">
      <c r="A30" s="6">
        <v>170</v>
      </c>
      <c r="B30" s="6">
        <v>1.2509999999999999</v>
      </c>
      <c r="C30" s="6">
        <v>310.315</v>
      </c>
      <c r="D30" s="6">
        <v>0.28299999999999997</v>
      </c>
      <c r="E30" s="6">
        <v>6</v>
      </c>
      <c r="F30" s="6">
        <v>4.2999999999999997E-2</v>
      </c>
      <c r="G30" s="6"/>
      <c r="H30" s="6">
        <v>2556.7597599999999</v>
      </c>
      <c r="I30" s="6">
        <v>26.357075049999999</v>
      </c>
    </row>
    <row r="31" spans="1:9">
      <c r="A31" s="6">
        <v>165</v>
      </c>
      <c r="B31" s="6">
        <v>1.6579999999999999</v>
      </c>
      <c r="C31" s="6">
        <v>324</v>
      </c>
      <c r="D31" s="6">
        <v>5.5E-2</v>
      </c>
      <c r="E31" s="6">
        <v>4</v>
      </c>
      <c r="F31" s="6">
        <v>2.4E-2</v>
      </c>
      <c r="G31" s="6"/>
      <c r="H31" s="6">
        <v>1654.373963</v>
      </c>
      <c r="I31" s="6">
        <v>19.457175840000001</v>
      </c>
    </row>
    <row r="32" spans="1:9">
      <c r="A32" s="6">
        <v>442</v>
      </c>
      <c r="B32" s="6">
        <v>12.574</v>
      </c>
      <c r="C32" s="6">
        <v>347.91</v>
      </c>
      <c r="D32" s="6">
        <v>0.155</v>
      </c>
      <c r="E32" s="6">
        <v>6</v>
      </c>
      <c r="F32" s="6">
        <v>0.126</v>
      </c>
      <c r="G32" s="6"/>
      <c r="H32" s="6">
        <v>6647.5753770000001</v>
      </c>
      <c r="I32" s="6">
        <v>234.92895630000001</v>
      </c>
    </row>
    <row r="33" spans="1:9">
      <c r="A33" s="6">
        <v>195</v>
      </c>
      <c r="B33" s="6">
        <v>4.97</v>
      </c>
      <c r="C33" s="6">
        <v>358.61900000000003</v>
      </c>
      <c r="D33" s="6">
        <v>0.19400000000000001</v>
      </c>
      <c r="E33" s="6">
        <v>1.5</v>
      </c>
      <c r="F33" s="6">
        <v>5.8000000000000003E-2</v>
      </c>
      <c r="G33" s="6"/>
      <c r="H33" s="6">
        <v>733.18846069999995</v>
      </c>
      <c r="I33" s="6">
        <v>33.906446389999999</v>
      </c>
    </row>
    <row r="34" spans="1:9">
      <c r="A34" s="6">
        <v>515</v>
      </c>
      <c r="B34" s="6">
        <v>6.093</v>
      </c>
      <c r="C34" s="6">
        <v>367.12599999999998</v>
      </c>
      <c r="D34" s="6">
        <v>0.14699999999999999</v>
      </c>
      <c r="E34" s="6">
        <v>4.5</v>
      </c>
      <c r="F34" s="6">
        <v>2.1000000000000001E-2</v>
      </c>
      <c r="G34" s="6"/>
      <c r="H34" s="6">
        <v>5809.1085730000004</v>
      </c>
      <c r="I34" s="6">
        <v>73.648341759999994</v>
      </c>
    </row>
    <row r="35" spans="1:9">
      <c r="A35" s="6">
        <v>250</v>
      </c>
      <c r="B35" s="6">
        <v>3.8050000000000002</v>
      </c>
      <c r="C35" s="6">
        <v>375.97</v>
      </c>
      <c r="D35" s="6">
        <v>0.21099999999999999</v>
      </c>
      <c r="E35" s="6">
        <v>4.5549999999999997</v>
      </c>
      <c r="F35" s="6">
        <v>0.21</v>
      </c>
      <c r="G35" s="6"/>
      <c r="H35" s="6">
        <v>2854.5282739999998</v>
      </c>
      <c r="I35" s="6">
        <v>138.32265079999999</v>
      </c>
    </row>
    <row r="36" spans="1:9">
      <c r="A36" s="6">
        <v>180</v>
      </c>
      <c r="B36" s="6">
        <v>2.96</v>
      </c>
      <c r="C36" s="6">
        <v>393.24799999999999</v>
      </c>
      <c r="D36" s="6">
        <v>0.33300000000000002</v>
      </c>
      <c r="E36" s="6">
        <v>6</v>
      </c>
      <c r="F36" s="6">
        <v>0.14299999999999999</v>
      </c>
      <c r="G36" s="6"/>
      <c r="H36" s="6">
        <v>2707.157393</v>
      </c>
      <c r="I36" s="6">
        <v>78.220362699999995</v>
      </c>
    </row>
  </sheetData>
  <phoneticPr fontId="10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99"/>
  <sheetViews>
    <sheetView tabSelected="1" topLeftCell="A47" workbookViewId="0">
      <selection activeCell="C64" sqref="C64"/>
    </sheetView>
  </sheetViews>
  <sheetFormatPr baseColWidth="10" defaultColWidth="8.83203125" defaultRowHeight="14" x14ac:dyDescent="0"/>
  <cols>
    <col min="1" max="1" width="11" style="84" customWidth="1"/>
    <col min="2" max="2" width="8.83203125" style="1"/>
    <col min="3" max="3" width="16.83203125" style="1" customWidth="1"/>
    <col min="4" max="4" width="10.1640625" style="1" customWidth="1"/>
    <col min="5" max="5" width="17.1640625" style="1" customWidth="1"/>
    <col min="6" max="6" width="17" style="1" customWidth="1"/>
    <col min="7" max="7" width="18.5" style="1" customWidth="1"/>
    <col min="8" max="9" width="17" style="1" customWidth="1"/>
    <col min="10" max="10" width="11.33203125" style="1" customWidth="1"/>
    <col min="11" max="11" width="14.6640625" style="1" customWidth="1"/>
    <col min="12" max="12" width="13.6640625" style="1" customWidth="1"/>
    <col min="13" max="13" width="11.6640625" style="1" customWidth="1"/>
    <col min="14" max="14" width="20.33203125" style="1" customWidth="1"/>
    <col min="15" max="15" width="15.83203125" style="1" customWidth="1"/>
    <col min="16" max="16" width="18.5" style="1" customWidth="1"/>
    <col min="17" max="18" width="8.83203125" style="1"/>
    <col min="19" max="19" width="17.33203125" style="1" customWidth="1"/>
    <col min="20" max="21" width="14.5" style="1" customWidth="1"/>
    <col min="22" max="22" width="8.83203125" style="1"/>
    <col min="23" max="23" width="9.1640625" style="1" customWidth="1"/>
    <col min="24" max="24" width="8.83203125" style="1"/>
    <col min="25" max="25" width="13.33203125" style="1" customWidth="1"/>
    <col min="26" max="26" width="14" style="1" customWidth="1"/>
    <col min="27" max="27" width="12.6640625" style="1" customWidth="1"/>
    <col min="28" max="28" width="15.83203125" style="1" customWidth="1"/>
    <col min="29" max="30" width="14.33203125" style="1" customWidth="1"/>
    <col min="31" max="34" width="8.83203125" style="1"/>
    <col min="35" max="35" width="10.5" style="1" bestFit="1" customWidth="1"/>
    <col min="36" max="16384" width="8.83203125" style="1"/>
  </cols>
  <sheetData>
    <row r="4" spans="2:17">
      <c r="B4" s="316" t="s">
        <v>126</v>
      </c>
      <c r="C4" s="317"/>
      <c r="D4" s="318"/>
      <c r="E4" s="316" t="s">
        <v>125</v>
      </c>
      <c r="F4" s="317"/>
      <c r="G4" s="319"/>
      <c r="H4" s="319"/>
      <c r="I4" s="71"/>
      <c r="J4" s="316" t="s">
        <v>120</v>
      </c>
      <c r="K4" s="319"/>
      <c r="L4" s="320"/>
      <c r="M4" s="316" t="s">
        <v>14</v>
      </c>
      <c r="N4" s="317"/>
      <c r="O4" s="316" t="s">
        <v>156</v>
      </c>
      <c r="P4" s="317"/>
      <c r="Q4" s="4"/>
    </row>
    <row r="5" spans="2:17">
      <c r="B5" s="7" t="s">
        <v>124</v>
      </c>
      <c r="C5" s="8">
        <v>1.602176565E-19</v>
      </c>
      <c r="D5" s="9" t="s">
        <v>123</v>
      </c>
      <c r="E5" s="10"/>
      <c r="F5" s="2" t="s">
        <v>122</v>
      </c>
      <c r="G5" s="78" t="s">
        <v>132</v>
      </c>
      <c r="H5" s="11" t="s">
        <v>121</v>
      </c>
      <c r="I5" s="10" t="s">
        <v>136</v>
      </c>
      <c r="J5" s="3" t="s">
        <v>137</v>
      </c>
      <c r="K5" s="83">
        <v>56</v>
      </c>
      <c r="L5" s="2" t="s">
        <v>105</v>
      </c>
      <c r="M5" s="328" t="s">
        <v>155</v>
      </c>
      <c r="N5" s="329"/>
      <c r="O5" s="330" t="s">
        <v>157</v>
      </c>
      <c r="P5" s="331"/>
      <c r="Q5" s="4"/>
    </row>
    <row r="6" spans="2:17" ht="15">
      <c r="B6" s="3" t="s">
        <v>6</v>
      </c>
      <c r="C6" s="4">
        <v>1</v>
      </c>
      <c r="D6" s="4" t="s">
        <v>7</v>
      </c>
      <c r="E6" s="10" t="s">
        <v>120</v>
      </c>
      <c r="F6" s="2" t="s">
        <v>131</v>
      </c>
      <c r="G6" s="82">
        <v>13135.721740000001</v>
      </c>
      <c r="H6" s="29">
        <f>G6/1000+2*C10</f>
        <v>1876.12384374</v>
      </c>
      <c r="I6" s="82">
        <v>1.1E-4</v>
      </c>
      <c r="J6" s="321" t="s">
        <v>119</v>
      </c>
      <c r="K6" s="322"/>
      <c r="L6" s="323"/>
      <c r="M6" s="33" t="s">
        <v>5</v>
      </c>
      <c r="N6" s="34" t="s">
        <v>15</v>
      </c>
      <c r="O6" s="33" t="s">
        <v>5</v>
      </c>
      <c r="P6" s="34" t="s">
        <v>16</v>
      </c>
      <c r="Q6" s="4"/>
    </row>
    <row r="7" spans="2:17" ht="15">
      <c r="B7" s="7" t="s">
        <v>118</v>
      </c>
      <c r="C7" s="8">
        <v>299792458</v>
      </c>
      <c r="D7" s="9" t="s">
        <v>117</v>
      </c>
      <c r="E7" s="10" t="s">
        <v>116</v>
      </c>
      <c r="F7" s="79" t="s">
        <v>152</v>
      </c>
      <c r="G7" s="118">
        <v>0</v>
      </c>
      <c r="H7" s="29">
        <f>G7/1000+12*C10</f>
        <v>11177.928732</v>
      </c>
      <c r="I7" s="82">
        <v>0</v>
      </c>
      <c r="J7" s="3" t="s">
        <v>138</v>
      </c>
      <c r="K7" s="127">
        <v>1.772E-2</v>
      </c>
      <c r="L7" s="2" t="s">
        <v>105</v>
      </c>
      <c r="M7" s="28">
        <v>56</v>
      </c>
      <c r="N7" s="70"/>
      <c r="O7" s="237">
        <v>56</v>
      </c>
      <c r="P7" s="300"/>
      <c r="Q7" s="4"/>
    </row>
    <row r="8" spans="2:17" ht="15">
      <c r="B8" s="7" t="s">
        <v>115</v>
      </c>
      <c r="C8" s="8">
        <v>6241509740000</v>
      </c>
      <c r="D8" s="9" t="s">
        <v>105</v>
      </c>
      <c r="E8" s="10" t="s">
        <v>114</v>
      </c>
      <c r="F8" s="79" t="s">
        <v>134</v>
      </c>
      <c r="G8" s="82">
        <v>7288.9705899999999</v>
      </c>
      <c r="H8" s="81">
        <f>G8/1000+1*C10</f>
        <v>938.78303158999995</v>
      </c>
      <c r="I8" s="82">
        <v>9.0000000000000006E-5</v>
      </c>
      <c r="J8" s="321" t="s">
        <v>113</v>
      </c>
      <c r="K8" s="322"/>
      <c r="L8" s="322"/>
      <c r="M8" s="28">
        <v>55.8</v>
      </c>
      <c r="N8" s="70"/>
      <c r="O8" s="237">
        <v>55.8</v>
      </c>
      <c r="P8" s="300"/>
      <c r="Q8" s="4"/>
    </row>
    <row r="9" spans="2:17" ht="15">
      <c r="B9" s="7" t="s">
        <v>112</v>
      </c>
      <c r="C9" s="8">
        <f>C8*C7^2</f>
        <v>5.6095892019612877E+29</v>
      </c>
      <c r="D9" s="9" t="s">
        <v>110</v>
      </c>
      <c r="E9" s="12" t="s">
        <v>111</v>
      </c>
      <c r="F9" s="80" t="s">
        <v>153</v>
      </c>
      <c r="G9" s="119">
        <v>3125.00875</v>
      </c>
      <c r="H9" s="30">
        <f>G9/1000+13*C10</f>
        <v>12112.547801749999</v>
      </c>
      <c r="I9" s="191">
        <v>9.0000000000000006E-5</v>
      </c>
      <c r="J9" s="3" t="s">
        <v>139</v>
      </c>
      <c r="K9" s="115">
        <f>H6+K5-K7</f>
        <v>1932.1061237399999</v>
      </c>
      <c r="L9" s="2" t="s">
        <v>105</v>
      </c>
      <c r="M9" s="237">
        <v>55.6</v>
      </c>
      <c r="N9" s="70"/>
      <c r="O9" s="237">
        <v>55.6</v>
      </c>
      <c r="P9" s="300"/>
      <c r="Q9" s="4"/>
    </row>
    <row r="10" spans="2:17">
      <c r="B10" s="7" t="s">
        <v>9</v>
      </c>
      <c r="C10" s="14">
        <v>931.49406099999999</v>
      </c>
      <c r="D10" s="9" t="s">
        <v>110</v>
      </c>
      <c r="E10" s="324" t="s">
        <v>109</v>
      </c>
      <c r="F10" s="325"/>
      <c r="G10" s="326" t="s">
        <v>108</v>
      </c>
      <c r="H10" s="327"/>
      <c r="I10" s="25"/>
      <c r="J10" s="321" t="s">
        <v>107</v>
      </c>
      <c r="K10" s="322"/>
      <c r="L10" s="322"/>
      <c r="M10" s="237">
        <v>55.4</v>
      </c>
      <c r="N10" s="70"/>
      <c r="O10" s="237">
        <v>55.4</v>
      </c>
      <c r="P10" s="300"/>
      <c r="Q10" s="4"/>
    </row>
    <row r="11" spans="2:17">
      <c r="B11" s="7" t="s">
        <v>10</v>
      </c>
      <c r="C11" s="15">
        <v>0.5</v>
      </c>
      <c r="D11" s="9" t="s">
        <v>106</v>
      </c>
      <c r="E11" s="116" t="s">
        <v>150</v>
      </c>
      <c r="F11" s="117" t="s">
        <v>151</v>
      </c>
      <c r="G11" s="12"/>
      <c r="H11" s="16" t="s">
        <v>105</v>
      </c>
      <c r="I11" s="2"/>
      <c r="J11" s="3" t="s">
        <v>139</v>
      </c>
      <c r="K11" s="114">
        <f>SQRT(K9^2-H6^2)</f>
        <v>461.72870426675456</v>
      </c>
      <c r="L11" s="2" t="s">
        <v>104</v>
      </c>
      <c r="M11" s="237">
        <v>55.2</v>
      </c>
      <c r="N11" s="70"/>
      <c r="O11" s="237">
        <v>55.2</v>
      </c>
      <c r="P11" s="300"/>
      <c r="Q11" s="4"/>
    </row>
    <row r="12" spans="2:17">
      <c r="B12" s="55" t="s">
        <v>103</v>
      </c>
      <c r="C12" s="56">
        <f>COS(C11*3.14/180)</f>
        <v>0.99996196166090812</v>
      </c>
      <c r="D12" s="57"/>
      <c r="E12" s="4"/>
      <c r="F12" s="4"/>
      <c r="G12" s="4"/>
      <c r="H12" s="4"/>
      <c r="I12" s="4"/>
      <c r="J12" s="310" t="s">
        <v>102</v>
      </c>
      <c r="K12" s="311"/>
      <c r="L12" s="312"/>
      <c r="M12" s="237">
        <v>55</v>
      </c>
      <c r="N12" s="70"/>
      <c r="O12" s="237">
        <v>55</v>
      </c>
      <c r="P12" s="300"/>
      <c r="Q12" s="4"/>
    </row>
    <row r="13" spans="2:17">
      <c r="B13" s="58"/>
      <c r="C13" s="58"/>
      <c r="D13" s="58"/>
      <c r="E13" s="58"/>
      <c r="F13" s="54"/>
      <c r="G13" s="54"/>
      <c r="H13" s="38"/>
      <c r="I13" s="72"/>
      <c r="J13" s="17" t="s">
        <v>101</v>
      </c>
      <c r="K13" s="13">
        <v>1</v>
      </c>
      <c r="L13" s="16"/>
      <c r="M13" s="237">
        <v>54.8</v>
      </c>
      <c r="N13" s="70"/>
      <c r="O13" s="237">
        <v>54.8</v>
      </c>
      <c r="P13" s="300"/>
      <c r="Q13" s="4"/>
    </row>
    <row r="14" spans="2:17">
      <c r="B14" s="39" t="s">
        <v>23</v>
      </c>
      <c r="C14" s="110">
        <f>- 1.14538*10^-9</f>
        <v>-1.1453800000000002E-9</v>
      </c>
      <c r="D14" s="40" t="s">
        <v>100</v>
      </c>
      <c r="E14" s="41"/>
      <c r="F14" s="13"/>
      <c r="G14" s="42"/>
      <c r="H14" s="42"/>
      <c r="I14" s="42"/>
      <c r="J14" s="77" t="s">
        <v>130</v>
      </c>
      <c r="L14" s="44"/>
      <c r="M14" s="237">
        <v>54.6</v>
      </c>
      <c r="N14" s="70"/>
      <c r="O14" s="237">
        <v>54.6</v>
      </c>
      <c r="P14" s="300"/>
      <c r="Q14" s="4"/>
    </row>
    <row r="15" spans="2:17">
      <c r="B15" s="42" t="s">
        <v>24</v>
      </c>
      <c r="C15" s="110">
        <v>-4.7482599999999998E-5</v>
      </c>
      <c r="D15" s="43" t="s">
        <v>25</v>
      </c>
      <c r="E15" s="41"/>
      <c r="F15" s="42"/>
      <c r="G15" s="42"/>
      <c r="H15" s="42"/>
      <c r="I15" s="42"/>
      <c r="J15" s="42"/>
      <c r="K15" s="42"/>
      <c r="L15" s="44"/>
      <c r="M15" s="237">
        <v>54.4</v>
      </c>
      <c r="N15" s="70"/>
      <c r="O15" s="237">
        <v>54.4</v>
      </c>
      <c r="P15" s="300"/>
      <c r="Q15" s="4"/>
    </row>
    <row r="16" spans="2:17">
      <c r="B16" s="42" t="s">
        <v>26</v>
      </c>
      <c r="C16" s="110">
        <v>1.0690200000000001</v>
      </c>
      <c r="D16" s="43" t="s">
        <v>27</v>
      </c>
      <c r="E16" s="41"/>
      <c r="F16" s="4"/>
      <c r="G16" s="4"/>
      <c r="H16" s="4"/>
      <c r="I16" s="4"/>
      <c r="J16" s="4"/>
      <c r="K16" s="4"/>
      <c r="L16" s="4"/>
      <c r="M16" s="237">
        <v>54.2</v>
      </c>
      <c r="N16" s="70"/>
      <c r="O16" s="237">
        <v>54.2</v>
      </c>
      <c r="P16" s="300"/>
      <c r="Q16" s="4"/>
    </row>
    <row r="17" spans="2:17">
      <c r="B17" s="4" t="s">
        <v>28</v>
      </c>
      <c r="C17" s="4"/>
      <c r="D17" s="4"/>
      <c r="E17" s="44"/>
      <c r="F17" s="4"/>
      <c r="G17" s="4"/>
      <c r="H17" s="4"/>
      <c r="I17" s="4"/>
      <c r="J17" s="4"/>
      <c r="K17" s="4"/>
      <c r="L17" s="4"/>
      <c r="M17" s="237">
        <v>54</v>
      </c>
      <c r="N17" s="70"/>
      <c r="O17" s="237">
        <v>54</v>
      </c>
      <c r="P17" s="300"/>
      <c r="Q17" s="4"/>
    </row>
    <row r="18" spans="2:17">
      <c r="B18" s="44"/>
      <c r="C18" s="45" t="s">
        <v>100</v>
      </c>
      <c r="D18" s="43" t="s">
        <v>25</v>
      </c>
      <c r="E18" s="43" t="s">
        <v>27</v>
      </c>
      <c r="F18" s="4"/>
      <c r="G18" s="4"/>
      <c r="H18" s="23" t="e">
        <f>K5-#REF!</f>
        <v>#REF!</v>
      </c>
      <c r="I18" s="23"/>
      <c r="J18" s="4"/>
      <c r="K18" s="4"/>
      <c r="L18" s="4"/>
      <c r="M18" s="237">
        <v>53.8</v>
      </c>
      <c r="N18" s="70"/>
      <c r="O18" s="237">
        <v>53.8</v>
      </c>
      <c r="P18" s="300"/>
      <c r="Q18" s="4"/>
    </row>
    <row r="19" spans="2:17">
      <c r="B19" s="45" t="s">
        <v>100</v>
      </c>
      <c r="C19" s="46"/>
      <c r="D19" s="47"/>
      <c r="E19" s="47"/>
      <c r="F19" s="4"/>
      <c r="G19" s="4"/>
      <c r="H19" s="4"/>
      <c r="I19" s="4"/>
      <c r="J19" s="4"/>
      <c r="K19" s="4"/>
      <c r="L19" s="4"/>
      <c r="M19" s="237">
        <v>53.6</v>
      </c>
      <c r="N19" s="70"/>
      <c r="O19" s="237">
        <v>53.6</v>
      </c>
      <c r="P19" s="300"/>
      <c r="Q19" s="4"/>
    </row>
    <row r="20" spans="2:17">
      <c r="B20" s="43" t="s">
        <v>25</v>
      </c>
      <c r="C20" s="46"/>
      <c r="D20" s="46"/>
      <c r="E20" s="46"/>
      <c r="F20" s="4"/>
      <c r="G20" s="4"/>
      <c r="H20" s="4"/>
      <c r="I20" s="4"/>
      <c r="J20" s="4"/>
      <c r="K20" s="4"/>
      <c r="L20" s="4"/>
      <c r="M20" s="237">
        <v>53.4</v>
      </c>
      <c r="N20" s="70"/>
      <c r="O20" s="237">
        <v>53.4</v>
      </c>
      <c r="P20" s="300"/>
      <c r="Q20" s="4"/>
    </row>
    <row r="21" spans="2:17">
      <c r="B21" s="43" t="s">
        <v>27</v>
      </c>
      <c r="C21" s="48"/>
      <c r="D21" s="48"/>
      <c r="E21" s="48"/>
      <c r="F21" s="4"/>
      <c r="G21" s="4"/>
      <c r="H21" s="4"/>
      <c r="I21" s="23"/>
      <c r="J21" s="4"/>
      <c r="K21" s="4"/>
      <c r="L21" s="4"/>
      <c r="M21" s="237">
        <v>53.2</v>
      </c>
      <c r="N21" s="70"/>
      <c r="O21" s="237">
        <v>53.2</v>
      </c>
      <c r="P21" s="300"/>
      <c r="Q21" s="4"/>
    </row>
    <row r="22" spans="2:17">
      <c r="B22" s="4"/>
      <c r="C22" s="107" t="s">
        <v>149</v>
      </c>
      <c r="D22" s="4"/>
      <c r="E22" s="4"/>
      <c r="F22" s="4"/>
      <c r="G22" s="4"/>
      <c r="H22" s="4"/>
      <c r="I22" s="4"/>
      <c r="J22" s="4"/>
      <c r="K22" s="4"/>
      <c r="L22" s="4"/>
      <c r="M22" s="237">
        <v>53</v>
      </c>
      <c r="N22" s="70"/>
      <c r="O22" s="237">
        <v>53</v>
      </c>
      <c r="P22" s="300"/>
      <c r="Q22" s="4"/>
    </row>
    <row r="23" spans="2:17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237">
        <v>52.799999999999898</v>
      </c>
      <c r="N23" s="70"/>
      <c r="O23" s="237">
        <v>52.799999999999898</v>
      </c>
      <c r="P23" s="300"/>
      <c r="Q23" s="4"/>
    </row>
    <row r="24" spans="2:17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237">
        <v>52.6</v>
      </c>
      <c r="N24" s="70"/>
      <c r="O24" s="237">
        <v>52.6</v>
      </c>
      <c r="P24" s="300"/>
      <c r="Q24" s="4"/>
    </row>
    <row r="25" spans="2:17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237">
        <v>52.399999999999899</v>
      </c>
      <c r="N25" s="70"/>
      <c r="O25" s="237">
        <v>52.399999999999899</v>
      </c>
      <c r="P25" s="300"/>
      <c r="Q25" s="4"/>
    </row>
    <row r="26" spans="2:17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237">
        <v>52.2</v>
      </c>
      <c r="N26" s="70"/>
      <c r="O26" s="237">
        <v>52.2</v>
      </c>
      <c r="P26" s="300"/>
      <c r="Q26" s="4"/>
    </row>
    <row r="27" spans="2:1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237">
        <v>51.999999999999901</v>
      </c>
      <c r="N27" s="70"/>
      <c r="O27" s="237">
        <v>51.999999999999901</v>
      </c>
      <c r="P27" s="300"/>
      <c r="Q27" s="4"/>
    </row>
    <row r="28" spans="2:17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237">
        <v>51.799999999999898</v>
      </c>
      <c r="N28" s="70"/>
      <c r="O28" s="237">
        <v>51.799999999999898</v>
      </c>
      <c r="P28" s="300"/>
      <c r="Q28" s="4"/>
    </row>
    <row r="29" spans="2:17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237">
        <v>51.599999999999902</v>
      </c>
      <c r="N29" s="70"/>
      <c r="O29" s="237">
        <v>51.599999999999902</v>
      </c>
      <c r="P29" s="300"/>
      <c r="Q29" s="4"/>
    </row>
    <row r="30" spans="2:17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237">
        <v>51.399999999999899</v>
      </c>
      <c r="N30" s="70"/>
      <c r="O30" s="237">
        <v>51.399999999999899</v>
      </c>
      <c r="P30" s="300"/>
      <c r="Q30" s="4"/>
    </row>
    <row r="31" spans="2:17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237">
        <v>51.199999999999903</v>
      </c>
      <c r="N31" s="70"/>
      <c r="O31" s="237">
        <v>51.199999999999903</v>
      </c>
      <c r="P31" s="300"/>
      <c r="Q31" s="4"/>
    </row>
    <row r="32" spans="2:17">
      <c r="B32" s="4"/>
      <c r="C32" s="4"/>
      <c r="D32" s="4"/>
      <c r="E32" s="4"/>
      <c r="F32" s="4"/>
      <c r="G32" s="4"/>
      <c r="H32" s="4"/>
      <c r="I32" s="4"/>
      <c r="J32" s="4"/>
      <c r="K32" s="73"/>
      <c r="L32" s="4"/>
      <c r="M32" s="237">
        <v>50.999999999999901</v>
      </c>
      <c r="N32" s="70"/>
      <c r="O32" s="237">
        <v>50.999999999999901</v>
      </c>
      <c r="P32" s="300"/>
      <c r="Q32" s="4"/>
    </row>
    <row r="33" spans="2: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237">
        <v>50.799999999999898</v>
      </c>
      <c r="N33" s="70"/>
      <c r="O33" s="237">
        <v>50.799999999999898</v>
      </c>
      <c r="P33" s="300"/>
      <c r="Q33" s="4"/>
    </row>
    <row r="34" spans="2:3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237">
        <v>50.599999999999902</v>
      </c>
      <c r="N34" s="70"/>
      <c r="O34" s="237">
        <v>50.599999999999902</v>
      </c>
      <c r="P34" s="300"/>
      <c r="Q34" s="4"/>
      <c r="U34" s="41"/>
    </row>
    <row r="35" spans="2:35">
      <c r="B35" s="4"/>
      <c r="C35" s="4"/>
      <c r="D35" s="4"/>
      <c r="E35" s="4"/>
      <c r="F35" s="4"/>
      <c r="G35" s="4"/>
      <c r="H35" s="23"/>
      <c r="I35" s="23"/>
      <c r="J35" s="4"/>
      <c r="K35" s="4"/>
      <c r="L35" s="4"/>
      <c r="M35" s="237">
        <v>50.399999999999899</v>
      </c>
      <c r="N35" s="70"/>
      <c r="O35" s="237">
        <v>50.399999999999899</v>
      </c>
      <c r="P35" s="300"/>
      <c r="Q35" s="4"/>
      <c r="U35" s="41"/>
    </row>
    <row r="36" spans="2:3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237">
        <v>50.199999999999903</v>
      </c>
      <c r="N36" s="70"/>
      <c r="O36" s="237">
        <v>50.199999999999903</v>
      </c>
      <c r="P36" s="300"/>
      <c r="Q36" s="4"/>
    </row>
    <row r="37" spans="2:3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237">
        <v>49.999999999999901</v>
      </c>
      <c r="N37" s="70"/>
      <c r="O37" s="237">
        <v>49.999999999999901</v>
      </c>
      <c r="P37" s="300"/>
      <c r="Q37" s="4"/>
    </row>
    <row r="38" spans="2:3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237">
        <v>49.799999999999898</v>
      </c>
      <c r="N38" s="70"/>
      <c r="O38" s="237">
        <v>49.799999999999898</v>
      </c>
      <c r="P38" s="300"/>
      <c r="Q38" s="4"/>
    </row>
    <row r="39" spans="2:3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237">
        <v>49.599999999999902</v>
      </c>
      <c r="N39" s="35"/>
      <c r="O39" s="237">
        <v>49.599999999999902</v>
      </c>
      <c r="P39" s="301"/>
      <c r="Q39" s="4"/>
    </row>
    <row r="40" spans="2:35">
      <c r="B40" s="4"/>
      <c r="C40" s="8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2:35" ht="17">
      <c r="B41" s="63" t="s">
        <v>99</v>
      </c>
      <c r="C41" s="49" t="s">
        <v>78</v>
      </c>
      <c r="D41" s="49" t="s">
        <v>29</v>
      </c>
      <c r="E41" s="49" t="s">
        <v>30</v>
      </c>
      <c r="F41" s="65" t="s">
        <v>98</v>
      </c>
      <c r="G41" s="49" t="s">
        <v>97</v>
      </c>
      <c r="H41" s="49" t="s">
        <v>96</v>
      </c>
      <c r="I41" s="49" t="s">
        <v>31</v>
      </c>
      <c r="J41" s="49" t="s">
        <v>127</v>
      </c>
      <c r="K41" s="64" t="s">
        <v>17</v>
      </c>
      <c r="L41" s="49" t="s">
        <v>128</v>
      </c>
      <c r="M41" s="64" t="s">
        <v>95</v>
      </c>
      <c r="N41" s="64" t="s">
        <v>94</v>
      </c>
      <c r="O41" s="64" t="s">
        <v>93</v>
      </c>
      <c r="P41" s="49" t="s">
        <v>32</v>
      </c>
      <c r="Q41" s="50" t="s">
        <v>21</v>
      </c>
      <c r="R41" s="50" t="s">
        <v>18</v>
      </c>
      <c r="S41" s="50" t="s">
        <v>19</v>
      </c>
      <c r="T41" s="50" t="s">
        <v>20</v>
      </c>
      <c r="U41" s="74" t="s">
        <v>129</v>
      </c>
      <c r="V41" s="64" t="s">
        <v>92</v>
      </c>
      <c r="W41" s="49" t="s">
        <v>39</v>
      </c>
      <c r="X41" s="64" t="s">
        <v>91</v>
      </c>
      <c r="Y41" s="49" t="s">
        <v>33</v>
      </c>
      <c r="Z41" s="64" t="s">
        <v>90</v>
      </c>
      <c r="AA41" s="64" t="s">
        <v>11</v>
      </c>
      <c r="AB41" s="49" t="s">
        <v>34</v>
      </c>
      <c r="AC41" s="64" t="s">
        <v>12</v>
      </c>
      <c r="AD41" s="51" t="s">
        <v>89</v>
      </c>
    </row>
    <row r="42" spans="2:35">
      <c r="B42" s="113"/>
      <c r="D42" s="6"/>
      <c r="F42" s="24"/>
      <c r="G42" s="53"/>
      <c r="K42" s="18"/>
      <c r="L42" s="41"/>
      <c r="M42" s="18"/>
      <c r="N42" s="19"/>
      <c r="O42" s="20"/>
      <c r="R42" s="36"/>
      <c r="V42" s="21"/>
      <c r="X42" s="20"/>
      <c r="Y42" s="5"/>
      <c r="Z42" s="22"/>
      <c r="AA42" s="60"/>
      <c r="AB42" s="75"/>
      <c r="AC42" s="62"/>
      <c r="AD42" s="32"/>
      <c r="AI42" s="59"/>
    </row>
    <row r="43" spans="2:35">
      <c r="B43" s="113"/>
      <c r="D43" s="6"/>
      <c r="F43" s="24"/>
      <c r="G43" s="53"/>
      <c r="K43" s="18"/>
      <c r="L43" s="41"/>
      <c r="M43" s="18"/>
      <c r="N43" s="19"/>
      <c r="O43" s="20"/>
      <c r="R43" s="36"/>
      <c r="U43" s="120"/>
      <c r="V43" s="21"/>
      <c r="X43" s="20"/>
      <c r="Y43" s="5"/>
      <c r="Z43" s="22"/>
      <c r="AA43" s="60"/>
      <c r="AB43" s="75"/>
      <c r="AC43" s="31"/>
      <c r="AD43" s="32"/>
      <c r="AI43" s="59"/>
    </row>
    <row r="44" spans="2:35">
      <c r="B44" s="113"/>
      <c r="D44" s="6"/>
      <c r="F44" s="24"/>
      <c r="G44" s="53"/>
      <c r="K44" s="18"/>
      <c r="L44" s="41"/>
      <c r="M44" s="18"/>
      <c r="N44" s="19"/>
      <c r="O44" s="20"/>
      <c r="R44" s="36"/>
      <c r="U44" s="120"/>
      <c r="V44" s="21"/>
      <c r="X44" s="20"/>
      <c r="Y44" s="5"/>
      <c r="Z44" s="22"/>
      <c r="AA44" s="60"/>
      <c r="AB44" s="75"/>
      <c r="AC44" s="27"/>
      <c r="AD44" s="32"/>
      <c r="AI44" s="59"/>
    </row>
    <row r="45" spans="2:35">
      <c r="B45" s="113"/>
      <c r="D45" s="6"/>
      <c r="F45" s="24"/>
      <c r="G45" s="53"/>
      <c r="K45" s="18"/>
      <c r="L45" s="41"/>
      <c r="M45" s="18"/>
      <c r="N45" s="19"/>
      <c r="O45" s="20"/>
      <c r="R45" s="36"/>
      <c r="U45" s="120"/>
      <c r="V45" s="21"/>
      <c r="X45" s="20"/>
      <c r="Y45" s="5"/>
      <c r="Z45" s="22"/>
      <c r="AA45" s="60"/>
      <c r="AB45" s="75"/>
      <c r="AC45" s="31"/>
      <c r="AD45" s="32"/>
      <c r="AI45" s="59"/>
    </row>
    <row r="46" spans="2:35">
      <c r="B46" s="113"/>
      <c r="D46" s="6"/>
      <c r="F46" s="24"/>
      <c r="G46" s="53"/>
      <c r="K46" s="18"/>
      <c r="L46" s="41"/>
      <c r="M46" s="18"/>
      <c r="N46" s="19"/>
      <c r="O46" s="20"/>
      <c r="R46" s="36"/>
      <c r="U46" s="120"/>
      <c r="V46" s="21"/>
      <c r="X46" s="20"/>
      <c r="Y46" s="5"/>
      <c r="Z46" s="22"/>
      <c r="AA46" s="60"/>
      <c r="AB46" s="75"/>
      <c r="AC46" s="26"/>
      <c r="AD46" s="32"/>
      <c r="AI46" s="59"/>
    </row>
    <row r="47" spans="2:35">
      <c r="B47" s="113"/>
      <c r="D47" s="6"/>
      <c r="F47" s="24"/>
      <c r="G47" s="53"/>
      <c r="K47" s="18"/>
      <c r="L47" s="41"/>
      <c r="M47" s="18"/>
      <c r="N47" s="19"/>
      <c r="O47" s="20"/>
      <c r="R47" s="36"/>
      <c r="U47" s="120"/>
      <c r="V47" s="21"/>
      <c r="X47" s="20"/>
      <c r="Y47" s="5"/>
      <c r="Z47" s="22"/>
      <c r="AA47" s="61"/>
      <c r="AB47" s="75"/>
      <c r="AC47" s="27"/>
      <c r="AD47" s="32"/>
      <c r="AI47" s="59"/>
    </row>
    <row r="48" spans="2:35">
      <c r="B48" s="113"/>
      <c r="D48" s="6"/>
      <c r="F48" s="24"/>
      <c r="G48" s="53"/>
      <c r="K48" s="18"/>
      <c r="L48" s="41"/>
      <c r="M48" s="18"/>
      <c r="N48" s="19"/>
      <c r="O48" s="20"/>
      <c r="R48" s="36"/>
      <c r="U48" s="120"/>
      <c r="V48" s="21"/>
      <c r="X48" s="20"/>
      <c r="Y48" s="5"/>
      <c r="Z48" s="22"/>
      <c r="AA48" s="61"/>
      <c r="AB48" s="75"/>
      <c r="AC48" s="27"/>
      <c r="AD48" s="32"/>
      <c r="AI48" s="59"/>
    </row>
    <row r="49" spans="1:35">
      <c r="B49" s="113"/>
      <c r="D49" s="6"/>
      <c r="F49" s="24"/>
      <c r="G49" s="53"/>
      <c r="K49" s="18"/>
      <c r="L49" s="41"/>
      <c r="M49" s="18"/>
      <c r="N49" s="19"/>
      <c r="O49" s="20"/>
      <c r="R49" s="36"/>
      <c r="U49" s="120"/>
      <c r="V49" s="21"/>
      <c r="X49" s="20"/>
      <c r="Y49" s="5"/>
      <c r="Z49" s="22"/>
      <c r="AA49" s="61"/>
      <c r="AB49" s="75"/>
      <c r="AC49" s="27"/>
      <c r="AD49" s="32"/>
      <c r="AI49" s="59"/>
    </row>
    <row r="50" spans="1:35">
      <c r="B50" s="113"/>
      <c r="D50" s="6"/>
      <c r="F50" s="24"/>
      <c r="G50" s="53"/>
      <c r="K50" s="18"/>
      <c r="L50" s="41"/>
      <c r="M50" s="18"/>
      <c r="N50" s="19"/>
      <c r="O50" s="20"/>
      <c r="R50" s="36"/>
      <c r="U50" s="120"/>
      <c r="V50" s="21"/>
      <c r="X50" s="20"/>
      <c r="Y50" s="5"/>
      <c r="Z50" s="22"/>
      <c r="AA50" s="61"/>
      <c r="AB50" s="75"/>
      <c r="AC50" s="26"/>
      <c r="AD50" s="32"/>
      <c r="AI50" s="59"/>
    </row>
    <row r="51" spans="1:35">
      <c r="B51" s="6"/>
      <c r="D51" s="6"/>
      <c r="F51" s="24"/>
      <c r="G51" s="53"/>
      <c r="K51" s="18"/>
      <c r="L51" s="41"/>
      <c r="M51" s="18"/>
      <c r="N51" s="19"/>
      <c r="O51" s="20"/>
      <c r="R51" s="36"/>
      <c r="V51" s="21"/>
      <c r="X51" s="20"/>
      <c r="Y51" s="5"/>
      <c r="Z51" s="22"/>
      <c r="AA51" s="61"/>
      <c r="AB51" s="75"/>
      <c r="AC51" s="26"/>
      <c r="AD51" s="32"/>
      <c r="AI51" s="59"/>
    </row>
    <row r="52" spans="1:35">
      <c r="B52" s="6"/>
      <c r="D52" s="6"/>
      <c r="F52" s="24"/>
      <c r="G52" s="53"/>
      <c r="K52" s="18"/>
      <c r="L52" s="41"/>
      <c r="M52" s="18"/>
      <c r="N52" s="19"/>
      <c r="O52" s="20"/>
      <c r="R52" s="36"/>
      <c r="V52" s="21"/>
      <c r="X52" s="20"/>
      <c r="Y52" s="5"/>
      <c r="Z52" s="22"/>
      <c r="AA52" s="61"/>
      <c r="AB52" s="75"/>
      <c r="AC52" s="27"/>
      <c r="AD52" s="32"/>
      <c r="AI52" s="59"/>
    </row>
    <row r="53" spans="1:35">
      <c r="B53" s="6"/>
      <c r="D53" s="6"/>
      <c r="F53" s="24"/>
      <c r="G53" s="53"/>
      <c r="K53" s="18"/>
      <c r="L53" s="41"/>
      <c r="M53" s="18"/>
      <c r="N53" s="19"/>
      <c r="O53" s="20"/>
      <c r="R53" s="36"/>
      <c r="V53" s="21"/>
      <c r="X53" s="20"/>
      <c r="Y53" s="5"/>
      <c r="Z53" s="22"/>
      <c r="AA53" s="61"/>
      <c r="AB53" s="75"/>
      <c r="AC53" s="27"/>
      <c r="AD53" s="32"/>
      <c r="AI53" s="59"/>
    </row>
    <row r="54" spans="1:35">
      <c r="B54" s="6"/>
      <c r="D54" s="6"/>
      <c r="F54" s="24"/>
      <c r="G54" s="53"/>
      <c r="K54" s="18"/>
      <c r="L54" s="41"/>
      <c r="M54" s="18"/>
      <c r="N54" s="19"/>
      <c r="O54" s="20"/>
      <c r="R54" s="36"/>
      <c r="V54" s="21"/>
      <c r="X54" s="20"/>
      <c r="Y54" s="5"/>
      <c r="Z54" s="22"/>
      <c r="AA54" s="61"/>
      <c r="AB54" s="75"/>
      <c r="AC54" s="27"/>
      <c r="AD54" s="32"/>
      <c r="AI54" s="59"/>
    </row>
    <row r="55" spans="1:35">
      <c r="B55" s="6"/>
      <c r="D55" s="6"/>
      <c r="F55" s="24"/>
      <c r="G55" s="53"/>
      <c r="K55" s="18"/>
      <c r="L55" s="41"/>
      <c r="M55" s="18"/>
      <c r="N55" s="19"/>
      <c r="O55" s="20"/>
      <c r="R55" s="36"/>
      <c r="V55" s="21"/>
      <c r="X55" s="20"/>
      <c r="Y55" s="5"/>
      <c r="Z55" s="22"/>
      <c r="AA55" s="61"/>
      <c r="AB55" s="75"/>
      <c r="AC55" s="27"/>
      <c r="AD55" s="32"/>
      <c r="AI55" s="59"/>
    </row>
    <row r="56" spans="1:35">
      <c r="B56" s="6"/>
      <c r="D56" s="6"/>
      <c r="F56" s="24"/>
      <c r="G56" s="53"/>
      <c r="K56" s="18"/>
      <c r="L56" s="41"/>
      <c r="M56" s="18"/>
      <c r="N56" s="19"/>
      <c r="O56" s="20"/>
      <c r="R56" s="36"/>
      <c r="V56" s="21"/>
      <c r="X56" s="20"/>
      <c r="Y56" s="5"/>
      <c r="Z56" s="22"/>
      <c r="AA56" s="61"/>
      <c r="AB56" s="75"/>
      <c r="AC56" s="27"/>
      <c r="AD56" s="32"/>
      <c r="AI56" s="59"/>
    </row>
    <row r="57" spans="1:35">
      <c r="B57" s="6"/>
      <c r="D57" s="6"/>
      <c r="F57" s="24"/>
      <c r="G57" s="53"/>
      <c r="K57" s="18"/>
      <c r="L57" s="41"/>
      <c r="M57" s="18"/>
      <c r="N57" s="19"/>
      <c r="O57" s="20"/>
      <c r="R57" s="36"/>
      <c r="V57" s="21"/>
      <c r="X57" s="20"/>
      <c r="Y57" s="5"/>
      <c r="Z57" s="22"/>
      <c r="AA57" s="61"/>
      <c r="AB57" s="75"/>
      <c r="AC57" s="18"/>
      <c r="AD57" s="37"/>
      <c r="AI57" s="59"/>
    </row>
    <row r="58" spans="1:35">
      <c r="B58" s="6"/>
      <c r="D58" s="6"/>
      <c r="F58" s="24"/>
      <c r="G58" s="53"/>
      <c r="K58" s="18"/>
      <c r="L58" s="41"/>
      <c r="M58" s="18"/>
      <c r="N58" s="19"/>
      <c r="O58" s="20"/>
      <c r="R58" s="36"/>
      <c r="V58" s="21"/>
      <c r="X58" s="20"/>
      <c r="Y58" s="5"/>
      <c r="Z58" s="22"/>
      <c r="AA58" s="61"/>
      <c r="AB58" s="75"/>
      <c r="AC58" s="18"/>
      <c r="AD58" s="37"/>
      <c r="AI58" s="59"/>
    </row>
    <row r="59" spans="1:35">
      <c r="B59" s="6"/>
      <c r="D59" s="6"/>
      <c r="F59" s="24"/>
      <c r="G59" s="53"/>
      <c r="K59" s="18"/>
      <c r="L59" s="41"/>
      <c r="M59" s="18"/>
      <c r="N59" s="19"/>
      <c r="O59" s="20"/>
      <c r="R59" s="36"/>
      <c r="V59" s="21"/>
      <c r="X59" s="20"/>
      <c r="Y59" s="5"/>
      <c r="Z59" s="22"/>
      <c r="AA59" s="61"/>
      <c r="AB59" s="75"/>
      <c r="AC59" s="18"/>
      <c r="AD59" s="37"/>
      <c r="AI59" s="59"/>
    </row>
    <row r="60" spans="1:35">
      <c r="B60" s="6"/>
      <c r="D60" s="6"/>
      <c r="F60" s="24"/>
      <c r="G60" s="53"/>
      <c r="K60" s="18"/>
      <c r="L60" s="41"/>
      <c r="M60" s="18"/>
      <c r="N60" s="19"/>
      <c r="O60" s="20"/>
      <c r="R60" s="36"/>
      <c r="V60" s="21"/>
      <c r="X60" s="20"/>
      <c r="Y60" s="5"/>
      <c r="Z60" s="22"/>
      <c r="AA60" s="61"/>
      <c r="AB60" s="75"/>
      <c r="AC60" s="18"/>
      <c r="AD60" s="37"/>
      <c r="AI60" s="59"/>
    </row>
    <row r="62" spans="1:35">
      <c r="B62" s="313" t="s">
        <v>141</v>
      </c>
      <c r="C62" s="314"/>
      <c r="D62" s="314"/>
      <c r="E62" s="315"/>
      <c r="F62" s="4"/>
      <c r="AI62" s="6"/>
    </row>
    <row r="63" spans="1:35">
      <c r="A63" s="94" t="s">
        <v>142</v>
      </c>
      <c r="B63" s="94" t="s">
        <v>143</v>
      </c>
      <c r="C63" s="91" t="s">
        <v>144</v>
      </c>
      <c r="D63" s="93" t="s">
        <v>145</v>
      </c>
      <c r="E63" s="92" t="s">
        <v>146</v>
      </c>
      <c r="F63" s="92" t="s">
        <v>18</v>
      </c>
      <c r="G63" s="92" t="s">
        <v>19</v>
      </c>
      <c r="H63" s="92" t="s">
        <v>20</v>
      </c>
      <c r="I63" s="92"/>
      <c r="J63" s="91" t="s">
        <v>147</v>
      </c>
      <c r="K63" s="91" t="s">
        <v>85</v>
      </c>
      <c r="L63" s="90" t="s">
        <v>86</v>
      </c>
      <c r="M63" s="90" t="s">
        <v>87</v>
      </c>
      <c r="N63" s="87" t="s">
        <v>88</v>
      </c>
      <c r="O63" s="89" t="s">
        <v>13</v>
      </c>
      <c r="P63" s="88" t="s">
        <v>78</v>
      </c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</row>
    <row r="64" spans="1:35">
      <c r="A64" s="95">
        <v>0.5</v>
      </c>
      <c r="B64" s="96">
        <v>3.0894430000000002</v>
      </c>
      <c r="C64" s="98">
        <v>54.866436803784438</v>
      </c>
      <c r="D64" s="101">
        <f>C64+(0.002+$I$9)/1000</f>
        <v>54.866438893784441</v>
      </c>
      <c r="E64" s="332">
        <v>1.038E-2</v>
      </c>
      <c r="F64" s="6">
        <f>C64-E64</f>
        <v>54.85605680378444</v>
      </c>
      <c r="H64" s="1">
        <f>E64+G64</f>
        <v>1.038E-2</v>
      </c>
      <c r="J64" s="67">
        <f>C64-H64</f>
        <v>54.85605680378444</v>
      </c>
      <c r="K64" s="6">
        <f>D64-H64</f>
        <v>54.856058893784443</v>
      </c>
      <c r="L64" s="66">
        <f>$C$7*$H$8/($C$5*$C$9*$C$6)*SQRT((J64/$H$8+1)^2-1)</f>
        <v>1.0860318515904772</v>
      </c>
      <c r="M64" s="69">
        <f>$C$7*$H$8/($C$5*$C$9*$C$6)*SQRT((K64/$H$8+1)^2-1)</f>
        <v>1.086031872866523</v>
      </c>
      <c r="N64" s="68">
        <f>M64-L64</f>
        <v>2.1276045814033751E-8</v>
      </c>
      <c r="O64" s="108">
        <v>-361.39699999999999</v>
      </c>
      <c r="P64" s="1">
        <v>0.33031190837074043</v>
      </c>
      <c r="Q64" s="107" t="s">
        <v>148</v>
      </c>
      <c r="AI64" s="6"/>
    </row>
    <row r="65" spans="1:35">
      <c r="A65" s="95"/>
      <c r="B65" s="96">
        <v>3.684507</v>
      </c>
      <c r="C65" s="99">
        <v>54.250071547752228</v>
      </c>
      <c r="D65" s="101">
        <f>C65+(0.0019+$I$9)/1000</f>
        <v>54.250073537752229</v>
      </c>
      <c r="E65" s="332">
        <v>1.048E-2</v>
      </c>
      <c r="F65" s="103">
        <f t="shared" ref="F65:F98" si="0">C65-E65</f>
        <v>54.239591547752227</v>
      </c>
      <c r="H65" s="102">
        <f t="shared" ref="H65:H98" si="1">E65+G65</f>
        <v>1.048E-2</v>
      </c>
      <c r="J65" s="276">
        <f t="shared" ref="J65:J66" si="2">C65-H65</f>
        <v>54.239591547752227</v>
      </c>
      <c r="K65" s="103">
        <f t="shared" ref="K65:K98" si="3">D65-H65</f>
        <v>54.239593537752228</v>
      </c>
      <c r="L65" s="104">
        <f t="shared" ref="L65:L98" si="4">$C$7*$H$8/($C$5*$C$9*$C$6)*SQRT((J65/$H$8+1)^2-1)</f>
        <v>1.0797400015910343</v>
      </c>
      <c r="M65" s="106">
        <f t="shared" ref="M65:M98" si="5">$C$7*$H$8/($C$5*$C$9*$C$6)*SQRT((K65/$H$8+1)^2-1)</f>
        <v>1.0797400219544941</v>
      </c>
      <c r="N65" s="68"/>
      <c r="O65" s="108">
        <v>-227.084</v>
      </c>
      <c r="P65" s="1">
        <v>0.74389994293171124</v>
      </c>
      <c r="AI65" s="6"/>
    </row>
    <row r="66" spans="1:35">
      <c r="A66" s="95"/>
      <c r="B66" s="96">
        <v>3.8538069999999998</v>
      </c>
      <c r="C66" s="98">
        <v>54.074634723241758</v>
      </c>
      <c r="D66" s="101">
        <f>C66+(0.0019+$I$9)/1000</f>
        <v>54.074636713241759</v>
      </c>
      <c r="E66" s="332">
        <v>1.051E-2</v>
      </c>
      <c r="F66" s="103">
        <f t="shared" si="0"/>
        <v>54.064124723241761</v>
      </c>
      <c r="H66" s="102">
        <f t="shared" si="1"/>
        <v>1.051E-2</v>
      </c>
      <c r="J66" s="276">
        <f t="shared" si="2"/>
        <v>54.064124723241761</v>
      </c>
      <c r="K66" s="103">
        <f t="shared" si="3"/>
        <v>54.064126713241762</v>
      </c>
      <c r="L66" s="104">
        <f t="shared" si="4"/>
        <v>1.0779431316001615</v>
      </c>
      <c r="M66" s="106">
        <f t="shared" si="5"/>
        <v>1.0779431519939613</v>
      </c>
      <c r="N66" s="68"/>
      <c r="O66" s="108">
        <v>-188.85499999999999</v>
      </c>
      <c r="P66" s="1">
        <v>0.52881002562419832</v>
      </c>
    </row>
    <row r="67" spans="1:35">
      <c r="A67" s="95"/>
      <c r="B67" s="96"/>
      <c r="C67" s="98"/>
      <c r="D67" s="101"/>
      <c r="E67" s="332"/>
      <c r="F67" s="103"/>
      <c r="H67" s="102"/>
      <c r="J67" s="105"/>
      <c r="K67" s="103"/>
      <c r="L67" s="104"/>
      <c r="M67" s="106"/>
      <c r="N67" s="68"/>
      <c r="O67" s="108"/>
    </row>
    <row r="68" spans="1:35">
      <c r="A68" s="95">
        <v>5</v>
      </c>
      <c r="B68" s="96">
        <v>3.0894430000000002</v>
      </c>
      <c r="C68" s="99">
        <v>54.818044193325932</v>
      </c>
      <c r="D68" s="101">
        <f>C68+(0.002+$I$9)/1000</f>
        <v>54.818046283325934</v>
      </c>
      <c r="E68" s="332">
        <v>1.039E-2</v>
      </c>
      <c r="F68" s="103">
        <f t="shared" si="0"/>
        <v>54.807654193325931</v>
      </c>
      <c r="H68" s="102">
        <f t="shared" si="1"/>
        <v>1.039E-2</v>
      </c>
      <c r="J68" s="105">
        <f t="shared" ref="J65:J98" si="6">C68-H68</f>
        <v>54.807654193325931</v>
      </c>
      <c r="K68" s="103">
        <f t="shared" si="3"/>
        <v>54.807656283325933</v>
      </c>
      <c r="L68" s="104">
        <f t="shared" si="4"/>
        <v>1.0855390167501004</v>
      </c>
      <c r="M68" s="106">
        <f t="shared" si="5"/>
        <v>1.0855390380347698</v>
      </c>
      <c r="N68" s="68">
        <f>M68-L68</f>
        <v>2.1284669360355224E-8</v>
      </c>
      <c r="O68" s="108">
        <v>-351.78</v>
      </c>
      <c r="P68" s="1">
        <v>0.30782123019566865</v>
      </c>
    </row>
    <row r="69" spans="1:35">
      <c r="A69" s="95"/>
      <c r="B69" s="96">
        <v>3.684507</v>
      </c>
      <c r="C69" s="97">
        <v>54.20192915449136</v>
      </c>
      <c r="D69" s="101">
        <f>C69+(0.0019+$I$9)/1000</f>
        <v>54.201931144491361</v>
      </c>
      <c r="E69" s="332">
        <v>1.0489999999999999E-2</v>
      </c>
      <c r="F69" s="103">
        <f t="shared" si="0"/>
        <v>54.191439154491363</v>
      </c>
      <c r="H69" s="102">
        <f t="shared" si="1"/>
        <v>1.0489999999999999E-2</v>
      </c>
      <c r="J69" s="105">
        <f t="shared" si="6"/>
        <v>54.191439154491363</v>
      </c>
      <c r="K69" s="103">
        <f t="shared" si="3"/>
        <v>54.191441144491364</v>
      </c>
      <c r="L69" s="104">
        <f t="shared" si="4"/>
        <v>1.0792471627081968</v>
      </c>
      <c r="M69" s="106">
        <f t="shared" si="5"/>
        <v>1.0792471830799681</v>
      </c>
      <c r="N69" s="68"/>
      <c r="O69" s="108">
        <v>-217.86699999999999</v>
      </c>
      <c r="P69" s="1">
        <v>0.26325031633942575</v>
      </c>
    </row>
    <row r="70" spans="1:35">
      <c r="A70" s="95"/>
      <c r="B70" s="96">
        <v>3.8538069999999998</v>
      </c>
      <c r="C70" s="97">
        <v>54.026563777627487</v>
      </c>
      <c r="D70" s="101">
        <f>C70+(0.0019+$I$9)/1000</f>
        <v>54.026565767627488</v>
      </c>
      <c r="E70" s="332">
        <v>1.052E-2</v>
      </c>
      <c r="F70" s="103">
        <f t="shared" si="0"/>
        <v>54.016043777627488</v>
      </c>
      <c r="H70" s="102">
        <f t="shared" si="1"/>
        <v>1.052E-2</v>
      </c>
      <c r="J70" s="105">
        <f t="shared" si="6"/>
        <v>54.016043777627488</v>
      </c>
      <c r="K70" s="103">
        <f t="shared" si="3"/>
        <v>54.016045767627489</v>
      </c>
      <c r="L70" s="104">
        <f t="shared" si="4"/>
        <v>1.0774502905638335</v>
      </c>
      <c r="M70" s="106">
        <f t="shared" si="5"/>
        <v>1.0774503109659748</v>
      </c>
      <c r="N70" s="68"/>
      <c r="O70" s="108">
        <v>-179.79</v>
      </c>
      <c r="P70" s="1">
        <v>0.90865031592836643</v>
      </c>
    </row>
    <row r="71" spans="1:35">
      <c r="A71" s="95"/>
      <c r="B71" s="96"/>
      <c r="C71" s="97"/>
      <c r="D71" s="100"/>
      <c r="E71" s="332"/>
      <c r="F71" s="103"/>
      <c r="H71" s="102"/>
      <c r="J71" s="105"/>
      <c r="K71" s="103"/>
      <c r="L71" s="104"/>
      <c r="M71" s="106"/>
      <c r="N71" s="68"/>
      <c r="O71" s="108"/>
    </row>
    <row r="72" spans="1:35">
      <c r="A72" s="95">
        <v>10</v>
      </c>
      <c r="B72" s="96">
        <v>3.0894430000000002</v>
      </c>
      <c r="C72" s="98">
        <v>54.672023461585312</v>
      </c>
      <c r="D72" s="101">
        <f>C72+(0.002+$I$9)/1000</f>
        <v>54.672025551585314</v>
      </c>
      <c r="E72" s="332">
        <v>1.0410000000000001E-2</v>
      </c>
      <c r="F72" s="103">
        <f t="shared" si="0"/>
        <v>54.661613461585311</v>
      </c>
      <c r="H72" s="102">
        <f t="shared" si="1"/>
        <v>1.0410000000000001E-2</v>
      </c>
      <c r="J72" s="105">
        <f t="shared" si="6"/>
        <v>54.661613461585311</v>
      </c>
      <c r="K72" s="103">
        <f t="shared" si="3"/>
        <v>54.661615551585314</v>
      </c>
      <c r="L72" s="104">
        <f t="shared" si="4"/>
        <v>1.0840508195236633</v>
      </c>
      <c r="M72" s="106">
        <f t="shared" si="5"/>
        <v>1.0840508408344192</v>
      </c>
      <c r="N72" s="68">
        <f>M72-L72</f>
        <v>2.1310755826675631E-8</v>
      </c>
      <c r="O72" s="108">
        <v>-321.767</v>
      </c>
      <c r="P72" s="1">
        <v>0.33025296947143767</v>
      </c>
    </row>
    <row r="73" spans="1:35">
      <c r="A73" s="95"/>
      <c r="B73" s="96">
        <v>3.684507</v>
      </c>
      <c r="C73" s="97">
        <v>54.056664795167642</v>
      </c>
      <c r="D73" s="101">
        <f>C73+(0.0019+$I$9)/1000</f>
        <v>54.056666785167643</v>
      </c>
      <c r="E73" s="332">
        <v>1.051E-2</v>
      </c>
      <c r="F73" s="103">
        <f t="shared" si="0"/>
        <v>54.046154795167645</v>
      </c>
      <c r="H73" s="102">
        <f t="shared" si="1"/>
        <v>1.051E-2</v>
      </c>
      <c r="J73" s="105">
        <f t="shared" si="6"/>
        <v>54.046154795167645</v>
      </c>
      <c r="K73" s="103">
        <f t="shared" si="3"/>
        <v>54.046156785167646</v>
      </c>
      <c r="L73" s="104">
        <f t="shared" si="4"/>
        <v>1.0777589591794112</v>
      </c>
      <c r="M73" s="106">
        <f t="shared" si="5"/>
        <v>1.0777589795763256</v>
      </c>
      <c r="N73" s="68">
        <f>M73-L73</f>
        <v>2.0396914379716691E-8</v>
      </c>
      <c r="O73" s="108">
        <v>-187.95</v>
      </c>
      <c r="P73" s="1">
        <v>0.38051042812661223</v>
      </c>
    </row>
    <row r="74" spans="1:35">
      <c r="A74" s="95"/>
      <c r="B74" s="96">
        <v>3.8538069999999998</v>
      </c>
      <c r="C74" s="97">
        <v>53.881515395423222</v>
      </c>
      <c r="D74" s="101">
        <f>C74+(0.0019+$I$9)/1000</f>
        <v>53.881517385423223</v>
      </c>
      <c r="E74" s="332">
        <v>1.0540000000000001E-2</v>
      </c>
      <c r="F74" s="103">
        <f t="shared" si="0"/>
        <v>53.870975395423223</v>
      </c>
      <c r="H74" s="102">
        <f t="shared" si="1"/>
        <v>1.0540000000000001E-2</v>
      </c>
      <c r="J74" s="105">
        <f t="shared" si="6"/>
        <v>53.870975395423223</v>
      </c>
      <c r="K74" s="103">
        <f t="shared" si="3"/>
        <v>53.870977385423224</v>
      </c>
      <c r="L74" s="104">
        <f t="shared" si="4"/>
        <v>1.0759620822321923</v>
      </c>
      <c r="M74" s="106">
        <f t="shared" si="5"/>
        <v>1.0759621026595676</v>
      </c>
      <c r="O74" s="108">
        <v>-149.89599999999999</v>
      </c>
      <c r="P74" s="1">
        <v>0.75674504258061137</v>
      </c>
    </row>
    <row r="75" spans="1:35">
      <c r="A75" s="95"/>
      <c r="B75" s="96"/>
      <c r="C75" s="97"/>
      <c r="D75" s="100"/>
      <c r="E75" s="332"/>
      <c r="F75" s="103"/>
      <c r="H75" s="102"/>
      <c r="J75" s="105"/>
      <c r="K75" s="103"/>
      <c r="L75" s="104"/>
      <c r="M75" s="106"/>
      <c r="O75" s="108"/>
    </row>
    <row r="76" spans="1:35">
      <c r="A76" s="95">
        <v>15</v>
      </c>
      <c r="B76" s="96">
        <v>3.0894430000000002</v>
      </c>
      <c r="C76" s="98">
        <v>54.430725187684565</v>
      </c>
      <c r="D76" s="101">
        <f>C76+(0.002+$I$9)/1000</f>
        <v>54.430727277684568</v>
      </c>
      <c r="E76" s="332">
        <v>1.0449999999999999E-2</v>
      </c>
      <c r="F76" s="103">
        <f t="shared" si="0"/>
        <v>54.420275187684567</v>
      </c>
      <c r="H76" s="102">
        <f t="shared" si="1"/>
        <v>1.0449999999999999E-2</v>
      </c>
      <c r="J76" s="105">
        <f t="shared" si="6"/>
        <v>54.420275187684567</v>
      </c>
      <c r="K76" s="103">
        <f t="shared" si="3"/>
        <v>54.420277277684569</v>
      </c>
      <c r="L76" s="104">
        <f t="shared" si="4"/>
        <v>1.0815875057995408</v>
      </c>
      <c r="M76" s="106">
        <f t="shared" si="5"/>
        <v>1.0815875271536428</v>
      </c>
      <c r="O76" s="111">
        <v>-268.67500000000001</v>
      </c>
      <c r="P76" s="1">
        <v>0.79146312683862541</v>
      </c>
    </row>
    <row r="77" spans="1:35">
      <c r="A77" s="95"/>
      <c r="B77" s="96">
        <v>3.684507</v>
      </c>
      <c r="C77" s="97">
        <v>53.81662092768336</v>
      </c>
      <c r="D77" s="101">
        <f>C77+(0.0019+$I$9)/1000</f>
        <v>53.816622917683361</v>
      </c>
      <c r="E77" s="332">
        <v>1.055E-2</v>
      </c>
      <c r="F77" s="103">
        <f t="shared" si="0"/>
        <v>53.806070927683358</v>
      </c>
      <c r="H77" s="102">
        <f t="shared" si="1"/>
        <v>1.055E-2</v>
      </c>
      <c r="J77" s="105">
        <f t="shared" si="6"/>
        <v>53.806070927683358</v>
      </c>
      <c r="K77" s="103">
        <f t="shared" si="3"/>
        <v>53.806072917683359</v>
      </c>
      <c r="L77" s="104">
        <f t="shared" si="4"/>
        <v>1.0752956524697788</v>
      </c>
      <c r="M77" s="106">
        <f t="shared" si="5"/>
        <v>1.0752956729084782</v>
      </c>
      <c r="O77" s="111">
        <v>-135.11000000000001</v>
      </c>
      <c r="P77" s="1">
        <v>0.34853565339628734</v>
      </c>
    </row>
    <row r="78" spans="1:35">
      <c r="A78" s="95"/>
      <c r="B78" s="96">
        <v>3.8538069999999998</v>
      </c>
      <c r="C78" s="97">
        <v>53.641829717467068</v>
      </c>
      <c r="D78" s="101">
        <f>C78+(0.0019+$I$9)/1000</f>
        <v>53.64183170746707</v>
      </c>
      <c r="E78" s="332">
        <v>1.0580000000000001E-2</v>
      </c>
      <c r="F78" s="103">
        <f t="shared" si="0"/>
        <v>53.631249717467071</v>
      </c>
      <c r="H78" s="102">
        <f t="shared" si="1"/>
        <v>1.0580000000000001E-2</v>
      </c>
      <c r="J78" s="105">
        <f t="shared" si="6"/>
        <v>53.631249717467071</v>
      </c>
      <c r="K78" s="103">
        <f t="shared" si="3"/>
        <v>53.631251707467072</v>
      </c>
      <c r="L78" s="104">
        <f t="shared" si="4"/>
        <v>1.0734987725967378</v>
      </c>
      <c r="M78" s="106">
        <f t="shared" si="5"/>
        <v>1.07349879306604</v>
      </c>
      <c r="O78" s="111">
        <v>-97.128699999999995</v>
      </c>
      <c r="P78" s="1">
        <v>0.36162991227692726</v>
      </c>
    </row>
    <row r="79" spans="1:35">
      <c r="A79" s="95"/>
      <c r="B79" s="96"/>
      <c r="C79" s="97"/>
      <c r="D79" s="100"/>
      <c r="E79" s="332"/>
      <c r="F79" s="103"/>
      <c r="H79" s="102"/>
      <c r="J79" s="105"/>
      <c r="K79" s="103"/>
      <c r="L79" s="104"/>
      <c r="M79" s="106"/>
      <c r="O79" s="108"/>
      <c r="P79" s="1">
        <v>0.52584258580475551</v>
      </c>
    </row>
    <row r="80" spans="1:35">
      <c r="A80" s="95">
        <v>20</v>
      </c>
      <c r="B80" s="96">
        <v>3.0894430000000002</v>
      </c>
      <c r="C80" s="98">
        <v>54.097204991332326</v>
      </c>
      <c r="D80" s="101">
        <f>C80+(0.002+$I$9)/1000</f>
        <v>54.097207081332328</v>
      </c>
      <c r="E80" s="332">
        <v>1.051E-2</v>
      </c>
      <c r="F80" s="103">
        <f t="shared" si="0"/>
        <v>54.08669499133233</v>
      </c>
      <c r="H80" s="102">
        <f t="shared" si="1"/>
        <v>1.051E-2</v>
      </c>
      <c r="J80" s="105">
        <f t="shared" si="6"/>
        <v>54.08669499133233</v>
      </c>
      <c r="K80" s="103">
        <f t="shared" si="3"/>
        <v>54.086697081332332</v>
      </c>
      <c r="L80" s="104">
        <f t="shared" si="4"/>
        <v>1.0781744127040023</v>
      </c>
      <c r="M80" s="106">
        <f t="shared" si="5"/>
        <v>1.078174434118508</v>
      </c>
      <c r="O80" s="108">
        <v>-199.69499999999999</v>
      </c>
      <c r="P80" s="1">
        <v>0.39267284854456597</v>
      </c>
    </row>
    <row r="81" spans="1:16">
      <c r="A81" s="95"/>
      <c r="B81" s="96">
        <v>3.684507</v>
      </c>
      <c r="C81" s="97">
        <v>53.484843873033498</v>
      </c>
      <c r="D81" s="101">
        <f>C81+(0.0019+$I$9)/1000</f>
        <v>53.484845863033499</v>
      </c>
      <c r="E81" s="332">
        <v>1.061E-2</v>
      </c>
      <c r="F81" s="103">
        <f t="shared" si="0"/>
        <v>53.474233873033498</v>
      </c>
      <c r="H81" s="102">
        <f t="shared" si="1"/>
        <v>1.061E-2</v>
      </c>
      <c r="J81" s="105">
        <f t="shared" si="6"/>
        <v>53.474233873033498</v>
      </c>
      <c r="K81" s="103">
        <f t="shared" si="3"/>
        <v>53.474235863033499</v>
      </c>
      <c r="L81" s="104">
        <f t="shared" si="4"/>
        <v>1.0718826058941409</v>
      </c>
      <c r="M81" s="106">
        <f t="shared" si="5"/>
        <v>1.0718826263910646</v>
      </c>
      <c r="O81" s="109">
        <v>-66.975499999999997</v>
      </c>
      <c r="P81" s="1">
        <v>0.6645810905297288</v>
      </c>
    </row>
    <row r="82" spans="1:16">
      <c r="A82" s="95"/>
      <c r="B82" s="96">
        <v>3.8538069999999998</v>
      </c>
      <c r="C82" s="97">
        <v>53.310550412585989</v>
      </c>
      <c r="D82" s="101">
        <f>C82+(0.0019+$I$9)/1000</f>
        <v>53.310552402585991</v>
      </c>
      <c r="E82" s="332">
        <v>1.064E-2</v>
      </c>
      <c r="F82" s="103">
        <f t="shared" si="0"/>
        <v>53.299910412585987</v>
      </c>
      <c r="H82" s="102">
        <f t="shared" si="1"/>
        <v>1.064E-2</v>
      </c>
      <c r="J82" s="105">
        <f t="shared" si="6"/>
        <v>53.299910412585987</v>
      </c>
      <c r="K82" s="103">
        <f t="shared" si="3"/>
        <v>53.299912402585989</v>
      </c>
      <c r="L82" s="104">
        <f t="shared" si="4"/>
        <v>1.0700857325646407</v>
      </c>
      <c r="M82" s="106">
        <f t="shared" si="5"/>
        <v>1.070085753092374</v>
      </c>
      <c r="O82" s="109">
        <v>-29.243600000000001</v>
      </c>
      <c r="P82" s="1">
        <v>0.56620345099597236</v>
      </c>
    </row>
    <row r="83" spans="1:16">
      <c r="A83" s="95"/>
      <c r="B83" s="95"/>
      <c r="C83" s="97"/>
      <c r="D83" s="100"/>
      <c r="E83" s="332"/>
      <c r="F83" s="103"/>
      <c r="H83" s="102"/>
      <c r="J83" s="105"/>
      <c r="K83" s="103"/>
      <c r="L83" s="104"/>
      <c r="M83" s="106"/>
      <c r="O83" s="107"/>
    </row>
    <row r="84" spans="1:16">
      <c r="A84" s="95">
        <v>25</v>
      </c>
      <c r="B84" s="96">
        <v>3.0894430000000002</v>
      </c>
      <c r="C84" s="98">
        <v>53.675644941482943</v>
      </c>
      <c r="D84" s="101">
        <f>C84+(0.002+$I$9)/1000</f>
        <v>53.675647031482946</v>
      </c>
      <c r="E84" s="332">
        <v>1.0580000000000001E-2</v>
      </c>
      <c r="F84" s="103">
        <f t="shared" si="0"/>
        <v>53.665064941482946</v>
      </c>
      <c r="H84" s="102">
        <f t="shared" si="1"/>
        <v>1.0580000000000001E-2</v>
      </c>
      <c r="J84" s="105">
        <f t="shared" si="6"/>
        <v>53.665064941482946</v>
      </c>
      <c r="K84" s="103">
        <f t="shared" si="3"/>
        <v>53.665067031482948</v>
      </c>
      <c r="L84" s="104">
        <f t="shared" si="4"/>
        <v>1.0738465483640554</v>
      </c>
      <c r="M84" s="106">
        <f t="shared" si="5"/>
        <v>1.0738465698557387</v>
      </c>
      <c r="O84" s="109">
        <v>-111.357</v>
      </c>
    </row>
    <row r="85" spans="1:16">
      <c r="A85" s="95"/>
      <c r="B85" s="96">
        <v>3.684507</v>
      </c>
      <c r="C85" s="97">
        <v>53.065502729266619</v>
      </c>
      <c r="D85" s="101">
        <f>C85+(0.0019+$I$9)/1000</f>
        <v>53.06550471926662</v>
      </c>
      <c r="E85" s="332">
        <v>1.068E-2</v>
      </c>
      <c r="F85" s="103">
        <f t="shared" si="0"/>
        <v>53.054822729266618</v>
      </c>
      <c r="H85" s="102">
        <f t="shared" si="1"/>
        <v>1.068E-2</v>
      </c>
      <c r="J85" s="105">
        <f t="shared" si="6"/>
        <v>53.054822729266618</v>
      </c>
      <c r="K85" s="103">
        <f t="shared" si="3"/>
        <v>53.05482471926662</v>
      </c>
      <c r="L85" s="104">
        <f t="shared" si="4"/>
        <v>1.067554863560823</v>
      </c>
      <c r="M85" s="106">
        <f t="shared" si="5"/>
        <v>1.0675548841321398</v>
      </c>
      <c r="O85" s="109">
        <v>20.7758</v>
      </c>
    </row>
    <row r="86" spans="1:16">
      <c r="A86" s="95"/>
      <c r="B86" s="96">
        <v>3.8538069999999998</v>
      </c>
      <c r="C86" s="97">
        <v>52.891842879017638</v>
      </c>
      <c r="D86" s="101">
        <f>C86+(0.0019+$I$9)/1000</f>
        <v>52.891844869017639</v>
      </c>
      <c r="E86" s="332">
        <v>1.0699999999999999E-2</v>
      </c>
      <c r="F86" s="103">
        <f t="shared" si="0"/>
        <v>52.881142879017638</v>
      </c>
      <c r="H86" s="102">
        <f t="shared" si="1"/>
        <v>1.0699999999999999E-2</v>
      </c>
      <c r="J86" s="105">
        <f t="shared" si="6"/>
        <v>52.881142879017638</v>
      </c>
      <c r="K86" s="103">
        <f t="shared" si="3"/>
        <v>52.881144869017639</v>
      </c>
      <c r="L86" s="104">
        <f t="shared" si="4"/>
        <v>1.0657581202057622</v>
      </c>
      <c r="M86" s="106">
        <f t="shared" si="5"/>
        <v>1.0657581408081518</v>
      </c>
      <c r="O86" s="109">
        <v>58.259599999999999</v>
      </c>
    </row>
    <row r="87" spans="1:16">
      <c r="A87" s="95"/>
      <c r="B87" s="95"/>
      <c r="C87" s="97"/>
      <c r="D87" s="100"/>
      <c r="E87" s="332"/>
      <c r="F87" s="103"/>
      <c r="H87" s="102"/>
      <c r="J87" s="105"/>
      <c r="K87" s="103"/>
      <c r="L87" s="104"/>
      <c r="M87" s="106"/>
      <c r="O87" s="107"/>
    </row>
    <row r="88" spans="1:16">
      <c r="A88" s="95">
        <v>30</v>
      </c>
      <c r="B88" s="96">
        <v>3.0894430000000002</v>
      </c>
      <c r="C88" s="98">
        <v>53.171261867733513</v>
      </c>
      <c r="D88" s="101">
        <f>C88+(0.002+$I$9)/1000</f>
        <v>53.171263957733515</v>
      </c>
      <c r="E88" s="332">
        <v>1.0659999999999999E-2</v>
      </c>
      <c r="F88" s="103">
        <f t="shared" si="0"/>
        <v>53.160601867733511</v>
      </c>
      <c r="H88" s="102">
        <f t="shared" si="1"/>
        <v>1.0659999999999999E-2</v>
      </c>
      <c r="J88" s="105">
        <f t="shared" si="6"/>
        <v>53.160601867733511</v>
      </c>
      <c r="K88" s="103">
        <f t="shared" si="3"/>
        <v>53.160603957733514</v>
      </c>
      <c r="L88" s="104">
        <f t="shared" si="4"/>
        <v>1.0686478378295701</v>
      </c>
      <c r="M88" s="106">
        <f t="shared" si="5"/>
        <v>1.0686478594148261</v>
      </c>
      <c r="O88" s="109">
        <v>-4.27921</v>
      </c>
    </row>
    <row r="89" spans="1:16">
      <c r="A89" s="95"/>
      <c r="B89" s="96">
        <v>3.684507</v>
      </c>
      <c r="C89" s="97">
        <v>52.563797734470235</v>
      </c>
      <c r="D89" s="101">
        <f>C89+(0.0019+$I$9)/1000</f>
        <v>52.563799724470236</v>
      </c>
      <c r="E89" s="332">
        <v>1.076E-2</v>
      </c>
      <c r="F89" s="103">
        <f t="shared" si="0"/>
        <v>52.553037734470237</v>
      </c>
      <c r="H89" s="102">
        <f t="shared" si="1"/>
        <v>1.076E-2</v>
      </c>
      <c r="J89" s="105">
        <f t="shared" si="6"/>
        <v>52.553037734470237</v>
      </c>
      <c r="K89" s="103">
        <f t="shared" si="3"/>
        <v>52.553039724470239</v>
      </c>
      <c r="L89" s="104">
        <f t="shared" si="4"/>
        <v>1.0623563940225835</v>
      </c>
      <c r="M89" s="106">
        <f t="shared" si="5"/>
        <v>1.0623564146841038</v>
      </c>
      <c r="O89" s="109">
        <v>126.858</v>
      </c>
    </row>
    <row r="90" spans="1:16">
      <c r="A90" s="95"/>
      <c r="B90" s="96">
        <v>3.8538069999999998</v>
      </c>
      <c r="C90" s="97">
        <v>52.390902621863184</v>
      </c>
      <c r="D90" s="101">
        <f>C90+(0.0019+$I$9)/1000</f>
        <v>52.390904611863185</v>
      </c>
      <c r="E90" s="332">
        <v>1.0789999999999999E-2</v>
      </c>
      <c r="F90" s="103">
        <f t="shared" si="0"/>
        <v>52.380112621863184</v>
      </c>
      <c r="H90" s="102">
        <f t="shared" si="1"/>
        <v>1.0789999999999999E-2</v>
      </c>
      <c r="J90" s="105">
        <f t="shared" si="6"/>
        <v>52.380112621863184</v>
      </c>
      <c r="K90" s="103">
        <f t="shared" si="3"/>
        <v>52.380114611863185</v>
      </c>
      <c r="L90" s="104">
        <f t="shared" si="4"/>
        <v>1.0605596061009119</v>
      </c>
      <c r="M90" s="106">
        <f t="shared" si="5"/>
        <v>1.0605596267938278</v>
      </c>
      <c r="O90" s="109">
        <v>163.971</v>
      </c>
    </row>
    <row r="91" spans="1:16">
      <c r="A91" s="95"/>
      <c r="B91" s="95"/>
      <c r="C91" s="97"/>
      <c r="D91" s="100"/>
      <c r="E91" s="332"/>
      <c r="F91" s="103"/>
      <c r="H91" s="102"/>
      <c r="J91" s="105"/>
      <c r="K91" s="103"/>
      <c r="L91" s="104"/>
      <c r="M91" s="106"/>
      <c r="O91" s="107"/>
    </row>
    <row r="92" spans="1:16">
      <c r="A92" s="95">
        <v>35</v>
      </c>
      <c r="B92" s="96">
        <v>3.0894430000000002</v>
      </c>
      <c r="C92" s="98">
        <v>52.590195126570357</v>
      </c>
      <c r="D92" s="101">
        <f>C92+(0.002+$I$9)/1000</f>
        <v>52.59019721657036</v>
      </c>
      <c r="E92" s="332">
        <v>1.0749999999999999E-2</v>
      </c>
      <c r="F92" s="103">
        <f t="shared" si="0"/>
        <v>52.579445126570356</v>
      </c>
      <c r="H92" s="102">
        <f t="shared" si="1"/>
        <v>1.0749999999999999E-2</v>
      </c>
      <c r="J92" s="105">
        <f t="shared" si="6"/>
        <v>52.579445126570356</v>
      </c>
      <c r="K92" s="103">
        <f t="shared" si="3"/>
        <v>52.579447216570358</v>
      </c>
      <c r="L92" s="104">
        <f t="shared" si="4"/>
        <v>1.0626305416404977</v>
      </c>
      <c r="M92" s="106">
        <f t="shared" si="5"/>
        <v>1.0626305633352651</v>
      </c>
      <c r="O92" s="109">
        <v>117.06699999999999</v>
      </c>
    </row>
    <row r="93" spans="1:16">
      <c r="A93" s="95"/>
      <c r="B93" s="96">
        <v>3.684507</v>
      </c>
      <c r="C93" s="97">
        <v>51.985848105165829</v>
      </c>
      <c r="D93" s="101">
        <f>C93+(0.0019+$I$9)/1000</f>
        <v>51.98585009516583</v>
      </c>
      <c r="E93" s="332">
        <v>1.085E-2</v>
      </c>
      <c r="F93" s="103">
        <f t="shared" si="0"/>
        <v>51.974998105165831</v>
      </c>
      <c r="H93" s="102">
        <f t="shared" si="1"/>
        <v>1.085E-2</v>
      </c>
      <c r="J93" s="105">
        <f t="shared" si="6"/>
        <v>51.974998105165831</v>
      </c>
      <c r="K93" s="103">
        <f t="shared" si="3"/>
        <v>51.975000095165832</v>
      </c>
      <c r="L93" s="104">
        <f t="shared" si="4"/>
        <v>1.0563395078608548</v>
      </c>
      <c r="M93" s="106">
        <f t="shared" si="5"/>
        <v>1.0563395286279478</v>
      </c>
      <c r="O93" s="109">
        <v>247.10300000000001</v>
      </c>
    </row>
    <row r="94" spans="1:16">
      <c r="A94" s="95"/>
      <c r="B94" s="96">
        <v>3.8538069999999998</v>
      </c>
      <c r="C94" s="97">
        <v>51.813843111775896</v>
      </c>
      <c r="D94" s="101">
        <f>C94+(0.0019+$I$9)/1000</f>
        <v>51.813845101775897</v>
      </c>
      <c r="E94" s="332">
        <v>1.0880000000000001E-2</v>
      </c>
      <c r="F94" s="103">
        <f t="shared" si="0"/>
        <v>51.802963111775895</v>
      </c>
      <c r="H94" s="102">
        <f t="shared" si="1"/>
        <v>1.0880000000000001E-2</v>
      </c>
      <c r="J94" s="105">
        <f t="shared" si="6"/>
        <v>51.802963111775895</v>
      </c>
      <c r="K94" s="103">
        <f t="shared" si="3"/>
        <v>51.802965101775897</v>
      </c>
      <c r="L94" s="104">
        <f t="shared" si="4"/>
        <v>1.0545428259379634</v>
      </c>
      <c r="M94" s="106">
        <f t="shared" si="5"/>
        <v>1.0545428467368263</v>
      </c>
      <c r="O94" s="109">
        <v>284.08199999999999</v>
      </c>
    </row>
    <row r="95" spans="1:16">
      <c r="A95" s="95"/>
      <c r="B95" s="95"/>
      <c r="C95" s="97"/>
      <c r="D95" s="100"/>
      <c r="E95" s="332"/>
      <c r="F95" s="103"/>
      <c r="H95" s="102"/>
      <c r="J95" s="105"/>
      <c r="K95" s="103"/>
      <c r="L95" s="104"/>
      <c r="M95" s="106"/>
      <c r="O95" s="107"/>
    </row>
    <row r="96" spans="1:16">
      <c r="A96" s="95">
        <v>40</v>
      </c>
      <c r="B96" s="96">
        <v>3.0894430000000002</v>
      </c>
      <c r="C96" s="98">
        <v>51.939377690027449</v>
      </c>
      <c r="D96" s="101">
        <f>C96+(0.002+$I$9)/1000</f>
        <v>51.939379780027451</v>
      </c>
      <c r="E96" s="332">
        <v>1.086E-2</v>
      </c>
      <c r="F96" s="103">
        <f t="shared" si="0"/>
        <v>51.928517690027448</v>
      </c>
      <c r="H96" s="102">
        <f t="shared" si="1"/>
        <v>1.086E-2</v>
      </c>
      <c r="J96" s="105">
        <f t="shared" si="6"/>
        <v>51.928517690027448</v>
      </c>
      <c r="K96" s="103">
        <f t="shared" si="3"/>
        <v>51.92851978002745</v>
      </c>
      <c r="L96" s="104">
        <f t="shared" si="4"/>
        <v>1.0558543510073861</v>
      </c>
      <c r="M96" s="106">
        <f t="shared" si="5"/>
        <v>1.0558543728270493</v>
      </c>
      <c r="O96" s="112">
        <v>252.708</v>
      </c>
    </row>
    <row r="97" spans="1:15">
      <c r="A97" s="86"/>
      <c r="B97" s="96">
        <v>3.684507</v>
      </c>
      <c r="C97" s="97">
        <v>51.338563221521689</v>
      </c>
      <c r="D97" s="101">
        <f>C97+(0.0019+$I$9)/1000</f>
        <v>51.33856521152169</v>
      </c>
      <c r="E97" s="332">
        <v>1.0959999999999999E-2</v>
      </c>
      <c r="F97" s="103">
        <f t="shared" si="0"/>
        <v>51.327603221521692</v>
      </c>
      <c r="H97" s="102">
        <f t="shared" si="1"/>
        <v>1.0959999999999999E-2</v>
      </c>
      <c r="J97" s="105">
        <f t="shared" si="6"/>
        <v>51.327603221521692</v>
      </c>
      <c r="K97" s="103">
        <f t="shared" si="3"/>
        <v>51.327605211521693</v>
      </c>
      <c r="L97" s="104">
        <f t="shared" si="4"/>
        <v>1.0495639505062886</v>
      </c>
      <c r="M97" s="106">
        <f t="shared" si="5"/>
        <v>1.0495639713937881</v>
      </c>
      <c r="O97" s="112">
        <v>381.44900000000001</v>
      </c>
    </row>
    <row r="98" spans="1:15">
      <c r="A98" s="86"/>
      <c r="B98" s="96">
        <v>3.8538069999999998</v>
      </c>
      <c r="C98" s="97">
        <v>51.167566997400726</v>
      </c>
      <c r="D98" s="101">
        <f>C98+(0.0019+$I$9)/1000</f>
        <v>51.167568987400728</v>
      </c>
      <c r="E98" s="332">
        <v>1.098E-2</v>
      </c>
      <c r="F98" s="103">
        <f t="shared" si="0"/>
        <v>51.156586997400723</v>
      </c>
      <c r="H98" s="102">
        <f t="shared" si="1"/>
        <v>1.098E-2</v>
      </c>
      <c r="J98" s="105">
        <f t="shared" si="6"/>
        <v>51.156586997400723</v>
      </c>
      <c r="K98" s="103">
        <f t="shared" si="3"/>
        <v>51.156588987400724</v>
      </c>
      <c r="L98" s="104">
        <f t="shared" si="4"/>
        <v>1.0477675424796096</v>
      </c>
      <c r="M98" s="106">
        <f t="shared" si="5"/>
        <v>1.0477675633993038</v>
      </c>
      <c r="O98" s="112">
        <v>417.83600000000001</v>
      </c>
    </row>
    <row r="99" spans="1:15">
      <c r="D99" s="101"/>
    </row>
  </sheetData>
  <mergeCells count="14">
    <mergeCell ref="M4:N4"/>
    <mergeCell ref="O4:P4"/>
    <mergeCell ref="M5:N5"/>
    <mergeCell ref="O5:P5"/>
    <mergeCell ref="J12:L12"/>
    <mergeCell ref="B62:E62"/>
    <mergeCell ref="B4:D4"/>
    <mergeCell ref="E4:H4"/>
    <mergeCell ref="J4:L4"/>
    <mergeCell ref="J6:L6"/>
    <mergeCell ref="J8:L8"/>
    <mergeCell ref="E10:F10"/>
    <mergeCell ref="G10:H10"/>
    <mergeCell ref="J10:L10"/>
  </mergeCells>
  <phoneticPr fontId="10" type="noConversion"/>
  <hyperlinks>
    <hyperlink ref="G5" r:id="rId1"/>
  </hyperlinks>
  <pageMargins left="0.7" right="0.7" top="0.75" bottom="0.75" header="0.3" footer="0.3"/>
  <pageSetup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99"/>
  <sheetViews>
    <sheetView workbookViewId="0">
      <selection activeCell="P9" sqref="P9"/>
    </sheetView>
  </sheetViews>
  <sheetFormatPr baseColWidth="10" defaultColWidth="8.83203125" defaultRowHeight="14" x14ac:dyDescent="0"/>
  <cols>
    <col min="1" max="1" width="11" style="120" customWidth="1"/>
    <col min="2" max="2" width="8.83203125" style="120"/>
    <col min="3" max="3" width="16.83203125" style="120" customWidth="1"/>
    <col min="4" max="4" width="10.1640625" style="120" customWidth="1"/>
    <col min="5" max="5" width="17.1640625" style="120" customWidth="1"/>
    <col min="6" max="6" width="10.33203125" style="120" bestFit="1" customWidth="1"/>
    <col min="7" max="7" width="18.5" style="120" customWidth="1"/>
    <col min="8" max="9" width="17" style="120" customWidth="1"/>
    <col min="10" max="10" width="11.33203125" style="120" customWidth="1"/>
    <col min="11" max="11" width="14.6640625" style="120" customWidth="1"/>
    <col min="12" max="12" width="13.6640625" style="120" customWidth="1"/>
    <col min="13" max="13" width="17.83203125" style="120" customWidth="1"/>
    <col min="14" max="14" width="19.5" style="120" customWidth="1"/>
    <col min="15" max="15" width="8.83203125" style="120"/>
    <col min="16" max="16" width="22" style="120" customWidth="1"/>
    <col min="17" max="17" width="15.33203125" style="120" customWidth="1"/>
    <col min="18" max="18" width="8.83203125" style="120"/>
    <col min="19" max="19" width="17.33203125" style="120" customWidth="1"/>
    <col min="20" max="21" width="14.5" style="120" customWidth="1"/>
    <col min="22" max="22" width="8.83203125" style="120"/>
    <col min="23" max="23" width="9.1640625" style="120" customWidth="1"/>
    <col min="24" max="24" width="8.83203125" style="120"/>
    <col min="25" max="25" width="13.33203125" style="120" customWidth="1"/>
    <col min="26" max="26" width="14" style="120" customWidth="1"/>
    <col min="27" max="27" width="12.6640625" style="120" customWidth="1"/>
    <col min="28" max="28" width="15.83203125" style="120" customWidth="1"/>
    <col min="29" max="30" width="14.33203125" style="120" customWidth="1"/>
    <col min="31" max="34" width="8.83203125" style="120"/>
    <col min="35" max="35" width="10.5" style="120" bestFit="1" customWidth="1"/>
    <col min="36" max="16384" width="8.83203125" style="120"/>
  </cols>
  <sheetData>
    <row r="3" spans="2:17">
      <c r="M3" s="120" t="s">
        <v>159</v>
      </c>
    </row>
    <row r="4" spans="2:17">
      <c r="B4" s="316" t="s">
        <v>126</v>
      </c>
      <c r="C4" s="317"/>
      <c r="D4" s="318"/>
      <c r="E4" s="316" t="s">
        <v>125</v>
      </c>
      <c r="F4" s="317"/>
      <c r="G4" s="319"/>
      <c r="H4" s="319"/>
      <c r="I4" s="189"/>
      <c r="J4" s="316" t="s">
        <v>120</v>
      </c>
      <c r="K4" s="319"/>
      <c r="L4" s="320"/>
      <c r="M4" s="316" t="s">
        <v>158</v>
      </c>
      <c r="N4" s="317"/>
      <c r="O4" s="316" t="s">
        <v>162</v>
      </c>
      <c r="P4" s="317"/>
      <c r="Q4" s="123"/>
    </row>
    <row r="5" spans="2:17">
      <c r="B5" s="126" t="s">
        <v>124</v>
      </c>
      <c r="C5" s="127">
        <v>1.602176565E-19</v>
      </c>
      <c r="D5" s="128" t="s">
        <v>123</v>
      </c>
      <c r="E5" s="129"/>
      <c r="F5" s="121" t="s">
        <v>122</v>
      </c>
      <c r="G5" s="198" t="s">
        <v>132</v>
      </c>
      <c r="H5" s="130" t="s">
        <v>121</v>
      </c>
      <c r="I5" s="129" t="s">
        <v>136</v>
      </c>
      <c r="J5" s="122" t="s">
        <v>137</v>
      </c>
      <c r="K5" s="148">
        <v>56</v>
      </c>
      <c r="L5" s="121" t="s">
        <v>105</v>
      </c>
      <c r="M5" s="328" t="s">
        <v>160</v>
      </c>
      <c r="N5" s="329"/>
      <c r="O5" s="330" t="s">
        <v>161</v>
      </c>
      <c r="P5" s="331"/>
      <c r="Q5" s="123"/>
    </row>
    <row r="6" spans="2:17" ht="15">
      <c r="B6" s="122" t="s">
        <v>6</v>
      </c>
      <c r="C6" s="123">
        <v>1</v>
      </c>
      <c r="D6" s="123" t="s">
        <v>7</v>
      </c>
      <c r="E6" s="129" t="s">
        <v>120</v>
      </c>
      <c r="F6" s="202" t="s">
        <v>8</v>
      </c>
      <c r="G6" s="204">
        <v>13135.721740000001</v>
      </c>
      <c r="H6" s="146">
        <f>G6/1000+2*C10</f>
        <v>1876.12384374</v>
      </c>
      <c r="I6" s="197">
        <v>1.1E-4</v>
      </c>
      <c r="J6" s="321" t="s">
        <v>119</v>
      </c>
      <c r="K6" s="322"/>
      <c r="L6" s="323"/>
      <c r="M6" s="243" t="s">
        <v>5</v>
      </c>
      <c r="N6" s="244" t="s">
        <v>165</v>
      </c>
      <c r="O6" s="243" t="s">
        <v>5</v>
      </c>
      <c r="P6" s="244" t="s">
        <v>165</v>
      </c>
      <c r="Q6" s="123"/>
    </row>
    <row r="7" spans="2:17" ht="15">
      <c r="B7" s="126" t="s">
        <v>118</v>
      </c>
      <c r="C7" s="127">
        <v>299792458</v>
      </c>
      <c r="D7" s="128" t="s">
        <v>117</v>
      </c>
      <c r="E7" s="129" t="s">
        <v>116</v>
      </c>
      <c r="F7" s="202" t="s">
        <v>133</v>
      </c>
      <c r="G7" s="204">
        <v>-13933.569</v>
      </c>
      <c r="H7" s="146">
        <f>G7/1000+24*C10</f>
        <v>22341.923895</v>
      </c>
      <c r="I7" s="197">
        <v>0</v>
      </c>
      <c r="J7" s="122" t="s">
        <v>138</v>
      </c>
      <c r="K7" s="127">
        <v>1.772E-2</v>
      </c>
      <c r="L7" s="121" t="s">
        <v>105</v>
      </c>
      <c r="M7" s="237">
        <v>56</v>
      </c>
      <c r="N7" s="304">
        <v>1.5630000000000002E-2</v>
      </c>
      <c r="O7" s="303">
        <v>56</v>
      </c>
      <c r="P7" s="309">
        <v>9.129E-3</v>
      </c>
      <c r="Q7" s="123"/>
    </row>
    <row r="8" spans="2:17" ht="15">
      <c r="B8" s="126" t="s">
        <v>115</v>
      </c>
      <c r="C8" s="127">
        <v>6241509740000</v>
      </c>
      <c r="D8" s="128" t="s">
        <v>105</v>
      </c>
      <c r="E8" s="129" t="s">
        <v>114</v>
      </c>
      <c r="F8" s="202" t="s">
        <v>134</v>
      </c>
      <c r="G8" s="295">
        <v>7288.9705899999999</v>
      </c>
      <c r="H8" s="146">
        <f>G8/1000+1*C10</f>
        <v>938.78303158999995</v>
      </c>
      <c r="I8" s="197">
        <v>9.0000000000000006E-5</v>
      </c>
      <c r="J8" s="321" t="s">
        <v>113</v>
      </c>
      <c r="K8" s="322"/>
      <c r="L8" s="322"/>
      <c r="M8" s="237">
        <v>55.8</v>
      </c>
      <c r="N8" s="304">
        <v>1.567E-2</v>
      </c>
      <c r="O8" s="237">
        <v>55.8</v>
      </c>
      <c r="P8" s="309">
        <v>9.1529999999999997E-3</v>
      </c>
      <c r="Q8" s="123"/>
    </row>
    <row r="9" spans="2:17" ht="15">
      <c r="B9" s="126" t="s">
        <v>112</v>
      </c>
      <c r="C9" s="127">
        <f>C8*C7^2</f>
        <v>5.6095892019612877E+29</v>
      </c>
      <c r="D9" s="128" t="s">
        <v>110</v>
      </c>
      <c r="E9" s="131" t="s">
        <v>111</v>
      </c>
      <c r="F9" s="203" t="s">
        <v>135</v>
      </c>
      <c r="G9" s="295">
        <v>-13192.771000000001</v>
      </c>
      <c r="H9" s="147">
        <f>G9/1000+25*C10</f>
        <v>23274.158753999996</v>
      </c>
      <c r="I9" s="191">
        <v>9.0000000000000006E-5</v>
      </c>
      <c r="J9" s="122" t="s">
        <v>139</v>
      </c>
      <c r="K9" s="125">
        <f>H6+K5-K7</f>
        <v>1932.1061237399999</v>
      </c>
      <c r="L9" s="121" t="s">
        <v>105</v>
      </c>
      <c r="M9" s="237">
        <v>55.6</v>
      </c>
      <c r="N9" s="304">
        <v>1.5720000000000001E-2</v>
      </c>
      <c r="O9" s="237">
        <v>55.6</v>
      </c>
      <c r="P9" s="307"/>
      <c r="Q9" s="123"/>
    </row>
    <row r="10" spans="2:17">
      <c r="B10" s="126" t="s">
        <v>9</v>
      </c>
      <c r="C10" s="133">
        <v>931.49406099999999</v>
      </c>
      <c r="D10" s="128" t="s">
        <v>110</v>
      </c>
      <c r="E10" s="324" t="s">
        <v>109</v>
      </c>
      <c r="F10" s="325"/>
      <c r="G10" s="326" t="s">
        <v>108</v>
      </c>
      <c r="H10" s="327"/>
      <c r="I10" s="143"/>
      <c r="J10" s="321" t="s">
        <v>107</v>
      </c>
      <c r="K10" s="322"/>
      <c r="L10" s="322"/>
      <c r="M10" s="237">
        <v>55.4</v>
      </c>
      <c r="N10" s="304">
        <v>1.576E-2</v>
      </c>
      <c r="O10" s="237">
        <v>55.4</v>
      </c>
      <c r="P10" s="307"/>
      <c r="Q10" s="123"/>
    </row>
    <row r="11" spans="2:17">
      <c r="B11" s="126" t="s">
        <v>10</v>
      </c>
      <c r="C11" s="15">
        <v>0.5</v>
      </c>
      <c r="D11" s="128" t="s">
        <v>106</v>
      </c>
      <c r="E11" s="131" t="s">
        <v>163</v>
      </c>
      <c r="F11" s="196" t="s">
        <v>164</v>
      </c>
      <c r="G11" s="131"/>
      <c r="H11" s="134" t="s">
        <v>105</v>
      </c>
      <c r="I11" s="121"/>
      <c r="J11" s="122" t="s">
        <v>139</v>
      </c>
      <c r="K11" s="121">
        <f>SQRT(K9^2-H6^2)</f>
        <v>461.72870426675456</v>
      </c>
      <c r="L11" s="121" t="s">
        <v>104</v>
      </c>
      <c r="M11" s="237">
        <v>55.2</v>
      </c>
      <c r="N11" s="304">
        <v>1.5800000000000002E-2</v>
      </c>
      <c r="O11" s="237">
        <v>55.2</v>
      </c>
      <c r="P11" s="307"/>
      <c r="Q11" s="123"/>
    </row>
    <row r="12" spans="2:17">
      <c r="B12" s="169" t="s">
        <v>103</v>
      </c>
      <c r="C12" s="170">
        <f>COS(C11*3.14/180)</f>
        <v>0.99996196166090812</v>
      </c>
      <c r="D12" s="171"/>
      <c r="E12" s="123"/>
      <c r="F12" s="123"/>
      <c r="G12" s="123"/>
      <c r="H12" s="123"/>
      <c r="I12" s="123"/>
      <c r="J12" s="310" t="s">
        <v>102</v>
      </c>
      <c r="K12" s="311"/>
      <c r="L12" s="312"/>
      <c r="M12" s="237">
        <v>55</v>
      </c>
      <c r="N12" s="304">
        <v>1.584E-2</v>
      </c>
      <c r="O12" s="237">
        <v>55</v>
      </c>
      <c r="P12" s="307"/>
      <c r="Q12" s="123"/>
    </row>
    <row r="13" spans="2:17">
      <c r="B13" s="172"/>
      <c r="C13" s="172"/>
      <c r="D13" s="172"/>
      <c r="E13" s="172"/>
      <c r="F13" s="168"/>
      <c r="G13" s="168"/>
      <c r="H13" s="153"/>
      <c r="I13" s="190"/>
      <c r="J13" s="135" t="s">
        <v>101</v>
      </c>
      <c r="K13" s="132">
        <v>1</v>
      </c>
      <c r="L13" s="134"/>
      <c r="M13" s="237">
        <v>54.8</v>
      </c>
      <c r="N13" s="304">
        <v>1.5890000000000001E-2</v>
      </c>
      <c r="O13" s="237">
        <v>54.8</v>
      </c>
      <c r="P13" s="307"/>
      <c r="Q13" s="123"/>
    </row>
    <row r="14" spans="2:17">
      <c r="B14" s="154" t="s">
        <v>23</v>
      </c>
      <c r="C14" s="167">
        <f>- 1.14538*10^-9</f>
        <v>-1.1453800000000002E-9</v>
      </c>
      <c r="D14" s="155" t="s">
        <v>100</v>
      </c>
      <c r="E14" s="156"/>
      <c r="F14" s="132"/>
      <c r="G14" s="157"/>
      <c r="H14" s="157"/>
      <c r="I14" s="157"/>
      <c r="J14" s="195" t="s">
        <v>130</v>
      </c>
      <c r="L14" s="159"/>
      <c r="M14" s="237">
        <v>54.6</v>
      </c>
      <c r="N14" s="304">
        <v>1.5939999999999999E-2</v>
      </c>
      <c r="O14" s="237">
        <v>54.6</v>
      </c>
      <c r="P14" s="307"/>
      <c r="Q14" s="123"/>
    </row>
    <row r="15" spans="2:17">
      <c r="B15" s="157" t="s">
        <v>24</v>
      </c>
      <c r="C15" s="167">
        <v>-4.7482599999999998E-5</v>
      </c>
      <c r="D15" s="158" t="s">
        <v>25</v>
      </c>
      <c r="E15" s="156"/>
      <c r="F15" s="157"/>
      <c r="G15" s="157"/>
      <c r="H15" s="157"/>
      <c r="I15" s="157"/>
      <c r="J15" s="157"/>
      <c r="K15" s="157"/>
      <c r="L15" s="159"/>
      <c r="M15" s="237">
        <v>54.4</v>
      </c>
      <c r="N15" s="304">
        <v>1.5990000000000001E-2</v>
      </c>
      <c r="O15" s="237">
        <v>54.4</v>
      </c>
      <c r="P15" s="307"/>
      <c r="Q15" s="123"/>
    </row>
    <row r="16" spans="2:17">
      <c r="B16" s="157" t="s">
        <v>26</v>
      </c>
      <c r="C16" s="167">
        <v>1.0690200000000001</v>
      </c>
      <c r="D16" s="158" t="s">
        <v>27</v>
      </c>
      <c r="E16" s="156"/>
      <c r="F16" s="123"/>
      <c r="G16" s="123"/>
      <c r="H16" s="123"/>
      <c r="I16" s="123"/>
      <c r="J16" s="123"/>
      <c r="K16" s="123"/>
      <c r="L16" s="123"/>
      <c r="M16" s="237">
        <v>54.2</v>
      </c>
      <c r="N16" s="304">
        <v>1.6039999999999999E-2</v>
      </c>
      <c r="O16" s="237">
        <v>54.2</v>
      </c>
      <c r="P16" s="307"/>
      <c r="Q16" s="123"/>
    </row>
    <row r="17" spans="2:17">
      <c r="B17" s="123" t="s">
        <v>28</v>
      </c>
      <c r="C17" s="123"/>
      <c r="D17" s="123"/>
      <c r="E17" s="159"/>
      <c r="F17" s="123"/>
      <c r="G17" s="123"/>
      <c r="H17" s="123"/>
      <c r="I17" s="123"/>
      <c r="J17" s="123"/>
      <c r="K17" s="123"/>
      <c r="L17" s="123"/>
      <c r="M17" s="237">
        <v>54</v>
      </c>
      <c r="N17" s="304">
        <v>1.609E-2</v>
      </c>
      <c r="O17" s="237">
        <v>54</v>
      </c>
      <c r="P17" s="307"/>
      <c r="Q17" s="123"/>
    </row>
    <row r="18" spans="2:17">
      <c r="B18" s="159"/>
      <c r="C18" s="160" t="s">
        <v>100</v>
      </c>
      <c r="D18" s="158" t="s">
        <v>25</v>
      </c>
      <c r="E18" s="158" t="s">
        <v>27</v>
      </c>
      <c r="F18" s="123"/>
      <c r="G18" s="123"/>
      <c r="H18" s="141" t="e">
        <f>K5-#REF!</f>
        <v>#REF!</v>
      </c>
      <c r="I18" s="141"/>
      <c r="J18" s="123"/>
      <c r="K18" s="123"/>
      <c r="L18" s="123"/>
      <c r="M18" s="237">
        <v>53.8</v>
      </c>
      <c r="N18" s="304">
        <v>1.6140000000000002E-2</v>
      </c>
      <c r="O18" s="237">
        <v>53.8</v>
      </c>
      <c r="P18" s="307"/>
      <c r="Q18" s="123"/>
    </row>
    <row r="19" spans="2:17">
      <c r="B19" s="160" t="s">
        <v>100</v>
      </c>
      <c r="C19" s="161"/>
      <c r="D19" s="162"/>
      <c r="E19" s="162"/>
      <c r="F19" s="123"/>
      <c r="G19" s="123"/>
      <c r="H19" s="123"/>
      <c r="I19" s="123"/>
      <c r="J19" s="123"/>
      <c r="K19" s="123"/>
      <c r="L19" s="123"/>
      <c r="M19" s="237">
        <v>53.6</v>
      </c>
      <c r="N19" s="304">
        <v>1.619E-2</v>
      </c>
      <c r="O19" s="237">
        <v>53.6</v>
      </c>
      <c r="P19" s="307"/>
      <c r="Q19" s="123"/>
    </row>
    <row r="20" spans="2:17">
      <c r="B20" s="158" t="s">
        <v>25</v>
      </c>
      <c r="C20" s="161"/>
      <c r="D20" s="161"/>
      <c r="E20" s="161"/>
      <c r="F20" s="123"/>
      <c r="G20" s="123"/>
      <c r="H20" s="123"/>
      <c r="I20" s="123"/>
      <c r="J20" s="123"/>
      <c r="K20" s="123"/>
      <c r="L20" s="123"/>
      <c r="M20" s="237">
        <v>53.4</v>
      </c>
      <c r="N20" s="304">
        <v>1.6240000000000001E-2</v>
      </c>
      <c r="O20" s="237">
        <v>53.4</v>
      </c>
      <c r="P20" s="307"/>
      <c r="Q20" s="123"/>
    </row>
    <row r="21" spans="2:17">
      <c r="B21" s="158" t="s">
        <v>27</v>
      </c>
      <c r="C21" s="163"/>
      <c r="D21" s="163"/>
      <c r="E21" s="163"/>
      <c r="F21" s="123"/>
      <c r="G21" s="123"/>
      <c r="H21" s="123"/>
      <c r="I21" s="141"/>
      <c r="J21" s="123"/>
      <c r="K21" s="123"/>
      <c r="L21" s="123"/>
      <c r="M21" s="237">
        <v>53.2</v>
      </c>
      <c r="N21" s="304">
        <v>1.6289999999999999E-2</v>
      </c>
      <c r="O21" s="237">
        <v>53.2</v>
      </c>
      <c r="P21" s="307"/>
      <c r="Q21" s="123"/>
    </row>
    <row r="22" spans="2:17">
      <c r="B22" s="123"/>
      <c r="C22" s="120" t="s">
        <v>149</v>
      </c>
      <c r="D22" s="123"/>
      <c r="E22" s="123"/>
      <c r="F22" s="123"/>
      <c r="G22" s="123"/>
      <c r="H22" s="123"/>
      <c r="I22" s="123"/>
      <c r="J22" s="123"/>
      <c r="K22" s="123"/>
      <c r="L22" s="123"/>
      <c r="M22" s="237">
        <v>53</v>
      </c>
      <c r="N22" s="304">
        <v>1.634E-2</v>
      </c>
      <c r="O22" s="237">
        <v>53</v>
      </c>
      <c r="P22" s="307"/>
      <c r="Q22" s="123"/>
    </row>
    <row r="23" spans="2:17"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237">
        <v>52.799999999999898</v>
      </c>
      <c r="N23" s="304">
        <v>1.6389999999999998E-2</v>
      </c>
      <c r="O23" s="237">
        <v>52.799999999999898</v>
      </c>
      <c r="P23" s="307"/>
      <c r="Q23" s="123"/>
    </row>
    <row r="24" spans="2:17"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237">
        <v>52.6</v>
      </c>
      <c r="N24" s="304">
        <v>1.644E-2</v>
      </c>
      <c r="O24" s="237">
        <v>52.6</v>
      </c>
      <c r="P24" s="307"/>
      <c r="Q24" s="123"/>
    </row>
    <row r="25" spans="2:17"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237">
        <v>52.399999999999899</v>
      </c>
      <c r="N25" s="304">
        <v>1.6490000000000001E-2</v>
      </c>
      <c r="O25" s="237">
        <v>52.399999999999899</v>
      </c>
      <c r="P25" s="307"/>
      <c r="Q25" s="123"/>
    </row>
    <row r="26" spans="2:17"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237">
        <v>52.2</v>
      </c>
      <c r="N26" s="304">
        <v>1.6539999999999999E-2</v>
      </c>
      <c r="O26" s="237">
        <v>52.2</v>
      </c>
      <c r="P26" s="307"/>
      <c r="Q26" s="123"/>
    </row>
    <row r="27" spans="2:17"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237">
        <v>51.999999999999901</v>
      </c>
      <c r="N27" s="304">
        <v>1.6590000000000001E-2</v>
      </c>
      <c r="O27" s="237">
        <v>51.999999999999901</v>
      </c>
      <c r="P27" s="307"/>
      <c r="Q27" s="123"/>
    </row>
    <row r="28" spans="2:17"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237">
        <v>51.799999999999898</v>
      </c>
      <c r="N28" s="304">
        <v>1.6639999999999999E-2</v>
      </c>
      <c r="O28" s="237">
        <v>51.799999999999898</v>
      </c>
      <c r="P28" s="307"/>
      <c r="Q28" s="123"/>
    </row>
    <row r="29" spans="2:17"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237">
        <v>51.599999999999902</v>
      </c>
      <c r="N29" s="304">
        <v>1.669E-2</v>
      </c>
      <c r="O29" s="237">
        <v>51.599999999999902</v>
      </c>
      <c r="P29" s="307"/>
      <c r="Q29" s="123"/>
    </row>
    <row r="30" spans="2:17"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237">
        <v>51.399999999999899</v>
      </c>
      <c r="N30" s="304">
        <v>1.6740000000000001E-2</v>
      </c>
      <c r="O30" s="237">
        <v>51.399999999999899</v>
      </c>
      <c r="P30" s="307"/>
      <c r="Q30" s="123"/>
    </row>
    <row r="31" spans="2:17"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237">
        <v>51.199999999999903</v>
      </c>
      <c r="N31" s="304">
        <v>1.678E-2</v>
      </c>
      <c r="O31" s="237">
        <v>51.199999999999903</v>
      </c>
      <c r="P31" s="307"/>
      <c r="Q31" s="123"/>
    </row>
    <row r="32" spans="2:17">
      <c r="B32" s="123"/>
      <c r="C32" s="123"/>
      <c r="D32" s="123"/>
      <c r="E32" s="123"/>
      <c r="F32" s="123"/>
      <c r="G32" s="123"/>
      <c r="H32" s="123"/>
      <c r="I32" s="123"/>
      <c r="J32" s="123"/>
      <c r="K32" s="192"/>
      <c r="L32" s="123"/>
      <c r="M32" s="237">
        <v>50.999999999999901</v>
      </c>
      <c r="N32" s="304">
        <v>1.6830000000000001E-2</v>
      </c>
      <c r="O32" s="237">
        <v>50.999999999999901</v>
      </c>
      <c r="P32" s="307"/>
      <c r="Q32" s="123"/>
    </row>
    <row r="33" spans="2:35"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237">
        <v>50.799999999999898</v>
      </c>
      <c r="N33" s="304">
        <v>1.6879999999999999E-2</v>
      </c>
      <c r="O33" s="237">
        <v>50.799999999999898</v>
      </c>
      <c r="P33" s="307"/>
      <c r="Q33" s="123"/>
    </row>
    <row r="34" spans="2:35"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237">
        <v>50.599999999999902</v>
      </c>
      <c r="N34" s="304">
        <v>1.6930000000000001E-2</v>
      </c>
      <c r="O34" s="237">
        <v>50.599999999999902</v>
      </c>
      <c r="P34" s="307"/>
      <c r="Q34" s="123"/>
      <c r="U34" s="156"/>
    </row>
    <row r="35" spans="2:35">
      <c r="B35" s="123"/>
      <c r="C35" s="123"/>
      <c r="D35" s="123"/>
      <c r="E35" s="123"/>
      <c r="F35" s="123"/>
      <c r="G35" s="123"/>
      <c r="H35" s="141"/>
      <c r="I35" s="141"/>
      <c r="J35" s="123"/>
      <c r="K35" s="123"/>
      <c r="L35" s="123"/>
      <c r="M35" s="237">
        <v>50.399999999999899</v>
      </c>
      <c r="N35" s="304">
        <v>1.6979999999999999E-2</v>
      </c>
      <c r="O35" s="237">
        <v>50.399999999999899</v>
      </c>
      <c r="P35" s="307"/>
      <c r="Q35" s="123"/>
      <c r="U35" s="156"/>
    </row>
    <row r="36" spans="2:35"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237">
        <v>50.199999999999903</v>
      </c>
      <c r="N36" s="304">
        <v>1.703E-2</v>
      </c>
      <c r="O36" s="237">
        <v>50.199999999999903</v>
      </c>
      <c r="P36" s="307"/>
      <c r="Q36" s="123"/>
    </row>
    <row r="37" spans="2:35"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237">
        <v>49.999999999999901</v>
      </c>
      <c r="N37" s="304">
        <v>1.7080000000000001E-2</v>
      </c>
      <c r="O37" s="237">
        <v>49.999999999999901</v>
      </c>
      <c r="P37" s="307"/>
      <c r="Q37" s="123"/>
    </row>
    <row r="38" spans="2:35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237">
        <v>49.799999999999898</v>
      </c>
      <c r="N38" s="304">
        <v>1.7139999999999999E-2</v>
      </c>
      <c r="O38" s="237">
        <v>49.799999999999898</v>
      </c>
      <c r="P38" s="307"/>
      <c r="Q38" s="123"/>
    </row>
    <row r="39" spans="2:35"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240">
        <v>49.599999999999902</v>
      </c>
      <c r="N39" s="305">
        <v>1.72E-2</v>
      </c>
      <c r="O39" s="240">
        <v>49.599999999999902</v>
      </c>
      <c r="P39" s="308">
        <v>1.0030000000000001E-2</v>
      </c>
      <c r="Q39" s="123"/>
    </row>
    <row r="40" spans="2:35">
      <c r="B40" s="123"/>
      <c r="C40" s="123" t="s">
        <v>140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</row>
    <row r="41" spans="2:35" ht="17">
      <c r="B41" s="175" t="s">
        <v>99</v>
      </c>
      <c r="C41" s="164" t="s">
        <v>78</v>
      </c>
      <c r="D41" s="164" t="s">
        <v>29</v>
      </c>
      <c r="E41" s="164" t="s">
        <v>30</v>
      </c>
      <c r="F41" s="177" t="s">
        <v>98</v>
      </c>
      <c r="G41" s="164" t="s">
        <v>97</v>
      </c>
      <c r="H41" s="164" t="s">
        <v>96</v>
      </c>
      <c r="I41" s="164" t="s">
        <v>31</v>
      </c>
      <c r="J41" s="164" t="s">
        <v>127</v>
      </c>
      <c r="K41" s="176" t="s">
        <v>17</v>
      </c>
      <c r="L41" s="164" t="s">
        <v>128</v>
      </c>
      <c r="M41" s="176" t="s">
        <v>95</v>
      </c>
      <c r="N41" s="176" t="s">
        <v>94</v>
      </c>
      <c r="O41" s="176" t="s">
        <v>93</v>
      </c>
      <c r="P41" s="164" t="s">
        <v>32</v>
      </c>
      <c r="Q41" s="165" t="s">
        <v>170</v>
      </c>
      <c r="R41" s="165" t="s">
        <v>18</v>
      </c>
      <c r="S41" s="165" t="s">
        <v>19</v>
      </c>
      <c r="T41" s="165" t="s">
        <v>20</v>
      </c>
      <c r="U41" s="193" t="s">
        <v>129</v>
      </c>
      <c r="V41" s="176" t="s">
        <v>92</v>
      </c>
      <c r="W41" s="164" t="s">
        <v>39</v>
      </c>
      <c r="X41" s="176" t="s">
        <v>91</v>
      </c>
      <c r="Y41" s="164" t="s">
        <v>33</v>
      </c>
      <c r="Z41" s="176" t="s">
        <v>90</v>
      </c>
      <c r="AA41" s="176" t="s">
        <v>11</v>
      </c>
      <c r="AB41" s="164" t="s">
        <v>34</v>
      </c>
      <c r="AC41" s="176" t="s">
        <v>12</v>
      </c>
      <c r="AD41" s="166" t="s">
        <v>89</v>
      </c>
    </row>
    <row r="42" spans="2:35">
      <c r="B42" s="216">
        <v>-520.20001200000002</v>
      </c>
      <c r="D42" s="125"/>
      <c r="F42" s="142">
        <f>(($C$14*(B42)^2)+($C$15*(B42))+$C$16)*$K$13</f>
        <v>1.0934105000386363</v>
      </c>
      <c r="G42" s="167"/>
      <c r="K42" s="136">
        <f>SQRT(($C$5*$C$9*F42/$C$7)^2+$H$8^2)-$H$8</f>
        <v>55.583076456640356</v>
      </c>
      <c r="L42" s="156"/>
      <c r="M42" s="136">
        <f>1+K42/$H$8</f>
        <v>1.0592075853379033</v>
      </c>
      <c r="N42" s="205">
        <f>SQRT(1-1/M42^2)</f>
        <v>0.32965347430213648</v>
      </c>
      <c r="O42" s="206">
        <f>M42*N42*$H$8</f>
        <v>327.79624224586865</v>
      </c>
      <c r="R42" s="210">
        <f>K42-Q42</f>
        <v>55.583076456640356</v>
      </c>
      <c r="T42" s="211">
        <f>1.2*0.0362*EXP(-0.015*N42)</f>
        <v>4.3225727999064475E-2</v>
      </c>
      <c r="U42" s="207">
        <f>SQRT((($K$9^2*J42^2)+($H$6^2*$I$6^2))/($K$9^2-$H$6^2))</f>
        <v>4.4695861640036078E-4</v>
      </c>
      <c r="V42" s="209">
        <f>SQRT($H$8^2+O42^2)+T42</f>
        <v>994.40933377463944</v>
      </c>
      <c r="W42" s="207">
        <f>SQRT(((($H$8^2*$I$8^2)+(O42^2*P42^2))/($H$8^2+O42^2))+(0.1*T42)^2)</f>
        <v>4.3234078424368898E-3</v>
      </c>
      <c r="X42" s="208">
        <f>SQRT(V42^2-$H$8^2)</f>
        <v>327.92734362479047</v>
      </c>
      <c r="Y42" s="215">
        <f>SQRT(((V42^2*W42^2)+($H$8^2*$I$8^2))/(V42^2-$H$8^2))</f>
        <v>1.3112865814327331E-2</v>
      </c>
      <c r="Z42" s="231">
        <f>$H$6^2+$H$7^2+$H$8^2+2*$H$7*($K$9-V42)-2*$K$9*V42+2*$K$11*X42*$C$12</f>
        <v>541922824.91272378</v>
      </c>
      <c r="AA42" s="270">
        <f>SQRT(Z42)-$H$9</f>
        <v>5.077163716970972</v>
      </c>
      <c r="AB42" s="194"/>
      <c r="AC42" s="211">
        <v>5.1165200000000004</v>
      </c>
      <c r="AD42" s="149">
        <f>(AA42-AC42)*1000</f>
        <v>-39.356283029028383</v>
      </c>
      <c r="AE42" s="120">
        <v>5.47</v>
      </c>
      <c r="AF42" s="120">
        <v>3.1163631242998591</v>
      </c>
      <c r="AI42" s="173"/>
    </row>
    <row r="43" spans="2:35">
      <c r="B43" s="216">
        <v>-441.39999399999999</v>
      </c>
      <c r="D43" s="125"/>
      <c r="F43" s="233">
        <f t="shared" ref="F43:F59" si="0">(($C$14*(B43)^2)+($C$15*(B43))+$C$16)*$K$13</f>
        <v>1.0897556604400664</v>
      </c>
      <c r="G43" s="167"/>
      <c r="K43" s="227">
        <f t="shared" ref="K43:K59" si="1">SQRT(($C$5*$C$9*F43/$C$7)^2+$H$8^2)-$H$8</f>
        <v>55.222415581554742</v>
      </c>
      <c r="L43" s="156"/>
      <c r="M43" s="227">
        <f t="shared" ref="M43:M59" si="2">1+K43/$H$8</f>
        <v>1.0588234061794082</v>
      </c>
      <c r="N43" s="228">
        <f t="shared" ref="N43:N59" si="3">SQRT(1-1/M43^2)</f>
        <v>0.32867078320244358</v>
      </c>
      <c r="O43" s="229">
        <f t="shared" ref="O43:O59" si="4">M43*N43*$H$8</f>
        <v>326.70054882937001</v>
      </c>
      <c r="Q43" s="211"/>
      <c r="R43" s="247">
        <f t="shared" ref="R43:R59" si="5">K43-Q43</f>
        <v>55.222415581554742</v>
      </c>
      <c r="T43" s="211">
        <f t="shared" ref="T43:T59" si="6">1.2*0.0362*EXP(-0.015*N43)</f>
        <v>4.3226365166833244E-2</v>
      </c>
      <c r="U43" s="211">
        <f t="shared" ref="U43:U59" si="7">SQRT((($K$9^2*J43^2)+($H$6^2*$I$6^2))/($K$9^2-$H$6^2))</f>
        <v>4.4695861640036078E-4</v>
      </c>
      <c r="V43" s="230">
        <f t="shared" ref="V43:V59" si="8">SQRT($H$8^2+O43^2)+T43</f>
        <v>994.04867353672148</v>
      </c>
      <c r="W43" s="211">
        <f t="shared" ref="W43:W59" si="9">SQRT(((($H$8^2*$I$8^2)+(O43^2*P43^2))/($H$8^2+O43^2))+(0.1*T43)^2)</f>
        <v>4.3234721529166733E-3</v>
      </c>
      <c r="X43" s="229">
        <f t="shared" ref="X43:X59" si="10">SQRT(V43^2-$H$8^2)</f>
        <v>326.83204395959194</v>
      </c>
      <c r="Y43" s="215">
        <f t="shared" ref="Y43:Y59" si="11">SQRT(((V43^2*W43^2)+($H$8^2*$I$8^2))/(V43^2-$H$8^2))</f>
        <v>1.3152236044398814E-2</v>
      </c>
      <c r="Z43" s="231">
        <f t="shared" ref="Z43:Z59" si="12">$H$6^2+$H$7^2+$H$8^2+2*$H$7*($K$9-V43)-2*$K$9*V43+2*$K$11*X43*$C$12</f>
        <v>541939322.84349132</v>
      </c>
      <c r="AA43" s="270">
        <f t="shared" ref="AA43:AA59" si="13">SQRT(Z43)-$H$9</f>
        <v>5.431509651367378</v>
      </c>
      <c r="AB43" s="194"/>
      <c r="AC43" s="211">
        <v>5.4748999999999999</v>
      </c>
      <c r="AD43" s="242">
        <f t="shared" ref="AD43:AD59" si="14">(AA43-AC43)*1000</f>
        <v>-43.390348632621922</v>
      </c>
      <c r="AE43" s="120">
        <v>5.52</v>
      </c>
      <c r="AF43" s="120">
        <v>-0.9254939603327017</v>
      </c>
      <c r="AI43" s="173"/>
    </row>
    <row r="44" spans="2:35">
      <c r="B44" s="216">
        <v>-430.20001200000002</v>
      </c>
      <c r="D44" s="125"/>
      <c r="F44" s="233">
        <f t="shared" si="0"/>
        <v>1.0892350372647903</v>
      </c>
      <c r="G44" s="167"/>
      <c r="K44" s="227">
        <f t="shared" si="1"/>
        <v>55.171127934152992</v>
      </c>
      <c r="L44" s="156"/>
      <c r="M44" s="227">
        <f t="shared" si="2"/>
        <v>1.058768774123144</v>
      </c>
      <c r="N44" s="228">
        <f t="shared" si="3"/>
        <v>0.32853071420755631</v>
      </c>
      <c r="O44" s="229">
        <f t="shared" si="4"/>
        <v>326.54446991804133</v>
      </c>
      <c r="Q44" s="211"/>
      <c r="R44" s="247">
        <f t="shared" si="5"/>
        <v>55.171127934152992</v>
      </c>
      <c r="T44" s="211">
        <f t="shared" si="6"/>
        <v>4.3226455987031474E-2</v>
      </c>
      <c r="U44" s="211">
        <f t="shared" si="7"/>
        <v>4.4695861640036078E-4</v>
      </c>
      <c r="V44" s="230">
        <f t="shared" si="8"/>
        <v>993.99738598014005</v>
      </c>
      <c r="W44" s="211">
        <f t="shared" si="9"/>
        <v>4.3234813194118525E-3</v>
      </c>
      <c r="X44" s="229">
        <f t="shared" si="10"/>
        <v>326.67602136373694</v>
      </c>
      <c r="Y44" s="215">
        <f t="shared" si="11"/>
        <v>1.3157866877755072E-2</v>
      </c>
      <c r="Z44" s="231">
        <f t="shared" si="12"/>
        <v>541941668.68012595</v>
      </c>
      <c r="AA44" s="270">
        <f t="shared" si="13"/>
        <v>5.4818935728508222</v>
      </c>
      <c r="AB44" s="194"/>
      <c r="AC44" s="297">
        <v>5.5209999999999999</v>
      </c>
      <c r="AD44" s="242">
        <f t="shared" si="14"/>
        <v>-39.106427149177669</v>
      </c>
      <c r="AF44" s="120">
        <v>3.3573134030158158</v>
      </c>
      <c r="AI44" s="173"/>
    </row>
    <row r="45" spans="2:35">
      <c r="B45" s="216">
        <v>-380.20001200000002</v>
      </c>
      <c r="D45" s="125"/>
      <c r="F45" s="233">
        <f t="shared" si="0"/>
        <v>1.0869073180637647</v>
      </c>
      <c r="G45" s="167"/>
      <c r="K45" s="227">
        <f t="shared" si="1"/>
        <v>54.942087033983057</v>
      </c>
      <c r="L45" s="156"/>
      <c r="M45" s="227">
        <f t="shared" si="2"/>
        <v>1.0585247977276802</v>
      </c>
      <c r="N45" s="228">
        <f t="shared" si="3"/>
        <v>0.32790419715270536</v>
      </c>
      <c r="O45" s="229">
        <f t="shared" si="4"/>
        <v>325.8466372128741</v>
      </c>
      <c r="Q45" s="211"/>
      <c r="R45" s="247">
        <f t="shared" si="5"/>
        <v>54.942087033983057</v>
      </c>
      <c r="T45" s="211">
        <f t="shared" si="6"/>
        <v>4.3226862220618764E-2</v>
      </c>
      <c r="U45" s="211">
        <f t="shared" si="7"/>
        <v>4.4695861640036078E-4</v>
      </c>
      <c r="V45" s="230">
        <f t="shared" si="8"/>
        <v>993.76834548620366</v>
      </c>
      <c r="W45" s="211">
        <f t="shared" si="9"/>
        <v>4.3235223201675797E-3</v>
      </c>
      <c r="X45" s="229">
        <f t="shared" si="10"/>
        <v>325.97844114155123</v>
      </c>
      <c r="Y45" s="215">
        <f t="shared" si="11"/>
        <v>1.3183111934204418E-2</v>
      </c>
      <c r="Z45" s="231">
        <f t="shared" si="12"/>
        <v>541952143.99065614</v>
      </c>
      <c r="AA45" s="270">
        <f t="shared" si="13"/>
        <v>5.7068811503959296</v>
      </c>
      <c r="AB45" s="194"/>
      <c r="AC45" s="297">
        <v>5.7462</v>
      </c>
      <c r="AD45" s="242">
        <f t="shared" si="14"/>
        <v>-39.318849604070394</v>
      </c>
      <c r="AE45" s="120">
        <v>5.7493398966325913</v>
      </c>
      <c r="AF45" s="120">
        <v>3.139896632591288</v>
      </c>
      <c r="AI45" s="173"/>
    </row>
    <row r="46" spans="2:35">
      <c r="B46" s="216">
        <v>-287</v>
      </c>
      <c r="D46" s="125"/>
      <c r="F46" s="233">
        <f t="shared" si="0"/>
        <v>1.0825531623947802</v>
      </c>
      <c r="G46" s="167"/>
      <c r="K46" s="227">
        <f t="shared" si="1"/>
        <v>54.514825035600325</v>
      </c>
      <c r="L46" s="156"/>
      <c r="M46" s="227">
        <f t="shared" si="2"/>
        <v>1.0580696744627665</v>
      </c>
      <c r="N46" s="228">
        <f t="shared" si="3"/>
        <v>0.32673109272771594</v>
      </c>
      <c r="O46" s="229">
        <f t="shared" si="4"/>
        <v>324.54129409938048</v>
      </c>
      <c r="Q46" s="211"/>
      <c r="R46" s="247">
        <f t="shared" si="5"/>
        <v>54.514825035600325</v>
      </c>
      <c r="T46" s="211">
        <f t="shared" si="6"/>
        <v>4.322762287166141E-2</v>
      </c>
      <c r="U46" s="211">
        <f t="shared" si="7"/>
        <v>4.4695861640036078E-4</v>
      </c>
      <c r="V46" s="230">
        <f t="shared" si="8"/>
        <v>993.34108424847193</v>
      </c>
      <c r="W46" s="211">
        <f t="shared" si="9"/>
        <v>4.323599089921441E-3</v>
      </c>
      <c r="X46" s="229">
        <f t="shared" si="10"/>
        <v>324.67357338505229</v>
      </c>
      <c r="Y46" s="215">
        <f t="shared" si="11"/>
        <v>1.3230641349823711E-2</v>
      </c>
      <c r="Z46" s="231">
        <f t="shared" si="12"/>
        <v>541971681.750916</v>
      </c>
      <c r="AA46" s="270">
        <f t="shared" si="13"/>
        <v>6.1265052255876071</v>
      </c>
      <c r="AB46" s="194"/>
      <c r="AC46" s="297">
        <v>6.1689999999999996</v>
      </c>
      <c r="AD46" s="242">
        <f t="shared" si="14"/>
        <v>-42.494774412392466</v>
      </c>
      <c r="AF46" s="120">
        <v>-4.5427963544675265E-2</v>
      </c>
      <c r="AI46" s="173"/>
    </row>
    <row r="47" spans="2:35">
      <c r="B47" s="216">
        <v>-244.60000600000001</v>
      </c>
      <c r="D47" s="125"/>
      <c r="F47" s="233">
        <f t="shared" si="0"/>
        <v>1.080565717118253</v>
      </c>
      <c r="G47" s="167"/>
      <c r="K47" s="227">
        <f t="shared" si="1"/>
        <v>54.320311396313627</v>
      </c>
      <c r="L47" s="156"/>
      <c r="M47" s="227">
        <f t="shared" si="2"/>
        <v>1.0578624768114016</v>
      </c>
      <c r="N47" s="228">
        <f t="shared" si="3"/>
        <v>0.32619512888034019</v>
      </c>
      <c r="O47" s="229">
        <f t="shared" si="4"/>
        <v>323.94547295691723</v>
      </c>
      <c r="Q47" s="211"/>
      <c r="R47" s="247">
        <f t="shared" si="5"/>
        <v>54.320311396313627</v>
      </c>
      <c r="T47" s="211">
        <f t="shared" si="6"/>
        <v>4.3227970399704385E-2</v>
      </c>
      <c r="U47" s="211">
        <f t="shared" si="7"/>
        <v>4.4695861640036078E-4</v>
      </c>
      <c r="V47" s="230">
        <f t="shared" si="8"/>
        <v>993.14657095671328</v>
      </c>
      <c r="W47" s="211">
        <f t="shared" si="9"/>
        <v>4.3236341637971796E-3</v>
      </c>
      <c r="X47" s="229">
        <f t="shared" si="10"/>
        <v>324.07797055919605</v>
      </c>
      <c r="Y47" s="215">
        <f t="shared" si="11"/>
        <v>1.3252470045413961E-2</v>
      </c>
      <c r="Z47" s="231">
        <f t="shared" si="12"/>
        <v>541980575.00096202</v>
      </c>
      <c r="AA47" s="270">
        <f t="shared" si="13"/>
        <v>6.3175083311070921</v>
      </c>
      <c r="AB47" s="194"/>
      <c r="AC47" s="145">
        <v>6.3620000000000001</v>
      </c>
      <c r="AD47" s="242">
        <f t="shared" si="14"/>
        <v>-44.49166889290801</v>
      </c>
      <c r="AF47" s="120">
        <v>-2.0466381237493891</v>
      </c>
      <c r="AI47" s="173"/>
    </row>
    <row r="48" spans="2:35">
      <c r="B48" s="216">
        <v>-227.39999399999999</v>
      </c>
      <c r="D48" s="125"/>
      <c r="F48" s="233">
        <f t="shared" si="0"/>
        <v>1.0797583144879412</v>
      </c>
      <c r="G48" s="167"/>
      <c r="K48" s="227">
        <f t="shared" si="1"/>
        <v>54.241381171984131</v>
      </c>
      <c r="L48" s="156"/>
      <c r="M48" s="227">
        <f t="shared" si="2"/>
        <v>1.0577783996373651</v>
      </c>
      <c r="N48" s="228">
        <f t="shared" si="3"/>
        <v>0.3259773028359394</v>
      </c>
      <c r="O48" s="229">
        <f t="shared" si="4"/>
        <v>323.70341972239419</v>
      </c>
      <c r="Q48" s="211"/>
      <c r="R48" s="247">
        <f t="shared" si="5"/>
        <v>54.241381171984131</v>
      </c>
      <c r="T48" s="211">
        <f t="shared" si="6"/>
        <v>4.3228111642602124E-2</v>
      </c>
      <c r="U48" s="211">
        <f t="shared" si="7"/>
        <v>4.4695861640036078E-4</v>
      </c>
      <c r="V48" s="230">
        <f t="shared" si="8"/>
        <v>993.06764087362671</v>
      </c>
      <c r="W48" s="211">
        <f t="shared" si="9"/>
        <v>4.3236484184212788E-3</v>
      </c>
      <c r="X48" s="229">
        <f t="shared" si="10"/>
        <v>323.83600625779644</v>
      </c>
      <c r="Y48" s="215">
        <f t="shared" si="11"/>
        <v>1.3261362135580332E-2</v>
      </c>
      <c r="Z48" s="231">
        <f t="shared" si="12"/>
        <v>541984183.46814716</v>
      </c>
      <c r="AA48" s="270">
        <f t="shared" si="13"/>
        <v>6.3950080595968757</v>
      </c>
      <c r="AB48" s="194"/>
      <c r="AC48" s="145">
        <v>6.4340000000000002</v>
      </c>
      <c r="AD48" s="242">
        <f t="shared" si="14"/>
        <v>-38.991940403124481</v>
      </c>
      <c r="AF48" s="120">
        <v>3.4513325783480653</v>
      </c>
      <c r="AI48" s="173"/>
    </row>
    <row r="49" spans="1:35">
      <c r="B49" s="216">
        <v>-199</v>
      </c>
      <c r="D49" s="125"/>
      <c r="F49" s="233">
        <f t="shared" si="0"/>
        <v>1.0784236792066202</v>
      </c>
      <c r="G49" s="167"/>
      <c r="K49" s="227">
        <f t="shared" si="1"/>
        <v>54.111025266026786</v>
      </c>
      <c r="L49" s="156"/>
      <c r="M49" s="227">
        <f t="shared" si="2"/>
        <v>1.0576395433717842</v>
      </c>
      <c r="N49" s="228">
        <f t="shared" si="3"/>
        <v>0.32561712286723926</v>
      </c>
      <c r="O49" s="229">
        <f t="shared" si="4"/>
        <v>323.30330610544053</v>
      </c>
      <c r="Q49" s="211"/>
      <c r="R49" s="247">
        <f t="shared" si="5"/>
        <v>54.111025266026786</v>
      </c>
      <c r="T49" s="211">
        <f t="shared" si="6"/>
        <v>4.32283451917315E-2</v>
      </c>
      <c r="U49" s="211">
        <f t="shared" si="7"/>
        <v>4.4695861640036078E-4</v>
      </c>
      <c r="V49" s="230">
        <f t="shared" si="8"/>
        <v>992.93728520121863</v>
      </c>
      <c r="W49" s="211">
        <f t="shared" si="9"/>
        <v>4.3236719886478731E-3</v>
      </c>
      <c r="X49" s="229">
        <f t="shared" si="10"/>
        <v>323.43603995451002</v>
      </c>
      <c r="Y49" s="215">
        <f t="shared" si="11"/>
        <v>1.3276091459569405E-2</v>
      </c>
      <c r="Z49" s="231">
        <f t="shared" si="12"/>
        <v>541990142.64536119</v>
      </c>
      <c r="AA49" s="270">
        <f t="shared" si="13"/>
        <v>6.5229938647171366</v>
      </c>
      <c r="AB49" s="194"/>
      <c r="AC49" s="145">
        <v>6.57</v>
      </c>
      <c r="AD49" s="242">
        <f t="shared" si="14"/>
        <v>-47.006135282863681</v>
      </c>
      <c r="AF49" s="120">
        <v>-4.5657736994328957</v>
      </c>
      <c r="AI49" s="173"/>
    </row>
    <row r="50" spans="1:35">
      <c r="B50" s="216">
        <v>-187.800003</v>
      </c>
      <c r="D50" s="125"/>
      <c r="F50" s="233">
        <f t="shared" si="0"/>
        <v>1.0778968361971981</v>
      </c>
      <c r="G50" s="167"/>
      <c r="K50" s="227">
        <f t="shared" si="1"/>
        <v>54.059607365915213</v>
      </c>
      <c r="L50" s="156"/>
      <c r="M50" s="227">
        <f t="shared" si="2"/>
        <v>1.0575847725691798</v>
      </c>
      <c r="N50" s="228">
        <f t="shared" si="3"/>
        <v>0.3254749039328626</v>
      </c>
      <c r="O50" s="229">
        <f t="shared" si="4"/>
        <v>323.14536253462632</v>
      </c>
      <c r="Q50" s="211"/>
      <c r="R50" s="247">
        <f t="shared" si="5"/>
        <v>54.059607365915213</v>
      </c>
      <c r="T50" s="211">
        <f t="shared" si="6"/>
        <v>4.3228437410167679E-2</v>
      </c>
      <c r="U50" s="211">
        <f t="shared" si="7"/>
        <v>4.4695861640036078E-4</v>
      </c>
      <c r="V50" s="230">
        <f t="shared" si="8"/>
        <v>992.8858673933255</v>
      </c>
      <c r="W50" s="211">
        <f t="shared" si="9"/>
        <v>4.3236812954416306E-3</v>
      </c>
      <c r="X50" s="229">
        <f t="shared" si="10"/>
        <v>323.27815464099262</v>
      </c>
      <c r="Y50" s="215">
        <f t="shared" si="11"/>
        <v>1.328191637516332E-2</v>
      </c>
      <c r="Z50" s="231">
        <f t="shared" si="12"/>
        <v>541992493.08536923</v>
      </c>
      <c r="AA50" s="270">
        <f t="shared" si="13"/>
        <v>6.573474290617014</v>
      </c>
      <c r="AB50" s="194"/>
      <c r="AC50" s="144">
        <v>6.6779999999999999</v>
      </c>
      <c r="AD50" s="242">
        <f t="shared" si="14"/>
        <v>-104.52570938298589</v>
      </c>
      <c r="AF50" s="120">
        <v>-62.086499041586585</v>
      </c>
      <c r="AI50" s="173"/>
    </row>
    <row r="51" spans="1:35">
      <c r="B51" s="216">
        <v>-152.199997</v>
      </c>
      <c r="D51" s="125"/>
      <c r="F51" s="233">
        <f t="shared" si="0"/>
        <v>1.076220319034159</v>
      </c>
      <c r="G51" s="167"/>
      <c r="K51" s="227">
        <f t="shared" si="1"/>
        <v>53.896135084635489</v>
      </c>
      <c r="L51" s="156"/>
      <c r="M51" s="227">
        <f t="shared" si="2"/>
        <v>1.0574106404472954</v>
      </c>
      <c r="N51" s="228">
        <f t="shared" si="3"/>
        <v>0.32502218857106463</v>
      </c>
      <c r="O51" s="229">
        <f t="shared" si="4"/>
        <v>322.64275530149064</v>
      </c>
      <c r="Q51" s="211"/>
      <c r="R51" s="247">
        <f t="shared" si="5"/>
        <v>53.896135084635489</v>
      </c>
      <c r="T51" s="211">
        <f t="shared" si="6"/>
        <v>4.3228730963829641E-2</v>
      </c>
      <c r="U51" s="211">
        <f t="shared" si="7"/>
        <v>4.4695861640036078E-4</v>
      </c>
      <c r="V51" s="230">
        <f t="shared" si="8"/>
        <v>992.72239540559917</v>
      </c>
      <c r="W51" s="211">
        <f t="shared" si="9"/>
        <v>4.3237109209687949E-3</v>
      </c>
      <c r="X51" s="229">
        <f t="shared" si="10"/>
        <v>322.77573319337381</v>
      </c>
      <c r="Y51" s="215">
        <f t="shared" si="11"/>
        <v>1.330049230687827E-2</v>
      </c>
      <c r="Z51" s="231">
        <f t="shared" si="12"/>
        <v>541999965.38608432</v>
      </c>
      <c r="AA51" s="270">
        <f t="shared" si="13"/>
        <v>6.7339562481283792</v>
      </c>
      <c r="AB51" s="194"/>
      <c r="AC51" s="144">
        <v>6.7770000000000001</v>
      </c>
      <c r="AD51" s="242">
        <f t="shared" si="14"/>
        <v>-43.043751871620906</v>
      </c>
      <c r="AF51" s="120">
        <v>-0.60821253096232653</v>
      </c>
      <c r="AI51" s="173"/>
    </row>
    <row r="52" spans="1:35">
      <c r="B52" s="216">
        <v>-139</v>
      </c>
      <c r="D52" s="125"/>
      <c r="F52" s="233">
        <f t="shared" si="0"/>
        <v>1.0755979515130201</v>
      </c>
      <c r="G52" s="167"/>
      <c r="K52" s="227">
        <f t="shared" si="1"/>
        <v>53.835507770139316</v>
      </c>
      <c r="L52" s="156"/>
      <c r="M52" s="227">
        <f t="shared" si="2"/>
        <v>1.0573460596949213</v>
      </c>
      <c r="N52" s="228">
        <f t="shared" si="3"/>
        <v>0.32485407174497366</v>
      </c>
      <c r="O52" s="229">
        <f t="shared" si="4"/>
        <v>322.45617420068965</v>
      </c>
      <c r="Q52" s="211"/>
      <c r="R52" s="247">
        <f t="shared" si="5"/>
        <v>53.835507770139316</v>
      </c>
      <c r="T52" s="211">
        <f t="shared" si="6"/>
        <v>4.3228839976122771E-2</v>
      </c>
      <c r="U52" s="211">
        <f t="shared" si="7"/>
        <v>4.4695861640036078E-4</v>
      </c>
      <c r="V52" s="230">
        <f t="shared" si="8"/>
        <v>992.66176820011538</v>
      </c>
      <c r="W52" s="211">
        <f t="shared" si="9"/>
        <v>4.3237219224242533E-3</v>
      </c>
      <c r="X52" s="229">
        <f t="shared" si="10"/>
        <v>322.58922121619122</v>
      </c>
      <c r="Y52" s="215">
        <f t="shared" si="11"/>
        <v>1.3307403684702923E-2</v>
      </c>
      <c r="Z52" s="231">
        <f t="shared" si="12"/>
        <v>542002736.48998046</v>
      </c>
      <c r="AA52" s="270">
        <f t="shared" si="13"/>
        <v>6.793470726130181</v>
      </c>
      <c r="AB52" s="194"/>
      <c r="AC52" s="145">
        <v>6.8319999999999999</v>
      </c>
      <c r="AD52" s="242">
        <f t="shared" si="14"/>
        <v>-38.529273869818859</v>
      </c>
      <c r="AF52" s="120">
        <v>3.9048997881474534</v>
      </c>
      <c r="AI52" s="173"/>
    </row>
    <row r="53" spans="1:35">
      <c r="B53" s="216">
        <v>-113.400002</v>
      </c>
      <c r="D53" s="125"/>
      <c r="F53" s="233">
        <f t="shared" si="0"/>
        <v>1.074389797851613</v>
      </c>
      <c r="G53" s="167"/>
      <c r="K53" s="227">
        <f t="shared" si="1"/>
        <v>53.717906240597358</v>
      </c>
      <c r="L53" s="156"/>
      <c r="M53" s="227">
        <f t="shared" si="2"/>
        <v>1.0572207895040628</v>
      </c>
      <c r="N53" s="228">
        <f t="shared" si="3"/>
        <v>0.32452763170773713</v>
      </c>
      <c r="O53" s="229">
        <f t="shared" si="4"/>
        <v>322.09397882187181</v>
      </c>
      <c r="Q53" s="211"/>
      <c r="R53" s="247">
        <f t="shared" si="5"/>
        <v>53.717906240597358</v>
      </c>
      <c r="T53" s="211">
        <f t="shared" si="6"/>
        <v>4.3229051651002985E-2</v>
      </c>
      <c r="U53" s="211">
        <f t="shared" si="7"/>
        <v>4.4695861640036078E-4</v>
      </c>
      <c r="V53" s="230">
        <f t="shared" si="8"/>
        <v>992.54416688224831</v>
      </c>
      <c r="W53" s="211">
        <f t="shared" si="9"/>
        <v>4.3237432843732217E-3</v>
      </c>
      <c r="X53" s="229">
        <f t="shared" si="10"/>
        <v>322.22716026223736</v>
      </c>
      <c r="Y53" s="215">
        <f t="shared" si="11"/>
        <v>1.3320844243061921E-2</v>
      </c>
      <c r="Z53" s="231">
        <f t="shared" si="12"/>
        <v>542008111.47066855</v>
      </c>
      <c r="AA53" s="270">
        <f t="shared" si="13"/>
        <v>6.9089077432799968</v>
      </c>
      <c r="AB53" s="194"/>
      <c r="AC53" s="145">
        <v>6.9580000000000002</v>
      </c>
      <c r="AD53" s="242">
        <f t="shared" si="14"/>
        <v>-49.092256720003391</v>
      </c>
      <c r="AF53" s="120">
        <v>-6.6607386810648705</v>
      </c>
      <c r="AI53" s="173"/>
    </row>
    <row r="54" spans="1:35">
      <c r="B54" s="216">
        <v>-83.400002000000001</v>
      </c>
      <c r="D54" s="125"/>
      <c r="F54" s="233">
        <f t="shared" si="0"/>
        <v>1.0729720821752704</v>
      </c>
      <c r="G54" s="167"/>
      <c r="K54" s="227">
        <f t="shared" si="1"/>
        <v>53.580056776757829</v>
      </c>
      <c r="L54" s="156"/>
      <c r="M54" s="227">
        <f t="shared" si="2"/>
        <v>1.0570739510342557</v>
      </c>
      <c r="N54" s="228">
        <f t="shared" si="3"/>
        <v>0.32414442062421511</v>
      </c>
      <c r="O54" s="229">
        <f t="shared" si="4"/>
        <v>321.66895832749952</v>
      </c>
      <c r="Q54" s="211"/>
      <c r="R54" s="247">
        <f t="shared" si="5"/>
        <v>53.580056776757829</v>
      </c>
      <c r="T54" s="211">
        <f t="shared" si="6"/>
        <v>4.3229300139493006E-2</v>
      </c>
      <c r="U54" s="211">
        <f t="shared" si="7"/>
        <v>4.4695861640036078E-4</v>
      </c>
      <c r="V54" s="230">
        <f t="shared" si="8"/>
        <v>992.40631766689717</v>
      </c>
      <c r="W54" s="211">
        <f t="shared" si="9"/>
        <v>4.3237683612445971E-3</v>
      </c>
      <c r="X54" s="229">
        <f t="shared" si="10"/>
        <v>321.8022979157538</v>
      </c>
      <c r="Y54" s="215">
        <f t="shared" si="11"/>
        <v>1.3336656739348951E-2</v>
      </c>
      <c r="Z54" s="231">
        <f t="shared" si="12"/>
        <v>542014411.45529401</v>
      </c>
      <c r="AA54" s="270">
        <f t="shared" si="13"/>
        <v>7.044210093030415</v>
      </c>
      <c r="AB54" s="194"/>
      <c r="AC54" s="145">
        <v>7.0890000000000004</v>
      </c>
      <c r="AD54" s="242">
        <f t="shared" si="14"/>
        <v>-44.789906969585402</v>
      </c>
      <c r="AF54" s="120">
        <v>-2.3615128084788495</v>
      </c>
      <c r="AI54" s="173"/>
    </row>
    <row r="55" spans="1:35">
      <c r="B55" s="216">
        <v>-64.599997999999999</v>
      </c>
      <c r="D55" s="125"/>
      <c r="F55" s="233">
        <f t="shared" si="0"/>
        <v>1.07208259601133</v>
      </c>
      <c r="G55" s="167"/>
      <c r="K55" s="227">
        <f t="shared" si="1"/>
        <v>53.493652083118604</v>
      </c>
      <c r="L55" s="156"/>
      <c r="M55" s="227">
        <f t="shared" si="2"/>
        <v>1.0569819119893096</v>
      </c>
      <c r="N55" s="228">
        <f t="shared" si="3"/>
        <v>0.32390390941906172</v>
      </c>
      <c r="O55" s="229">
        <f t="shared" si="4"/>
        <v>321.40229706710477</v>
      </c>
      <c r="Q55" s="211"/>
      <c r="R55" s="247">
        <f t="shared" si="5"/>
        <v>53.493652083118604</v>
      </c>
      <c r="T55" s="211">
        <f t="shared" si="6"/>
        <v>4.3229456096740441E-2</v>
      </c>
      <c r="U55" s="211">
        <f t="shared" si="7"/>
        <v>4.4695861640036078E-4</v>
      </c>
      <c r="V55" s="230">
        <f t="shared" si="8"/>
        <v>992.31991312921525</v>
      </c>
      <c r="W55" s="211">
        <f t="shared" si="9"/>
        <v>4.3237840999390282E-3</v>
      </c>
      <c r="X55" s="229">
        <f t="shared" si="10"/>
        <v>321.53573610325577</v>
      </c>
      <c r="Y55" s="215">
        <f t="shared" si="11"/>
        <v>1.334660007388188E-2</v>
      </c>
      <c r="Z55" s="231">
        <f t="shared" si="12"/>
        <v>542018360.07885981</v>
      </c>
      <c r="AA55" s="270">
        <f t="shared" si="13"/>
        <v>7.1290127636748366</v>
      </c>
      <c r="AB55" s="194"/>
      <c r="AC55" s="145">
        <v>7.1820000000000004</v>
      </c>
      <c r="AD55" s="242">
        <f t="shared" si="14"/>
        <v>-52.987236325163778</v>
      </c>
      <c r="AF55" s="120">
        <v>-10.560806341556983</v>
      </c>
      <c r="AI55" s="173"/>
    </row>
    <row r="56" spans="1:35">
      <c r="B56" s="216">
        <v>-54.599997999999999</v>
      </c>
      <c r="D56" s="125"/>
      <c r="F56" s="233">
        <f t="shared" si="0"/>
        <v>1.0716091353042443</v>
      </c>
      <c r="G56" s="167"/>
      <c r="K56" s="227">
        <f t="shared" si="1"/>
        <v>53.447686262996967</v>
      </c>
      <c r="L56" s="156"/>
      <c r="M56" s="227">
        <f t="shared" si="2"/>
        <v>1.0569329487905992</v>
      </c>
      <c r="N56" s="228">
        <f t="shared" si="3"/>
        <v>0.32377586314207885</v>
      </c>
      <c r="O56" s="229">
        <f t="shared" si="4"/>
        <v>321.26035710893859</v>
      </c>
      <c r="Q56" s="211"/>
      <c r="R56" s="247">
        <f t="shared" si="5"/>
        <v>53.447686262996967</v>
      </c>
      <c r="T56" s="211">
        <f t="shared" si="6"/>
        <v>4.3229539127383816E-2</v>
      </c>
      <c r="U56" s="211">
        <f t="shared" si="7"/>
        <v>4.4695861640036078E-4</v>
      </c>
      <c r="V56" s="230">
        <f t="shared" si="8"/>
        <v>992.27394739212434</v>
      </c>
      <c r="W56" s="211">
        <f t="shared" si="9"/>
        <v>4.3237924790746722E-3</v>
      </c>
      <c r="X56" s="229">
        <f t="shared" si="10"/>
        <v>321.39384915059827</v>
      </c>
      <c r="Y56" s="215">
        <f t="shared" si="11"/>
        <v>1.3351899844881561E-2</v>
      </c>
      <c r="Z56" s="231">
        <f t="shared" si="12"/>
        <v>542020460.60465014</v>
      </c>
      <c r="AA56" s="270">
        <f t="shared" si="13"/>
        <v>7.1741246100718854</v>
      </c>
      <c r="AB56" s="194"/>
      <c r="AC56" s="145">
        <v>7.2279999999999998</v>
      </c>
      <c r="AD56" s="242">
        <f t="shared" si="14"/>
        <v>-53.875389928114359</v>
      </c>
      <c r="AF56" s="120">
        <v>-11.450006772909305</v>
      </c>
      <c r="AI56" s="173"/>
    </row>
    <row r="57" spans="1:35">
      <c r="B57" s="216">
        <v>-40.599997999999999</v>
      </c>
      <c r="D57" s="125"/>
      <c r="F57" s="233">
        <f t="shared" si="0"/>
        <v>1.0709459054666441</v>
      </c>
      <c r="G57" s="167"/>
      <c r="K57" s="227">
        <f t="shared" si="1"/>
        <v>53.383327316551004</v>
      </c>
      <c r="L57" s="156"/>
      <c r="M57" s="227">
        <f t="shared" si="2"/>
        <v>1.0568643930708213</v>
      </c>
      <c r="N57" s="228">
        <f t="shared" si="3"/>
        <v>0.32359646435392431</v>
      </c>
      <c r="O57" s="229">
        <f t="shared" si="4"/>
        <v>321.06152579306655</v>
      </c>
      <c r="Q57" s="211"/>
      <c r="R57" s="247">
        <f t="shared" si="5"/>
        <v>53.383327316551004</v>
      </c>
      <c r="T57" s="211">
        <f t="shared" si="6"/>
        <v>4.3229655457444317E-2</v>
      </c>
      <c r="U57" s="211">
        <f t="shared" si="7"/>
        <v>4.4695861640036078E-4</v>
      </c>
      <c r="V57" s="230">
        <f t="shared" si="8"/>
        <v>992.20958856200832</v>
      </c>
      <c r="W57" s="211">
        <f t="shared" si="9"/>
        <v>4.3238042186080012E-3</v>
      </c>
      <c r="X57" s="229">
        <f t="shared" si="10"/>
        <v>321.19509216841868</v>
      </c>
      <c r="Y57" s="215">
        <f t="shared" si="11"/>
        <v>1.3359332115543248E-2</v>
      </c>
      <c r="Z57" s="231">
        <f t="shared" si="12"/>
        <v>542023401.56437266</v>
      </c>
      <c r="AA57" s="270">
        <f t="shared" si="13"/>
        <v>7.2372858506350894</v>
      </c>
      <c r="AB57" s="194"/>
      <c r="AC57" s="136">
        <v>7.2649999999999997</v>
      </c>
      <c r="AD57" s="242">
        <f t="shared" si="14"/>
        <v>-27.714149364910234</v>
      </c>
      <c r="AF57" s="120">
        <v>14.709765814914455</v>
      </c>
      <c r="AI57" s="173"/>
    </row>
    <row r="58" spans="1:35">
      <c r="B58" s="216">
        <v>-11.8</v>
      </c>
      <c r="D58" s="125"/>
      <c r="F58" s="233">
        <f t="shared" si="0"/>
        <v>1.0695801351972889</v>
      </c>
      <c r="G58" s="167"/>
      <c r="K58" s="227">
        <f t="shared" si="1"/>
        <v>53.250907152725745</v>
      </c>
      <c r="L58" s="156"/>
      <c r="M58" s="227">
        <f t="shared" si="2"/>
        <v>1.0567233379394765</v>
      </c>
      <c r="N58" s="228">
        <f t="shared" si="3"/>
        <v>0.32322692361444016</v>
      </c>
      <c r="O58" s="229">
        <f t="shared" si="4"/>
        <v>320.65207814092724</v>
      </c>
      <c r="Q58" s="211"/>
      <c r="R58" s="247">
        <f t="shared" si="5"/>
        <v>53.250907152725745</v>
      </c>
      <c r="T58" s="211">
        <f t="shared" si="6"/>
        <v>4.322989508489114E-2</v>
      </c>
      <c r="U58" s="211">
        <f t="shared" si="7"/>
        <v>4.4695861640036078E-4</v>
      </c>
      <c r="V58" s="230">
        <f t="shared" si="8"/>
        <v>992.07716863781059</v>
      </c>
      <c r="W58" s="211">
        <f t="shared" si="9"/>
        <v>4.3238284005947024E-3</v>
      </c>
      <c r="X58" s="229">
        <f t="shared" si="10"/>
        <v>320.78579789495683</v>
      </c>
      <c r="Y58" s="215">
        <f t="shared" si="11"/>
        <v>1.3374667698044749E-2</v>
      </c>
      <c r="Z58" s="231">
        <f t="shared" si="12"/>
        <v>542029452.34335077</v>
      </c>
      <c r="AA58" s="270">
        <f t="shared" si="13"/>
        <v>7.3672342884601676</v>
      </c>
      <c r="AB58" s="194"/>
      <c r="AC58" s="136">
        <v>7.4107399999999997</v>
      </c>
      <c r="AD58" s="242">
        <f t="shared" si="14"/>
        <v>-43.50571153983207</v>
      </c>
      <c r="AF58" s="120">
        <v>-1.0848250573998186</v>
      </c>
      <c r="AI58" s="173"/>
    </row>
    <row r="59" spans="1:35">
      <c r="B59" s="216">
        <v>8.1999999999999993</v>
      </c>
      <c r="D59" s="125"/>
      <c r="F59" s="233">
        <f t="shared" si="0"/>
        <v>1.0686305656646489</v>
      </c>
      <c r="G59" s="167"/>
      <c r="K59" s="227">
        <f t="shared" si="1"/>
        <v>53.158929496414999</v>
      </c>
      <c r="L59" s="156"/>
      <c r="M59" s="227">
        <f t="shared" si="2"/>
        <v>1.056625362525333</v>
      </c>
      <c r="N59" s="228">
        <f t="shared" si="3"/>
        <v>0.32296990842863443</v>
      </c>
      <c r="O59" s="229">
        <f t="shared" si="4"/>
        <v>320.36740433859944</v>
      </c>
      <c r="Q59" s="211"/>
      <c r="R59" s="247">
        <f t="shared" si="5"/>
        <v>53.158929496414999</v>
      </c>
      <c r="T59" s="211">
        <f t="shared" si="6"/>
        <v>4.3230061746305164E-2</v>
      </c>
      <c r="U59" s="211">
        <f t="shared" si="7"/>
        <v>4.4695861640036078E-4</v>
      </c>
      <c r="V59" s="230">
        <f t="shared" si="8"/>
        <v>991.98519114816111</v>
      </c>
      <c r="W59" s="211">
        <f t="shared" si="9"/>
        <v>4.3238452190664037E-3</v>
      </c>
      <c r="X59" s="229">
        <f t="shared" si="10"/>
        <v>320.50123097414604</v>
      </c>
      <c r="Y59" s="215">
        <f t="shared" si="11"/>
        <v>1.3385354242617239E-2</v>
      </c>
      <c r="Z59" s="231">
        <f t="shared" si="12"/>
        <v>542033654.89660501</v>
      </c>
      <c r="AA59" s="270">
        <f t="shared" si="13"/>
        <v>7.4574892208547681</v>
      </c>
      <c r="AB59" s="194"/>
      <c r="AC59" s="136">
        <v>7.5</v>
      </c>
      <c r="AD59" s="242">
        <f t="shared" si="14"/>
        <v>-42.510779145231936</v>
      </c>
      <c r="AF59" s="120">
        <v>-9.2002974270144477E-2</v>
      </c>
      <c r="AI59" s="173"/>
    </row>
    <row r="60" spans="1:35">
      <c r="B60" s="125"/>
      <c r="D60" s="125"/>
      <c r="F60" s="142"/>
      <c r="G60" s="167"/>
      <c r="K60" s="136"/>
      <c r="L60" s="156"/>
      <c r="M60" s="136"/>
      <c r="N60" s="137"/>
      <c r="O60" s="138"/>
      <c r="R60" s="151"/>
      <c r="V60" s="139"/>
      <c r="X60" s="138"/>
      <c r="Y60" s="124"/>
      <c r="Z60" s="140"/>
      <c r="AA60" s="174"/>
      <c r="AB60" s="194"/>
      <c r="AC60" s="136"/>
      <c r="AD60" s="152"/>
      <c r="AI60" s="173"/>
    </row>
    <row r="62" spans="1:35">
      <c r="B62" s="313" t="s">
        <v>154</v>
      </c>
      <c r="C62" s="314"/>
      <c r="D62" s="314"/>
      <c r="E62" s="315"/>
      <c r="F62" s="123"/>
      <c r="AI62" s="125"/>
    </row>
    <row r="63" spans="1:35">
      <c r="A63" s="188" t="s">
        <v>142</v>
      </c>
      <c r="B63" s="188" t="s">
        <v>143</v>
      </c>
      <c r="C63" s="185" t="s">
        <v>144</v>
      </c>
      <c r="D63" s="187" t="s">
        <v>145</v>
      </c>
      <c r="E63" s="186" t="s">
        <v>146</v>
      </c>
      <c r="F63" s="186" t="s">
        <v>18</v>
      </c>
      <c r="G63" s="186" t="s">
        <v>19</v>
      </c>
      <c r="H63" s="186" t="s">
        <v>20</v>
      </c>
      <c r="I63" s="186"/>
      <c r="J63" s="185" t="s">
        <v>147</v>
      </c>
      <c r="K63" s="185" t="s">
        <v>85</v>
      </c>
      <c r="L63" s="184" t="s">
        <v>86</v>
      </c>
      <c r="M63" s="184" t="s">
        <v>87</v>
      </c>
      <c r="N63" s="150" t="s">
        <v>88</v>
      </c>
      <c r="O63" s="183" t="s">
        <v>13</v>
      </c>
      <c r="P63" s="182" t="s">
        <v>78</v>
      </c>
    </row>
    <row r="64" spans="1:35">
      <c r="A64" s="120">
        <v>0.5</v>
      </c>
      <c r="B64" s="199">
        <v>3.0894430000000002</v>
      </c>
      <c r="C64" s="125">
        <v>54.866</v>
      </c>
      <c r="D64" s="125">
        <f>C64+(0.002+$I$9)/1000</f>
        <v>54.866002090000002</v>
      </c>
      <c r="E64" s="156">
        <v>1.038E-2</v>
      </c>
      <c r="F64" s="125">
        <f>C64-E64</f>
        <v>54.855620000000002</v>
      </c>
      <c r="H64" s="120">
        <f>E64+G64</f>
        <v>1.038E-2</v>
      </c>
      <c r="J64" s="179">
        <f>C64-H64</f>
        <v>54.855620000000002</v>
      </c>
      <c r="K64" s="125">
        <f>D64-H64</f>
        <v>54.855622090000004</v>
      </c>
      <c r="L64" s="178">
        <f>$C$7*$H$8/($C$5*$C$9*$C$6)*SQRT((J64/$H$8+1)^2-1)</f>
        <v>1.0860274049519154</v>
      </c>
      <c r="M64" s="181">
        <f>$C$7*$H$8/($C$5*$C$9*$C$6)*SQRT((K64/$H$8+1)^2-1)</f>
        <v>1.0860274262280385</v>
      </c>
      <c r="N64" s="180">
        <f>M64-L64</f>
        <v>2.1276123085556264E-8</v>
      </c>
      <c r="O64" s="125">
        <v>-361.39699999999999</v>
      </c>
      <c r="P64" s="120">
        <v>0.33031190837074043</v>
      </c>
      <c r="Q64" s="120" t="s">
        <v>148</v>
      </c>
      <c r="AI64" s="125"/>
    </row>
    <row r="65" spans="1:35">
      <c r="B65" s="199">
        <v>3.684507</v>
      </c>
      <c r="C65" s="148">
        <v>54.250071547752228</v>
      </c>
      <c r="D65" s="125">
        <f>C65+(0.0019+$I$9)/1000</f>
        <v>54.250073537752229</v>
      </c>
      <c r="E65" s="120">
        <v>1.048E-2</v>
      </c>
      <c r="F65" s="125">
        <f t="shared" ref="F65:F98" si="15">C65-E65</f>
        <v>54.239591547752227</v>
      </c>
      <c r="H65" s="120">
        <f t="shared" ref="H65:H98" si="16">E65+G65</f>
        <v>1.048E-2</v>
      </c>
      <c r="J65" s="179">
        <f t="shared" ref="J65:J98" si="17">C65-H65</f>
        <v>54.239591547752227</v>
      </c>
      <c r="K65" s="125">
        <f t="shared" ref="K65:K98" si="18">D65-H65</f>
        <v>54.239593537752228</v>
      </c>
      <c r="L65" s="178">
        <f t="shared" ref="L65:M98" si="19">$C$7*$H$8/($C$5*$C$9*$C$6)*SQRT((J65/$H$8+1)^2-1)</f>
        <v>1.0797400015910343</v>
      </c>
      <c r="M65" s="181">
        <f t="shared" si="19"/>
        <v>1.0797400219544941</v>
      </c>
      <c r="N65" s="180"/>
      <c r="O65" s="125">
        <v>-227.084</v>
      </c>
      <c r="P65" s="120">
        <v>0.74389994293171124</v>
      </c>
      <c r="AI65" s="125"/>
    </row>
    <row r="66" spans="1:35">
      <c r="B66" s="199">
        <v>3.8538069999999998</v>
      </c>
      <c r="C66" s="125">
        <v>54.074634723241758</v>
      </c>
      <c r="D66" s="125">
        <f>C66+(0.0019+$I$9)/1000</f>
        <v>54.074636713241759</v>
      </c>
      <c r="E66" s="120">
        <v>1.051E-2</v>
      </c>
      <c r="F66" s="125">
        <f t="shared" si="15"/>
        <v>54.064124723241761</v>
      </c>
      <c r="H66" s="120">
        <f t="shared" si="16"/>
        <v>1.051E-2</v>
      </c>
      <c r="J66" s="179">
        <f t="shared" si="17"/>
        <v>54.064124723241761</v>
      </c>
      <c r="K66" s="125">
        <f t="shared" si="18"/>
        <v>54.064126713241762</v>
      </c>
      <c r="L66" s="178">
        <f t="shared" si="19"/>
        <v>1.0779431316001615</v>
      </c>
      <c r="M66" s="181">
        <f t="shared" si="19"/>
        <v>1.0779431519939613</v>
      </c>
      <c r="N66" s="180"/>
      <c r="O66" s="125">
        <v>-188.85499999999999</v>
      </c>
      <c r="P66" s="120">
        <v>0.52881002562419832</v>
      </c>
    </row>
    <row r="67" spans="1:35">
      <c r="B67" s="199"/>
      <c r="C67" s="125"/>
      <c r="D67" s="125"/>
      <c r="F67" s="125"/>
      <c r="J67" s="179"/>
      <c r="K67" s="125"/>
      <c r="L67" s="178"/>
      <c r="M67" s="181"/>
      <c r="N67" s="180"/>
      <c r="O67" s="125"/>
    </row>
    <row r="68" spans="1:35">
      <c r="A68" s="120">
        <v>5</v>
      </c>
      <c r="B68" s="199">
        <v>3.0894430000000002</v>
      </c>
      <c r="C68" s="148">
        <v>54.818044193325932</v>
      </c>
      <c r="D68" s="125">
        <f>C68+(0.002+$I$9)/1000</f>
        <v>54.818046283325934</v>
      </c>
      <c r="E68" s="156">
        <v>1.039E-2</v>
      </c>
      <c r="F68" s="125">
        <f t="shared" si="15"/>
        <v>54.807654193325931</v>
      </c>
      <c r="H68" s="120">
        <f t="shared" si="16"/>
        <v>1.039E-2</v>
      </c>
      <c r="J68" s="179">
        <f t="shared" si="17"/>
        <v>54.807654193325931</v>
      </c>
      <c r="K68" s="125">
        <f t="shared" si="18"/>
        <v>54.807656283325933</v>
      </c>
      <c r="L68" s="178">
        <f t="shared" si="19"/>
        <v>1.0855390167501004</v>
      </c>
      <c r="M68" s="181">
        <f t="shared" si="19"/>
        <v>1.0855390380347698</v>
      </c>
      <c r="N68" s="180">
        <f>M68-L68</f>
        <v>2.1284669360355224E-8</v>
      </c>
      <c r="O68" s="125">
        <v>-351.78</v>
      </c>
      <c r="P68" s="120">
        <v>0.30782123019566865</v>
      </c>
    </row>
    <row r="69" spans="1:35">
      <c r="B69" s="199">
        <v>3.684507</v>
      </c>
      <c r="C69" s="120">
        <v>54.20192915449136</v>
      </c>
      <c r="D69" s="125">
        <f>C69+(0.0019+$I$9)/1000</f>
        <v>54.201931144491361</v>
      </c>
      <c r="E69" s="156">
        <v>1.0489999999999999E-2</v>
      </c>
      <c r="F69" s="125">
        <f t="shared" si="15"/>
        <v>54.191439154491363</v>
      </c>
      <c r="H69" s="120">
        <f t="shared" si="16"/>
        <v>1.0489999999999999E-2</v>
      </c>
      <c r="J69" s="179">
        <f t="shared" si="17"/>
        <v>54.191439154491363</v>
      </c>
      <c r="K69" s="125">
        <f t="shared" si="18"/>
        <v>54.191441144491364</v>
      </c>
      <c r="L69" s="178">
        <f t="shared" si="19"/>
        <v>1.0792471627081968</v>
      </c>
      <c r="M69" s="181">
        <f t="shared" si="19"/>
        <v>1.0792471830799681</v>
      </c>
      <c r="N69" s="180"/>
      <c r="O69" s="125">
        <v>-217.86699999999999</v>
      </c>
      <c r="P69" s="120">
        <v>0.26325031633942575</v>
      </c>
    </row>
    <row r="70" spans="1:35">
      <c r="B70" s="199">
        <v>3.8538069999999998</v>
      </c>
      <c r="C70" s="120">
        <v>54.026563777627487</v>
      </c>
      <c r="D70" s="125">
        <f>C70+(0.0019+$I$9)/1000</f>
        <v>54.026565767627488</v>
      </c>
      <c r="E70" s="156">
        <v>1.052E-2</v>
      </c>
      <c r="F70" s="125">
        <f t="shared" si="15"/>
        <v>54.016043777627488</v>
      </c>
      <c r="H70" s="120">
        <f t="shared" si="16"/>
        <v>1.052E-2</v>
      </c>
      <c r="J70" s="179">
        <f t="shared" si="17"/>
        <v>54.016043777627488</v>
      </c>
      <c r="K70" s="125">
        <f t="shared" si="18"/>
        <v>54.016045767627489</v>
      </c>
      <c r="L70" s="178">
        <f t="shared" si="19"/>
        <v>1.0774502905638335</v>
      </c>
      <c r="M70" s="181">
        <f t="shared" si="19"/>
        <v>1.0774503109659748</v>
      </c>
      <c r="N70" s="180"/>
      <c r="O70" s="125">
        <v>-179.79</v>
      </c>
      <c r="P70" s="120">
        <v>0.90865031592836643</v>
      </c>
    </row>
    <row r="71" spans="1:35">
      <c r="B71" s="199"/>
      <c r="F71" s="125"/>
      <c r="J71" s="179"/>
      <c r="K71" s="125"/>
      <c r="L71" s="178"/>
      <c r="M71" s="181"/>
      <c r="N71" s="180"/>
      <c r="O71" s="125"/>
    </row>
    <row r="72" spans="1:35">
      <c r="A72" s="120">
        <v>10</v>
      </c>
      <c r="B72" s="199">
        <v>3.0894430000000002</v>
      </c>
      <c r="C72" s="125">
        <v>54.672023461585312</v>
      </c>
      <c r="D72" s="125">
        <f>C72+(0.002+$I$9)/1000</f>
        <v>54.672025551585314</v>
      </c>
      <c r="E72" s="156">
        <v>1.0410000000000001E-2</v>
      </c>
      <c r="F72" s="125">
        <f t="shared" si="15"/>
        <v>54.661613461585311</v>
      </c>
      <c r="H72" s="120">
        <f t="shared" si="16"/>
        <v>1.0410000000000001E-2</v>
      </c>
      <c r="J72" s="179">
        <f t="shared" si="17"/>
        <v>54.661613461585311</v>
      </c>
      <c r="K72" s="125">
        <f t="shared" si="18"/>
        <v>54.661615551585314</v>
      </c>
      <c r="L72" s="178">
        <f t="shared" si="19"/>
        <v>1.0840508195236633</v>
      </c>
      <c r="M72" s="181">
        <f t="shared" si="19"/>
        <v>1.0840508408344192</v>
      </c>
      <c r="N72" s="180">
        <f>M72-L72</f>
        <v>2.1310755826675631E-8</v>
      </c>
      <c r="O72" s="125">
        <v>-321.767</v>
      </c>
      <c r="P72" s="120">
        <v>0.33025296947143767</v>
      </c>
    </row>
    <row r="73" spans="1:35">
      <c r="B73" s="199">
        <v>3.684507</v>
      </c>
      <c r="C73" s="120">
        <v>54.056664795167642</v>
      </c>
      <c r="D73" s="125">
        <f>C73+(0.0019+$I$9)/1000</f>
        <v>54.056666785167643</v>
      </c>
      <c r="E73" s="156">
        <v>1.051E-2</v>
      </c>
      <c r="F73" s="125">
        <f t="shared" si="15"/>
        <v>54.046154795167645</v>
      </c>
      <c r="H73" s="120">
        <f t="shared" si="16"/>
        <v>1.051E-2</v>
      </c>
      <c r="J73" s="179">
        <f t="shared" si="17"/>
        <v>54.046154795167645</v>
      </c>
      <c r="K73" s="125">
        <f t="shared" si="18"/>
        <v>54.046156785167646</v>
      </c>
      <c r="L73" s="178">
        <f t="shared" si="19"/>
        <v>1.0777589591794112</v>
      </c>
      <c r="M73" s="181">
        <f t="shared" si="19"/>
        <v>1.0777589795763256</v>
      </c>
      <c r="N73" s="180">
        <f>M73-L73</f>
        <v>2.0396914379716691E-8</v>
      </c>
      <c r="O73" s="125">
        <v>-187.95</v>
      </c>
      <c r="P73" s="120">
        <v>0.38051042812661223</v>
      </c>
    </row>
    <row r="74" spans="1:35">
      <c r="B74" s="199">
        <v>3.8538069999999998</v>
      </c>
      <c r="C74" s="120">
        <v>53.881515395423222</v>
      </c>
      <c r="D74" s="125">
        <f>C74+(0.0019+$I$9)/1000</f>
        <v>53.881517385423223</v>
      </c>
      <c r="E74" s="156">
        <v>1.0540000000000001E-2</v>
      </c>
      <c r="F74" s="125">
        <f t="shared" si="15"/>
        <v>53.870975395423223</v>
      </c>
      <c r="H74" s="120">
        <f t="shared" si="16"/>
        <v>1.0540000000000001E-2</v>
      </c>
      <c r="J74" s="179">
        <f t="shared" si="17"/>
        <v>53.870975395423223</v>
      </c>
      <c r="K74" s="125">
        <f t="shared" si="18"/>
        <v>53.870977385423224</v>
      </c>
      <c r="L74" s="178">
        <f t="shared" si="19"/>
        <v>1.0759620822321923</v>
      </c>
      <c r="M74" s="181">
        <f t="shared" si="19"/>
        <v>1.0759621026595676</v>
      </c>
      <c r="O74" s="125">
        <v>-149.89599999999999</v>
      </c>
      <c r="P74" s="120">
        <v>0.75674504258061137</v>
      </c>
    </row>
    <row r="75" spans="1:35">
      <c r="B75" s="199"/>
      <c r="F75" s="125"/>
      <c r="J75" s="179"/>
      <c r="K75" s="125"/>
      <c r="L75" s="178"/>
      <c r="M75" s="181"/>
      <c r="O75" s="125"/>
    </row>
    <row r="76" spans="1:35">
      <c r="A76" s="120">
        <v>15</v>
      </c>
      <c r="B76" s="199">
        <v>3.0894430000000002</v>
      </c>
      <c r="C76" s="125">
        <v>54.430725187684565</v>
      </c>
      <c r="D76" s="125">
        <f>C76+(0.002+$I$9)/1000</f>
        <v>54.430727277684568</v>
      </c>
      <c r="E76" s="156">
        <v>1.0449999999999999E-2</v>
      </c>
      <c r="F76" s="125">
        <f t="shared" si="15"/>
        <v>54.420275187684567</v>
      </c>
      <c r="H76" s="120">
        <f t="shared" si="16"/>
        <v>1.0449999999999999E-2</v>
      </c>
      <c r="J76" s="179">
        <f t="shared" si="17"/>
        <v>54.420275187684567</v>
      </c>
      <c r="K76" s="125">
        <f t="shared" si="18"/>
        <v>54.420277277684569</v>
      </c>
      <c r="L76" s="178">
        <f t="shared" si="19"/>
        <v>1.0815875057995408</v>
      </c>
      <c r="M76" s="181">
        <f t="shared" si="19"/>
        <v>1.0815875271536428</v>
      </c>
      <c r="O76" s="200">
        <v>-268.67500000000001</v>
      </c>
      <c r="P76" s="120">
        <v>0.79146312683862541</v>
      </c>
    </row>
    <row r="77" spans="1:35">
      <c r="B77" s="199">
        <v>3.684507</v>
      </c>
      <c r="C77" s="120">
        <v>53.81662092768336</v>
      </c>
      <c r="D77" s="125">
        <f>C77+(0.0019+$I$9)/1000</f>
        <v>53.816622917683361</v>
      </c>
      <c r="E77" s="156">
        <v>1.055E-2</v>
      </c>
      <c r="F77" s="125">
        <f t="shared" si="15"/>
        <v>53.806070927683358</v>
      </c>
      <c r="H77" s="120">
        <f t="shared" si="16"/>
        <v>1.055E-2</v>
      </c>
      <c r="J77" s="179">
        <f t="shared" si="17"/>
        <v>53.806070927683358</v>
      </c>
      <c r="K77" s="125">
        <f t="shared" si="18"/>
        <v>53.806072917683359</v>
      </c>
      <c r="L77" s="178">
        <f t="shared" si="19"/>
        <v>1.0752956524697788</v>
      </c>
      <c r="M77" s="181">
        <f t="shared" si="19"/>
        <v>1.0752956729084782</v>
      </c>
      <c r="O77" s="200">
        <v>-135.11000000000001</v>
      </c>
      <c r="P77" s="120">
        <v>0.34853565339628734</v>
      </c>
    </row>
    <row r="78" spans="1:35">
      <c r="B78" s="199">
        <v>3.8538069999999998</v>
      </c>
      <c r="C78" s="120">
        <v>53.641829717467068</v>
      </c>
      <c r="D78" s="125">
        <f>C78+(0.0019+$I$9)/1000</f>
        <v>53.64183170746707</v>
      </c>
      <c r="E78" s="156">
        <v>1.0580000000000001E-2</v>
      </c>
      <c r="F78" s="125">
        <f t="shared" si="15"/>
        <v>53.631249717467071</v>
      </c>
      <c r="H78" s="120">
        <f t="shared" si="16"/>
        <v>1.0580000000000001E-2</v>
      </c>
      <c r="J78" s="179">
        <f t="shared" si="17"/>
        <v>53.631249717467071</v>
      </c>
      <c r="K78" s="125">
        <f t="shared" si="18"/>
        <v>53.631251707467072</v>
      </c>
      <c r="L78" s="178">
        <f t="shared" si="19"/>
        <v>1.0734987725967378</v>
      </c>
      <c r="M78" s="181">
        <f t="shared" si="19"/>
        <v>1.07349879306604</v>
      </c>
      <c r="O78" s="200">
        <v>-97.128699999999995</v>
      </c>
      <c r="P78" s="120">
        <v>0.36162991227692726</v>
      </c>
    </row>
    <row r="79" spans="1:35">
      <c r="B79" s="199"/>
      <c r="F79" s="125"/>
      <c r="J79" s="179"/>
      <c r="K79" s="125"/>
      <c r="L79" s="178"/>
      <c r="M79" s="181"/>
      <c r="O79" s="125"/>
      <c r="P79" s="120">
        <v>0.52584258580475551</v>
      </c>
    </row>
    <row r="80" spans="1:35">
      <c r="A80" s="120">
        <v>20</v>
      </c>
      <c r="B80" s="199">
        <v>3.0894430000000002</v>
      </c>
      <c r="C80" s="125">
        <v>54.097204991332326</v>
      </c>
      <c r="D80" s="125">
        <f>C80+(0.002+$I$9)/1000</f>
        <v>54.097207081332328</v>
      </c>
      <c r="E80" s="156">
        <v>1.051E-2</v>
      </c>
      <c r="F80" s="125">
        <f t="shared" si="15"/>
        <v>54.08669499133233</v>
      </c>
      <c r="H80" s="120">
        <f t="shared" si="16"/>
        <v>1.051E-2</v>
      </c>
      <c r="J80" s="179">
        <f t="shared" si="17"/>
        <v>54.08669499133233</v>
      </c>
      <c r="K80" s="125">
        <f t="shared" si="18"/>
        <v>54.086697081332332</v>
      </c>
      <c r="L80" s="178">
        <f t="shared" si="19"/>
        <v>1.0781744127040023</v>
      </c>
      <c r="M80" s="181">
        <f t="shared" si="19"/>
        <v>1.078174434118508</v>
      </c>
      <c r="O80" s="125">
        <v>-199.69499999999999</v>
      </c>
      <c r="P80" s="120">
        <v>0.39267284854456597</v>
      </c>
    </row>
    <row r="81" spans="1:16">
      <c r="B81" s="199">
        <v>3.684507</v>
      </c>
      <c r="C81" s="120">
        <v>53.484843873033498</v>
      </c>
      <c r="D81" s="125">
        <f>C81+(0.0019+$I$9)/1000</f>
        <v>53.484845863033499</v>
      </c>
      <c r="E81" s="156">
        <v>1.061E-2</v>
      </c>
      <c r="F81" s="125">
        <f t="shared" si="15"/>
        <v>53.474233873033498</v>
      </c>
      <c r="H81" s="120">
        <f t="shared" si="16"/>
        <v>1.061E-2</v>
      </c>
      <c r="J81" s="179">
        <f t="shared" si="17"/>
        <v>53.474233873033498</v>
      </c>
      <c r="K81" s="125">
        <f t="shared" si="18"/>
        <v>53.474235863033499</v>
      </c>
      <c r="L81" s="178">
        <f t="shared" si="19"/>
        <v>1.0718826058941409</v>
      </c>
      <c r="M81" s="181">
        <f t="shared" si="19"/>
        <v>1.0718826263910646</v>
      </c>
      <c r="O81" s="156">
        <v>-66.975499999999997</v>
      </c>
      <c r="P81" s="120">
        <v>0.6645810905297288</v>
      </c>
    </row>
    <row r="82" spans="1:16">
      <c r="B82" s="199">
        <v>3.8538069999999998</v>
      </c>
      <c r="C82" s="120">
        <v>53.310550412585989</v>
      </c>
      <c r="D82" s="125">
        <f>C82+(0.0019+$I$9)/1000</f>
        <v>53.310552402585991</v>
      </c>
      <c r="E82" s="156">
        <v>1.064E-2</v>
      </c>
      <c r="F82" s="125">
        <f t="shared" si="15"/>
        <v>53.299910412585987</v>
      </c>
      <c r="H82" s="120">
        <f t="shared" si="16"/>
        <v>1.064E-2</v>
      </c>
      <c r="J82" s="179">
        <f t="shared" si="17"/>
        <v>53.299910412585987</v>
      </c>
      <c r="K82" s="125">
        <f t="shared" si="18"/>
        <v>53.299912402585989</v>
      </c>
      <c r="L82" s="178">
        <f t="shared" si="19"/>
        <v>1.0700857325646407</v>
      </c>
      <c r="M82" s="181">
        <f t="shared" si="19"/>
        <v>1.070085753092374</v>
      </c>
      <c r="O82" s="156">
        <v>-29.243600000000001</v>
      </c>
      <c r="P82" s="120">
        <v>0.56620345099597236</v>
      </c>
    </row>
    <row r="83" spans="1:16">
      <c r="F83" s="125"/>
      <c r="J83" s="179"/>
      <c r="K83" s="125"/>
      <c r="L83" s="178"/>
      <c r="M83" s="181"/>
    </row>
    <row r="84" spans="1:16">
      <c r="A84" s="120">
        <v>25</v>
      </c>
      <c r="B84" s="199">
        <v>3.0894430000000002</v>
      </c>
      <c r="C84" s="125">
        <v>53.675644941482943</v>
      </c>
      <c r="D84" s="125">
        <f>C84+(0.002+$I$9)/1000</f>
        <v>53.675647031482946</v>
      </c>
      <c r="E84" s="156">
        <v>1.0580000000000001E-2</v>
      </c>
      <c r="F84" s="125">
        <f t="shared" si="15"/>
        <v>53.665064941482946</v>
      </c>
      <c r="H84" s="120">
        <f t="shared" si="16"/>
        <v>1.0580000000000001E-2</v>
      </c>
      <c r="J84" s="179">
        <f t="shared" si="17"/>
        <v>53.665064941482946</v>
      </c>
      <c r="K84" s="125">
        <f t="shared" si="18"/>
        <v>53.665067031482948</v>
      </c>
      <c r="L84" s="178">
        <f t="shared" si="19"/>
        <v>1.0738465483640554</v>
      </c>
      <c r="M84" s="181">
        <f t="shared" si="19"/>
        <v>1.0738465698557387</v>
      </c>
      <c r="O84" s="156">
        <v>-111.357</v>
      </c>
    </row>
    <row r="85" spans="1:16">
      <c r="B85" s="199">
        <v>3.684507</v>
      </c>
      <c r="C85" s="120">
        <v>53.065502729266619</v>
      </c>
      <c r="D85" s="125">
        <f>C85+(0.0019+$I$9)/1000</f>
        <v>53.06550471926662</v>
      </c>
      <c r="E85" s="156">
        <v>1.068E-2</v>
      </c>
      <c r="F85" s="125">
        <f t="shared" si="15"/>
        <v>53.054822729266618</v>
      </c>
      <c r="H85" s="120">
        <f t="shared" si="16"/>
        <v>1.068E-2</v>
      </c>
      <c r="J85" s="179">
        <f t="shared" si="17"/>
        <v>53.054822729266618</v>
      </c>
      <c r="K85" s="125">
        <f t="shared" si="18"/>
        <v>53.05482471926662</v>
      </c>
      <c r="L85" s="178">
        <f t="shared" si="19"/>
        <v>1.067554863560823</v>
      </c>
      <c r="M85" s="181">
        <f t="shared" si="19"/>
        <v>1.0675548841321398</v>
      </c>
      <c r="O85" s="156">
        <v>20.7758</v>
      </c>
    </row>
    <row r="86" spans="1:16">
      <c r="B86" s="199">
        <v>3.8538069999999998</v>
      </c>
      <c r="C86" s="120">
        <v>52.891842879017638</v>
      </c>
      <c r="D86" s="125">
        <f>C86+(0.0019+$I$9)/1000</f>
        <v>52.891844869017639</v>
      </c>
      <c r="E86" s="156">
        <v>1.0699999999999999E-2</v>
      </c>
      <c r="F86" s="125">
        <f t="shared" si="15"/>
        <v>52.881142879017638</v>
      </c>
      <c r="H86" s="120">
        <f t="shared" si="16"/>
        <v>1.0699999999999999E-2</v>
      </c>
      <c r="J86" s="179">
        <f t="shared" si="17"/>
        <v>52.881142879017638</v>
      </c>
      <c r="K86" s="125">
        <f t="shared" si="18"/>
        <v>52.881144869017639</v>
      </c>
      <c r="L86" s="178">
        <f t="shared" si="19"/>
        <v>1.0657581202057622</v>
      </c>
      <c r="M86" s="181">
        <f t="shared" si="19"/>
        <v>1.0657581408081518</v>
      </c>
      <c r="O86" s="156">
        <v>58.259599999999999</v>
      </c>
    </row>
    <row r="87" spans="1:16">
      <c r="F87" s="125"/>
      <c r="J87" s="179"/>
      <c r="K87" s="125"/>
      <c r="L87" s="178"/>
      <c r="M87" s="181"/>
    </row>
    <row r="88" spans="1:16">
      <c r="A88" s="120">
        <v>30</v>
      </c>
      <c r="B88" s="199">
        <v>3.0894430000000002</v>
      </c>
      <c r="C88" s="125">
        <v>53.171261867733513</v>
      </c>
      <c r="D88" s="125">
        <f>C88+(0.002+$I$9)/1000</f>
        <v>53.171263957733515</v>
      </c>
      <c r="E88" s="156">
        <v>1.0659999999999999E-2</v>
      </c>
      <c r="F88" s="125">
        <f t="shared" si="15"/>
        <v>53.160601867733511</v>
      </c>
      <c r="H88" s="120">
        <f t="shared" si="16"/>
        <v>1.0659999999999999E-2</v>
      </c>
      <c r="J88" s="179">
        <f t="shared" si="17"/>
        <v>53.160601867733511</v>
      </c>
      <c r="K88" s="125">
        <f t="shared" si="18"/>
        <v>53.160603957733514</v>
      </c>
      <c r="L88" s="178">
        <f t="shared" si="19"/>
        <v>1.0686478378295701</v>
      </c>
      <c r="M88" s="181">
        <f t="shared" si="19"/>
        <v>1.0686478594148261</v>
      </c>
      <c r="O88" s="156">
        <v>-4.27921</v>
      </c>
    </row>
    <row r="89" spans="1:16">
      <c r="B89" s="199">
        <v>3.684507</v>
      </c>
      <c r="C89" s="120">
        <v>52.563797734470235</v>
      </c>
      <c r="D89" s="125">
        <f>C89+(0.0019+$I$9)/1000</f>
        <v>52.563799724470236</v>
      </c>
      <c r="E89" s="156">
        <v>1.076E-2</v>
      </c>
      <c r="F89" s="125">
        <f t="shared" si="15"/>
        <v>52.553037734470237</v>
      </c>
      <c r="H89" s="120">
        <f t="shared" si="16"/>
        <v>1.076E-2</v>
      </c>
      <c r="J89" s="179">
        <f t="shared" si="17"/>
        <v>52.553037734470237</v>
      </c>
      <c r="K89" s="125">
        <f t="shared" si="18"/>
        <v>52.553039724470239</v>
      </c>
      <c r="L89" s="178">
        <f t="shared" si="19"/>
        <v>1.0623563940225835</v>
      </c>
      <c r="M89" s="181">
        <f t="shared" si="19"/>
        <v>1.0623564146841038</v>
      </c>
      <c r="O89" s="156">
        <v>126.858</v>
      </c>
    </row>
    <row r="90" spans="1:16">
      <c r="B90" s="199">
        <v>3.8538069999999998</v>
      </c>
      <c r="C90" s="120">
        <v>52.390902621863184</v>
      </c>
      <c r="D90" s="125">
        <f>C90+(0.0019+$I$9)/1000</f>
        <v>52.390904611863185</v>
      </c>
      <c r="E90" s="156">
        <v>1.0789999999999999E-2</v>
      </c>
      <c r="F90" s="125">
        <f t="shared" si="15"/>
        <v>52.380112621863184</v>
      </c>
      <c r="H90" s="120">
        <f t="shared" si="16"/>
        <v>1.0789999999999999E-2</v>
      </c>
      <c r="J90" s="179">
        <f t="shared" si="17"/>
        <v>52.380112621863184</v>
      </c>
      <c r="K90" s="125">
        <f t="shared" si="18"/>
        <v>52.380114611863185</v>
      </c>
      <c r="L90" s="178">
        <f t="shared" si="19"/>
        <v>1.0605596061009119</v>
      </c>
      <c r="M90" s="181">
        <f t="shared" si="19"/>
        <v>1.0605596267938278</v>
      </c>
      <c r="O90" s="156">
        <v>163.971</v>
      </c>
    </row>
    <row r="91" spans="1:16">
      <c r="F91" s="125"/>
      <c r="J91" s="179"/>
      <c r="K91" s="125"/>
      <c r="L91" s="178"/>
      <c r="M91" s="181"/>
    </row>
    <row r="92" spans="1:16">
      <c r="A92" s="120">
        <v>35</v>
      </c>
      <c r="B92" s="199">
        <v>3.0894430000000002</v>
      </c>
      <c r="C92" s="125">
        <v>52.590195126570357</v>
      </c>
      <c r="D92" s="125">
        <f>C92+(0.002+$I$9)/1000</f>
        <v>52.59019721657036</v>
      </c>
      <c r="E92" s="156">
        <v>1.0749999999999999E-2</v>
      </c>
      <c r="F92" s="125">
        <f t="shared" si="15"/>
        <v>52.579445126570356</v>
      </c>
      <c r="H92" s="120">
        <f t="shared" si="16"/>
        <v>1.0749999999999999E-2</v>
      </c>
      <c r="J92" s="179">
        <f t="shared" si="17"/>
        <v>52.579445126570356</v>
      </c>
      <c r="K92" s="125">
        <f t="shared" si="18"/>
        <v>52.579447216570358</v>
      </c>
      <c r="L92" s="178">
        <f t="shared" si="19"/>
        <v>1.0626305416404977</v>
      </c>
      <c r="M92" s="181">
        <f t="shared" si="19"/>
        <v>1.0626305633352651</v>
      </c>
      <c r="O92" s="156">
        <v>117.06699999999999</v>
      </c>
    </row>
    <row r="93" spans="1:16">
      <c r="B93" s="199">
        <v>3.684507</v>
      </c>
      <c r="C93" s="120">
        <v>51.985848105165829</v>
      </c>
      <c r="D93" s="125">
        <f>C93+(0.0019+$I$9)/1000</f>
        <v>51.98585009516583</v>
      </c>
      <c r="E93" s="156">
        <v>1.085E-2</v>
      </c>
      <c r="F93" s="125">
        <f t="shared" si="15"/>
        <v>51.974998105165831</v>
      </c>
      <c r="H93" s="120">
        <f t="shared" si="16"/>
        <v>1.085E-2</v>
      </c>
      <c r="J93" s="179">
        <f t="shared" si="17"/>
        <v>51.974998105165831</v>
      </c>
      <c r="K93" s="125">
        <f t="shared" si="18"/>
        <v>51.975000095165832</v>
      </c>
      <c r="L93" s="178">
        <f t="shared" si="19"/>
        <v>1.0563395078608548</v>
      </c>
      <c r="M93" s="181">
        <f t="shared" si="19"/>
        <v>1.0563395286279478</v>
      </c>
      <c r="O93" s="156">
        <v>247.10300000000001</v>
      </c>
    </row>
    <row r="94" spans="1:16">
      <c r="B94" s="199">
        <v>3.8538069999999998</v>
      </c>
      <c r="C94" s="120">
        <v>51.813843111775896</v>
      </c>
      <c r="D94" s="125">
        <f>C94+(0.0019+$I$9)/1000</f>
        <v>51.813845101775897</v>
      </c>
      <c r="E94" s="156">
        <v>1.0880000000000001E-2</v>
      </c>
      <c r="F94" s="125">
        <f t="shared" si="15"/>
        <v>51.802963111775895</v>
      </c>
      <c r="H94" s="120">
        <f t="shared" si="16"/>
        <v>1.0880000000000001E-2</v>
      </c>
      <c r="J94" s="179">
        <f t="shared" si="17"/>
        <v>51.802963111775895</v>
      </c>
      <c r="K94" s="125">
        <f t="shared" si="18"/>
        <v>51.802965101775897</v>
      </c>
      <c r="L94" s="178">
        <f t="shared" si="19"/>
        <v>1.0545428259379634</v>
      </c>
      <c r="M94" s="181">
        <f t="shared" si="19"/>
        <v>1.0545428467368263</v>
      </c>
      <c r="O94" s="156">
        <v>284.08199999999999</v>
      </c>
    </row>
    <row r="95" spans="1:16">
      <c r="F95" s="125"/>
      <c r="J95" s="179"/>
      <c r="K95" s="125"/>
      <c r="L95" s="178"/>
      <c r="M95" s="181"/>
    </row>
    <row r="96" spans="1:16">
      <c r="A96" s="120">
        <v>40</v>
      </c>
      <c r="B96" s="199">
        <v>3.0894430000000002</v>
      </c>
      <c r="C96" s="125">
        <v>51.939377690027449</v>
      </c>
      <c r="D96" s="125">
        <f>C96+(0.002+$I$9)/1000</f>
        <v>51.939379780027451</v>
      </c>
      <c r="E96" s="156">
        <v>1.086E-2</v>
      </c>
      <c r="F96" s="125">
        <f t="shared" si="15"/>
        <v>51.928517690027448</v>
      </c>
      <c r="H96" s="120">
        <f t="shared" si="16"/>
        <v>1.086E-2</v>
      </c>
      <c r="J96" s="179">
        <f t="shared" si="17"/>
        <v>51.928517690027448</v>
      </c>
      <c r="K96" s="125">
        <f t="shared" si="18"/>
        <v>51.92851978002745</v>
      </c>
      <c r="L96" s="178">
        <f t="shared" si="19"/>
        <v>1.0558543510073861</v>
      </c>
      <c r="M96" s="181">
        <f t="shared" si="19"/>
        <v>1.0558543728270493</v>
      </c>
      <c r="O96" s="201">
        <v>252.708</v>
      </c>
    </row>
    <row r="97" spans="2:15">
      <c r="B97" s="199">
        <v>3.684507</v>
      </c>
      <c r="C97" s="120">
        <v>51.338563221521689</v>
      </c>
      <c r="D97" s="125">
        <f>C97+(0.0019+$I$9)/1000</f>
        <v>51.33856521152169</v>
      </c>
      <c r="E97" s="156">
        <v>1.0959999999999999E-2</v>
      </c>
      <c r="F97" s="125">
        <f t="shared" si="15"/>
        <v>51.327603221521692</v>
      </c>
      <c r="H97" s="120">
        <f t="shared" si="16"/>
        <v>1.0959999999999999E-2</v>
      </c>
      <c r="J97" s="179">
        <f t="shared" si="17"/>
        <v>51.327603221521692</v>
      </c>
      <c r="K97" s="125">
        <f t="shared" si="18"/>
        <v>51.327605211521693</v>
      </c>
      <c r="L97" s="178">
        <f t="shared" si="19"/>
        <v>1.0495639505062886</v>
      </c>
      <c r="M97" s="181">
        <f t="shared" si="19"/>
        <v>1.0495639713937881</v>
      </c>
      <c r="O97" s="201">
        <v>381.44900000000001</v>
      </c>
    </row>
    <row r="98" spans="2:15">
      <c r="B98" s="199">
        <v>3.8538069999999998</v>
      </c>
      <c r="C98" s="120">
        <v>51.167566997400726</v>
      </c>
      <c r="D98" s="125">
        <f>C98+(0.0019+$I$9)/1000</f>
        <v>51.167568987400728</v>
      </c>
      <c r="E98" s="156">
        <v>1.098E-2</v>
      </c>
      <c r="F98" s="125">
        <f t="shared" si="15"/>
        <v>51.156586997400723</v>
      </c>
      <c r="H98" s="120">
        <f t="shared" si="16"/>
        <v>1.098E-2</v>
      </c>
      <c r="J98" s="179">
        <f t="shared" si="17"/>
        <v>51.156586997400723</v>
      </c>
      <c r="K98" s="125">
        <f t="shared" si="18"/>
        <v>51.156588987400724</v>
      </c>
      <c r="L98" s="178">
        <f t="shared" si="19"/>
        <v>1.0477675424796096</v>
      </c>
      <c r="M98" s="181">
        <f t="shared" si="19"/>
        <v>1.0477675633993038</v>
      </c>
      <c r="O98" s="201">
        <v>417.83600000000001</v>
      </c>
    </row>
    <row r="99" spans="2:15">
      <c r="D99" s="125"/>
    </row>
  </sheetData>
  <mergeCells count="14">
    <mergeCell ref="M5:N5"/>
    <mergeCell ref="O5:P5"/>
    <mergeCell ref="M4:N4"/>
    <mergeCell ref="O4:P4"/>
    <mergeCell ref="B4:D4"/>
    <mergeCell ref="E4:H4"/>
    <mergeCell ref="J4:L4"/>
    <mergeCell ref="J6:L6"/>
    <mergeCell ref="J8:L8"/>
    <mergeCell ref="E10:F10"/>
    <mergeCell ref="G10:H10"/>
    <mergeCell ref="J10:L10"/>
    <mergeCell ref="J12:L12"/>
    <mergeCell ref="B62:E62"/>
  </mergeCells>
  <phoneticPr fontId="10" type="noConversion"/>
  <hyperlinks>
    <hyperlink ref="G5" r:id="rId1"/>
  </hyperlinks>
  <pageMargins left="0.7" right="0.7" top="0.75" bottom="0.75" header="0.3" footer="0.3"/>
  <pageSetup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99"/>
  <sheetViews>
    <sheetView topLeftCell="A3" workbookViewId="0">
      <selection activeCell="E24" sqref="E24"/>
    </sheetView>
  </sheetViews>
  <sheetFormatPr baseColWidth="10" defaultColWidth="8.83203125" defaultRowHeight="14" x14ac:dyDescent="0"/>
  <cols>
    <col min="1" max="1" width="11" style="211" customWidth="1"/>
    <col min="2" max="2" width="8.83203125" style="211"/>
    <col min="3" max="3" width="16.83203125" style="211" customWidth="1"/>
    <col min="4" max="4" width="10.1640625" style="211" customWidth="1"/>
    <col min="5" max="5" width="17.1640625" style="211" customWidth="1"/>
    <col min="6" max="6" width="10.33203125" style="211" bestFit="1" customWidth="1"/>
    <col min="7" max="7" width="18.5" style="211" customWidth="1"/>
    <col min="8" max="9" width="17" style="211" customWidth="1"/>
    <col min="10" max="10" width="11.33203125" style="211" customWidth="1"/>
    <col min="11" max="11" width="14.6640625" style="211" customWidth="1"/>
    <col min="12" max="12" width="13.6640625" style="211" customWidth="1"/>
    <col min="13" max="13" width="17.83203125" style="211" customWidth="1"/>
    <col min="14" max="14" width="19.5" style="211" customWidth="1"/>
    <col min="15" max="15" width="8.83203125" style="211"/>
    <col min="16" max="16" width="22" style="211" customWidth="1"/>
    <col min="17" max="18" width="8.83203125" style="211"/>
    <col min="19" max="19" width="17.33203125" style="211" customWidth="1"/>
    <col min="20" max="21" width="14.5" style="211" customWidth="1"/>
    <col min="22" max="22" width="8.83203125" style="211"/>
    <col min="23" max="23" width="9.1640625" style="211" customWidth="1"/>
    <col min="24" max="24" width="8.83203125" style="211"/>
    <col min="25" max="25" width="13.33203125" style="211" customWidth="1"/>
    <col min="26" max="26" width="14" style="211" customWidth="1"/>
    <col min="27" max="27" width="12.6640625" style="211" customWidth="1"/>
    <col min="28" max="28" width="15.83203125" style="211" customWidth="1"/>
    <col min="29" max="30" width="14.33203125" style="211" customWidth="1"/>
    <col min="31" max="34" width="8.83203125" style="211"/>
    <col min="35" max="35" width="10.5" style="211" bestFit="1" customWidth="1"/>
    <col min="36" max="16384" width="8.83203125" style="211"/>
  </cols>
  <sheetData>
    <row r="3" spans="2:17">
      <c r="M3" s="211" t="s">
        <v>159</v>
      </c>
    </row>
    <row r="4" spans="2:17">
      <c r="B4" s="316" t="s">
        <v>126</v>
      </c>
      <c r="C4" s="317"/>
      <c r="D4" s="318"/>
      <c r="E4" s="316" t="s">
        <v>125</v>
      </c>
      <c r="F4" s="317"/>
      <c r="G4" s="319"/>
      <c r="H4" s="319"/>
      <c r="I4" s="287"/>
      <c r="J4" s="316" t="s">
        <v>120</v>
      </c>
      <c r="K4" s="319"/>
      <c r="L4" s="320"/>
      <c r="M4" s="316" t="s">
        <v>158</v>
      </c>
      <c r="N4" s="317"/>
      <c r="O4" s="316" t="s">
        <v>162</v>
      </c>
      <c r="P4" s="317"/>
      <c r="Q4" s="214"/>
    </row>
    <row r="5" spans="2:17">
      <c r="B5" s="217" t="s">
        <v>124</v>
      </c>
      <c r="C5" s="218">
        <v>1.602176565E-19</v>
      </c>
      <c r="D5" s="219" t="s">
        <v>123</v>
      </c>
      <c r="E5" s="220"/>
      <c r="F5" s="212" t="s">
        <v>122</v>
      </c>
      <c r="G5" s="296" t="s">
        <v>132</v>
      </c>
      <c r="H5" s="221" t="s">
        <v>121</v>
      </c>
      <c r="I5" s="220" t="s">
        <v>136</v>
      </c>
      <c r="J5" s="213" t="s">
        <v>137</v>
      </c>
      <c r="K5" s="241">
        <v>56</v>
      </c>
      <c r="L5" s="212" t="s">
        <v>105</v>
      </c>
      <c r="M5" s="328" t="s">
        <v>160</v>
      </c>
      <c r="N5" s="329"/>
      <c r="O5" s="330" t="s">
        <v>161</v>
      </c>
      <c r="P5" s="331"/>
      <c r="Q5" s="214"/>
    </row>
    <row r="6" spans="2:17" ht="15">
      <c r="B6" s="213" t="s">
        <v>6</v>
      </c>
      <c r="C6" s="214">
        <v>1</v>
      </c>
      <c r="D6" s="214" t="s">
        <v>7</v>
      </c>
      <c r="E6" s="220" t="s">
        <v>120</v>
      </c>
      <c r="F6" s="212" t="s">
        <v>8</v>
      </c>
      <c r="G6" s="295">
        <v>13135.721740000001</v>
      </c>
      <c r="H6" s="238">
        <f>G6/1000+2*C10</f>
        <v>1876.12384374</v>
      </c>
      <c r="I6" s="295">
        <v>1.1E-4</v>
      </c>
      <c r="J6" s="321" t="s">
        <v>119</v>
      </c>
      <c r="K6" s="322"/>
      <c r="L6" s="323"/>
      <c r="M6" s="243" t="s">
        <v>5</v>
      </c>
      <c r="N6" s="244" t="s">
        <v>165</v>
      </c>
      <c r="O6" s="243" t="s">
        <v>5</v>
      </c>
      <c r="P6" s="244" t="s">
        <v>165</v>
      </c>
      <c r="Q6" s="214"/>
    </row>
    <row r="7" spans="2:17" ht="15">
      <c r="B7" s="217" t="s">
        <v>118</v>
      </c>
      <c r="C7" s="218">
        <v>299792458</v>
      </c>
      <c r="D7" s="219" t="s">
        <v>117</v>
      </c>
      <c r="E7" s="220" t="s">
        <v>116</v>
      </c>
      <c r="F7" s="212" t="s">
        <v>133</v>
      </c>
      <c r="G7" s="295">
        <v>-13933.569</v>
      </c>
      <c r="H7" s="238">
        <f>G7/1000+24*C10</f>
        <v>22341.923895</v>
      </c>
      <c r="I7" s="295">
        <v>0</v>
      </c>
      <c r="J7" s="213" t="s">
        <v>138</v>
      </c>
      <c r="K7" s="218">
        <v>1.772E-2</v>
      </c>
      <c r="L7" s="212" t="s">
        <v>105</v>
      </c>
      <c r="M7" s="237">
        <v>56</v>
      </c>
      <c r="N7" s="302">
        <v>1.5630000000000002E-2</v>
      </c>
      <c r="O7" s="237">
        <v>56</v>
      </c>
      <c r="P7" s="300"/>
      <c r="Q7" s="214"/>
    </row>
    <row r="8" spans="2:17" ht="15">
      <c r="B8" s="217" t="s">
        <v>115</v>
      </c>
      <c r="C8" s="218">
        <v>6241509740000</v>
      </c>
      <c r="D8" s="219" t="s">
        <v>105</v>
      </c>
      <c r="E8" s="220" t="s">
        <v>114</v>
      </c>
      <c r="F8" s="212" t="s">
        <v>134</v>
      </c>
      <c r="G8" s="295">
        <v>7288.9705899999999</v>
      </c>
      <c r="H8" s="238">
        <f>G8/1000+1*C10</f>
        <v>938.78303158999995</v>
      </c>
      <c r="I8" s="295">
        <v>9.0000000000000006E-5</v>
      </c>
      <c r="J8" s="321" t="s">
        <v>113</v>
      </c>
      <c r="K8" s="322"/>
      <c r="L8" s="322"/>
      <c r="M8" s="237">
        <v>55.8</v>
      </c>
      <c r="N8" s="302">
        <v>1.567E-2</v>
      </c>
      <c r="O8" s="237">
        <v>55.8</v>
      </c>
      <c r="P8" s="300"/>
      <c r="Q8" s="214"/>
    </row>
    <row r="9" spans="2:17" ht="15">
      <c r="B9" s="217" t="s">
        <v>112</v>
      </c>
      <c r="C9" s="218">
        <f>C8*C7^2</f>
        <v>5.6095892019612877E+29</v>
      </c>
      <c r="D9" s="219" t="s">
        <v>110</v>
      </c>
      <c r="E9" s="222" t="s">
        <v>111</v>
      </c>
      <c r="F9" s="223" t="s">
        <v>135</v>
      </c>
      <c r="G9" s="295">
        <v>-13192.771000000001</v>
      </c>
      <c r="H9" s="239">
        <f>G9/1000+25*C10</f>
        <v>23274.158753999996</v>
      </c>
      <c r="I9" s="289">
        <v>9.0000000000000006E-5</v>
      </c>
      <c r="J9" s="213" t="s">
        <v>139</v>
      </c>
      <c r="K9" s="216">
        <f>H6+K5-K7</f>
        <v>1932.1061237399999</v>
      </c>
      <c r="L9" s="212" t="s">
        <v>105</v>
      </c>
      <c r="M9" s="237">
        <v>55.6</v>
      </c>
      <c r="N9" s="302">
        <v>1.5720000000000001E-2</v>
      </c>
      <c r="O9" s="237">
        <v>55.6</v>
      </c>
      <c r="P9" s="300"/>
      <c r="Q9" s="214"/>
    </row>
    <row r="10" spans="2:17">
      <c r="B10" s="217" t="s">
        <v>9</v>
      </c>
      <c r="C10" s="224">
        <v>931.49406099999999</v>
      </c>
      <c r="D10" s="219" t="s">
        <v>110</v>
      </c>
      <c r="E10" s="324" t="s">
        <v>109</v>
      </c>
      <c r="F10" s="325"/>
      <c r="G10" s="326" t="s">
        <v>108</v>
      </c>
      <c r="H10" s="327"/>
      <c r="I10" s="234"/>
      <c r="J10" s="321" t="s">
        <v>107</v>
      </c>
      <c r="K10" s="322"/>
      <c r="L10" s="322"/>
      <c r="M10" s="237">
        <v>55.4</v>
      </c>
      <c r="N10" s="302">
        <v>1.576E-2</v>
      </c>
      <c r="O10" s="237">
        <v>55.4</v>
      </c>
      <c r="P10" s="300"/>
      <c r="Q10" s="214"/>
    </row>
    <row r="11" spans="2:17">
      <c r="B11" s="217" t="s">
        <v>10</v>
      </c>
      <c r="C11" s="15">
        <v>0.5</v>
      </c>
      <c r="D11" s="219" t="s">
        <v>106</v>
      </c>
      <c r="E11" s="222" t="s">
        <v>163</v>
      </c>
      <c r="F11" s="294" t="s">
        <v>164</v>
      </c>
      <c r="G11" s="222"/>
      <c r="H11" s="225" t="s">
        <v>105</v>
      </c>
      <c r="I11" s="212"/>
      <c r="J11" s="213" t="s">
        <v>139</v>
      </c>
      <c r="K11" s="212">
        <f>SQRT(K9^2-H6^2)</f>
        <v>461.72870426675456</v>
      </c>
      <c r="L11" s="212" t="s">
        <v>104</v>
      </c>
      <c r="M11" s="237">
        <v>55.2</v>
      </c>
      <c r="N11" s="302">
        <v>1.5800000000000002E-2</v>
      </c>
      <c r="O11" s="237">
        <v>55.2</v>
      </c>
      <c r="P11" s="300"/>
      <c r="Q11" s="214"/>
    </row>
    <row r="12" spans="2:17">
      <c r="B12" s="265" t="s">
        <v>103</v>
      </c>
      <c r="C12" s="266">
        <f>COS(C11*3.14/180)</f>
        <v>0.99996196166090812</v>
      </c>
      <c r="D12" s="267"/>
      <c r="E12" s="214"/>
      <c r="F12" s="214"/>
      <c r="G12" s="214"/>
      <c r="H12" s="214"/>
      <c r="I12" s="214"/>
      <c r="J12" s="310" t="s">
        <v>102</v>
      </c>
      <c r="K12" s="311"/>
      <c r="L12" s="312"/>
      <c r="M12" s="237">
        <v>55</v>
      </c>
      <c r="N12" s="302">
        <v>1.584E-2</v>
      </c>
      <c r="O12" s="237">
        <v>55</v>
      </c>
      <c r="P12" s="300"/>
      <c r="Q12" s="214"/>
    </row>
    <row r="13" spans="2:17">
      <c r="B13" s="268"/>
      <c r="C13" s="268"/>
      <c r="D13" s="268"/>
      <c r="E13" s="268"/>
      <c r="F13" s="264"/>
      <c r="G13" s="264"/>
      <c r="H13" s="249"/>
      <c r="I13" s="288"/>
      <c r="J13" s="226" t="s">
        <v>101</v>
      </c>
      <c r="K13" s="223">
        <v>1</v>
      </c>
      <c r="L13" s="225"/>
      <c r="M13" s="237">
        <v>54.8</v>
      </c>
      <c r="N13" s="302">
        <v>1.5890000000000001E-2</v>
      </c>
      <c r="O13" s="237">
        <v>54.8</v>
      </c>
      <c r="P13" s="300"/>
      <c r="Q13" s="214"/>
    </row>
    <row r="14" spans="2:17">
      <c r="B14" s="250" t="s">
        <v>23</v>
      </c>
      <c r="C14" s="263">
        <f>- 1.14538*10^-9</f>
        <v>-1.1453800000000002E-9</v>
      </c>
      <c r="D14" s="251" t="s">
        <v>100</v>
      </c>
      <c r="E14" s="252"/>
      <c r="F14" s="223"/>
      <c r="G14" s="253"/>
      <c r="H14" s="253"/>
      <c r="I14" s="253"/>
      <c r="J14" s="293" t="s">
        <v>130</v>
      </c>
      <c r="L14" s="255"/>
      <c r="M14" s="237">
        <v>54.6</v>
      </c>
      <c r="N14" s="302">
        <v>1.5939999999999999E-2</v>
      </c>
      <c r="O14" s="237">
        <v>54.6</v>
      </c>
      <c r="P14" s="300"/>
      <c r="Q14" s="214"/>
    </row>
    <row r="15" spans="2:17">
      <c r="B15" s="253" t="s">
        <v>24</v>
      </c>
      <c r="C15" s="263">
        <v>-4.7482599999999998E-5</v>
      </c>
      <c r="D15" s="254" t="s">
        <v>25</v>
      </c>
      <c r="E15" s="252"/>
      <c r="F15" s="253"/>
      <c r="G15" s="253"/>
      <c r="H15" s="253"/>
      <c r="I15" s="253"/>
      <c r="J15" s="253"/>
      <c r="K15" s="253"/>
      <c r="L15" s="255"/>
      <c r="M15" s="237">
        <v>54.4</v>
      </c>
      <c r="N15" s="302">
        <v>1.5990000000000001E-2</v>
      </c>
      <c r="O15" s="237">
        <v>54.4</v>
      </c>
      <c r="P15" s="300"/>
      <c r="Q15" s="214"/>
    </row>
    <row r="16" spans="2:17">
      <c r="B16" s="253" t="s">
        <v>26</v>
      </c>
      <c r="C16" s="263">
        <v>1.0690200000000001</v>
      </c>
      <c r="D16" s="254" t="s">
        <v>27</v>
      </c>
      <c r="E16" s="252"/>
      <c r="F16" s="214"/>
      <c r="G16" s="214"/>
      <c r="H16" s="214"/>
      <c r="I16" s="214"/>
      <c r="J16" s="214"/>
      <c r="K16" s="214"/>
      <c r="L16" s="214"/>
      <c r="M16" s="237">
        <v>54.2</v>
      </c>
      <c r="N16" s="302">
        <v>1.6039999999999999E-2</v>
      </c>
      <c r="O16" s="237">
        <v>54.2</v>
      </c>
      <c r="P16" s="300"/>
      <c r="Q16" s="214"/>
    </row>
    <row r="17" spans="2:17">
      <c r="B17" s="214" t="s">
        <v>28</v>
      </c>
      <c r="C17" s="214"/>
      <c r="D17" s="214"/>
      <c r="E17" s="255"/>
      <c r="F17" s="214"/>
      <c r="G17" s="214"/>
      <c r="H17" s="214"/>
      <c r="I17" s="214"/>
      <c r="J17" s="214"/>
      <c r="K17" s="214"/>
      <c r="L17" s="214"/>
      <c r="M17" s="237">
        <v>54</v>
      </c>
      <c r="N17" s="302">
        <v>1.609E-2</v>
      </c>
      <c r="O17" s="237">
        <v>54</v>
      </c>
      <c r="P17" s="300"/>
      <c r="Q17" s="214"/>
    </row>
    <row r="18" spans="2:17">
      <c r="B18" s="255"/>
      <c r="C18" s="256" t="s">
        <v>100</v>
      </c>
      <c r="D18" s="254" t="s">
        <v>25</v>
      </c>
      <c r="E18" s="254" t="s">
        <v>27</v>
      </c>
      <c r="F18" s="214"/>
      <c r="G18" s="214"/>
      <c r="H18" s="232" t="e">
        <f>K5-#REF!</f>
        <v>#REF!</v>
      </c>
      <c r="I18" s="232"/>
      <c r="J18" s="214"/>
      <c r="K18" s="214"/>
      <c r="L18" s="214"/>
      <c r="M18" s="237">
        <v>53.8</v>
      </c>
      <c r="N18" s="302">
        <v>1.6140000000000002E-2</v>
      </c>
      <c r="O18" s="237">
        <v>53.8</v>
      </c>
      <c r="P18" s="300"/>
      <c r="Q18" s="214"/>
    </row>
    <row r="19" spans="2:17">
      <c r="B19" s="256" t="s">
        <v>100</v>
      </c>
      <c r="C19" s="257"/>
      <c r="D19" s="258"/>
      <c r="E19" s="258"/>
      <c r="F19" s="214"/>
      <c r="G19" s="214"/>
      <c r="H19" s="214"/>
      <c r="I19" s="214"/>
      <c r="J19" s="214"/>
      <c r="K19" s="214"/>
      <c r="L19" s="214"/>
      <c r="M19" s="237">
        <v>53.6</v>
      </c>
      <c r="N19" s="302">
        <v>1.619E-2</v>
      </c>
      <c r="O19" s="237">
        <v>53.6</v>
      </c>
      <c r="P19" s="300"/>
      <c r="Q19" s="214"/>
    </row>
    <row r="20" spans="2:17">
      <c r="B20" s="254" t="s">
        <v>25</v>
      </c>
      <c r="C20" s="257"/>
      <c r="D20" s="257"/>
      <c r="E20" s="257"/>
      <c r="F20" s="214"/>
      <c r="G20" s="214"/>
      <c r="H20" s="214"/>
      <c r="I20" s="214"/>
      <c r="J20" s="214"/>
      <c r="K20" s="214"/>
      <c r="L20" s="214"/>
      <c r="M20" s="237">
        <v>53.4</v>
      </c>
      <c r="N20" s="302">
        <v>1.6240000000000001E-2</v>
      </c>
      <c r="O20" s="237">
        <v>53.4</v>
      </c>
      <c r="P20" s="300"/>
      <c r="Q20" s="214"/>
    </row>
    <row r="21" spans="2:17">
      <c r="B21" s="254" t="s">
        <v>27</v>
      </c>
      <c r="C21" s="259"/>
      <c r="D21" s="259"/>
      <c r="E21" s="259"/>
      <c r="F21" s="214"/>
      <c r="G21" s="214"/>
      <c r="H21" s="214"/>
      <c r="I21" s="232"/>
      <c r="J21" s="214"/>
      <c r="K21" s="214"/>
      <c r="L21" s="214"/>
      <c r="M21" s="237">
        <v>53.2</v>
      </c>
      <c r="N21" s="302">
        <v>1.6289999999999999E-2</v>
      </c>
      <c r="O21" s="237">
        <v>53.2</v>
      </c>
      <c r="P21" s="300"/>
      <c r="Q21" s="214"/>
    </row>
    <row r="22" spans="2:17">
      <c r="B22" s="214"/>
      <c r="C22" s="211" t="s">
        <v>149</v>
      </c>
      <c r="D22" s="214"/>
      <c r="E22" s="214"/>
      <c r="F22" s="214"/>
      <c r="G22" s="214"/>
      <c r="H22" s="214"/>
      <c r="I22" s="214"/>
      <c r="J22" s="214"/>
      <c r="K22" s="214"/>
      <c r="L22" s="214"/>
      <c r="M22" s="237">
        <v>53</v>
      </c>
      <c r="N22" s="302">
        <v>1.634E-2</v>
      </c>
      <c r="O22" s="237">
        <v>53</v>
      </c>
      <c r="P22" s="300"/>
      <c r="Q22" s="214"/>
    </row>
    <row r="23" spans="2:17"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37">
        <v>52.799999999999898</v>
      </c>
      <c r="N23" s="302">
        <v>1.6389999999999998E-2</v>
      </c>
      <c r="O23" s="237">
        <v>52.799999999999898</v>
      </c>
      <c r="P23" s="300"/>
      <c r="Q23" s="214"/>
    </row>
    <row r="24" spans="2:17"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37">
        <v>52.6</v>
      </c>
      <c r="N24" s="286"/>
      <c r="O24" s="237">
        <v>52.6</v>
      </c>
      <c r="P24" s="300"/>
      <c r="Q24" s="214"/>
    </row>
    <row r="25" spans="2:17"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37">
        <v>52.399999999999899</v>
      </c>
      <c r="N25" s="286"/>
      <c r="O25" s="237">
        <v>52.399999999999899</v>
      </c>
      <c r="P25" s="300"/>
      <c r="Q25" s="214"/>
    </row>
    <row r="26" spans="2:17"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37">
        <v>52.2</v>
      </c>
      <c r="N26" s="286"/>
      <c r="O26" s="237">
        <v>52.2</v>
      </c>
      <c r="P26" s="300"/>
      <c r="Q26" s="214"/>
    </row>
    <row r="27" spans="2:17"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37">
        <v>51.999999999999901</v>
      </c>
      <c r="N27" s="286"/>
      <c r="O27" s="237">
        <v>51.999999999999901</v>
      </c>
      <c r="P27" s="300"/>
      <c r="Q27" s="214"/>
    </row>
    <row r="28" spans="2:17"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37">
        <v>51.799999999999898</v>
      </c>
      <c r="N28" s="286"/>
      <c r="O28" s="237">
        <v>51.799999999999898</v>
      </c>
      <c r="P28" s="300"/>
      <c r="Q28" s="214"/>
    </row>
    <row r="29" spans="2:17"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37">
        <v>51.599999999999902</v>
      </c>
      <c r="N29" s="286"/>
      <c r="O29" s="237">
        <v>51.599999999999902</v>
      </c>
      <c r="P29" s="300"/>
      <c r="Q29" s="214"/>
    </row>
    <row r="30" spans="2:17"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37">
        <v>51.399999999999899</v>
      </c>
      <c r="N30" s="286"/>
      <c r="O30" s="237">
        <v>51.399999999999899</v>
      </c>
      <c r="P30" s="300"/>
      <c r="Q30" s="214"/>
    </row>
    <row r="31" spans="2:17"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37">
        <v>51.199999999999903</v>
      </c>
      <c r="N31" s="286"/>
      <c r="O31" s="237">
        <v>51.199999999999903</v>
      </c>
      <c r="P31" s="300"/>
      <c r="Q31" s="214"/>
    </row>
    <row r="32" spans="2:17">
      <c r="B32" s="214"/>
      <c r="C32" s="214"/>
      <c r="D32" s="214"/>
      <c r="E32" s="214"/>
      <c r="F32" s="214"/>
      <c r="G32" s="214"/>
      <c r="H32" s="214"/>
      <c r="I32" s="214"/>
      <c r="J32" s="214"/>
      <c r="K32" s="290"/>
      <c r="L32" s="214"/>
      <c r="M32" s="237">
        <v>50.999999999999901</v>
      </c>
      <c r="N32" s="286"/>
      <c r="O32" s="237">
        <v>50.999999999999901</v>
      </c>
      <c r="P32" s="300"/>
      <c r="Q32" s="214"/>
    </row>
    <row r="33" spans="2:35"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37">
        <v>50.799999999999898</v>
      </c>
      <c r="N33" s="286"/>
      <c r="O33" s="237">
        <v>50.799999999999898</v>
      </c>
      <c r="P33" s="300"/>
      <c r="Q33" s="214"/>
    </row>
    <row r="34" spans="2:35">
      <c r="B34" s="214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37">
        <v>50.599999999999902</v>
      </c>
      <c r="N34" s="286"/>
      <c r="O34" s="237">
        <v>50.599999999999902</v>
      </c>
      <c r="P34" s="300"/>
      <c r="Q34" s="214"/>
      <c r="U34" s="252"/>
    </row>
    <row r="35" spans="2:35">
      <c r="B35" s="214"/>
      <c r="C35" s="214"/>
      <c r="D35" s="214"/>
      <c r="E35" s="214"/>
      <c r="F35" s="214"/>
      <c r="G35" s="214"/>
      <c r="H35" s="232"/>
      <c r="I35" s="232"/>
      <c r="J35" s="214"/>
      <c r="K35" s="214"/>
      <c r="L35" s="214"/>
      <c r="M35" s="237">
        <v>50.399999999999899</v>
      </c>
      <c r="N35" s="286"/>
      <c r="O35" s="237">
        <v>50.399999999999899</v>
      </c>
      <c r="P35" s="300"/>
      <c r="Q35" s="214"/>
      <c r="U35" s="252"/>
    </row>
    <row r="36" spans="2:35">
      <c r="B36" s="214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37">
        <v>50.199999999999903</v>
      </c>
      <c r="N36" s="286"/>
      <c r="O36" s="237">
        <v>50.199999999999903</v>
      </c>
      <c r="P36" s="300"/>
      <c r="Q36" s="214"/>
    </row>
    <row r="37" spans="2:35">
      <c r="B37" s="214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37">
        <v>49.999999999999901</v>
      </c>
      <c r="N37" s="286"/>
      <c r="O37" s="237">
        <v>49.999999999999901</v>
      </c>
      <c r="P37" s="300"/>
      <c r="Q37" s="214"/>
    </row>
    <row r="38" spans="2:35">
      <c r="B38" s="214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37">
        <v>49.799999999999898</v>
      </c>
      <c r="N38" s="286"/>
      <c r="O38" s="237">
        <v>49.799999999999898</v>
      </c>
      <c r="P38" s="300"/>
      <c r="Q38" s="214"/>
    </row>
    <row r="39" spans="2:35">
      <c r="B39" s="214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37">
        <v>49.599999999999902</v>
      </c>
      <c r="N39" s="246"/>
      <c r="O39" s="237">
        <v>49.599999999999902</v>
      </c>
      <c r="P39" s="301"/>
      <c r="Q39" s="214"/>
    </row>
    <row r="40" spans="2:35">
      <c r="B40" s="214"/>
      <c r="C40" s="214" t="s">
        <v>140</v>
      </c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</row>
    <row r="41" spans="2:35" ht="17">
      <c r="B41" s="272" t="s">
        <v>99</v>
      </c>
      <c r="C41" s="260" t="s">
        <v>78</v>
      </c>
      <c r="D41" s="260" t="s">
        <v>29</v>
      </c>
      <c r="E41" s="260" t="s">
        <v>30</v>
      </c>
      <c r="F41" s="274" t="s">
        <v>98</v>
      </c>
      <c r="G41" s="260" t="s">
        <v>97</v>
      </c>
      <c r="H41" s="260" t="s">
        <v>96</v>
      </c>
      <c r="I41" s="260" t="s">
        <v>31</v>
      </c>
      <c r="J41" s="260" t="s">
        <v>127</v>
      </c>
      <c r="K41" s="273" t="s">
        <v>17</v>
      </c>
      <c r="L41" s="260" t="s">
        <v>128</v>
      </c>
      <c r="M41" s="273" t="s">
        <v>95</v>
      </c>
      <c r="N41" s="273" t="s">
        <v>94</v>
      </c>
      <c r="O41" s="273" t="s">
        <v>93</v>
      </c>
      <c r="P41" s="260" t="s">
        <v>32</v>
      </c>
      <c r="Q41" s="261" t="s">
        <v>21</v>
      </c>
      <c r="R41" s="261" t="s">
        <v>18</v>
      </c>
      <c r="S41" s="261" t="s">
        <v>19</v>
      </c>
      <c r="T41" s="261" t="s">
        <v>20</v>
      </c>
      <c r="U41" s="291" t="s">
        <v>129</v>
      </c>
      <c r="V41" s="273" t="s">
        <v>92</v>
      </c>
      <c r="W41" s="260" t="s">
        <v>39</v>
      </c>
      <c r="X41" s="273" t="s">
        <v>91</v>
      </c>
      <c r="Y41" s="260" t="s">
        <v>33</v>
      </c>
      <c r="Z41" s="273" t="s">
        <v>90</v>
      </c>
      <c r="AA41" s="273" t="s">
        <v>11</v>
      </c>
      <c r="AB41" s="260" t="s">
        <v>34</v>
      </c>
      <c r="AC41" s="273" t="s">
        <v>12</v>
      </c>
      <c r="AD41" s="262" t="s">
        <v>89</v>
      </c>
    </row>
    <row r="42" spans="2:35">
      <c r="B42" s="216">
        <v>-520.20001200000002</v>
      </c>
      <c r="D42" s="216"/>
      <c r="F42" s="233">
        <f>(($C$14*(B42)^2)+($C$15*(B42))+$C$16)*$K$13</f>
        <v>1.0934105000386363</v>
      </c>
      <c r="G42" s="263"/>
      <c r="K42" s="227">
        <f>SQRT(($C$5*$C$9*F42/$C$7)^2+$H$8^2)-$H$8</f>
        <v>55.583076456640356</v>
      </c>
      <c r="L42" s="252"/>
      <c r="M42" s="227">
        <f>1+K42/$H$8</f>
        <v>1.0592075853379033</v>
      </c>
      <c r="N42" s="228">
        <f>SQRT(1-1/M42^2)</f>
        <v>0.32965347430213648</v>
      </c>
      <c r="O42" s="229">
        <f>M42*N42*$H$8</f>
        <v>327.79624224586865</v>
      </c>
      <c r="R42" s="247">
        <f>K42-Q42</f>
        <v>55.583076456640356</v>
      </c>
      <c r="U42" s="211">
        <f>SQRT((($K$9^2*J42^2)+($H$6^2*$I$6^2))/($K$9^2-$H$6^2))</f>
        <v>4.4695861640036078E-4</v>
      </c>
      <c r="V42" s="230">
        <f>SQRT($H$8^2+O42^2)+T42</f>
        <v>994.36610804664042</v>
      </c>
      <c r="W42" s="211">
        <f>SQRT(((($H$8^2*$I$8^2)+(O42^2*P42^2))/($H$8^2+O42^2))+(0.1*T42)^2)</f>
        <v>8.4969180022713525E-5</v>
      </c>
      <c r="X42" s="229">
        <f>SQRT(V42^2-$H$8^2)</f>
        <v>327.7962422458686</v>
      </c>
      <c r="Y42" s="215">
        <f>SQRT(((V42^2*W42^2)+($H$8^2*$I$8^2))/(V42^2-$H$8^2))</f>
        <v>3.6451782292368131E-4</v>
      </c>
      <c r="Z42" s="231">
        <f>$H$6^2+$H$7^2+$H$8^2+2*$H$7*($K$9-V42)-2*$K$9*V42+2*$K$11*X42*$C$12</f>
        <v>541924802.37602735</v>
      </c>
      <c r="AA42" s="270">
        <f>SQRT(Z42)-$H$9</f>
        <v>5.1196363631243003</v>
      </c>
      <c r="AB42" s="292"/>
      <c r="AC42" s="211">
        <v>5.1165200000000004</v>
      </c>
      <c r="AD42" s="242">
        <f>(AA42-AC42)*1000</f>
        <v>3.1163631242998591</v>
      </c>
      <c r="AE42" s="211">
        <v>5.47</v>
      </c>
      <c r="AI42" s="269"/>
    </row>
    <row r="43" spans="2:35">
      <c r="B43" s="216">
        <v>-441.39999399999999</v>
      </c>
      <c r="D43" s="216"/>
      <c r="F43" s="233">
        <f t="shared" ref="F43:F59" si="0">(($C$14*(B43)^2)+($C$15*(B43))+$C$16)*$K$13</f>
        <v>1.0897556604400664</v>
      </c>
      <c r="G43" s="263"/>
      <c r="K43" s="227">
        <f t="shared" ref="K43:K59" si="1">SQRT(($C$5*$C$9*F43/$C$7)^2+$H$8^2)-$H$8</f>
        <v>55.222415581554742</v>
      </c>
      <c r="L43" s="252"/>
      <c r="M43" s="227">
        <f t="shared" ref="M43:M59" si="2">1+K43/$H$8</f>
        <v>1.0588234061794082</v>
      </c>
      <c r="N43" s="228">
        <f t="shared" ref="N43:N59" si="3">SQRT(1-1/M43^2)</f>
        <v>0.32867078320244358</v>
      </c>
      <c r="O43" s="229">
        <f t="shared" ref="O43:O59" si="4">M43*N43*$H$8</f>
        <v>326.70054882937001</v>
      </c>
      <c r="R43" s="247">
        <f t="shared" ref="R43:R59" si="5">K43-Q43</f>
        <v>55.222415581554742</v>
      </c>
      <c r="U43" s="211">
        <f t="shared" ref="U43:U59" si="6">SQRT((($K$9^2*J43^2)+($H$6^2*$I$6^2))/($K$9^2-$H$6^2))</f>
        <v>4.4695861640036078E-4</v>
      </c>
      <c r="V43" s="230">
        <f t="shared" ref="V43:V59" si="7">SQRT($H$8^2+O43^2)+T43</f>
        <v>994.00544717155469</v>
      </c>
      <c r="W43" s="211">
        <f t="shared" ref="W43:W59" si="8">SQRT(((($H$8^2*$I$8^2)+(O43^2*P43^2))/($H$8^2+O43^2))+(0.1*T43)^2)</f>
        <v>8.5000009892820889E-5</v>
      </c>
      <c r="X43" s="229">
        <f t="shared" ref="X43:X59" si="9">SQRT(V43^2-$H$8^2)</f>
        <v>326.70054882937006</v>
      </c>
      <c r="Y43" s="215">
        <f t="shared" ref="Y43:Y59" si="10">SQRT(((V43^2*W43^2)+($H$8^2*$I$8^2))/(V43^2-$H$8^2))</f>
        <v>3.6574034850622169E-4</v>
      </c>
      <c r="Z43" s="231">
        <f t="shared" ref="Z43:Z59" si="11">$H$6^2+$H$7^2+$H$8^2+2*$H$7*($K$9-V43)-2*$K$9*V43+2*$K$11*X43*$C$12</f>
        <v>541941299.97412944</v>
      </c>
      <c r="AA43" s="270">
        <f t="shared" ref="AA43:AA59" si="12">SQRT(Z43)-$H$9</f>
        <v>5.4739745060396672</v>
      </c>
      <c r="AB43" s="292"/>
      <c r="AC43" s="211">
        <v>5.4748999999999999</v>
      </c>
      <c r="AD43" s="242">
        <f t="shared" ref="AD43:AD59" si="13">(AA43-AC43)*1000</f>
        <v>-0.9254939603327017</v>
      </c>
      <c r="AE43" s="211">
        <v>5.52</v>
      </c>
      <c r="AI43" s="269"/>
    </row>
    <row r="44" spans="2:35">
      <c r="B44" s="216">
        <v>-430.20001200000002</v>
      </c>
      <c r="D44" s="216"/>
      <c r="F44" s="233">
        <f t="shared" si="0"/>
        <v>1.0892350372647903</v>
      </c>
      <c r="G44" s="263"/>
      <c r="K44" s="227">
        <f t="shared" si="1"/>
        <v>55.171127934152992</v>
      </c>
      <c r="L44" s="252"/>
      <c r="M44" s="227">
        <f t="shared" si="2"/>
        <v>1.058768774123144</v>
      </c>
      <c r="N44" s="228">
        <f t="shared" si="3"/>
        <v>0.32853071420755631</v>
      </c>
      <c r="O44" s="229">
        <f t="shared" si="4"/>
        <v>326.54446991804133</v>
      </c>
      <c r="R44" s="247">
        <f t="shared" si="5"/>
        <v>55.171127934152992</v>
      </c>
      <c r="U44" s="211">
        <f t="shared" si="6"/>
        <v>4.4695861640036078E-4</v>
      </c>
      <c r="V44" s="230">
        <f t="shared" si="7"/>
        <v>993.95415952415306</v>
      </c>
      <c r="W44" s="211">
        <f t="shared" si="8"/>
        <v>8.5004395860216624E-5</v>
      </c>
      <c r="X44" s="229">
        <f t="shared" si="9"/>
        <v>326.5444699180415</v>
      </c>
      <c r="Y44" s="215">
        <f t="shared" si="10"/>
        <v>3.6591516192577864E-4</v>
      </c>
      <c r="Z44" s="231">
        <f t="shared" si="11"/>
        <v>541943645.76317024</v>
      </c>
      <c r="AA44" s="270">
        <f t="shared" si="12"/>
        <v>5.5243573134030157</v>
      </c>
      <c r="AB44" s="292"/>
      <c r="AC44" s="297">
        <v>5.5209999999999999</v>
      </c>
      <c r="AD44" s="242">
        <f t="shared" si="13"/>
        <v>3.3573134030158158</v>
      </c>
      <c r="AI44" s="269"/>
    </row>
    <row r="45" spans="2:35">
      <c r="B45" s="216">
        <v>-380.20001200000002</v>
      </c>
      <c r="D45" s="216"/>
      <c r="F45" s="233">
        <f t="shared" si="0"/>
        <v>1.0869073180637647</v>
      </c>
      <c r="G45" s="263"/>
      <c r="K45" s="227">
        <f t="shared" si="1"/>
        <v>54.942087033983057</v>
      </c>
      <c r="L45" s="252"/>
      <c r="M45" s="227">
        <f t="shared" si="2"/>
        <v>1.0585247977276802</v>
      </c>
      <c r="N45" s="228">
        <f t="shared" si="3"/>
        <v>0.32790419715270536</v>
      </c>
      <c r="O45" s="229">
        <f t="shared" si="4"/>
        <v>325.8466372128741</v>
      </c>
      <c r="R45" s="247">
        <f t="shared" si="5"/>
        <v>54.942087033983057</v>
      </c>
      <c r="U45" s="211">
        <f t="shared" si="6"/>
        <v>4.4695861640036078E-4</v>
      </c>
      <c r="V45" s="230">
        <f t="shared" si="7"/>
        <v>993.72511862398301</v>
      </c>
      <c r="W45" s="211">
        <f t="shared" si="8"/>
        <v>8.5023988283696052E-5</v>
      </c>
      <c r="X45" s="229">
        <f t="shared" si="9"/>
        <v>325.84663721287387</v>
      </c>
      <c r="Y45" s="215">
        <f t="shared" si="10"/>
        <v>3.666988053277564E-4</v>
      </c>
      <c r="Z45" s="231">
        <f t="shared" si="11"/>
        <v>541954120.86027384</v>
      </c>
      <c r="AA45" s="270">
        <f t="shared" si="12"/>
        <v>5.7493398966325913</v>
      </c>
      <c r="AB45" s="292"/>
      <c r="AC45" s="297">
        <v>5.7462</v>
      </c>
      <c r="AD45" s="242">
        <f t="shared" si="13"/>
        <v>3.139896632591288</v>
      </c>
      <c r="AE45" s="211">
        <v>5.7493398966325913</v>
      </c>
      <c r="AI45" s="269"/>
    </row>
    <row r="46" spans="2:35">
      <c r="B46" s="216">
        <v>-287</v>
      </c>
      <c r="D46" s="216"/>
      <c r="F46" s="233">
        <f t="shared" si="0"/>
        <v>1.0825531623947802</v>
      </c>
      <c r="G46" s="263"/>
      <c r="K46" s="227">
        <f t="shared" si="1"/>
        <v>54.514825035600325</v>
      </c>
      <c r="L46" s="252"/>
      <c r="M46" s="227">
        <f t="shared" si="2"/>
        <v>1.0580696744627665</v>
      </c>
      <c r="N46" s="228">
        <f t="shared" si="3"/>
        <v>0.32673109272771594</v>
      </c>
      <c r="O46" s="229">
        <f t="shared" si="4"/>
        <v>324.54129409938048</v>
      </c>
      <c r="R46" s="247">
        <f t="shared" si="5"/>
        <v>54.514825035600325</v>
      </c>
      <c r="U46" s="211">
        <f t="shared" si="6"/>
        <v>4.4695861640036078E-4</v>
      </c>
      <c r="V46" s="230">
        <f t="shared" si="7"/>
        <v>993.29785662560028</v>
      </c>
      <c r="W46" s="211">
        <f t="shared" si="8"/>
        <v>8.5060560917878485E-5</v>
      </c>
      <c r="X46" s="229">
        <f t="shared" si="9"/>
        <v>324.54129409938076</v>
      </c>
      <c r="Y46" s="215">
        <f t="shared" si="10"/>
        <v>3.6817371089128129E-4</v>
      </c>
      <c r="Z46" s="231">
        <f t="shared" si="11"/>
        <v>541973658.21850669</v>
      </c>
      <c r="AA46" s="270">
        <f t="shared" si="12"/>
        <v>6.1689545720364549</v>
      </c>
      <c r="AB46" s="292"/>
      <c r="AC46" s="297">
        <v>6.1689999999999996</v>
      </c>
      <c r="AD46" s="242">
        <f t="shared" si="13"/>
        <v>-4.5427963544675265E-2</v>
      </c>
      <c r="AI46" s="269"/>
    </row>
    <row r="47" spans="2:35">
      <c r="B47" s="216">
        <v>-244.60000600000001</v>
      </c>
      <c r="D47" s="216"/>
      <c r="F47" s="233">
        <f t="shared" si="0"/>
        <v>1.080565717118253</v>
      </c>
      <c r="G47" s="263"/>
      <c r="K47" s="227">
        <f t="shared" si="1"/>
        <v>54.320311396313627</v>
      </c>
      <c r="L47" s="252"/>
      <c r="M47" s="227">
        <f t="shared" si="2"/>
        <v>1.0578624768114016</v>
      </c>
      <c r="N47" s="228">
        <f t="shared" si="3"/>
        <v>0.32619512888034019</v>
      </c>
      <c r="O47" s="229">
        <f t="shared" si="4"/>
        <v>323.94547295691723</v>
      </c>
      <c r="R47" s="247">
        <f t="shared" si="5"/>
        <v>54.320311396313627</v>
      </c>
      <c r="U47" s="211">
        <f t="shared" si="6"/>
        <v>4.4695861640036078E-4</v>
      </c>
      <c r="V47" s="230">
        <f t="shared" si="7"/>
        <v>993.10334298631358</v>
      </c>
      <c r="W47" s="211">
        <f t="shared" si="8"/>
        <v>8.5077221257792509E-5</v>
      </c>
      <c r="X47" s="229">
        <f t="shared" si="9"/>
        <v>323.94547295691711</v>
      </c>
      <c r="Y47" s="215">
        <f t="shared" si="10"/>
        <v>3.6885087942537431E-4</v>
      </c>
      <c r="Z47" s="231">
        <f t="shared" si="11"/>
        <v>541982551.28382611</v>
      </c>
      <c r="AA47" s="270">
        <f t="shared" si="12"/>
        <v>6.3599533618762507</v>
      </c>
      <c r="AB47" s="292"/>
      <c r="AC47" s="236">
        <v>6.3620000000000001</v>
      </c>
      <c r="AD47" s="242">
        <f t="shared" si="13"/>
        <v>-2.0466381237493891</v>
      </c>
      <c r="AI47" s="269"/>
    </row>
    <row r="48" spans="2:35">
      <c r="B48" s="216">
        <v>-227.39999399999999</v>
      </c>
      <c r="D48" s="216"/>
      <c r="F48" s="233">
        <f t="shared" si="0"/>
        <v>1.0797583144879412</v>
      </c>
      <c r="G48" s="263"/>
      <c r="K48" s="227">
        <f t="shared" si="1"/>
        <v>54.241381171984131</v>
      </c>
      <c r="L48" s="252"/>
      <c r="M48" s="227">
        <f t="shared" si="2"/>
        <v>1.0577783996373651</v>
      </c>
      <c r="N48" s="228">
        <f t="shared" si="3"/>
        <v>0.3259773028359394</v>
      </c>
      <c r="O48" s="229">
        <f t="shared" si="4"/>
        <v>323.70341972239419</v>
      </c>
      <c r="R48" s="247">
        <f t="shared" si="5"/>
        <v>54.241381171984131</v>
      </c>
      <c r="U48" s="211">
        <f t="shared" si="6"/>
        <v>4.4695861640036078E-4</v>
      </c>
      <c r="V48" s="230">
        <f t="shared" si="7"/>
        <v>993.02441276198408</v>
      </c>
      <c r="W48" s="211">
        <f t="shared" si="8"/>
        <v>8.508398359321237E-5</v>
      </c>
      <c r="X48" s="229">
        <f t="shared" si="9"/>
        <v>323.70341972239419</v>
      </c>
      <c r="Y48" s="215">
        <f t="shared" si="10"/>
        <v>3.6912669223111515E-4</v>
      </c>
      <c r="Z48" s="231">
        <f t="shared" si="11"/>
        <v>541986159.67574549</v>
      </c>
      <c r="AA48" s="270">
        <f t="shared" si="12"/>
        <v>6.4374513325783482</v>
      </c>
      <c r="AB48" s="292"/>
      <c r="AC48" s="236">
        <v>6.4340000000000002</v>
      </c>
      <c r="AD48" s="242">
        <f t="shared" si="13"/>
        <v>3.4513325783480653</v>
      </c>
      <c r="AI48" s="269"/>
    </row>
    <row r="49" spans="1:35">
      <c r="B49" s="216">
        <v>-199</v>
      </c>
      <c r="D49" s="216"/>
      <c r="F49" s="233">
        <f t="shared" si="0"/>
        <v>1.0784236792066202</v>
      </c>
      <c r="G49" s="263"/>
      <c r="K49" s="227">
        <f t="shared" si="1"/>
        <v>54.111025266026786</v>
      </c>
      <c r="L49" s="252"/>
      <c r="M49" s="227">
        <f t="shared" si="2"/>
        <v>1.0576395433717842</v>
      </c>
      <c r="N49" s="228">
        <f t="shared" si="3"/>
        <v>0.32561712286723926</v>
      </c>
      <c r="O49" s="229">
        <f t="shared" si="4"/>
        <v>323.30330610544053</v>
      </c>
      <c r="R49" s="247">
        <f t="shared" si="5"/>
        <v>54.111025266026786</v>
      </c>
      <c r="U49" s="211">
        <f t="shared" si="6"/>
        <v>4.4695861640036078E-4</v>
      </c>
      <c r="V49" s="230">
        <f t="shared" si="7"/>
        <v>992.89405685602685</v>
      </c>
      <c r="W49" s="211">
        <f t="shared" si="8"/>
        <v>8.5095154170462947E-5</v>
      </c>
      <c r="X49" s="229">
        <f t="shared" si="9"/>
        <v>323.3033061054407</v>
      </c>
      <c r="Y49" s="215">
        <f t="shared" si="10"/>
        <v>3.6958351594171003E-4</v>
      </c>
      <c r="Z49" s="231">
        <f t="shared" si="11"/>
        <v>541992118.72826505</v>
      </c>
      <c r="AA49" s="270">
        <f t="shared" si="12"/>
        <v>6.5654342263005674</v>
      </c>
      <c r="AB49" s="292"/>
      <c r="AC49" s="236">
        <v>6.57</v>
      </c>
      <c r="AD49" s="242">
        <f t="shared" si="13"/>
        <v>-4.5657736994328957</v>
      </c>
      <c r="AI49" s="269"/>
    </row>
    <row r="50" spans="1:35">
      <c r="B50" s="216">
        <v>-187.800003</v>
      </c>
      <c r="D50" s="216"/>
      <c r="F50" s="233">
        <f t="shared" si="0"/>
        <v>1.0778968361971981</v>
      </c>
      <c r="G50" s="263"/>
      <c r="K50" s="227">
        <f t="shared" si="1"/>
        <v>54.059607365915213</v>
      </c>
      <c r="L50" s="252"/>
      <c r="M50" s="227">
        <f t="shared" si="2"/>
        <v>1.0575847725691798</v>
      </c>
      <c r="N50" s="228">
        <f t="shared" si="3"/>
        <v>0.3254749039328626</v>
      </c>
      <c r="O50" s="229">
        <f t="shared" si="4"/>
        <v>323.14536253462632</v>
      </c>
      <c r="R50" s="247">
        <f t="shared" si="5"/>
        <v>54.059607365915213</v>
      </c>
      <c r="U50" s="211">
        <f t="shared" si="6"/>
        <v>4.4695861640036078E-4</v>
      </c>
      <c r="V50" s="230">
        <f t="shared" si="7"/>
        <v>992.84263895591528</v>
      </c>
      <c r="W50" s="211">
        <f t="shared" si="8"/>
        <v>8.5099561126777509E-5</v>
      </c>
      <c r="X50" s="229">
        <f t="shared" si="9"/>
        <v>323.14536253462643</v>
      </c>
      <c r="Y50" s="215">
        <f t="shared" si="10"/>
        <v>3.6976415706174368E-4</v>
      </c>
      <c r="Z50" s="231">
        <f t="shared" si="11"/>
        <v>541994469.11895418</v>
      </c>
      <c r="AA50" s="270">
        <f t="shared" si="12"/>
        <v>6.6159135009584134</v>
      </c>
      <c r="AB50" s="292"/>
      <c r="AC50" s="235">
        <v>6.6779999999999999</v>
      </c>
      <c r="AD50" s="242">
        <f t="shared" si="13"/>
        <v>-62.086499041586585</v>
      </c>
      <c r="AI50" s="269"/>
    </row>
    <row r="51" spans="1:35">
      <c r="B51" s="216">
        <v>-152.199997</v>
      </c>
      <c r="D51" s="216"/>
      <c r="F51" s="233">
        <f t="shared" si="0"/>
        <v>1.076220319034159</v>
      </c>
      <c r="G51" s="263"/>
      <c r="K51" s="227">
        <f t="shared" si="1"/>
        <v>53.896135084635489</v>
      </c>
      <c r="L51" s="252"/>
      <c r="M51" s="227">
        <f t="shared" si="2"/>
        <v>1.0574106404472954</v>
      </c>
      <c r="N51" s="228">
        <f t="shared" si="3"/>
        <v>0.32502218857106463</v>
      </c>
      <c r="O51" s="229">
        <f t="shared" si="4"/>
        <v>322.64275530149064</v>
      </c>
      <c r="R51" s="247">
        <f t="shared" si="5"/>
        <v>53.896135084635489</v>
      </c>
      <c r="U51" s="211">
        <f t="shared" si="6"/>
        <v>4.4695861640036078E-4</v>
      </c>
      <c r="V51" s="230">
        <f t="shared" si="7"/>
        <v>992.67916667463533</v>
      </c>
      <c r="W51" s="211">
        <f t="shared" si="8"/>
        <v>8.5113575140428985E-5</v>
      </c>
      <c r="X51" s="229">
        <f t="shared" si="9"/>
        <v>322.64275530149075</v>
      </c>
      <c r="Y51" s="215">
        <f t="shared" si="10"/>
        <v>3.7034016918921226E-4</v>
      </c>
      <c r="Z51" s="231">
        <f t="shared" si="11"/>
        <v>542001941.262362</v>
      </c>
      <c r="AA51" s="270">
        <f t="shared" si="12"/>
        <v>6.7763917874690378</v>
      </c>
      <c r="AB51" s="292"/>
      <c r="AC51" s="235">
        <v>6.7770000000000001</v>
      </c>
      <c r="AD51" s="242">
        <f t="shared" si="13"/>
        <v>-0.60821253096232653</v>
      </c>
      <c r="AI51" s="269"/>
    </row>
    <row r="52" spans="1:35">
      <c r="B52" s="216">
        <v>-139</v>
      </c>
      <c r="D52" s="216"/>
      <c r="F52" s="233">
        <f t="shared" si="0"/>
        <v>1.0755979515130201</v>
      </c>
      <c r="G52" s="263"/>
      <c r="K52" s="227">
        <f t="shared" si="1"/>
        <v>53.835507770139316</v>
      </c>
      <c r="L52" s="252"/>
      <c r="M52" s="227">
        <f t="shared" si="2"/>
        <v>1.0573460596949213</v>
      </c>
      <c r="N52" s="228">
        <f t="shared" si="3"/>
        <v>0.32485407174497366</v>
      </c>
      <c r="O52" s="229">
        <f t="shared" si="4"/>
        <v>322.45617420068965</v>
      </c>
      <c r="R52" s="247">
        <f t="shared" si="5"/>
        <v>53.835507770139316</v>
      </c>
      <c r="U52" s="211">
        <f t="shared" si="6"/>
        <v>4.4695861640036078E-4</v>
      </c>
      <c r="V52" s="230">
        <f t="shared" si="7"/>
        <v>992.61853936013927</v>
      </c>
      <c r="W52" s="211">
        <f t="shared" si="8"/>
        <v>8.511877372103503E-5</v>
      </c>
      <c r="X52" s="229">
        <f t="shared" si="9"/>
        <v>322.45617420068965</v>
      </c>
      <c r="Y52" s="215">
        <f t="shared" si="10"/>
        <v>3.7055445715131896E-4</v>
      </c>
      <c r="Z52" s="231">
        <f t="shared" si="11"/>
        <v>542004712.3077203</v>
      </c>
      <c r="AA52" s="270">
        <f t="shared" si="12"/>
        <v>6.8359048997881473</v>
      </c>
      <c r="AB52" s="292"/>
      <c r="AC52" s="236">
        <v>6.8319999999999999</v>
      </c>
      <c r="AD52" s="242">
        <f t="shared" si="13"/>
        <v>3.9048997881474534</v>
      </c>
      <c r="AI52" s="269"/>
    </row>
    <row r="53" spans="1:35">
      <c r="B53" s="216">
        <v>-113.400002</v>
      </c>
      <c r="D53" s="216"/>
      <c r="F53" s="233">
        <f t="shared" si="0"/>
        <v>1.074389797851613</v>
      </c>
      <c r="G53" s="263"/>
      <c r="K53" s="227">
        <f t="shared" si="1"/>
        <v>53.717906240597358</v>
      </c>
      <c r="L53" s="252"/>
      <c r="M53" s="227">
        <f t="shared" si="2"/>
        <v>1.0572207895040628</v>
      </c>
      <c r="N53" s="228">
        <f t="shared" si="3"/>
        <v>0.32452763170773713</v>
      </c>
      <c r="O53" s="229">
        <f t="shared" si="4"/>
        <v>322.09397882187181</v>
      </c>
      <c r="R53" s="247">
        <f t="shared" si="5"/>
        <v>53.717906240597358</v>
      </c>
      <c r="U53" s="211">
        <f t="shared" si="6"/>
        <v>4.4695861640036078E-4</v>
      </c>
      <c r="V53" s="230">
        <f t="shared" si="7"/>
        <v>992.50093783059731</v>
      </c>
      <c r="W53" s="211">
        <f t="shared" si="8"/>
        <v>8.5128859452544982E-5</v>
      </c>
      <c r="X53" s="229">
        <f t="shared" si="9"/>
        <v>322.0939788218717</v>
      </c>
      <c r="Y53" s="215">
        <f t="shared" si="10"/>
        <v>3.7097114644328122E-4</v>
      </c>
      <c r="Z53" s="231">
        <f t="shared" si="11"/>
        <v>542010087.17455387</v>
      </c>
      <c r="AA53" s="270">
        <f t="shared" si="12"/>
        <v>6.9513392613189353</v>
      </c>
      <c r="AB53" s="292"/>
      <c r="AC53" s="236">
        <v>6.9580000000000002</v>
      </c>
      <c r="AD53" s="242">
        <f t="shared" si="13"/>
        <v>-6.6607386810648705</v>
      </c>
      <c r="AI53" s="269"/>
    </row>
    <row r="54" spans="1:35">
      <c r="B54" s="216">
        <v>-83.400002000000001</v>
      </c>
      <c r="D54" s="216"/>
      <c r="F54" s="233">
        <f t="shared" si="0"/>
        <v>1.0729720821752704</v>
      </c>
      <c r="G54" s="263"/>
      <c r="K54" s="227">
        <f t="shared" si="1"/>
        <v>53.580056776757829</v>
      </c>
      <c r="L54" s="252"/>
      <c r="M54" s="227">
        <f t="shared" si="2"/>
        <v>1.0570739510342557</v>
      </c>
      <c r="N54" s="228">
        <f t="shared" si="3"/>
        <v>0.32414442062421511</v>
      </c>
      <c r="O54" s="229">
        <f t="shared" si="4"/>
        <v>321.66895832749952</v>
      </c>
      <c r="R54" s="247">
        <f t="shared" si="5"/>
        <v>53.580056776757829</v>
      </c>
      <c r="U54" s="211">
        <f t="shared" si="6"/>
        <v>4.4695861640036078E-4</v>
      </c>
      <c r="V54" s="230">
        <f t="shared" si="7"/>
        <v>992.36308836675767</v>
      </c>
      <c r="W54" s="211">
        <f t="shared" si="8"/>
        <v>8.514068472876734E-5</v>
      </c>
      <c r="X54" s="229">
        <f t="shared" si="9"/>
        <v>321.66895832749924</v>
      </c>
      <c r="Y54" s="215">
        <f t="shared" si="10"/>
        <v>3.7146130981148139E-4</v>
      </c>
      <c r="Z54" s="231">
        <f t="shared" si="11"/>
        <v>542016387.02520585</v>
      </c>
      <c r="AA54" s="270">
        <f t="shared" si="12"/>
        <v>7.0866384871915216</v>
      </c>
      <c r="AB54" s="292"/>
      <c r="AC54" s="236">
        <v>7.0890000000000004</v>
      </c>
      <c r="AD54" s="242">
        <f t="shared" si="13"/>
        <v>-2.3615128084788495</v>
      </c>
      <c r="AI54" s="269"/>
    </row>
    <row r="55" spans="1:35">
      <c r="B55" s="216">
        <v>-64.599997999999999</v>
      </c>
      <c r="D55" s="216"/>
      <c r="F55" s="233">
        <f t="shared" si="0"/>
        <v>1.07208259601133</v>
      </c>
      <c r="G55" s="263"/>
      <c r="K55" s="227">
        <f t="shared" si="1"/>
        <v>53.493652083118604</v>
      </c>
      <c r="L55" s="252"/>
      <c r="M55" s="227">
        <f t="shared" si="2"/>
        <v>1.0569819119893096</v>
      </c>
      <c r="N55" s="228">
        <f t="shared" si="3"/>
        <v>0.32390390941906172</v>
      </c>
      <c r="O55" s="229">
        <f t="shared" si="4"/>
        <v>321.40229706710477</v>
      </c>
      <c r="R55" s="247">
        <f t="shared" si="5"/>
        <v>53.493652083118604</v>
      </c>
      <c r="U55" s="211">
        <f t="shared" si="6"/>
        <v>4.4695861640036078E-4</v>
      </c>
      <c r="V55" s="230">
        <f t="shared" si="7"/>
        <v>992.27668367311855</v>
      </c>
      <c r="W55" s="211">
        <f t="shared" si="8"/>
        <v>8.5148098542778353E-5</v>
      </c>
      <c r="X55" s="229">
        <f t="shared" si="9"/>
        <v>321.4022970671046</v>
      </c>
      <c r="Y55" s="215">
        <f t="shared" si="10"/>
        <v>3.7176950406511949E-4</v>
      </c>
      <c r="Z55" s="231">
        <f t="shared" si="11"/>
        <v>542020335.56451058</v>
      </c>
      <c r="AA55" s="270">
        <f t="shared" si="12"/>
        <v>7.1714391936584434</v>
      </c>
      <c r="AB55" s="292"/>
      <c r="AC55" s="236">
        <v>7.1820000000000004</v>
      </c>
      <c r="AD55" s="242">
        <f t="shared" si="13"/>
        <v>-10.560806341556983</v>
      </c>
      <c r="AI55" s="269"/>
    </row>
    <row r="56" spans="1:35">
      <c r="B56" s="216">
        <v>-54.599997999999999</v>
      </c>
      <c r="D56" s="216"/>
      <c r="F56" s="233">
        <f t="shared" si="0"/>
        <v>1.0716091353042443</v>
      </c>
      <c r="G56" s="263"/>
      <c r="K56" s="227">
        <f t="shared" si="1"/>
        <v>53.447686262996967</v>
      </c>
      <c r="L56" s="252"/>
      <c r="M56" s="227">
        <f t="shared" si="2"/>
        <v>1.0569329487905992</v>
      </c>
      <c r="N56" s="228">
        <f t="shared" si="3"/>
        <v>0.32377586314207885</v>
      </c>
      <c r="O56" s="229">
        <f t="shared" si="4"/>
        <v>321.26035710893859</v>
      </c>
      <c r="R56" s="247">
        <f t="shared" si="5"/>
        <v>53.447686262996967</v>
      </c>
      <c r="U56" s="211">
        <f t="shared" si="6"/>
        <v>4.4695861640036078E-4</v>
      </c>
      <c r="V56" s="230">
        <f t="shared" si="7"/>
        <v>992.23071785299692</v>
      </c>
      <c r="W56" s="211">
        <f t="shared" si="8"/>
        <v>8.5152043091269838E-5</v>
      </c>
      <c r="X56" s="229">
        <f t="shared" si="9"/>
        <v>321.26035710893854</v>
      </c>
      <c r="Y56" s="215">
        <f t="shared" si="10"/>
        <v>3.7193376008577917E-4</v>
      </c>
      <c r="Z56" s="231">
        <f t="shared" si="11"/>
        <v>542022436.04538548</v>
      </c>
      <c r="AA56" s="270">
        <f t="shared" si="12"/>
        <v>7.2165499932270905</v>
      </c>
      <c r="AB56" s="292"/>
      <c r="AC56" s="236">
        <v>7.2279999999999998</v>
      </c>
      <c r="AD56" s="242">
        <f t="shared" si="13"/>
        <v>-11.450006772909305</v>
      </c>
      <c r="AI56" s="269"/>
    </row>
    <row r="57" spans="1:35">
      <c r="B57" s="216">
        <v>-40.599997999999999</v>
      </c>
      <c r="D57" s="216"/>
      <c r="F57" s="233">
        <f t="shared" si="0"/>
        <v>1.0709459054666441</v>
      </c>
      <c r="G57" s="263"/>
      <c r="K57" s="227">
        <f t="shared" si="1"/>
        <v>53.383327316551004</v>
      </c>
      <c r="L57" s="252"/>
      <c r="M57" s="227">
        <f t="shared" si="2"/>
        <v>1.0568643930708213</v>
      </c>
      <c r="N57" s="228">
        <f t="shared" si="3"/>
        <v>0.32359646435392431</v>
      </c>
      <c r="O57" s="229">
        <f t="shared" si="4"/>
        <v>321.06152579306655</v>
      </c>
      <c r="R57" s="247">
        <f t="shared" si="5"/>
        <v>53.383327316551004</v>
      </c>
      <c r="U57" s="211">
        <f t="shared" si="6"/>
        <v>4.4695861640036078E-4</v>
      </c>
      <c r="V57" s="230">
        <f t="shared" si="7"/>
        <v>992.16635890655084</v>
      </c>
      <c r="W57" s="211">
        <f t="shared" si="8"/>
        <v>8.5157566656679897E-5</v>
      </c>
      <c r="X57" s="229">
        <f t="shared" si="9"/>
        <v>321.06152579306632</v>
      </c>
      <c r="Y57" s="215">
        <f t="shared" si="10"/>
        <v>3.7216409624565529E-4</v>
      </c>
      <c r="Z57" s="231">
        <f t="shared" si="11"/>
        <v>542025376.94211411</v>
      </c>
      <c r="AA57" s="270">
        <f t="shared" si="12"/>
        <v>7.2797097658149141</v>
      </c>
      <c r="AB57" s="292"/>
      <c r="AC57" s="227">
        <v>7.2649999999999997</v>
      </c>
      <c r="AD57" s="242">
        <f t="shared" si="13"/>
        <v>14.709765814914455</v>
      </c>
      <c r="AI57" s="269"/>
    </row>
    <row r="58" spans="1:35">
      <c r="B58" s="216">
        <v>-11.8</v>
      </c>
      <c r="D58" s="216"/>
      <c r="F58" s="233">
        <f t="shared" si="0"/>
        <v>1.0695801351972889</v>
      </c>
      <c r="G58" s="263"/>
      <c r="K58" s="227">
        <f t="shared" si="1"/>
        <v>53.250907152725745</v>
      </c>
      <c r="L58" s="252"/>
      <c r="M58" s="227">
        <f t="shared" si="2"/>
        <v>1.0567233379394765</v>
      </c>
      <c r="N58" s="228">
        <f t="shared" si="3"/>
        <v>0.32322692361444016</v>
      </c>
      <c r="O58" s="229">
        <f t="shared" si="4"/>
        <v>320.65207814092724</v>
      </c>
      <c r="R58" s="247">
        <f t="shared" si="5"/>
        <v>53.250907152725745</v>
      </c>
      <c r="U58" s="211">
        <f t="shared" si="6"/>
        <v>4.4695861640036078E-4</v>
      </c>
      <c r="V58" s="230">
        <f t="shared" si="7"/>
        <v>992.0339387427257</v>
      </c>
      <c r="W58" s="211">
        <f t="shared" si="8"/>
        <v>8.5168933786862892E-5</v>
      </c>
      <c r="X58" s="229">
        <f t="shared" si="9"/>
        <v>320.65207814092713</v>
      </c>
      <c r="Y58" s="215">
        <f t="shared" si="10"/>
        <v>3.726393207204249E-4</v>
      </c>
      <c r="Z58" s="231">
        <f t="shared" si="11"/>
        <v>542031427.59109247</v>
      </c>
      <c r="AA58" s="270">
        <f t="shared" si="12"/>
        <v>7.4096551749425998</v>
      </c>
      <c r="AB58" s="292"/>
      <c r="AC58" s="227">
        <v>7.4107399999999997</v>
      </c>
      <c r="AD58" s="242">
        <f t="shared" si="13"/>
        <v>-1.0848250573998186</v>
      </c>
      <c r="AI58" s="269"/>
    </row>
    <row r="59" spans="1:35">
      <c r="B59" s="216">
        <v>8.1999999999999993</v>
      </c>
      <c r="D59" s="216"/>
      <c r="F59" s="233">
        <f t="shared" si="0"/>
        <v>1.0686305656646489</v>
      </c>
      <c r="G59" s="263"/>
      <c r="K59" s="227">
        <f t="shared" si="1"/>
        <v>53.158929496414999</v>
      </c>
      <c r="L59" s="252"/>
      <c r="M59" s="227">
        <f t="shared" si="2"/>
        <v>1.056625362525333</v>
      </c>
      <c r="N59" s="228">
        <f t="shared" si="3"/>
        <v>0.32296990842863443</v>
      </c>
      <c r="O59" s="229">
        <f t="shared" si="4"/>
        <v>320.36740433859944</v>
      </c>
      <c r="R59" s="247">
        <f t="shared" si="5"/>
        <v>53.158929496414999</v>
      </c>
      <c r="U59" s="211">
        <f t="shared" si="6"/>
        <v>4.4695861640036078E-4</v>
      </c>
      <c r="V59" s="230">
        <f t="shared" si="7"/>
        <v>991.94196108641484</v>
      </c>
      <c r="W59" s="211">
        <f t="shared" si="8"/>
        <v>8.5176831062336176E-5</v>
      </c>
      <c r="X59" s="229">
        <f t="shared" si="9"/>
        <v>320.3674043385995</v>
      </c>
      <c r="Y59" s="215">
        <f t="shared" si="10"/>
        <v>3.7297044258516413E-4</v>
      </c>
      <c r="Z59" s="231">
        <f t="shared" si="11"/>
        <v>542035630.05374098</v>
      </c>
      <c r="AA59" s="270">
        <f t="shared" si="12"/>
        <v>7.4999079970257299</v>
      </c>
      <c r="AB59" s="292"/>
      <c r="AC59" s="227">
        <v>7.5</v>
      </c>
      <c r="AD59" s="242">
        <f t="shared" si="13"/>
        <v>-9.2002974270144477E-2</v>
      </c>
      <c r="AI59" s="269"/>
    </row>
    <row r="60" spans="1:35">
      <c r="B60" s="216"/>
      <c r="D60" s="216"/>
      <c r="F60" s="233"/>
      <c r="G60" s="263"/>
      <c r="K60" s="227"/>
      <c r="L60" s="252"/>
      <c r="M60" s="227"/>
      <c r="N60" s="228"/>
      <c r="O60" s="229"/>
      <c r="R60" s="247"/>
      <c r="V60" s="230"/>
      <c r="X60" s="229"/>
      <c r="Y60" s="215"/>
      <c r="Z60" s="231"/>
      <c r="AA60" s="271"/>
      <c r="AB60" s="292"/>
      <c r="AC60" s="227"/>
      <c r="AD60" s="248"/>
      <c r="AI60" s="269"/>
    </row>
    <row r="62" spans="1:35">
      <c r="B62" s="313" t="s">
        <v>154</v>
      </c>
      <c r="C62" s="314"/>
      <c r="D62" s="314"/>
      <c r="E62" s="315"/>
      <c r="F62" s="214"/>
      <c r="AI62" s="216"/>
    </row>
    <row r="63" spans="1:35">
      <c r="A63" s="285" t="s">
        <v>142</v>
      </c>
      <c r="B63" s="285" t="s">
        <v>143</v>
      </c>
      <c r="C63" s="282" t="s">
        <v>144</v>
      </c>
      <c r="D63" s="284" t="s">
        <v>145</v>
      </c>
      <c r="E63" s="283" t="s">
        <v>146</v>
      </c>
      <c r="F63" s="283" t="s">
        <v>18</v>
      </c>
      <c r="G63" s="283" t="s">
        <v>19</v>
      </c>
      <c r="H63" s="283" t="s">
        <v>20</v>
      </c>
      <c r="I63" s="283"/>
      <c r="J63" s="282" t="s">
        <v>147</v>
      </c>
      <c r="K63" s="282" t="s">
        <v>85</v>
      </c>
      <c r="L63" s="281" t="s">
        <v>86</v>
      </c>
      <c r="M63" s="281" t="s">
        <v>87</v>
      </c>
      <c r="N63" s="245" t="s">
        <v>88</v>
      </c>
      <c r="O63" s="280" t="s">
        <v>13</v>
      </c>
      <c r="P63" s="279" t="s">
        <v>78</v>
      </c>
    </row>
    <row r="64" spans="1:35">
      <c r="A64" s="211">
        <v>0.5</v>
      </c>
      <c r="B64" s="297">
        <v>3.0894430000000002</v>
      </c>
      <c r="C64" s="216">
        <v>54.866</v>
      </c>
      <c r="D64" s="216">
        <f>C64+(0.002+$I$9)/1000</f>
        <v>54.866002090000002</v>
      </c>
      <c r="E64" s="252">
        <v>1.038E-2</v>
      </c>
      <c r="F64" s="216">
        <f>C64-E64</f>
        <v>54.855620000000002</v>
      </c>
      <c r="H64" s="211">
        <f>E64+G64</f>
        <v>1.038E-2</v>
      </c>
      <c r="J64" s="276">
        <f>C64-H64</f>
        <v>54.855620000000002</v>
      </c>
      <c r="K64" s="216">
        <f>D64-H64</f>
        <v>54.855622090000004</v>
      </c>
      <c r="L64" s="275">
        <f>$C$7*$H$8/($C$5*$C$9*$C$6)*SQRT((J64/$H$8+1)^2-1)</f>
        <v>1.0860274049519154</v>
      </c>
      <c r="M64" s="278">
        <f>$C$7*$H$8/($C$5*$C$9*$C$6)*SQRT((K64/$H$8+1)^2-1)</f>
        <v>1.0860274262280385</v>
      </c>
      <c r="N64" s="277">
        <f>M64-L64</f>
        <v>2.1276123085556264E-8</v>
      </c>
      <c r="O64" s="216">
        <v>-361.39699999999999</v>
      </c>
      <c r="P64" s="211">
        <v>0.33031190837074043</v>
      </c>
      <c r="Q64" s="211" t="s">
        <v>148</v>
      </c>
      <c r="AI64" s="216"/>
    </row>
    <row r="65" spans="1:35">
      <c r="B65" s="297">
        <v>3.684507</v>
      </c>
      <c r="C65" s="241">
        <v>54.250071547752228</v>
      </c>
      <c r="D65" s="216">
        <f>C65+(0.0019+$I$9)/1000</f>
        <v>54.250073537752229</v>
      </c>
      <c r="E65" s="211">
        <v>1.048E-2</v>
      </c>
      <c r="F65" s="216">
        <f t="shared" ref="F65:F98" si="14">C65-E65</f>
        <v>54.239591547752227</v>
      </c>
      <c r="H65" s="211">
        <f t="shared" ref="H65:H98" si="15">E65+G65</f>
        <v>1.048E-2</v>
      </c>
      <c r="J65" s="276">
        <f t="shared" ref="J65:J98" si="16">C65-H65</f>
        <v>54.239591547752227</v>
      </c>
      <c r="K65" s="216">
        <f t="shared" ref="K65:K98" si="17">D65-H65</f>
        <v>54.239593537752228</v>
      </c>
      <c r="L65" s="275">
        <f t="shared" ref="L65:M98" si="18">$C$7*$H$8/($C$5*$C$9*$C$6)*SQRT((J65/$H$8+1)^2-1)</f>
        <v>1.0797400015910343</v>
      </c>
      <c r="M65" s="278">
        <f t="shared" si="18"/>
        <v>1.0797400219544941</v>
      </c>
      <c r="N65" s="277"/>
      <c r="O65" s="216">
        <v>-227.084</v>
      </c>
      <c r="P65" s="211">
        <v>0.74389994293171124</v>
      </c>
      <c r="AI65" s="216"/>
    </row>
    <row r="66" spans="1:35">
      <c r="B66" s="297">
        <v>3.8538069999999998</v>
      </c>
      <c r="C66" s="216">
        <v>54.074634723241758</v>
      </c>
      <c r="D66" s="216">
        <f>C66+(0.0019+$I$9)/1000</f>
        <v>54.074636713241759</v>
      </c>
      <c r="E66" s="211">
        <v>1.051E-2</v>
      </c>
      <c r="F66" s="216">
        <f t="shared" si="14"/>
        <v>54.064124723241761</v>
      </c>
      <c r="H66" s="211">
        <f t="shared" si="15"/>
        <v>1.051E-2</v>
      </c>
      <c r="J66" s="276">
        <f t="shared" si="16"/>
        <v>54.064124723241761</v>
      </c>
      <c r="K66" s="216">
        <f t="shared" si="17"/>
        <v>54.064126713241762</v>
      </c>
      <c r="L66" s="275">
        <f t="shared" si="18"/>
        <v>1.0779431316001615</v>
      </c>
      <c r="M66" s="278">
        <f t="shared" si="18"/>
        <v>1.0779431519939613</v>
      </c>
      <c r="N66" s="277"/>
      <c r="O66" s="216">
        <v>-188.85499999999999</v>
      </c>
      <c r="P66" s="211">
        <v>0.52881002562419832</v>
      </c>
    </row>
    <row r="67" spans="1:35">
      <c r="B67" s="297"/>
      <c r="C67" s="216"/>
      <c r="D67" s="216"/>
      <c r="F67" s="216"/>
      <c r="J67" s="276"/>
      <c r="K67" s="216"/>
      <c r="L67" s="275"/>
      <c r="M67" s="278"/>
      <c r="N67" s="277"/>
      <c r="O67" s="216"/>
    </row>
    <row r="68" spans="1:35">
      <c r="A68" s="211">
        <v>5</v>
      </c>
      <c r="B68" s="297">
        <v>3.0894430000000002</v>
      </c>
      <c r="C68" s="241">
        <v>54.818044193325932</v>
      </c>
      <c r="D68" s="216">
        <f>C68+(0.002+$I$9)/1000</f>
        <v>54.818046283325934</v>
      </c>
      <c r="E68" s="252">
        <v>1.039E-2</v>
      </c>
      <c r="F68" s="216">
        <f t="shared" si="14"/>
        <v>54.807654193325931</v>
      </c>
      <c r="H68" s="211">
        <f t="shared" si="15"/>
        <v>1.039E-2</v>
      </c>
      <c r="J68" s="276">
        <f t="shared" si="16"/>
        <v>54.807654193325931</v>
      </c>
      <c r="K68" s="216">
        <f t="shared" si="17"/>
        <v>54.807656283325933</v>
      </c>
      <c r="L68" s="275">
        <f t="shared" si="18"/>
        <v>1.0855390167501004</v>
      </c>
      <c r="M68" s="278">
        <f t="shared" si="18"/>
        <v>1.0855390380347698</v>
      </c>
      <c r="N68" s="277">
        <f>M68-L68</f>
        <v>2.1284669360355224E-8</v>
      </c>
      <c r="O68" s="216">
        <v>-351.78</v>
      </c>
      <c r="P68" s="211">
        <v>0.30782123019566865</v>
      </c>
    </row>
    <row r="69" spans="1:35">
      <c r="B69" s="297">
        <v>3.684507</v>
      </c>
      <c r="C69" s="211">
        <v>54.20192915449136</v>
      </c>
      <c r="D69" s="216">
        <f>C69+(0.0019+$I$9)/1000</f>
        <v>54.201931144491361</v>
      </c>
      <c r="E69" s="252">
        <v>1.0489999999999999E-2</v>
      </c>
      <c r="F69" s="216">
        <f t="shared" si="14"/>
        <v>54.191439154491363</v>
      </c>
      <c r="H69" s="211">
        <f t="shared" si="15"/>
        <v>1.0489999999999999E-2</v>
      </c>
      <c r="J69" s="276">
        <f t="shared" si="16"/>
        <v>54.191439154491363</v>
      </c>
      <c r="K69" s="216">
        <f t="shared" si="17"/>
        <v>54.191441144491364</v>
      </c>
      <c r="L69" s="275">
        <f t="shared" si="18"/>
        <v>1.0792471627081968</v>
      </c>
      <c r="M69" s="278">
        <f t="shared" si="18"/>
        <v>1.0792471830799681</v>
      </c>
      <c r="N69" s="277"/>
      <c r="O69" s="216">
        <v>-217.86699999999999</v>
      </c>
      <c r="P69" s="211">
        <v>0.26325031633942575</v>
      </c>
    </row>
    <row r="70" spans="1:35">
      <c r="B70" s="297">
        <v>3.8538069999999998</v>
      </c>
      <c r="C70" s="211">
        <v>54.026563777627487</v>
      </c>
      <c r="D70" s="216">
        <f>C70+(0.0019+$I$9)/1000</f>
        <v>54.026565767627488</v>
      </c>
      <c r="E70" s="252">
        <v>1.052E-2</v>
      </c>
      <c r="F70" s="216">
        <f t="shared" si="14"/>
        <v>54.016043777627488</v>
      </c>
      <c r="H70" s="211">
        <f t="shared" si="15"/>
        <v>1.052E-2</v>
      </c>
      <c r="J70" s="276">
        <f t="shared" si="16"/>
        <v>54.016043777627488</v>
      </c>
      <c r="K70" s="216">
        <f t="shared" si="17"/>
        <v>54.016045767627489</v>
      </c>
      <c r="L70" s="275">
        <f t="shared" si="18"/>
        <v>1.0774502905638335</v>
      </c>
      <c r="M70" s="278">
        <f t="shared" si="18"/>
        <v>1.0774503109659748</v>
      </c>
      <c r="N70" s="277"/>
      <c r="O70" s="216">
        <v>-179.79</v>
      </c>
      <c r="P70" s="211">
        <v>0.90865031592836643</v>
      </c>
    </row>
    <row r="71" spans="1:35">
      <c r="B71" s="297"/>
      <c r="F71" s="216"/>
      <c r="J71" s="276"/>
      <c r="K71" s="216"/>
      <c r="L71" s="275"/>
      <c r="M71" s="278"/>
      <c r="N71" s="277"/>
      <c r="O71" s="216"/>
    </row>
    <row r="72" spans="1:35">
      <c r="A72" s="211">
        <v>10</v>
      </c>
      <c r="B72" s="297">
        <v>3.0894430000000002</v>
      </c>
      <c r="C72" s="216">
        <v>54.672023461585312</v>
      </c>
      <c r="D72" s="216">
        <f>C72+(0.002+$I$9)/1000</f>
        <v>54.672025551585314</v>
      </c>
      <c r="E72" s="252">
        <v>1.0410000000000001E-2</v>
      </c>
      <c r="F72" s="216">
        <f t="shared" si="14"/>
        <v>54.661613461585311</v>
      </c>
      <c r="H72" s="211">
        <f t="shared" si="15"/>
        <v>1.0410000000000001E-2</v>
      </c>
      <c r="J72" s="276">
        <f t="shared" si="16"/>
        <v>54.661613461585311</v>
      </c>
      <c r="K72" s="216">
        <f t="shared" si="17"/>
        <v>54.661615551585314</v>
      </c>
      <c r="L72" s="275">
        <f t="shared" si="18"/>
        <v>1.0840508195236633</v>
      </c>
      <c r="M72" s="278">
        <f t="shared" si="18"/>
        <v>1.0840508408344192</v>
      </c>
      <c r="N72" s="277">
        <f>M72-L72</f>
        <v>2.1310755826675631E-8</v>
      </c>
      <c r="O72" s="216">
        <v>-321.767</v>
      </c>
      <c r="P72" s="211">
        <v>0.33025296947143767</v>
      </c>
    </row>
    <row r="73" spans="1:35">
      <c r="B73" s="297">
        <v>3.684507</v>
      </c>
      <c r="C73" s="211">
        <v>54.056664795167642</v>
      </c>
      <c r="D73" s="216">
        <f>C73+(0.0019+$I$9)/1000</f>
        <v>54.056666785167643</v>
      </c>
      <c r="E73" s="252">
        <v>1.051E-2</v>
      </c>
      <c r="F73" s="216">
        <f t="shared" si="14"/>
        <v>54.046154795167645</v>
      </c>
      <c r="H73" s="211">
        <f t="shared" si="15"/>
        <v>1.051E-2</v>
      </c>
      <c r="J73" s="276">
        <f t="shared" si="16"/>
        <v>54.046154795167645</v>
      </c>
      <c r="K73" s="216">
        <f t="shared" si="17"/>
        <v>54.046156785167646</v>
      </c>
      <c r="L73" s="275">
        <f t="shared" si="18"/>
        <v>1.0777589591794112</v>
      </c>
      <c r="M73" s="278">
        <f t="shared" si="18"/>
        <v>1.0777589795763256</v>
      </c>
      <c r="N73" s="277">
        <f>M73-L73</f>
        <v>2.0396914379716691E-8</v>
      </c>
      <c r="O73" s="216">
        <v>-187.95</v>
      </c>
      <c r="P73" s="211">
        <v>0.38051042812661223</v>
      </c>
    </row>
    <row r="74" spans="1:35">
      <c r="B74" s="297">
        <v>3.8538069999999998</v>
      </c>
      <c r="C74" s="211">
        <v>53.881515395423222</v>
      </c>
      <c r="D74" s="216">
        <f>C74+(0.0019+$I$9)/1000</f>
        <v>53.881517385423223</v>
      </c>
      <c r="E74" s="252">
        <v>1.0540000000000001E-2</v>
      </c>
      <c r="F74" s="216">
        <f t="shared" si="14"/>
        <v>53.870975395423223</v>
      </c>
      <c r="H74" s="211">
        <f t="shared" si="15"/>
        <v>1.0540000000000001E-2</v>
      </c>
      <c r="J74" s="276">
        <f t="shared" si="16"/>
        <v>53.870975395423223</v>
      </c>
      <c r="K74" s="216">
        <f t="shared" si="17"/>
        <v>53.870977385423224</v>
      </c>
      <c r="L74" s="275">
        <f t="shared" si="18"/>
        <v>1.0759620822321923</v>
      </c>
      <c r="M74" s="278">
        <f t="shared" si="18"/>
        <v>1.0759621026595676</v>
      </c>
      <c r="O74" s="216">
        <v>-149.89599999999999</v>
      </c>
      <c r="P74" s="211">
        <v>0.75674504258061137</v>
      </c>
    </row>
    <row r="75" spans="1:35">
      <c r="B75" s="297"/>
      <c r="F75" s="216"/>
      <c r="J75" s="276"/>
      <c r="K75" s="216"/>
      <c r="L75" s="275"/>
      <c r="M75" s="278"/>
      <c r="O75" s="216"/>
    </row>
    <row r="76" spans="1:35">
      <c r="A76" s="211">
        <v>15</v>
      </c>
      <c r="B76" s="297">
        <v>3.0894430000000002</v>
      </c>
      <c r="C76" s="216">
        <v>54.430725187684565</v>
      </c>
      <c r="D76" s="216">
        <f>C76+(0.002+$I$9)/1000</f>
        <v>54.430727277684568</v>
      </c>
      <c r="E76" s="252">
        <v>1.0449999999999999E-2</v>
      </c>
      <c r="F76" s="216">
        <f t="shared" si="14"/>
        <v>54.420275187684567</v>
      </c>
      <c r="H76" s="211">
        <f t="shared" si="15"/>
        <v>1.0449999999999999E-2</v>
      </c>
      <c r="J76" s="276">
        <f t="shared" si="16"/>
        <v>54.420275187684567</v>
      </c>
      <c r="K76" s="216">
        <f t="shared" si="17"/>
        <v>54.420277277684569</v>
      </c>
      <c r="L76" s="275">
        <f t="shared" si="18"/>
        <v>1.0815875057995408</v>
      </c>
      <c r="M76" s="278">
        <f t="shared" si="18"/>
        <v>1.0815875271536428</v>
      </c>
      <c r="O76" s="298">
        <v>-268.67500000000001</v>
      </c>
      <c r="P76" s="211">
        <v>0.79146312683862541</v>
      </c>
    </row>
    <row r="77" spans="1:35">
      <c r="B77" s="297">
        <v>3.684507</v>
      </c>
      <c r="C77" s="211">
        <v>53.81662092768336</v>
      </c>
      <c r="D77" s="216">
        <f>C77+(0.0019+$I$9)/1000</f>
        <v>53.816622917683361</v>
      </c>
      <c r="E77" s="252">
        <v>1.055E-2</v>
      </c>
      <c r="F77" s="216">
        <f t="shared" si="14"/>
        <v>53.806070927683358</v>
      </c>
      <c r="H77" s="211">
        <f t="shared" si="15"/>
        <v>1.055E-2</v>
      </c>
      <c r="J77" s="276">
        <f t="shared" si="16"/>
        <v>53.806070927683358</v>
      </c>
      <c r="K77" s="216">
        <f t="shared" si="17"/>
        <v>53.806072917683359</v>
      </c>
      <c r="L77" s="275">
        <f t="shared" si="18"/>
        <v>1.0752956524697788</v>
      </c>
      <c r="M77" s="278">
        <f t="shared" si="18"/>
        <v>1.0752956729084782</v>
      </c>
      <c r="O77" s="298">
        <v>-135.11000000000001</v>
      </c>
      <c r="P77" s="211">
        <v>0.34853565339628734</v>
      </c>
    </row>
    <row r="78" spans="1:35">
      <c r="B78" s="297">
        <v>3.8538069999999998</v>
      </c>
      <c r="C78" s="211">
        <v>53.641829717467068</v>
      </c>
      <c r="D78" s="216">
        <f>C78+(0.0019+$I$9)/1000</f>
        <v>53.64183170746707</v>
      </c>
      <c r="E78" s="252">
        <v>1.0580000000000001E-2</v>
      </c>
      <c r="F78" s="216">
        <f t="shared" si="14"/>
        <v>53.631249717467071</v>
      </c>
      <c r="H78" s="211">
        <f t="shared" si="15"/>
        <v>1.0580000000000001E-2</v>
      </c>
      <c r="J78" s="276">
        <f t="shared" si="16"/>
        <v>53.631249717467071</v>
      </c>
      <c r="K78" s="216">
        <f t="shared" si="17"/>
        <v>53.631251707467072</v>
      </c>
      <c r="L78" s="275">
        <f t="shared" si="18"/>
        <v>1.0734987725967378</v>
      </c>
      <c r="M78" s="278">
        <f t="shared" si="18"/>
        <v>1.07349879306604</v>
      </c>
      <c r="O78" s="298">
        <v>-97.128699999999995</v>
      </c>
      <c r="P78" s="211">
        <v>0.36162991227692726</v>
      </c>
    </row>
    <row r="79" spans="1:35">
      <c r="B79" s="297"/>
      <c r="F79" s="216"/>
      <c r="J79" s="276"/>
      <c r="K79" s="216"/>
      <c r="L79" s="275"/>
      <c r="M79" s="278"/>
      <c r="O79" s="216"/>
      <c r="P79" s="211">
        <v>0.52584258580475551</v>
      </c>
    </row>
    <row r="80" spans="1:35">
      <c r="A80" s="211">
        <v>20</v>
      </c>
      <c r="B80" s="297">
        <v>3.0894430000000002</v>
      </c>
      <c r="C80" s="216">
        <v>54.097204991332326</v>
      </c>
      <c r="D80" s="216">
        <f>C80+(0.002+$I$9)/1000</f>
        <v>54.097207081332328</v>
      </c>
      <c r="E80" s="252">
        <v>1.051E-2</v>
      </c>
      <c r="F80" s="216">
        <f t="shared" si="14"/>
        <v>54.08669499133233</v>
      </c>
      <c r="H80" s="211">
        <f t="shared" si="15"/>
        <v>1.051E-2</v>
      </c>
      <c r="J80" s="276">
        <f t="shared" si="16"/>
        <v>54.08669499133233</v>
      </c>
      <c r="K80" s="216">
        <f t="shared" si="17"/>
        <v>54.086697081332332</v>
      </c>
      <c r="L80" s="275">
        <f t="shared" si="18"/>
        <v>1.0781744127040023</v>
      </c>
      <c r="M80" s="278">
        <f t="shared" si="18"/>
        <v>1.078174434118508</v>
      </c>
      <c r="O80" s="216">
        <v>-199.69499999999999</v>
      </c>
      <c r="P80" s="211">
        <v>0.39267284854456597</v>
      </c>
    </row>
    <row r="81" spans="1:16">
      <c r="B81" s="297">
        <v>3.684507</v>
      </c>
      <c r="C81" s="211">
        <v>53.484843873033498</v>
      </c>
      <c r="D81" s="216">
        <f>C81+(0.0019+$I$9)/1000</f>
        <v>53.484845863033499</v>
      </c>
      <c r="E81" s="252">
        <v>1.061E-2</v>
      </c>
      <c r="F81" s="216">
        <f t="shared" si="14"/>
        <v>53.474233873033498</v>
      </c>
      <c r="H81" s="211">
        <f t="shared" si="15"/>
        <v>1.061E-2</v>
      </c>
      <c r="J81" s="276">
        <f t="shared" si="16"/>
        <v>53.474233873033498</v>
      </c>
      <c r="K81" s="216">
        <f t="shared" si="17"/>
        <v>53.474235863033499</v>
      </c>
      <c r="L81" s="275">
        <f t="shared" si="18"/>
        <v>1.0718826058941409</v>
      </c>
      <c r="M81" s="278">
        <f t="shared" si="18"/>
        <v>1.0718826263910646</v>
      </c>
      <c r="O81" s="252">
        <v>-66.975499999999997</v>
      </c>
      <c r="P81" s="211">
        <v>0.6645810905297288</v>
      </c>
    </row>
    <row r="82" spans="1:16">
      <c r="B82" s="297">
        <v>3.8538069999999998</v>
      </c>
      <c r="C82" s="211">
        <v>53.310550412585989</v>
      </c>
      <c r="D82" s="216">
        <f>C82+(0.0019+$I$9)/1000</f>
        <v>53.310552402585991</v>
      </c>
      <c r="E82" s="252">
        <v>1.064E-2</v>
      </c>
      <c r="F82" s="216">
        <f t="shared" si="14"/>
        <v>53.299910412585987</v>
      </c>
      <c r="H82" s="211">
        <f t="shared" si="15"/>
        <v>1.064E-2</v>
      </c>
      <c r="J82" s="276">
        <f t="shared" si="16"/>
        <v>53.299910412585987</v>
      </c>
      <c r="K82" s="216">
        <f t="shared" si="17"/>
        <v>53.299912402585989</v>
      </c>
      <c r="L82" s="275">
        <f t="shared" si="18"/>
        <v>1.0700857325646407</v>
      </c>
      <c r="M82" s="278">
        <f t="shared" si="18"/>
        <v>1.070085753092374</v>
      </c>
      <c r="O82" s="252">
        <v>-29.243600000000001</v>
      </c>
      <c r="P82" s="211">
        <v>0.56620345099597236</v>
      </c>
    </row>
    <row r="83" spans="1:16">
      <c r="F83" s="216"/>
      <c r="J83" s="276"/>
      <c r="K83" s="216"/>
      <c r="L83" s="275"/>
      <c r="M83" s="278"/>
    </row>
    <row r="84" spans="1:16">
      <c r="A84" s="211">
        <v>25</v>
      </c>
      <c r="B84" s="297">
        <v>3.0894430000000002</v>
      </c>
      <c r="C84" s="216">
        <v>53.675644941482943</v>
      </c>
      <c r="D84" s="216">
        <f>C84+(0.002+$I$9)/1000</f>
        <v>53.675647031482946</v>
      </c>
      <c r="E84" s="252">
        <v>1.0580000000000001E-2</v>
      </c>
      <c r="F84" s="216">
        <f t="shared" si="14"/>
        <v>53.665064941482946</v>
      </c>
      <c r="H84" s="211">
        <f t="shared" si="15"/>
        <v>1.0580000000000001E-2</v>
      </c>
      <c r="J84" s="276">
        <f t="shared" si="16"/>
        <v>53.665064941482946</v>
      </c>
      <c r="K84" s="216">
        <f t="shared" si="17"/>
        <v>53.665067031482948</v>
      </c>
      <c r="L84" s="275">
        <f t="shared" si="18"/>
        <v>1.0738465483640554</v>
      </c>
      <c r="M84" s="278">
        <f t="shared" si="18"/>
        <v>1.0738465698557387</v>
      </c>
      <c r="O84" s="252">
        <v>-111.357</v>
      </c>
    </row>
    <row r="85" spans="1:16">
      <c r="B85" s="297">
        <v>3.684507</v>
      </c>
      <c r="C85" s="211">
        <v>53.065502729266619</v>
      </c>
      <c r="D85" s="216">
        <f>C85+(0.0019+$I$9)/1000</f>
        <v>53.06550471926662</v>
      </c>
      <c r="E85" s="252">
        <v>1.068E-2</v>
      </c>
      <c r="F85" s="216">
        <f t="shared" si="14"/>
        <v>53.054822729266618</v>
      </c>
      <c r="H85" s="211">
        <f t="shared" si="15"/>
        <v>1.068E-2</v>
      </c>
      <c r="J85" s="276">
        <f t="shared" si="16"/>
        <v>53.054822729266618</v>
      </c>
      <c r="K85" s="216">
        <f t="shared" si="17"/>
        <v>53.05482471926662</v>
      </c>
      <c r="L85" s="275">
        <f t="shared" si="18"/>
        <v>1.067554863560823</v>
      </c>
      <c r="M85" s="278">
        <f t="shared" si="18"/>
        <v>1.0675548841321398</v>
      </c>
      <c r="O85" s="252">
        <v>20.7758</v>
      </c>
    </row>
    <row r="86" spans="1:16">
      <c r="B86" s="297">
        <v>3.8538069999999998</v>
      </c>
      <c r="C86" s="211">
        <v>52.891842879017638</v>
      </c>
      <c r="D86" s="216">
        <f>C86+(0.0019+$I$9)/1000</f>
        <v>52.891844869017639</v>
      </c>
      <c r="E86" s="252">
        <v>1.0699999999999999E-2</v>
      </c>
      <c r="F86" s="216">
        <f t="shared" si="14"/>
        <v>52.881142879017638</v>
      </c>
      <c r="H86" s="211">
        <f t="shared" si="15"/>
        <v>1.0699999999999999E-2</v>
      </c>
      <c r="J86" s="276">
        <f t="shared" si="16"/>
        <v>52.881142879017638</v>
      </c>
      <c r="K86" s="216">
        <f t="shared" si="17"/>
        <v>52.881144869017639</v>
      </c>
      <c r="L86" s="275">
        <f t="shared" si="18"/>
        <v>1.0657581202057622</v>
      </c>
      <c r="M86" s="278">
        <f t="shared" si="18"/>
        <v>1.0657581408081518</v>
      </c>
      <c r="O86" s="252">
        <v>58.259599999999999</v>
      </c>
    </row>
    <row r="87" spans="1:16">
      <c r="F87" s="216"/>
      <c r="J87" s="276"/>
      <c r="K87" s="216"/>
      <c r="L87" s="275"/>
      <c r="M87" s="278"/>
    </row>
    <row r="88" spans="1:16">
      <c r="A88" s="211">
        <v>30</v>
      </c>
      <c r="B88" s="297">
        <v>3.0894430000000002</v>
      </c>
      <c r="C88" s="216">
        <v>53.171261867733513</v>
      </c>
      <c r="D88" s="216">
        <f>C88+(0.002+$I$9)/1000</f>
        <v>53.171263957733515</v>
      </c>
      <c r="E88" s="252">
        <v>1.0659999999999999E-2</v>
      </c>
      <c r="F88" s="216">
        <f t="shared" si="14"/>
        <v>53.160601867733511</v>
      </c>
      <c r="H88" s="211">
        <f t="shared" si="15"/>
        <v>1.0659999999999999E-2</v>
      </c>
      <c r="J88" s="276">
        <f t="shared" si="16"/>
        <v>53.160601867733511</v>
      </c>
      <c r="K88" s="216">
        <f t="shared" si="17"/>
        <v>53.160603957733514</v>
      </c>
      <c r="L88" s="275">
        <f t="shared" si="18"/>
        <v>1.0686478378295701</v>
      </c>
      <c r="M88" s="278">
        <f t="shared" si="18"/>
        <v>1.0686478594148261</v>
      </c>
      <c r="O88" s="252">
        <v>-4.27921</v>
      </c>
    </row>
    <row r="89" spans="1:16">
      <c r="B89" s="297">
        <v>3.684507</v>
      </c>
      <c r="C89" s="211">
        <v>52.563797734470235</v>
      </c>
      <c r="D89" s="216">
        <f>C89+(0.0019+$I$9)/1000</f>
        <v>52.563799724470236</v>
      </c>
      <c r="E89" s="252">
        <v>1.076E-2</v>
      </c>
      <c r="F89" s="216">
        <f t="shared" si="14"/>
        <v>52.553037734470237</v>
      </c>
      <c r="H89" s="211">
        <f t="shared" si="15"/>
        <v>1.076E-2</v>
      </c>
      <c r="J89" s="276">
        <f t="shared" si="16"/>
        <v>52.553037734470237</v>
      </c>
      <c r="K89" s="216">
        <f t="shared" si="17"/>
        <v>52.553039724470239</v>
      </c>
      <c r="L89" s="275">
        <f t="shared" si="18"/>
        <v>1.0623563940225835</v>
      </c>
      <c r="M89" s="278">
        <f t="shared" si="18"/>
        <v>1.0623564146841038</v>
      </c>
      <c r="O89" s="252">
        <v>126.858</v>
      </c>
    </row>
    <row r="90" spans="1:16">
      <c r="B90" s="297">
        <v>3.8538069999999998</v>
      </c>
      <c r="C90" s="211">
        <v>52.390902621863184</v>
      </c>
      <c r="D90" s="216">
        <f>C90+(0.0019+$I$9)/1000</f>
        <v>52.390904611863185</v>
      </c>
      <c r="E90" s="252">
        <v>1.0789999999999999E-2</v>
      </c>
      <c r="F90" s="216">
        <f t="shared" si="14"/>
        <v>52.380112621863184</v>
      </c>
      <c r="H90" s="211">
        <f t="shared" si="15"/>
        <v>1.0789999999999999E-2</v>
      </c>
      <c r="J90" s="276">
        <f t="shared" si="16"/>
        <v>52.380112621863184</v>
      </c>
      <c r="K90" s="216">
        <f t="shared" si="17"/>
        <v>52.380114611863185</v>
      </c>
      <c r="L90" s="275">
        <f t="shared" si="18"/>
        <v>1.0605596061009119</v>
      </c>
      <c r="M90" s="278">
        <f t="shared" si="18"/>
        <v>1.0605596267938278</v>
      </c>
      <c r="O90" s="252">
        <v>163.971</v>
      </c>
    </row>
    <row r="91" spans="1:16">
      <c r="F91" s="216"/>
      <c r="J91" s="276"/>
      <c r="K91" s="216"/>
      <c r="L91" s="275"/>
      <c r="M91" s="278"/>
    </row>
    <row r="92" spans="1:16">
      <c r="A92" s="211">
        <v>35</v>
      </c>
      <c r="B92" s="297">
        <v>3.0894430000000002</v>
      </c>
      <c r="C92" s="216">
        <v>52.590195126570357</v>
      </c>
      <c r="D92" s="216">
        <f>C92+(0.002+$I$9)/1000</f>
        <v>52.59019721657036</v>
      </c>
      <c r="E92" s="252">
        <v>1.0749999999999999E-2</v>
      </c>
      <c r="F92" s="216">
        <f t="shared" si="14"/>
        <v>52.579445126570356</v>
      </c>
      <c r="H92" s="211">
        <f t="shared" si="15"/>
        <v>1.0749999999999999E-2</v>
      </c>
      <c r="J92" s="276">
        <f t="shared" si="16"/>
        <v>52.579445126570356</v>
      </c>
      <c r="K92" s="216">
        <f t="shared" si="17"/>
        <v>52.579447216570358</v>
      </c>
      <c r="L92" s="275">
        <f t="shared" si="18"/>
        <v>1.0626305416404977</v>
      </c>
      <c r="M92" s="278">
        <f t="shared" si="18"/>
        <v>1.0626305633352651</v>
      </c>
      <c r="O92" s="252">
        <v>117.06699999999999</v>
      </c>
    </row>
    <row r="93" spans="1:16">
      <c r="B93" s="297">
        <v>3.684507</v>
      </c>
      <c r="C93" s="211">
        <v>51.985848105165829</v>
      </c>
      <c r="D93" s="216">
        <f>C93+(0.0019+$I$9)/1000</f>
        <v>51.98585009516583</v>
      </c>
      <c r="E93" s="252">
        <v>1.085E-2</v>
      </c>
      <c r="F93" s="216">
        <f t="shared" si="14"/>
        <v>51.974998105165831</v>
      </c>
      <c r="H93" s="211">
        <f t="shared" si="15"/>
        <v>1.085E-2</v>
      </c>
      <c r="J93" s="276">
        <f t="shared" si="16"/>
        <v>51.974998105165831</v>
      </c>
      <c r="K93" s="216">
        <f t="shared" si="17"/>
        <v>51.975000095165832</v>
      </c>
      <c r="L93" s="275">
        <f t="shared" si="18"/>
        <v>1.0563395078608548</v>
      </c>
      <c r="M93" s="278">
        <f t="shared" si="18"/>
        <v>1.0563395286279478</v>
      </c>
      <c r="O93" s="252">
        <v>247.10300000000001</v>
      </c>
    </row>
    <row r="94" spans="1:16">
      <c r="B94" s="297">
        <v>3.8538069999999998</v>
      </c>
      <c r="C94" s="211">
        <v>51.813843111775896</v>
      </c>
      <c r="D94" s="216">
        <f>C94+(0.0019+$I$9)/1000</f>
        <v>51.813845101775897</v>
      </c>
      <c r="E94" s="252">
        <v>1.0880000000000001E-2</v>
      </c>
      <c r="F94" s="216">
        <f t="shared" si="14"/>
        <v>51.802963111775895</v>
      </c>
      <c r="H94" s="211">
        <f t="shared" si="15"/>
        <v>1.0880000000000001E-2</v>
      </c>
      <c r="J94" s="276">
        <f t="shared" si="16"/>
        <v>51.802963111775895</v>
      </c>
      <c r="K94" s="216">
        <f t="shared" si="17"/>
        <v>51.802965101775897</v>
      </c>
      <c r="L94" s="275">
        <f t="shared" si="18"/>
        <v>1.0545428259379634</v>
      </c>
      <c r="M94" s="278">
        <f t="shared" si="18"/>
        <v>1.0545428467368263</v>
      </c>
      <c r="O94" s="252">
        <v>284.08199999999999</v>
      </c>
    </row>
    <row r="95" spans="1:16">
      <c r="F95" s="216"/>
      <c r="J95" s="276"/>
      <c r="K95" s="216"/>
      <c r="L95" s="275"/>
      <c r="M95" s="278"/>
    </row>
    <row r="96" spans="1:16">
      <c r="A96" s="211">
        <v>40</v>
      </c>
      <c r="B96" s="297">
        <v>3.0894430000000002</v>
      </c>
      <c r="C96" s="216">
        <v>51.939377690027449</v>
      </c>
      <c r="D96" s="216">
        <f>C96+(0.002+$I$9)/1000</f>
        <v>51.939379780027451</v>
      </c>
      <c r="E96" s="252">
        <v>1.086E-2</v>
      </c>
      <c r="F96" s="216">
        <f t="shared" si="14"/>
        <v>51.928517690027448</v>
      </c>
      <c r="H96" s="211">
        <f t="shared" si="15"/>
        <v>1.086E-2</v>
      </c>
      <c r="J96" s="276">
        <f t="shared" si="16"/>
        <v>51.928517690027448</v>
      </c>
      <c r="K96" s="216">
        <f t="shared" si="17"/>
        <v>51.92851978002745</v>
      </c>
      <c r="L96" s="275">
        <f t="shared" si="18"/>
        <v>1.0558543510073861</v>
      </c>
      <c r="M96" s="278">
        <f t="shared" si="18"/>
        <v>1.0558543728270493</v>
      </c>
      <c r="O96" s="299">
        <v>252.708</v>
      </c>
    </row>
    <row r="97" spans="2:15">
      <c r="B97" s="297">
        <v>3.684507</v>
      </c>
      <c r="C97" s="211">
        <v>51.338563221521689</v>
      </c>
      <c r="D97" s="216">
        <f>C97+(0.0019+$I$9)/1000</f>
        <v>51.33856521152169</v>
      </c>
      <c r="E97" s="252">
        <v>1.0959999999999999E-2</v>
      </c>
      <c r="F97" s="216">
        <f t="shared" si="14"/>
        <v>51.327603221521692</v>
      </c>
      <c r="H97" s="211">
        <f t="shared" si="15"/>
        <v>1.0959999999999999E-2</v>
      </c>
      <c r="J97" s="276">
        <f t="shared" si="16"/>
        <v>51.327603221521692</v>
      </c>
      <c r="K97" s="216">
        <f t="shared" si="17"/>
        <v>51.327605211521693</v>
      </c>
      <c r="L97" s="275">
        <f t="shared" si="18"/>
        <v>1.0495639505062886</v>
      </c>
      <c r="M97" s="278">
        <f t="shared" si="18"/>
        <v>1.0495639713937881</v>
      </c>
      <c r="O97" s="299">
        <v>381.44900000000001</v>
      </c>
    </row>
    <row r="98" spans="2:15">
      <c r="B98" s="297">
        <v>3.8538069999999998</v>
      </c>
      <c r="C98" s="211">
        <v>51.167566997400726</v>
      </c>
      <c r="D98" s="216">
        <f>C98+(0.0019+$I$9)/1000</f>
        <v>51.167568987400728</v>
      </c>
      <c r="E98" s="252">
        <v>1.098E-2</v>
      </c>
      <c r="F98" s="216">
        <f t="shared" si="14"/>
        <v>51.156586997400723</v>
      </c>
      <c r="H98" s="211">
        <f t="shared" si="15"/>
        <v>1.098E-2</v>
      </c>
      <c r="J98" s="276">
        <f t="shared" si="16"/>
        <v>51.156586997400723</v>
      </c>
      <c r="K98" s="216">
        <f t="shared" si="17"/>
        <v>51.156588987400724</v>
      </c>
      <c r="L98" s="275">
        <f t="shared" si="18"/>
        <v>1.0477675424796096</v>
      </c>
      <c r="M98" s="278">
        <f t="shared" si="18"/>
        <v>1.0477675633993038</v>
      </c>
      <c r="O98" s="299">
        <v>417.83600000000001</v>
      </c>
    </row>
    <row r="99" spans="2:15">
      <c r="D99" s="216"/>
    </row>
  </sheetData>
  <mergeCells count="14">
    <mergeCell ref="M5:N5"/>
    <mergeCell ref="O5:P5"/>
    <mergeCell ref="B4:D4"/>
    <mergeCell ref="E4:H4"/>
    <mergeCell ref="J4:L4"/>
    <mergeCell ref="M4:N4"/>
    <mergeCell ref="O4:P4"/>
    <mergeCell ref="B62:E62"/>
    <mergeCell ref="J6:L6"/>
    <mergeCell ref="J8:L8"/>
    <mergeCell ref="E10:F10"/>
    <mergeCell ref="G10:H10"/>
    <mergeCell ref="J10:L10"/>
    <mergeCell ref="J12:L12"/>
  </mergeCells>
  <phoneticPr fontId="10" type="noConversion"/>
  <hyperlinks>
    <hyperlink ref="G5" r:id="rId1"/>
  </hyperlinks>
  <pageMargins left="0.7" right="0.7" top="0.75" bottom="0.75" header="0.3" footer="0.3"/>
  <pageSetup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33" sqref="A1:F33"/>
    </sheetView>
  </sheetViews>
  <sheetFormatPr baseColWidth="10" defaultColWidth="8.83203125" defaultRowHeight="14" x14ac:dyDescent="0"/>
  <cols>
    <col min="3" max="3" width="8.83203125" style="211"/>
  </cols>
  <sheetData>
    <row r="1" spans="1:6">
      <c r="A1" t="s">
        <v>166</v>
      </c>
      <c r="B1" s="237">
        <v>56</v>
      </c>
      <c r="C1" s="237" t="s">
        <v>167</v>
      </c>
      <c r="D1" s="304">
        <v>1.5630000000000002E-2</v>
      </c>
      <c r="E1" t="s">
        <v>168</v>
      </c>
      <c r="F1" t="s">
        <v>167</v>
      </c>
    </row>
    <row r="2" spans="1:6">
      <c r="A2" t="s">
        <v>166</v>
      </c>
      <c r="B2" s="237">
        <v>55.8</v>
      </c>
      <c r="C2" s="237" t="s">
        <v>167</v>
      </c>
      <c r="D2" s="304">
        <v>1.567E-2</v>
      </c>
      <c r="E2" t="s">
        <v>169</v>
      </c>
      <c r="F2" t="s">
        <v>167</v>
      </c>
    </row>
    <row r="3" spans="1:6">
      <c r="A3" s="211" t="s">
        <v>166</v>
      </c>
      <c r="B3" s="237">
        <v>55.6</v>
      </c>
      <c r="C3" s="237" t="s">
        <v>167</v>
      </c>
      <c r="D3" s="304">
        <v>1.5720000000000001E-2</v>
      </c>
      <c r="E3" s="211" t="s">
        <v>168</v>
      </c>
      <c r="F3" s="306" t="s">
        <v>167</v>
      </c>
    </row>
    <row r="4" spans="1:6">
      <c r="A4" s="211" t="s">
        <v>166</v>
      </c>
      <c r="B4" s="237">
        <v>55.4</v>
      </c>
      <c r="C4" s="237" t="s">
        <v>167</v>
      </c>
      <c r="D4" s="304">
        <v>1.576E-2</v>
      </c>
      <c r="E4" s="211" t="s">
        <v>169</v>
      </c>
      <c r="F4" s="306" t="s">
        <v>167</v>
      </c>
    </row>
    <row r="5" spans="1:6">
      <c r="A5" s="211" t="s">
        <v>166</v>
      </c>
      <c r="B5" s="237">
        <v>55.2</v>
      </c>
      <c r="C5" s="237" t="s">
        <v>167</v>
      </c>
      <c r="D5" s="304">
        <v>1.5800000000000002E-2</v>
      </c>
      <c r="E5" s="211" t="s">
        <v>168</v>
      </c>
      <c r="F5" s="211" t="s">
        <v>167</v>
      </c>
    </row>
    <row r="6" spans="1:6">
      <c r="A6" s="211" t="s">
        <v>166</v>
      </c>
      <c r="B6" s="237">
        <v>55</v>
      </c>
      <c r="C6" s="237" t="s">
        <v>167</v>
      </c>
      <c r="D6" s="304">
        <v>1.584E-2</v>
      </c>
      <c r="E6" s="211" t="s">
        <v>169</v>
      </c>
      <c r="F6" s="211" t="s">
        <v>167</v>
      </c>
    </row>
    <row r="7" spans="1:6">
      <c r="A7" s="211" t="s">
        <v>166</v>
      </c>
      <c r="B7" s="237">
        <v>54.8</v>
      </c>
      <c r="C7" s="237" t="s">
        <v>167</v>
      </c>
      <c r="D7" s="304">
        <v>1.5890000000000001E-2</v>
      </c>
      <c r="E7" s="211" t="s">
        <v>168</v>
      </c>
      <c r="F7" s="306" t="s">
        <v>167</v>
      </c>
    </row>
    <row r="8" spans="1:6">
      <c r="A8" s="211" t="s">
        <v>166</v>
      </c>
      <c r="B8" s="237">
        <v>54.6</v>
      </c>
      <c r="C8" s="237" t="s">
        <v>167</v>
      </c>
      <c r="D8" s="304">
        <v>1.5939999999999999E-2</v>
      </c>
      <c r="E8" s="211" t="s">
        <v>169</v>
      </c>
      <c r="F8" s="306" t="s">
        <v>167</v>
      </c>
    </row>
    <row r="9" spans="1:6">
      <c r="A9" s="211" t="s">
        <v>166</v>
      </c>
      <c r="B9" s="237">
        <v>54.4</v>
      </c>
      <c r="C9" s="237" t="s">
        <v>167</v>
      </c>
      <c r="D9" s="304">
        <v>1.5990000000000001E-2</v>
      </c>
      <c r="E9" s="211" t="s">
        <v>168</v>
      </c>
      <c r="F9" s="211" t="s">
        <v>167</v>
      </c>
    </row>
    <row r="10" spans="1:6">
      <c r="A10" s="211" t="s">
        <v>166</v>
      </c>
      <c r="B10" s="237">
        <v>54.2</v>
      </c>
      <c r="C10" s="237" t="s">
        <v>167</v>
      </c>
      <c r="D10" s="304">
        <v>1.6039999999999999E-2</v>
      </c>
      <c r="E10" s="211" t="s">
        <v>169</v>
      </c>
      <c r="F10" s="211" t="s">
        <v>167</v>
      </c>
    </row>
    <row r="11" spans="1:6">
      <c r="A11" s="211" t="s">
        <v>166</v>
      </c>
      <c r="B11" s="237">
        <v>54</v>
      </c>
      <c r="C11" s="237" t="s">
        <v>167</v>
      </c>
      <c r="D11" s="304">
        <v>1.609E-2</v>
      </c>
      <c r="E11" s="211" t="s">
        <v>168</v>
      </c>
      <c r="F11" s="306" t="s">
        <v>167</v>
      </c>
    </row>
    <row r="12" spans="1:6">
      <c r="A12" s="211" t="s">
        <v>166</v>
      </c>
      <c r="B12" s="237">
        <v>53.8</v>
      </c>
      <c r="C12" s="237" t="s">
        <v>167</v>
      </c>
      <c r="D12" s="304">
        <v>1.6140000000000002E-2</v>
      </c>
      <c r="E12" s="211" t="s">
        <v>169</v>
      </c>
      <c r="F12" s="306" t="s">
        <v>167</v>
      </c>
    </row>
    <row r="13" spans="1:6">
      <c r="A13" s="211" t="s">
        <v>166</v>
      </c>
      <c r="B13" s="237">
        <v>53.6</v>
      </c>
      <c r="C13" s="237" t="s">
        <v>167</v>
      </c>
      <c r="D13" s="304">
        <v>1.619E-2</v>
      </c>
      <c r="E13" s="211" t="s">
        <v>168</v>
      </c>
      <c r="F13" s="211" t="s">
        <v>167</v>
      </c>
    </row>
    <row r="14" spans="1:6">
      <c r="A14" s="211" t="s">
        <v>166</v>
      </c>
      <c r="B14" s="237">
        <v>53.4</v>
      </c>
      <c r="C14" s="237" t="s">
        <v>167</v>
      </c>
      <c r="D14" s="304">
        <v>1.6240000000000001E-2</v>
      </c>
      <c r="E14" s="211" t="s">
        <v>169</v>
      </c>
      <c r="F14" s="211" t="s">
        <v>167</v>
      </c>
    </row>
    <row r="15" spans="1:6">
      <c r="A15" s="211" t="s">
        <v>166</v>
      </c>
      <c r="B15" s="237">
        <v>53.2</v>
      </c>
      <c r="C15" s="237" t="s">
        <v>167</v>
      </c>
      <c r="D15" s="304">
        <v>1.6289999999999999E-2</v>
      </c>
      <c r="E15" s="211" t="s">
        <v>168</v>
      </c>
      <c r="F15" s="306" t="s">
        <v>167</v>
      </c>
    </row>
    <row r="16" spans="1:6">
      <c r="A16" s="211" t="s">
        <v>166</v>
      </c>
      <c r="B16" s="237">
        <v>53</v>
      </c>
      <c r="C16" s="237" t="s">
        <v>167</v>
      </c>
      <c r="D16" s="304">
        <v>1.634E-2</v>
      </c>
      <c r="E16" s="211" t="s">
        <v>169</v>
      </c>
      <c r="F16" s="306" t="s">
        <v>167</v>
      </c>
    </row>
    <row r="17" spans="1:6">
      <c r="A17" s="211" t="s">
        <v>166</v>
      </c>
      <c r="B17" s="237">
        <v>52.799999999999898</v>
      </c>
      <c r="C17" s="237" t="s">
        <v>167</v>
      </c>
      <c r="D17" s="304">
        <v>1.6389999999999998E-2</v>
      </c>
      <c r="E17" s="211" t="s">
        <v>168</v>
      </c>
      <c r="F17" s="211" t="s">
        <v>167</v>
      </c>
    </row>
    <row r="18" spans="1:6">
      <c r="A18" s="211" t="s">
        <v>166</v>
      </c>
      <c r="B18" s="237">
        <v>52.6</v>
      </c>
      <c r="C18" s="237" t="s">
        <v>167</v>
      </c>
      <c r="D18" s="304">
        <v>1.644E-2</v>
      </c>
      <c r="E18" s="211" t="s">
        <v>169</v>
      </c>
      <c r="F18" s="211" t="s">
        <v>167</v>
      </c>
    </row>
    <row r="19" spans="1:6">
      <c r="A19" s="211" t="s">
        <v>166</v>
      </c>
      <c r="B19" s="237">
        <v>52.399999999999899</v>
      </c>
      <c r="C19" s="237" t="s">
        <v>167</v>
      </c>
      <c r="D19" s="304">
        <v>1.6490000000000001E-2</v>
      </c>
      <c r="E19" s="211" t="s">
        <v>168</v>
      </c>
      <c r="F19" s="306" t="s">
        <v>167</v>
      </c>
    </row>
    <row r="20" spans="1:6">
      <c r="A20" s="211" t="s">
        <v>166</v>
      </c>
      <c r="B20" s="237">
        <v>52.2</v>
      </c>
      <c r="C20" s="237" t="s">
        <v>167</v>
      </c>
      <c r="D20" s="304">
        <v>1.6539999999999999E-2</v>
      </c>
      <c r="E20" s="211" t="s">
        <v>169</v>
      </c>
      <c r="F20" s="306" t="s">
        <v>167</v>
      </c>
    </row>
    <row r="21" spans="1:6">
      <c r="A21" s="211" t="s">
        <v>166</v>
      </c>
      <c r="B21" s="237">
        <v>51.999999999999901</v>
      </c>
      <c r="C21" s="237" t="s">
        <v>167</v>
      </c>
      <c r="D21" s="304">
        <v>1.6590000000000001E-2</v>
      </c>
      <c r="E21" s="211" t="s">
        <v>168</v>
      </c>
      <c r="F21" s="211" t="s">
        <v>167</v>
      </c>
    </row>
    <row r="22" spans="1:6">
      <c r="A22" s="211" t="s">
        <v>166</v>
      </c>
      <c r="B22" s="237">
        <v>51.799999999999898</v>
      </c>
      <c r="C22" s="237" t="s">
        <v>167</v>
      </c>
      <c r="D22" s="304">
        <v>1.6639999999999999E-2</v>
      </c>
      <c r="E22" s="211" t="s">
        <v>169</v>
      </c>
      <c r="F22" s="211" t="s">
        <v>167</v>
      </c>
    </row>
    <row r="23" spans="1:6">
      <c r="A23" s="211" t="s">
        <v>166</v>
      </c>
      <c r="B23" s="237">
        <v>51.599999999999902</v>
      </c>
      <c r="C23" s="237" t="s">
        <v>167</v>
      </c>
      <c r="D23" s="304">
        <v>1.669E-2</v>
      </c>
      <c r="E23" s="211" t="s">
        <v>168</v>
      </c>
      <c r="F23" s="306" t="s">
        <v>167</v>
      </c>
    </row>
    <row r="24" spans="1:6">
      <c r="A24" s="211" t="s">
        <v>166</v>
      </c>
      <c r="B24" s="237">
        <v>51.399999999999899</v>
      </c>
      <c r="C24" s="237" t="s">
        <v>167</v>
      </c>
      <c r="D24" s="304">
        <v>1.6740000000000001E-2</v>
      </c>
      <c r="E24" s="211" t="s">
        <v>169</v>
      </c>
      <c r="F24" s="306" t="s">
        <v>167</v>
      </c>
    </row>
    <row r="25" spans="1:6">
      <c r="A25" s="211" t="s">
        <v>166</v>
      </c>
      <c r="B25" s="237">
        <v>51.199999999999903</v>
      </c>
      <c r="C25" s="237" t="s">
        <v>167</v>
      </c>
      <c r="D25" s="304">
        <v>1.678E-2</v>
      </c>
      <c r="E25" s="211" t="s">
        <v>168</v>
      </c>
      <c r="F25" s="211" t="s">
        <v>167</v>
      </c>
    </row>
    <row r="26" spans="1:6">
      <c r="A26" s="211" t="s">
        <v>166</v>
      </c>
      <c r="B26" s="237">
        <v>50.999999999999901</v>
      </c>
      <c r="C26" s="237" t="s">
        <v>167</v>
      </c>
      <c r="D26" s="304">
        <v>1.6830000000000001E-2</v>
      </c>
      <c r="E26" s="211" t="s">
        <v>169</v>
      </c>
      <c r="F26" s="211" t="s">
        <v>167</v>
      </c>
    </row>
    <row r="27" spans="1:6">
      <c r="A27" s="211" t="s">
        <v>166</v>
      </c>
      <c r="B27" s="237">
        <v>50.799999999999898</v>
      </c>
      <c r="C27" s="237" t="s">
        <v>167</v>
      </c>
      <c r="D27" s="304">
        <v>1.6879999999999999E-2</v>
      </c>
      <c r="E27" s="211" t="s">
        <v>168</v>
      </c>
      <c r="F27" s="306" t="s">
        <v>167</v>
      </c>
    </row>
    <row r="28" spans="1:6">
      <c r="A28" s="211" t="s">
        <v>166</v>
      </c>
      <c r="B28" s="237">
        <v>50.599999999999902</v>
      </c>
      <c r="C28" s="237" t="s">
        <v>167</v>
      </c>
      <c r="D28" s="304">
        <v>1.6930000000000001E-2</v>
      </c>
      <c r="E28" s="211" t="s">
        <v>169</v>
      </c>
      <c r="F28" s="306" t="s">
        <v>167</v>
      </c>
    </row>
    <row r="29" spans="1:6">
      <c r="A29" s="211" t="s">
        <v>166</v>
      </c>
      <c r="B29" s="237">
        <v>50.399999999999899</v>
      </c>
      <c r="C29" s="237" t="s">
        <v>167</v>
      </c>
      <c r="D29" s="304">
        <v>1.6979999999999999E-2</v>
      </c>
      <c r="E29" s="211" t="s">
        <v>168</v>
      </c>
      <c r="F29" s="211" t="s">
        <v>167</v>
      </c>
    </row>
    <row r="30" spans="1:6">
      <c r="A30" s="211" t="s">
        <v>166</v>
      </c>
      <c r="B30" s="237">
        <v>50.199999999999903</v>
      </c>
      <c r="C30" s="237" t="s">
        <v>167</v>
      </c>
      <c r="D30" s="304">
        <v>1.703E-2</v>
      </c>
      <c r="E30" s="211" t="s">
        <v>169</v>
      </c>
      <c r="F30" s="211" t="s">
        <v>167</v>
      </c>
    </row>
    <row r="31" spans="1:6">
      <c r="A31" s="211" t="s">
        <v>166</v>
      </c>
      <c r="B31" s="237">
        <v>49.999999999999901</v>
      </c>
      <c r="C31" s="237" t="s">
        <v>167</v>
      </c>
      <c r="D31" s="304">
        <v>1.7080000000000001E-2</v>
      </c>
      <c r="E31" s="211" t="s">
        <v>168</v>
      </c>
      <c r="F31" s="306" t="s">
        <v>167</v>
      </c>
    </row>
    <row r="32" spans="1:6">
      <c r="A32" s="211" t="s">
        <v>166</v>
      </c>
      <c r="B32" s="237">
        <v>49.799999999999898</v>
      </c>
      <c r="C32" s="237" t="s">
        <v>167</v>
      </c>
      <c r="D32" s="304">
        <v>1.7139999999999999E-2</v>
      </c>
      <c r="E32" s="211" t="s">
        <v>169</v>
      </c>
      <c r="F32" s="306" t="s">
        <v>167</v>
      </c>
    </row>
    <row r="33" spans="1:5">
      <c r="A33" s="211" t="s">
        <v>166</v>
      </c>
      <c r="B33" s="240">
        <v>49.599999999999902</v>
      </c>
      <c r="C33" s="237" t="s">
        <v>167</v>
      </c>
      <c r="D33" s="305">
        <v>1.72E-2</v>
      </c>
      <c r="E33" s="211" t="s">
        <v>168</v>
      </c>
    </row>
  </sheetData>
  <phoneticPr fontId="1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Sheet5</vt:lpstr>
      <vt:lpstr>Sheet9</vt:lpstr>
      <vt:lpstr>Calib</vt:lpstr>
      <vt:lpstr>25mg</vt:lpstr>
      <vt:lpstr>26Mg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cyy</cp:lastModifiedBy>
  <cp:lastPrinted>2013-03-04T22:06:44Z</cp:lastPrinted>
  <dcterms:created xsi:type="dcterms:W3CDTF">2012-07-25T13:56:06Z</dcterms:created>
  <dcterms:modified xsi:type="dcterms:W3CDTF">2015-12-18T19:39:20Z</dcterms:modified>
</cp:coreProperties>
</file>