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4080" yWindow="264" windowWidth="23256" windowHeight="13176" activeTab="1"/>
  </bookViews>
  <sheets>
    <sheet name="Sheet5" sheetId="5" r:id="rId1"/>
    <sheet name="Sheet6" sheetId="11" r:id="rId2"/>
    <sheet name="Sheet9" sheetId="10" r:id="rId3"/>
    <sheet name="25mg states " sheetId="12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2" i="11" l="1"/>
  <c r="K42" i="11"/>
  <c r="H8" i="11"/>
  <c r="AA42" i="11"/>
  <c r="M43" i="11"/>
  <c r="H7" i="11"/>
  <c r="C9" i="11"/>
  <c r="M42" i="11"/>
  <c r="N42" i="11"/>
  <c r="O42" i="11"/>
  <c r="Q42" i="11"/>
  <c r="T42" i="11"/>
  <c r="V42" i="11"/>
  <c r="H6" i="11"/>
  <c r="K9" i="11"/>
  <c r="U42" i="11"/>
  <c r="R42" i="11"/>
  <c r="K11" i="11"/>
  <c r="X42" i="11"/>
  <c r="C12" i="11"/>
  <c r="Z42" i="11"/>
  <c r="H9" i="11"/>
  <c r="AD42" i="11"/>
  <c r="B64" i="11"/>
  <c r="Q99" i="11"/>
  <c r="Q98" i="11"/>
  <c r="Q97" i="11"/>
  <c r="H68" i="11"/>
  <c r="J68" i="11"/>
  <c r="L68" i="11"/>
  <c r="H69" i="11"/>
  <c r="J69" i="11"/>
  <c r="L69" i="11"/>
  <c r="H70" i="11"/>
  <c r="J70" i="11"/>
  <c r="L70" i="11"/>
  <c r="H72" i="11"/>
  <c r="J72" i="11"/>
  <c r="L72" i="11"/>
  <c r="H73" i="11"/>
  <c r="J73" i="11"/>
  <c r="L73" i="11"/>
  <c r="H74" i="11"/>
  <c r="J74" i="11"/>
  <c r="L74" i="11"/>
  <c r="H76" i="11"/>
  <c r="J76" i="11"/>
  <c r="L76" i="11"/>
  <c r="H77" i="11"/>
  <c r="J77" i="11"/>
  <c r="L77" i="11"/>
  <c r="H78" i="11"/>
  <c r="J78" i="11"/>
  <c r="L78" i="11"/>
  <c r="H80" i="11"/>
  <c r="J80" i="11"/>
  <c r="L80" i="11"/>
  <c r="H81" i="11"/>
  <c r="J81" i="11"/>
  <c r="L81" i="11"/>
  <c r="H82" i="11"/>
  <c r="J82" i="11"/>
  <c r="L82" i="11"/>
  <c r="H84" i="11"/>
  <c r="J84" i="11"/>
  <c r="L84" i="11"/>
  <c r="H85" i="11"/>
  <c r="J85" i="11"/>
  <c r="L85" i="11"/>
  <c r="H86" i="11"/>
  <c r="J86" i="11"/>
  <c r="L86" i="11"/>
  <c r="H88" i="11"/>
  <c r="J88" i="11"/>
  <c r="L88" i="11"/>
  <c r="H89" i="11"/>
  <c r="J89" i="11"/>
  <c r="L89" i="11"/>
  <c r="H90" i="11"/>
  <c r="J90" i="11"/>
  <c r="L90" i="11"/>
  <c r="H92" i="11"/>
  <c r="J92" i="11"/>
  <c r="L92" i="11"/>
  <c r="H93" i="11"/>
  <c r="J93" i="11"/>
  <c r="L93" i="11"/>
  <c r="H94" i="11"/>
  <c r="J94" i="11"/>
  <c r="L94" i="11"/>
  <c r="H96" i="11"/>
  <c r="J96" i="11"/>
  <c r="L96" i="11"/>
  <c r="H97" i="11"/>
  <c r="J97" i="11"/>
  <c r="L97" i="11"/>
  <c r="H98" i="11"/>
  <c r="J98" i="11"/>
  <c r="L98" i="11"/>
  <c r="D68" i="11"/>
  <c r="K68" i="11"/>
  <c r="D69" i="11"/>
  <c r="K69" i="11"/>
  <c r="D70" i="11"/>
  <c r="K70" i="11"/>
  <c r="D72" i="11"/>
  <c r="K72" i="11"/>
  <c r="D73" i="11"/>
  <c r="K73" i="11"/>
  <c r="D74" i="11"/>
  <c r="K74" i="11"/>
  <c r="D76" i="11"/>
  <c r="K76" i="11"/>
  <c r="D77" i="11"/>
  <c r="K77" i="11"/>
  <c r="D78" i="11"/>
  <c r="K78" i="11"/>
  <c r="D80" i="11"/>
  <c r="K80" i="11"/>
  <c r="D81" i="11"/>
  <c r="K81" i="11"/>
  <c r="D82" i="11"/>
  <c r="K82" i="11"/>
  <c r="D84" i="11"/>
  <c r="K84" i="11"/>
  <c r="D85" i="11"/>
  <c r="K85" i="11"/>
  <c r="D86" i="11"/>
  <c r="K86" i="11"/>
  <c r="D88" i="11"/>
  <c r="K88" i="11"/>
  <c r="D89" i="11"/>
  <c r="K89" i="11"/>
  <c r="D90" i="11"/>
  <c r="K90" i="11"/>
  <c r="D92" i="11"/>
  <c r="K92" i="11"/>
  <c r="D93" i="11"/>
  <c r="K93" i="11"/>
  <c r="D94" i="11"/>
  <c r="K94" i="11"/>
  <c r="D96" i="11"/>
  <c r="K96" i="11"/>
  <c r="D97" i="11"/>
  <c r="K97" i="11"/>
  <c r="D98" i="11"/>
  <c r="K98" i="11"/>
  <c r="E65" i="11"/>
  <c r="H65" i="11"/>
  <c r="E66" i="11"/>
  <c r="H66" i="11"/>
  <c r="F68" i="11"/>
  <c r="F69" i="11"/>
  <c r="F70" i="11"/>
  <c r="F72" i="11"/>
  <c r="F73" i="11"/>
  <c r="F74" i="11"/>
  <c r="F76" i="11"/>
  <c r="F77" i="11"/>
  <c r="F78" i="11"/>
  <c r="F80" i="11"/>
  <c r="F81" i="11"/>
  <c r="F82" i="11"/>
  <c r="F84" i="11"/>
  <c r="F85" i="11"/>
  <c r="F86" i="11"/>
  <c r="F88" i="11"/>
  <c r="F89" i="11"/>
  <c r="F90" i="11"/>
  <c r="F92" i="11"/>
  <c r="F93" i="11"/>
  <c r="F94" i="11"/>
  <c r="F96" i="11"/>
  <c r="F97" i="11"/>
  <c r="F98" i="11"/>
  <c r="B98" i="11"/>
  <c r="B97" i="11"/>
  <c r="B96" i="11"/>
  <c r="B94" i="11"/>
  <c r="B93" i="11"/>
  <c r="B92" i="11"/>
  <c r="B90" i="11"/>
  <c r="B89" i="11"/>
  <c r="B88" i="11"/>
  <c r="B86" i="11"/>
  <c r="B85" i="11"/>
  <c r="B84" i="11"/>
  <c r="B82" i="11"/>
  <c r="B81" i="11"/>
  <c r="B80" i="11"/>
  <c r="B78" i="11"/>
  <c r="B77" i="11"/>
  <c r="B76" i="11"/>
  <c r="B74" i="11"/>
  <c r="B73" i="11"/>
  <c r="B72" i="11"/>
  <c r="B70" i="11"/>
  <c r="B69" i="11"/>
  <c r="B68" i="11"/>
  <c r="E64" i="11"/>
  <c r="H64" i="11"/>
  <c r="J64" i="11"/>
  <c r="L64" i="11"/>
  <c r="D66" i="11"/>
  <c r="D65" i="11"/>
  <c r="D64" i="11"/>
  <c r="B66" i="11"/>
  <c r="B65" i="11"/>
  <c r="H18" i="11"/>
  <c r="P23" i="11"/>
  <c r="L5" i="5"/>
  <c r="M5" i="5"/>
  <c r="N5" i="5"/>
  <c r="L6" i="5"/>
  <c r="M6" i="5"/>
  <c r="N6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4" i="5"/>
  <c r="M4" i="5"/>
  <c r="N4" i="5"/>
  <c r="N7" i="11"/>
  <c r="P7" i="11"/>
  <c r="N8" i="11"/>
  <c r="P8" i="11"/>
  <c r="N9" i="11"/>
  <c r="P9" i="11"/>
  <c r="N10" i="11"/>
  <c r="P10" i="11"/>
  <c r="N11" i="11"/>
  <c r="P11" i="11"/>
  <c r="N12" i="11"/>
  <c r="P12" i="11"/>
  <c r="N13" i="11"/>
  <c r="P13" i="11"/>
  <c r="N14" i="11"/>
  <c r="P14" i="11"/>
  <c r="N15" i="11"/>
  <c r="P15" i="11"/>
  <c r="N16" i="11"/>
  <c r="P16" i="11"/>
  <c r="N17" i="11"/>
  <c r="P17" i="11"/>
  <c r="N18" i="11"/>
  <c r="P18" i="11"/>
  <c r="N19" i="11"/>
  <c r="P19" i="11"/>
  <c r="N20" i="11"/>
  <c r="P20" i="11"/>
  <c r="N21" i="11"/>
  <c r="P21" i="11"/>
  <c r="N22" i="11"/>
  <c r="P22" i="11"/>
  <c r="N23" i="11"/>
  <c r="N24" i="11"/>
  <c r="P24" i="11"/>
  <c r="N25" i="11"/>
  <c r="P25" i="11"/>
  <c r="N26" i="11"/>
  <c r="P26" i="11"/>
  <c r="N27" i="11"/>
  <c r="P27" i="11"/>
  <c r="N28" i="11"/>
  <c r="P28" i="11"/>
  <c r="N29" i="11"/>
  <c r="P29" i="11"/>
  <c r="N30" i="11"/>
  <c r="P30" i="11"/>
  <c r="N31" i="11"/>
  <c r="P31" i="11"/>
  <c r="N32" i="11"/>
  <c r="P32" i="11"/>
  <c r="N33" i="11"/>
  <c r="P33" i="11"/>
  <c r="N34" i="11"/>
  <c r="P34" i="11"/>
  <c r="N35" i="11"/>
  <c r="P35" i="11"/>
  <c r="N36" i="11"/>
  <c r="P36" i="11"/>
  <c r="N37" i="11"/>
  <c r="P37" i="11"/>
  <c r="N38" i="11"/>
  <c r="P38" i="11"/>
  <c r="N39" i="11"/>
  <c r="P39" i="11"/>
  <c r="F43" i="11"/>
  <c r="F44" i="11"/>
  <c r="F45" i="11"/>
  <c r="F46" i="11"/>
  <c r="F47" i="11"/>
  <c r="F48" i="11"/>
  <c r="F49" i="11"/>
  <c r="F50" i="11"/>
  <c r="F64" i="11"/>
  <c r="F65" i="11"/>
  <c r="F66" i="11"/>
  <c r="F67" i="5"/>
  <c r="G67" i="5"/>
  <c r="F70" i="5"/>
  <c r="G70" i="5"/>
  <c r="F73" i="5"/>
  <c r="G73" i="5"/>
  <c r="F76" i="5"/>
  <c r="G76" i="5"/>
  <c r="F79" i="5"/>
  <c r="G79" i="5"/>
  <c r="F82" i="5"/>
  <c r="G82" i="5"/>
  <c r="F85" i="5"/>
  <c r="G85" i="5"/>
  <c r="F88" i="5"/>
  <c r="G88" i="5"/>
  <c r="F91" i="5"/>
  <c r="G91" i="5"/>
  <c r="F94" i="5"/>
  <c r="G94" i="5"/>
  <c r="F97" i="5"/>
  <c r="G97" i="5"/>
  <c r="F100" i="5"/>
  <c r="G100" i="5"/>
  <c r="F103" i="5"/>
  <c r="G103" i="5"/>
  <c r="F106" i="5"/>
  <c r="G106" i="5"/>
  <c r="F109" i="5"/>
  <c r="G109" i="5"/>
  <c r="F112" i="5"/>
  <c r="G112" i="5"/>
  <c r="F115" i="5"/>
  <c r="G115" i="5"/>
  <c r="F118" i="5"/>
  <c r="G118" i="5"/>
  <c r="F64" i="5"/>
  <c r="G64" i="5"/>
  <c r="K44" i="11"/>
  <c r="K46" i="11"/>
  <c r="K48" i="11"/>
  <c r="K50" i="11"/>
  <c r="K43" i="11"/>
  <c r="K45" i="11"/>
  <c r="K47" i="11"/>
  <c r="K49" i="11"/>
  <c r="Q49" i="11"/>
  <c r="R49" i="11"/>
  <c r="T49" i="11"/>
  <c r="U44" i="11"/>
  <c r="U46" i="11"/>
  <c r="U48" i="11"/>
  <c r="U50" i="11"/>
  <c r="U43" i="11"/>
  <c r="U45" i="11"/>
  <c r="U47" i="11"/>
  <c r="U49" i="11"/>
  <c r="M49" i="11"/>
  <c r="N49" i="11"/>
  <c r="J65" i="11"/>
  <c r="L65" i="11"/>
  <c r="K65" i="11"/>
  <c r="M65" i="11"/>
  <c r="K64" i="11"/>
  <c r="M64" i="11"/>
  <c r="J66" i="11"/>
  <c r="L66" i="11"/>
  <c r="K66" i="11"/>
  <c r="M66" i="11"/>
  <c r="M45" i="11"/>
  <c r="Q45" i="11"/>
  <c r="R45" i="11"/>
  <c r="T45" i="11"/>
  <c r="M50" i="11"/>
  <c r="Q50" i="11"/>
  <c r="R50" i="11"/>
  <c r="T50" i="11"/>
  <c r="M46" i="11"/>
  <c r="Q46" i="11"/>
  <c r="R46" i="11"/>
  <c r="T46" i="11"/>
  <c r="M47" i="11"/>
  <c r="Q47" i="11"/>
  <c r="R47" i="11"/>
  <c r="T47" i="11"/>
  <c r="Q43" i="11"/>
  <c r="R43" i="11"/>
  <c r="T43" i="11"/>
  <c r="M48" i="11"/>
  <c r="Q48" i="11"/>
  <c r="R48" i="11"/>
  <c r="T48" i="11"/>
  <c r="M44" i="11"/>
  <c r="Q44" i="11"/>
  <c r="R44" i="11"/>
  <c r="T44" i="11"/>
  <c r="O49" i="11"/>
  <c r="N65" i="11"/>
  <c r="N66" i="11"/>
  <c r="N64" i="11"/>
  <c r="N44" i="11"/>
  <c r="O44" i="11"/>
  <c r="N48" i="11"/>
  <c r="N43" i="11"/>
  <c r="N47" i="11"/>
  <c r="N46" i="11"/>
  <c r="N50" i="11"/>
  <c r="N45" i="11"/>
  <c r="W49" i="11"/>
  <c r="V49" i="11"/>
  <c r="W42" i="11"/>
  <c r="Y42" i="11"/>
  <c r="V44" i="11"/>
  <c r="W44" i="11"/>
  <c r="Y49" i="11"/>
  <c r="O45" i="11"/>
  <c r="O50" i="11"/>
  <c r="O46" i="11"/>
  <c r="O47" i="11"/>
  <c r="O43" i="11"/>
  <c r="O48" i="11"/>
  <c r="X49" i="11"/>
  <c r="Z49" i="11"/>
  <c r="V43" i="11"/>
  <c r="W43" i="11"/>
  <c r="V46" i="11"/>
  <c r="W46" i="11"/>
  <c r="V45" i="11"/>
  <c r="W45" i="11"/>
  <c r="V48" i="11"/>
  <c r="W48" i="11"/>
  <c r="V47" i="11"/>
  <c r="W47" i="11"/>
  <c r="V50" i="11"/>
  <c r="W50" i="11"/>
  <c r="Y44" i="11"/>
  <c r="X44" i="11"/>
  <c r="Z44" i="11"/>
  <c r="AA49" i="11"/>
  <c r="AD49" i="11"/>
  <c r="AA44" i="11"/>
  <c r="AD44" i="11"/>
  <c r="Y50" i="11"/>
  <c r="X50" i="11"/>
  <c r="Z50" i="11"/>
  <c r="Y47" i="11"/>
  <c r="X47" i="11"/>
  <c r="Z47" i="11"/>
  <c r="Y48" i="11"/>
  <c r="X48" i="11"/>
  <c r="Z48" i="11"/>
  <c r="Y45" i="11"/>
  <c r="X45" i="11"/>
  <c r="Z45" i="11"/>
  <c r="Y46" i="11"/>
  <c r="X46" i="11"/>
  <c r="Z46" i="11"/>
  <c r="Y43" i="11"/>
  <c r="X43" i="11"/>
  <c r="Z43" i="11"/>
  <c r="AA46" i="11"/>
  <c r="AD46" i="11"/>
  <c r="AA43" i="11"/>
  <c r="AD43" i="11"/>
  <c r="AA45" i="11"/>
  <c r="AD45" i="11"/>
  <c r="AA48" i="11"/>
  <c r="AD48" i="11"/>
  <c r="AA47" i="11"/>
  <c r="AD47" i="11"/>
  <c r="AA50" i="11"/>
  <c r="AD50" i="11"/>
</calcChain>
</file>

<file path=xl/sharedStrings.xml><?xml version="1.0" encoding="utf-8"?>
<sst xmlns="http://schemas.openxmlformats.org/spreadsheetml/2006/main" count="284" uniqueCount="173">
  <si>
    <t>P0</t>
  </si>
  <si>
    <t>Error</t>
  </si>
  <si>
    <t>P1</t>
  </si>
  <si>
    <t>P2</t>
  </si>
  <si>
    <t>22Ne(6Li,d)</t>
  </si>
  <si>
    <t>KE</t>
  </si>
  <si>
    <t>q=</t>
  </si>
  <si>
    <t>e</t>
  </si>
  <si>
    <t>u=</t>
  </si>
  <si>
    <t>θ=</t>
  </si>
  <si>
    <t>Ex(cal)</t>
  </si>
  <si>
    <t>Ex(NNDC)</t>
  </si>
  <si>
    <t>Channel</t>
  </si>
  <si>
    <t>dE/dx(MeV/(atoms/cm2))</t>
  </si>
  <si>
    <t>dE/dx(MeV/um)</t>
  </si>
  <si>
    <t>KE1</t>
  </si>
  <si>
    <t>KE2</t>
  </si>
  <si>
    <t>Proj Eloss (Aramid)</t>
  </si>
  <si>
    <t xml:space="preserve">Final Proj Eloss </t>
  </si>
  <si>
    <t>Proj Eloss (22Ne)</t>
  </si>
  <si>
    <t>800 channels</t>
  </si>
  <si>
    <t>a</t>
  </si>
  <si>
    <t>b</t>
  </si>
  <si>
    <t>∆b</t>
  </si>
  <si>
    <t>c</t>
  </si>
  <si>
    <t>∆c</t>
  </si>
  <si>
    <t>Covariance Matrix</t>
  </si>
  <si>
    <t>∆xfit</t>
  </si>
  <si>
    <t>∆xstatistical</t>
  </si>
  <si>
    <t>∆Bρfinal</t>
  </si>
  <si>
    <t>∆p (MeV/c)</t>
  </si>
  <si>
    <t>∆p_out</t>
  </si>
  <si>
    <t>Ex Errors (keV)</t>
  </si>
  <si>
    <t>N</t>
  </si>
  <si>
    <t>N^0.5</t>
  </si>
  <si>
    <t>FWHM</t>
  </si>
  <si>
    <t>Statistical Error</t>
  </si>
  <si>
    <t xml:space="preserve">∆E_out </t>
  </si>
  <si>
    <t>fixed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</si>
  <si>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</si>
  <si>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</si>
  <si>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</si>
  <si>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</si>
  <si>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</si>
  <si>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</si>
  <si>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</si>
  <si>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</si>
  <si>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</si>
  <si>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</si>
  <si>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</si>
  <si>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</si>
  <si>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</si>
  <si>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</si>
  <si>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</si>
  <si>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</si>
  <si>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</si>
  <si>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</si>
  <si>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</si>
  <si>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</si>
  <si>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</si>
  <si>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</si>
  <si>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</si>
  <si>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</si>
  <si>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</si>
  <si>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</si>
  <si>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</si>
  <si>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</si>
  <si>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</si>
  <si>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</si>
  <si>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</si>
  <si>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</si>
  <si>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</si>
  <si>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</si>
  <si>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</si>
  <si>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run4028</t>
  </si>
  <si>
    <t>Error in N</t>
  </si>
  <si>
    <t>(∆x)</t>
  </si>
  <si>
    <t>Constant</t>
  </si>
  <si>
    <t>Mean</t>
  </si>
  <si>
    <t>Sigma</t>
  </si>
  <si>
    <r>
      <t>1</t>
    </r>
    <r>
      <rPr>
        <sz val="11"/>
        <color theme="1"/>
        <rFont val="Calibri"/>
        <family val="2"/>
      </rPr>
      <t>σ</t>
    </r>
  </si>
  <si>
    <r>
      <t>2</t>
    </r>
    <r>
      <rPr>
        <sz val="11"/>
        <color theme="1"/>
        <rFont val="Calibri"/>
        <family val="2"/>
      </rPr>
      <t>σ</t>
    </r>
  </si>
  <si>
    <t>(keV)</t>
  </si>
  <si>
    <t>Real KE+∆Ex</t>
  </si>
  <si>
    <t>Bρ (Real KE)</t>
  </si>
  <si>
    <t>Bρ(Real KE+∆Ex)</t>
  </si>
  <si>
    <t>Error in Bρ</t>
  </si>
  <si>
    <t>Real KE</t>
    <phoneticPr fontId="0" type="noConversion"/>
  </si>
  <si>
    <t>Res Diff (keV)</t>
    <phoneticPr fontId="0" type="noConversion"/>
  </si>
  <si>
    <t>P*P</t>
    <phoneticPr fontId="0" type="noConversion"/>
  </si>
  <si>
    <t>p_out</t>
    <phoneticPr fontId="0" type="noConversion"/>
  </si>
  <si>
    <t>E_out</t>
    <phoneticPr fontId="0" type="noConversion"/>
  </si>
  <si>
    <t>p</t>
    <phoneticPr fontId="0" type="noConversion"/>
  </si>
  <si>
    <t>β</t>
    <phoneticPr fontId="0" type="noConversion"/>
  </si>
  <si>
    <t>γ</t>
    <phoneticPr fontId="0" type="noConversion"/>
  </si>
  <si>
    <r>
      <t>∆Bρ</t>
    </r>
    <r>
      <rPr>
        <vertAlign val="subscript"/>
        <sz val="11"/>
        <color theme="1"/>
        <rFont val="Calibri"/>
        <family val="2"/>
      </rPr>
      <t>pos</t>
    </r>
  </si>
  <si>
    <r>
      <t>∆Bρ</t>
    </r>
    <r>
      <rPr>
        <vertAlign val="subscript"/>
        <sz val="11"/>
        <color theme="1"/>
        <rFont val="Calibri"/>
        <family val="2"/>
      </rPr>
      <t>fit</t>
    </r>
    <r>
      <rPr>
        <vertAlign val="superscript"/>
        <sz val="11"/>
        <color theme="1"/>
        <rFont val="Calibri"/>
        <family val="2"/>
      </rPr>
      <t>2</t>
    </r>
  </si>
  <si>
    <t>Bρ</t>
    <phoneticPr fontId="0" type="noConversion"/>
  </si>
  <si>
    <t>Channel</t>
    <phoneticPr fontId="0" type="noConversion"/>
  </si>
  <si>
    <r>
      <rPr>
        <sz val="8"/>
        <rFont val="Calibri"/>
        <family val="2"/>
      </rPr>
      <t>∆</t>
    </r>
    <r>
      <rPr>
        <sz val="8"/>
        <rFont val="Verdana"/>
        <family val="2"/>
      </rPr>
      <t>a</t>
    </r>
  </si>
  <si>
    <t>f=</t>
    <phoneticPr fontId="0" type="noConversion"/>
  </si>
  <si>
    <t>Calibration factor</t>
    <phoneticPr fontId="0" type="noConversion"/>
  </si>
  <si>
    <t>Cos(θ)=</t>
    <phoneticPr fontId="0" type="noConversion"/>
  </si>
  <si>
    <t>MeV/c</t>
    <phoneticPr fontId="0" type="noConversion"/>
  </si>
  <si>
    <t>MeV</t>
    <phoneticPr fontId="0" type="noConversion"/>
  </si>
  <si>
    <t>°</t>
    <phoneticPr fontId="0" type="noConversion"/>
  </si>
  <si>
    <t xml:space="preserve">Momentum In </t>
    <phoneticPr fontId="0" type="noConversion"/>
  </si>
  <si>
    <t>a-Threshold</t>
    <phoneticPr fontId="0" type="noConversion"/>
  </si>
  <si>
    <t>Target Thickness</t>
    <phoneticPr fontId="0" type="noConversion"/>
  </si>
  <si>
    <t>MeV/c^2</t>
    <phoneticPr fontId="0" type="noConversion"/>
  </si>
  <si>
    <t>Recoil</t>
    <phoneticPr fontId="0" type="noConversion"/>
  </si>
  <si>
    <t>1 kg =</t>
    <phoneticPr fontId="0" type="noConversion"/>
  </si>
  <si>
    <t>Energy In:</t>
    <phoneticPr fontId="0" type="noConversion"/>
  </si>
  <si>
    <t xml:space="preserve">Projectile </t>
    <phoneticPr fontId="0" type="noConversion"/>
  </si>
  <si>
    <t>1 J =</t>
    <phoneticPr fontId="0" type="noConversion"/>
  </si>
  <si>
    <t>Target</t>
    <phoneticPr fontId="0" type="noConversion"/>
  </si>
  <si>
    <t>m/s</t>
    <phoneticPr fontId="0" type="noConversion"/>
  </si>
  <si>
    <t>c=</t>
    <phoneticPr fontId="0" type="noConversion"/>
  </si>
  <si>
    <t>Energy Loss</t>
    <phoneticPr fontId="0" type="noConversion"/>
  </si>
  <si>
    <t>Beam</t>
    <phoneticPr fontId="0" type="noConversion"/>
  </si>
  <si>
    <t>Type</t>
    <phoneticPr fontId="0" type="noConversion"/>
  </si>
  <si>
    <t>C</t>
    <phoneticPr fontId="0" type="noConversion"/>
  </si>
  <si>
    <t>e=</t>
    <phoneticPr fontId="0" type="noConversion"/>
  </si>
  <si>
    <t>Needed Masses</t>
    <phoneticPr fontId="0" type="noConversion"/>
  </si>
  <si>
    <t>Needed Constants</t>
    <phoneticPr fontId="0" type="noConversion"/>
  </si>
  <si>
    <t>∆Ein</t>
  </si>
  <si>
    <t>∆KE (MeV)</t>
  </si>
  <si>
    <r>
      <rPr>
        <sz val="11"/>
        <rFont val="Calibri"/>
        <family val="2"/>
      </rPr>
      <t>∆</t>
    </r>
    <r>
      <rPr>
        <sz val="11"/>
        <rFont val="Verdana"/>
        <family val="2"/>
      </rPr>
      <t>p_in</t>
    </r>
  </si>
  <si>
    <r>
      <rPr>
        <sz val="8"/>
        <rFont val="Calibri"/>
        <family val="2"/>
      </rPr>
      <t>∆</t>
    </r>
    <r>
      <rPr>
        <sz val="8"/>
        <rFont val="Verdana"/>
        <family val="2"/>
      </rPr>
      <t>f=</t>
    </r>
  </si>
  <si>
    <t>12C</t>
    <phoneticPr fontId="10" type="noConversion"/>
  </si>
  <si>
    <t>2H</t>
    <phoneticPr fontId="10" type="noConversion"/>
  </si>
  <si>
    <t>Excess(keV)</t>
    <phoneticPr fontId="0" type="noConversion"/>
  </si>
  <si>
    <t>Total(keV)</t>
    <phoneticPr fontId="0" type="noConversion"/>
  </si>
  <si>
    <r>
      <rPr>
        <sz val="8"/>
        <rFont val="Calibri"/>
        <family val="2"/>
      </rPr>
      <t>∆</t>
    </r>
    <r>
      <rPr>
        <sz val="8"/>
        <rFont val="Verdana"/>
        <family val="2"/>
      </rPr>
      <t>m(keV)</t>
    </r>
    <phoneticPr fontId="10" type="noConversion"/>
  </si>
  <si>
    <t>2H:</t>
    <phoneticPr fontId="10" type="noConversion"/>
  </si>
  <si>
    <t>2H in 12C</t>
    <phoneticPr fontId="10" type="noConversion"/>
  </si>
  <si>
    <t>2H</t>
    <phoneticPr fontId="10" type="noConversion"/>
  </si>
  <si>
    <t>Known States of 13C</t>
    <phoneticPr fontId="0" type="noConversion"/>
  </si>
  <si>
    <t>State(MeV)</t>
    <phoneticPr fontId="0" type="noConversion"/>
  </si>
  <si>
    <r>
      <t>Energy lost b</t>
    </r>
    <r>
      <rPr>
        <sz val="8"/>
        <rFont val="Verdana"/>
        <family val="2"/>
      </rPr>
      <t xml:space="preserve"> in Target</t>
    </r>
    <phoneticPr fontId="10" type="noConversion"/>
  </si>
  <si>
    <t>2H</t>
    <phoneticPr fontId="10" type="noConversion"/>
  </si>
  <si>
    <t>12C</t>
    <phoneticPr fontId="10" type="noConversion"/>
  </si>
  <si>
    <t>1H</t>
    <phoneticPr fontId="10" type="noConversion"/>
  </si>
  <si>
    <t>1mg/cm2</t>
    <phoneticPr fontId="10" type="noConversion"/>
  </si>
  <si>
    <r>
      <t xml:space="preserve">KE1 + </t>
    </r>
    <r>
      <rPr>
        <sz val="11"/>
        <color theme="1"/>
        <rFont val="Calibri"/>
        <family val="2"/>
      </rPr>
      <t>∆Ex (MeV)</t>
    </r>
    <phoneticPr fontId="10" type="noConversion"/>
  </si>
  <si>
    <t>KE1 (MeV)</t>
    <phoneticPr fontId="10" type="noConversion"/>
  </si>
  <si>
    <t>Proj Eloss (1H in 12C) (MeV)</t>
    <phoneticPr fontId="10" type="noConversion"/>
  </si>
  <si>
    <t>Anlge(deg)</t>
    <phoneticPr fontId="0" type="noConversion"/>
  </si>
  <si>
    <t> 5012.2</t>
  </si>
  <si>
    <t> 5251.63</t>
  </si>
  <si>
    <t>  5461.1</t>
  </si>
  <si>
    <t>  5474.9</t>
  </si>
  <si>
    <t>5521.33 </t>
  </si>
  <si>
    <t>5533.8 </t>
  </si>
  <si>
    <t>  5748.4</t>
  </si>
  <si>
    <t>  5793.2</t>
  </si>
  <si>
    <t> 5860</t>
  </si>
  <si>
    <t>5971.6 </t>
  </si>
  <si>
    <t>5980 </t>
  </si>
  <si>
    <t>6040.7 </t>
  </si>
  <si>
    <t> 6082 </t>
  </si>
  <si>
    <t> 6169 </t>
  </si>
  <si>
    <t>  6434</t>
  </si>
  <si>
    <t> 6468 </t>
  </si>
  <si>
    <t> 6570 </t>
  </si>
  <si>
    <t> 6678 </t>
  </si>
  <si>
    <t>  6777 </t>
  </si>
  <si>
    <t>3.79079 - 0.000164153 x - 4.08471*10^-9 x^2</t>
    <phoneticPr fontId="10" type="noConversion"/>
  </si>
  <si>
    <t xml:space="preserve">25mg states </t>
    <phoneticPr fontId="10" type="noConversion"/>
  </si>
  <si>
    <t>24mg(d,p)25mg</t>
    <phoneticPr fontId="10" type="noConversion"/>
  </si>
  <si>
    <t>24Mg</t>
    <phoneticPr fontId="10" type="noConversion"/>
  </si>
  <si>
    <t>1H</t>
    <phoneticPr fontId="10" type="noConversion"/>
  </si>
  <si>
    <t>25Mg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</si>
</sst>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00"/>
    <numFmt numFmtId="177" formatCode="0.000000"/>
    <numFmt numFmtId="178" formatCode="0.00000"/>
    <numFmt numFmtId="179" formatCode="0.000"/>
    <numFmt numFmtId="180" formatCode="0.00000E+00"/>
    <numFmt numFmtId="181" formatCode="0.000000E+00"/>
    <numFmt numFmtId="182" formatCode="0.000E+00"/>
  </numFmts>
  <fonts count="17" x14ac:knownFonts="1">
    <font>
      <sz val="11"/>
      <color theme="1"/>
      <name val="宋体"/>
      <family val="2"/>
      <scheme val="minor"/>
    </font>
    <font>
      <sz val="10"/>
      <name val="Verdana"/>
      <family val="2"/>
    </font>
    <font>
      <sz val="8"/>
      <name val="Verdana"/>
      <family val="2"/>
    </font>
    <font>
      <sz val="10"/>
      <color rgb="FF000000"/>
      <name val="Verdana"/>
      <family val="2"/>
    </font>
    <font>
      <sz val="8"/>
      <name val="Calibri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</font>
    <font>
      <sz val="11"/>
      <name val="Verdana"/>
      <family val="2"/>
    </font>
    <font>
      <sz val="9"/>
      <name val="宋体"/>
      <family val="2"/>
      <scheme val="minor"/>
    </font>
    <font>
      <sz val="10"/>
      <color rgb="FF000000"/>
      <name val="Arial Unicode MS"/>
      <family val="2"/>
      <charset val="134"/>
    </font>
    <font>
      <u/>
      <sz val="11"/>
      <color theme="10"/>
      <name val="宋体"/>
      <family val="2"/>
      <scheme val="minor"/>
    </font>
    <font>
      <sz val="8"/>
      <color rgb="FF000000"/>
      <name val="Courier New"/>
      <family val="3"/>
    </font>
    <font>
      <sz val="11"/>
      <color theme="1"/>
      <name val="宋体"/>
      <family val="3"/>
      <charset val="134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1" fillId="0" borderId="0"/>
    <xf numFmtId="0" fontId="1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/>
    <xf numFmtId="0" fontId="2" fillId="0" borderId="0" xfId="0" applyFont="1" applyBorder="1"/>
    <xf numFmtId="0" fontId="2" fillId="0" borderId="4" xfId="0" applyFont="1" applyBorder="1" applyAlignment="1">
      <alignment horizontal="right"/>
    </xf>
    <xf numFmtId="0" fontId="2" fillId="0" borderId="0" xfId="0" applyFont="1"/>
    <xf numFmtId="0" fontId="2" fillId="0" borderId="0" xfId="0" applyFont="1" applyFill="1" applyBorder="1"/>
    <xf numFmtId="179" fontId="0" fillId="0" borderId="0" xfId="0" applyNumberFormat="1"/>
    <xf numFmtId="11" fontId="2" fillId="0" borderId="4" xfId="0" applyNumberFormat="1" applyFont="1" applyBorder="1" applyAlignment="1">
      <alignment horizontal="right"/>
    </xf>
    <xf numFmtId="11" fontId="2" fillId="0" borderId="0" xfId="0" applyNumberFormat="1" applyFont="1" applyBorder="1"/>
    <xf numFmtId="11" fontId="2" fillId="0" borderId="5" xfId="0" applyNumberFormat="1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11" fontId="2" fillId="0" borderId="0" xfId="0" applyNumberFormat="1" applyFont="1" applyBorder="1" applyAlignment="1">
      <alignment horizontal="left"/>
    </xf>
    <xf numFmtId="0" fontId="2" fillId="0" borderId="11" xfId="0" applyFont="1" applyBorder="1"/>
    <xf numFmtId="0" fontId="2" fillId="0" borderId="9" xfId="0" applyFont="1" applyBorder="1" applyAlignment="1">
      <alignment horizontal="right"/>
    </xf>
    <xf numFmtId="176" fontId="2" fillId="0" borderId="0" xfId="0" applyNumberFormat="1" applyFont="1" applyFill="1" applyBorder="1"/>
    <xf numFmtId="178" fontId="2" fillId="0" borderId="0" xfId="0" applyNumberFormat="1" applyFont="1" applyFill="1" applyBorder="1"/>
    <xf numFmtId="179" fontId="2" fillId="0" borderId="0" xfId="0" applyNumberFormat="1" applyFont="1" applyFill="1" applyBorder="1"/>
    <xf numFmtId="11" fontId="2" fillId="0" borderId="0" xfId="0" applyNumberFormat="1" applyFont="1" applyFill="1" applyBorder="1"/>
    <xf numFmtId="180" fontId="2" fillId="0" borderId="0" xfId="0" applyNumberFormat="1" applyFont="1" applyFill="1" applyBorder="1"/>
    <xf numFmtId="179" fontId="2" fillId="0" borderId="0" xfId="0" applyNumberFormat="1" applyFont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76" fontId="2" fillId="5" borderId="13" xfId="0" applyNumberFormat="1" applyFont="1" applyFill="1" applyBorder="1"/>
    <xf numFmtId="176" fontId="2" fillId="0" borderId="13" xfId="0" applyNumberFormat="1" applyFont="1" applyFill="1" applyBorder="1"/>
    <xf numFmtId="0" fontId="2" fillId="0" borderId="13" xfId="0" applyFont="1" applyBorder="1"/>
    <xf numFmtId="179" fontId="2" fillId="0" borderId="4" xfId="0" applyNumberFormat="1" applyFont="1" applyBorder="1"/>
    <xf numFmtId="179" fontId="2" fillId="0" borderId="9" xfId="0" applyNumberFormat="1" applyFont="1" applyBorder="1"/>
    <xf numFmtId="0" fontId="2" fillId="0" borderId="14" xfId="0" applyFont="1" applyBorder="1"/>
    <xf numFmtId="179" fontId="2" fillId="0" borderId="0" xfId="0" applyNumberFormat="1" applyFont="1" applyBorder="1"/>
    <xf numFmtId="176" fontId="0" fillId="0" borderId="13" xfId="0" applyNumberFormat="1" applyFill="1" applyBorder="1"/>
    <xf numFmtId="176" fontId="2" fillId="4" borderId="13" xfId="0" applyNumberFormat="1" applyFont="1" applyFill="1" applyBorder="1"/>
    <xf numFmtId="0" fontId="0" fillId="0" borderId="3" xfId="0" applyBorder="1"/>
    <xf numFmtId="0" fontId="2" fillId="0" borderId="1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8" xfId="0" applyBorder="1"/>
    <xf numFmtId="0" fontId="0" fillId="0" borderId="14" xfId="0" applyBorder="1"/>
    <xf numFmtId="176" fontId="0" fillId="0" borderId="0" xfId="0" applyNumberFormat="1"/>
    <xf numFmtId="176" fontId="2" fillId="4" borderId="0" xfId="0" applyNumberFormat="1" applyFont="1" applyFill="1" applyBorder="1"/>
    <xf numFmtId="0" fontId="2" fillId="0" borderId="3" xfId="0" applyFont="1" applyBorder="1" applyAlignment="1"/>
    <xf numFmtId="0" fontId="2" fillId="0" borderId="9" xfId="0" applyFont="1" applyBorder="1" applyAlignment="1"/>
    <xf numFmtId="0" fontId="2" fillId="0" borderId="14" xfId="0" applyFont="1" applyBorder="1" applyAlignment="1"/>
    <xf numFmtId="11" fontId="0" fillId="0" borderId="0" xfId="0" applyNumberFormat="1"/>
    <xf numFmtId="0" fontId="2" fillId="0" borderId="2" xfId="0" applyFont="1" applyBorder="1"/>
    <xf numFmtId="0" fontId="4" fillId="0" borderId="15" xfId="0" applyFont="1" applyBorder="1" applyAlignment="1"/>
    <xf numFmtId="0" fontId="2" fillId="0" borderId="3" xfId="0" applyFont="1" applyBorder="1"/>
    <xf numFmtId="0" fontId="2" fillId="0" borderId="15" xfId="0" applyFont="1" applyBorder="1" applyAlignment="1"/>
    <xf numFmtId="11" fontId="2" fillId="0" borderId="15" xfId="0" applyNumberFormat="1" applyFont="1" applyBorder="1"/>
    <xf numFmtId="11" fontId="2" fillId="0" borderId="12" xfId="0" applyNumberFormat="1" applyFont="1" applyBorder="1"/>
    <xf numFmtId="11" fontId="2" fillId="0" borderId="14" xfId="0" applyNumberFormat="1" applyFont="1" applyBorder="1"/>
    <xf numFmtId="0" fontId="5" fillId="6" borderId="2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5" fillId="0" borderId="0" xfId="0" applyFont="1"/>
    <xf numFmtId="181" fontId="0" fillId="0" borderId="0" xfId="0" applyNumberFormat="1"/>
    <xf numFmtId="0" fontId="2" fillId="0" borderId="2" xfId="0" applyFont="1" applyBorder="1" applyAlignment="1"/>
    <xf numFmtId="0" fontId="2" fillId="0" borderId="4" xfId="0" applyFont="1" applyFill="1" applyBorder="1" applyAlignment="1">
      <alignment horizontal="right"/>
    </xf>
    <xf numFmtId="177" fontId="2" fillId="0" borderId="0" xfId="0" applyNumberFormat="1" applyFont="1" applyBorder="1"/>
    <xf numFmtId="0" fontId="2" fillId="0" borderId="5" xfId="0" applyFont="1" applyFill="1" applyBorder="1" applyAlignment="1">
      <alignment horizontal="left"/>
    </xf>
    <xf numFmtId="0" fontId="0" fillId="0" borderId="2" xfId="0" applyBorder="1"/>
    <xf numFmtId="178" fontId="0" fillId="0" borderId="0" xfId="0" applyNumberFormat="1"/>
    <xf numFmtId="178" fontId="2" fillId="0" borderId="5" xfId="0" applyNumberFormat="1" applyFont="1" applyFill="1" applyBorder="1"/>
    <xf numFmtId="178" fontId="2" fillId="0" borderId="13" xfId="0" applyNumberFormat="1" applyFont="1" applyFill="1" applyBorder="1"/>
    <xf numFmtId="176" fontId="0" fillId="5" borderId="13" xfId="0" applyNumberForma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77" fontId="2" fillId="3" borderId="13" xfId="0" applyNumberFormat="1" applyFont="1" applyFill="1" applyBorder="1"/>
    <xf numFmtId="179" fontId="2" fillId="0" borderId="5" xfId="0" applyNumberFormat="1" applyFont="1" applyBorder="1"/>
    <xf numFmtId="180" fontId="0" fillId="0" borderId="0" xfId="0" applyNumberFormat="1"/>
    <xf numFmtId="177" fontId="0" fillId="0" borderId="0" xfId="0" applyNumberFormat="1"/>
    <xf numFmtId="0" fontId="5" fillId="0" borderId="12" xfId="0" applyFont="1" applyBorder="1"/>
    <xf numFmtId="0" fontId="2" fillId="3" borderId="8" xfId="0" applyFont="1" applyFill="1" applyBorder="1"/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7" xfId="0" applyFont="1" applyFill="1" applyBorder="1"/>
    <xf numFmtId="0" fontId="0" fillId="0" borderId="7" xfId="0" applyBorder="1"/>
    <xf numFmtId="0" fontId="2" fillId="0" borderId="6" xfId="0" applyFont="1" applyFill="1" applyBorder="1" applyAlignment="1">
      <alignment horizontal="center"/>
    </xf>
    <xf numFmtId="0" fontId="0" fillId="0" borderId="13" xfId="0" applyBorder="1"/>
    <xf numFmtId="0" fontId="0" fillId="2" borderId="2" xfId="0" applyFill="1" applyBorder="1" applyAlignment="1"/>
    <xf numFmtId="0" fontId="2" fillId="0" borderId="10" xfId="0" applyFont="1" applyBorder="1" applyAlignment="1"/>
    <xf numFmtId="182" fontId="2" fillId="0" borderId="4" xfId="0" applyNumberFormat="1" applyFont="1" applyBorder="1"/>
    <xf numFmtId="11" fontId="2" fillId="0" borderId="0" xfId="0" applyNumberFormat="1" applyFont="1"/>
    <xf numFmtId="0" fontId="9" fillId="2" borderId="2" xfId="0" applyFont="1" applyFill="1" applyBorder="1"/>
    <xf numFmtId="182" fontId="0" fillId="0" borderId="0" xfId="0" applyNumberFormat="1"/>
    <xf numFmtId="2" fontId="0" fillId="0" borderId="0" xfId="0" applyNumberFormat="1"/>
    <xf numFmtId="0" fontId="2" fillId="0" borderId="0" xfId="0" applyFont="1" applyAlignment="1">
      <alignment horizontal="right"/>
    </xf>
    <xf numFmtId="0" fontId="2" fillId="8" borderId="11" xfId="0" applyFont="1" applyFill="1" applyBorder="1"/>
    <xf numFmtId="0" fontId="2" fillId="8" borderId="0" xfId="0" applyFont="1" applyFill="1"/>
    <xf numFmtId="2" fontId="2" fillId="8" borderId="0" xfId="0" applyNumberFormat="1" applyFont="1" applyFill="1" applyBorder="1" applyAlignment="1">
      <alignment horizontal="left"/>
    </xf>
    <xf numFmtId="0" fontId="11" fillId="0" borderId="0" xfId="0" applyFont="1" applyAlignment="1">
      <alignment vertical="center"/>
    </xf>
    <xf numFmtId="0" fontId="12" fillId="0" borderId="0" xfId="2" applyBorder="1"/>
    <xf numFmtId="0" fontId="13" fillId="0" borderId="0" xfId="0" applyFont="1"/>
    <xf numFmtId="0" fontId="2" fillId="9" borderId="0" xfId="0" applyFont="1" applyFill="1" applyBorder="1" applyAlignment="1">
      <alignment horizontal="center"/>
    </xf>
    <xf numFmtId="0" fontId="0" fillId="9" borderId="8" xfId="0" applyFill="1" applyBorder="1"/>
    <xf numFmtId="0" fontId="2" fillId="9" borderId="15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13" xfId="0" applyFont="1" applyFill="1" applyBorder="1"/>
    <xf numFmtId="0" fontId="0" fillId="9" borderId="5" xfId="0" applyFill="1" applyBorder="1"/>
    <xf numFmtId="0" fontId="2" fillId="9" borderId="14" xfId="0" applyFont="1" applyFill="1" applyBorder="1"/>
    <xf numFmtId="0" fontId="0" fillId="9" borderId="14" xfId="0" applyFill="1" applyBorder="1"/>
    <xf numFmtId="179" fontId="14" fillId="0" borderId="0" xfId="0" applyNumberFormat="1" applyFont="1"/>
    <xf numFmtId="11" fontId="14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3" borderId="0" xfId="0" applyFill="1" applyBorder="1" applyAlignment="1"/>
    <xf numFmtId="0" fontId="2" fillId="3" borderId="6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2" borderId="8" xfId="0" applyFill="1" applyBorder="1" applyAlignment="1"/>
    <xf numFmtId="0" fontId="2" fillId="7" borderId="1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2" borderId="2" xfId="0" applyFill="1" applyBorder="1" applyAlignment="1"/>
    <xf numFmtId="0" fontId="0" fillId="2" borderId="3" xfId="0" applyFill="1" applyBorder="1" applyAlignment="1"/>
  </cellXfs>
  <cellStyles count="30">
    <cellStyle name="Normal 2" xfId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常规" xfId="0" builtinId="0"/>
    <cellStyle name="超链接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60051318889219296"/>
                  <c:y val="-0.75640160489205699"/>
                </c:manualLayout>
              </c:layout>
              <c:numFmt formatCode="General" sourceLinked="0"/>
            </c:trendlineLbl>
          </c:trendline>
          <c:xVal>
            <c:numRef>
              <c:f>Sheet6!$O$64:$O$66</c:f>
              <c:numCache>
                <c:formatCode>0.000</c:formatCode>
                <c:ptCount val="3"/>
                <c:pt idx="0">
                  <c:v>-361.39699999999999</c:v>
                </c:pt>
                <c:pt idx="1">
                  <c:v>-227.084</c:v>
                </c:pt>
                <c:pt idx="2">
                  <c:v>-188.85499999999999</c:v>
                </c:pt>
              </c:numCache>
            </c:numRef>
          </c:xVal>
          <c:yVal>
            <c:numRef>
              <c:f>Sheet6!$L$64:$L$66</c:f>
              <c:numCache>
                <c:formatCode>0.000000</c:formatCode>
                <c:ptCount val="3"/>
                <c:pt idx="0">
                  <c:v>5.3333192052638836</c:v>
                </c:pt>
                <c:pt idx="1">
                  <c:v>5.3032530241771045</c:v>
                </c:pt>
                <c:pt idx="2">
                  <c:v>5.2946580105234604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768512"/>
        <c:axId val="88770048"/>
      </c:scatterChart>
      <c:valAx>
        <c:axId val="88768512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88770048"/>
        <c:crosses val="autoZero"/>
        <c:crossBetween val="midCat"/>
      </c:valAx>
      <c:valAx>
        <c:axId val="88770048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88768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799" l="0.70000000000000095" r="0.70000000000000095" t="0.75000000000000799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og"/>
            <c:dispRSqr val="0"/>
            <c:dispEq val="0"/>
          </c:trendline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Sheet6!$P$96:$P$99</c:f>
              <c:numCache>
                <c:formatCode>0.00E+00</c:formatCode>
                <c:ptCount val="4"/>
                <c:pt idx="0">
                  <c:v>-423.53800000000001</c:v>
                </c:pt>
                <c:pt idx="1">
                  <c:v>252.708</c:v>
                </c:pt>
                <c:pt idx="2">
                  <c:v>381.44900000000001</c:v>
                </c:pt>
                <c:pt idx="3">
                  <c:v>417.83600000000001</c:v>
                </c:pt>
              </c:numCache>
            </c:numRef>
          </c:xVal>
          <c:yVal>
            <c:numRef>
              <c:f>Sheet6!$Q$96:$Q$99</c:f>
              <c:numCache>
                <c:formatCode>General</c:formatCode>
                <c:ptCount val="4"/>
                <c:pt idx="0">
                  <c:v>0</c:v>
                </c:pt>
                <c:pt idx="1">
                  <c:v>3.0894430000000002</c:v>
                </c:pt>
                <c:pt idx="2">
                  <c:v>3.684507</c:v>
                </c:pt>
                <c:pt idx="3">
                  <c:v>3.8538069999999998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16256"/>
        <c:axId val="88822144"/>
      </c:scatterChart>
      <c:valAx>
        <c:axId val="88816256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8822144"/>
        <c:crosses val="autoZero"/>
        <c:crossBetween val="midCat"/>
      </c:valAx>
      <c:valAx>
        <c:axId val="8882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8162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203199</xdr:colOff>
      <xdr:row>99</xdr:row>
      <xdr:rowOff>29883</xdr:rowOff>
    </xdr:from>
    <xdr:to>
      <xdr:col>18</xdr:col>
      <xdr:colOff>1159436</xdr:colOff>
      <xdr:row>121</xdr:row>
      <xdr:rowOff>65743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398929</xdr:colOff>
      <xdr:row>81</xdr:row>
      <xdr:rowOff>121024</xdr:rowOff>
    </xdr:from>
    <xdr:to>
      <xdr:col>23</xdr:col>
      <xdr:colOff>560294</xdr:colOff>
      <xdr:row>96</xdr:row>
      <xdr:rowOff>174812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ndc.bnl.gov/masses/mass.mas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8"/>
  <sheetViews>
    <sheetView workbookViewId="0">
      <selection activeCell="C126" sqref="C126"/>
    </sheetView>
  </sheetViews>
  <sheetFormatPr defaultColWidth="8.77734375" defaultRowHeight="14.4" x14ac:dyDescent="0.25"/>
  <cols>
    <col min="4" max="4" width="9.44140625" bestFit="1" customWidth="1"/>
    <col min="10" max="10" width="11" bestFit="1" customWidth="1"/>
    <col min="11" max="11" width="13.109375" customWidth="1"/>
    <col min="13" max="13" width="16.109375" customWidth="1"/>
  </cols>
  <sheetData>
    <row r="1" spans="1:16" x14ac:dyDescent="0.25">
      <c r="A1" s="1" t="s">
        <v>4</v>
      </c>
      <c r="B1" s="1"/>
      <c r="C1" s="1"/>
      <c r="D1" s="1" t="s">
        <v>20</v>
      </c>
      <c r="E1" s="1"/>
      <c r="F1" s="1"/>
    </row>
    <row r="2" spans="1:16" x14ac:dyDescent="0.25">
      <c r="A2" s="1"/>
      <c r="B2" s="1"/>
      <c r="C2" s="1"/>
      <c r="D2" s="1"/>
      <c r="E2" s="1"/>
      <c r="F2" s="1"/>
    </row>
    <row r="3" spans="1:16" ht="15" x14ac:dyDescent="0.3">
      <c r="A3" s="1" t="s">
        <v>0</v>
      </c>
      <c r="B3" s="1" t="s">
        <v>1</v>
      </c>
      <c r="C3" s="1" t="s">
        <v>2</v>
      </c>
      <c r="D3" s="1" t="s">
        <v>1</v>
      </c>
      <c r="E3" s="1" t="s">
        <v>3</v>
      </c>
      <c r="F3" s="1" t="s">
        <v>1</v>
      </c>
      <c r="J3" s="1" t="s">
        <v>33</v>
      </c>
      <c r="K3" s="1" t="s">
        <v>34</v>
      </c>
      <c r="L3" s="1" t="s">
        <v>35</v>
      </c>
      <c r="M3" s="1" t="s">
        <v>36</v>
      </c>
      <c r="N3" s="55" t="s">
        <v>76</v>
      </c>
      <c r="P3" s="1"/>
    </row>
    <row r="4" spans="1:16" x14ac:dyDescent="0.25">
      <c r="A4" s="6">
        <v>599.67700000000002</v>
      </c>
      <c r="B4" s="6">
        <v>12.446999999999999</v>
      </c>
      <c r="C4" s="6">
        <v>-231.42099999999999</v>
      </c>
      <c r="D4" s="6">
        <v>0.14499999999999999</v>
      </c>
      <c r="E4" s="6">
        <v>6.5</v>
      </c>
      <c r="F4" s="6" t="s">
        <v>38</v>
      </c>
      <c r="J4" s="6">
        <v>9744.2099999999991</v>
      </c>
      <c r="K4" s="62">
        <v>98.712770000000006</v>
      </c>
      <c r="L4" s="1">
        <f>2.35482*E4</f>
        <v>15.306330000000001</v>
      </c>
      <c r="M4" s="1">
        <f>L4/K4</f>
        <v>0.15505926943393444</v>
      </c>
      <c r="N4" s="1">
        <f>SQRT(D4^2+M4^2)</f>
        <v>0.21229313940253811</v>
      </c>
    </row>
    <row r="5" spans="1:16" x14ac:dyDescent="0.25">
      <c r="A5" s="6">
        <v>131.55500000000001</v>
      </c>
      <c r="B5" s="6">
        <v>10.263</v>
      </c>
      <c r="C5" s="6">
        <v>-219.119</v>
      </c>
      <c r="D5" s="6">
        <v>0.52900000000000003</v>
      </c>
      <c r="E5" s="6">
        <v>6.5</v>
      </c>
      <c r="F5" s="6" t="s">
        <v>38</v>
      </c>
      <c r="J5" s="6">
        <v>2137.6489999999999</v>
      </c>
      <c r="K5" s="62">
        <v>46.234720000000003</v>
      </c>
      <c r="L5" s="1">
        <f t="shared" ref="L5:L22" si="0">2.35482*E5</f>
        <v>15.306330000000001</v>
      </c>
      <c r="M5" s="1">
        <f t="shared" ref="M5:M22" si="1">L5/K5</f>
        <v>0.3310570497669284</v>
      </c>
      <c r="N5" s="1">
        <f t="shared" ref="N5:N22" si="2">SQRT(D5^2+M5^2)</f>
        <v>0.62405109582499929</v>
      </c>
    </row>
    <row r="6" spans="1:16" x14ac:dyDescent="0.25">
      <c r="A6" s="6">
        <v>247.34100000000001</v>
      </c>
      <c r="B6" s="6">
        <v>12.398999999999999</v>
      </c>
      <c r="C6" s="6">
        <v>-183.804</v>
      </c>
      <c r="D6" s="6">
        <v>0.26</v>
      </c>
      <c r="E6" s="6">
        <v>6.5</v>
      </c>
      <c r="F6" s="6" t="s">
        <v>38</v>
      </c>
      <c r="J6" s="6">
        <v>4019.069</v>
      </c>
      <c r="K6" s="62">
        <v>63.396129999999999</v>
      </c>
      <c r="L6" s="1">
        <f t="shared" si="0"/>
        <v>15.306330000000001</v>
      </c>
      <c r="M6" s="1">
        <f t="shared" si="1"/>
        <v>0.24143950111781273</v>
      </c>
      <c r="N6" s="1">
        <f t="shared" si="2"/>
        <v>0.35481408187953634</v>
      </c>
    </row>
    <row r="7" spans="1:16" x14ac:dyDescent="0.25">
      <c r="A7" s="6">
        <v>151.25200000000001</v>
      </c>
      <c r="B7" s="6">
        <v>11.85</v>
      </c>
      <c r="C7" s="6">
        <v>-163.59700000000001</v>
      </c>
      <c r="D7" s="6">
        <v>0.46500000000000002</v>
      </c>
      <c r="E7" s="6">
        <v>6.5</v>
      </c>
      <c r="F7" s="6" t="s">
        <v>38</v>
      </c>
      <c r="J7" s="6">
        <v>2457.7049999999999</v>
      </c>
      <c r="K7" s="62">
        <v>49.575249999999997</v>
      </c>
      <c r="L7" s="1">
        <f t="shared" si="0"/>
        <v>15.306330000000001</v>
      </c>
      <c r="M7" s="1">
        <f t="shared" si="1"/>
        <v>0.30874942637707325</v>
      </c>
      <c r="N7" s="1">
        <f t="shared" si="2"/>
        <v>0.55816772415482052</v>
      </c>
    </row>
    <row r="8" spans="1:16" x14ac:dyDescent="0.25">
      <c r="A8" s="6">
        <v>250.929</v>
      </c>
      <c r="B8" s="6">
        <v>6.7640000000000002</v>
      </c>
      <c r="C8" s="6">
        <v>-126.79900000000001</v>
      </c>
      <c r="D8" s="6">
        <v>0.18</v>
      </c>
      <c r="E8" s="6">
        <v>6.5</v>
      </c>
      <c r="F8" s="6" t="s">
        <v>38</v>
      </c>
      <c r="J8" s="6">
        <v>4077.377</v>
      </c>
      <c r="K8" s="62">
        <v>63.854340000000001</v>
      </c>
      <c r="L8" s="1">
        <f t="shared" si="0"/>
        <v>15.306330000000001</v>
      </c>
      <c r="M8" s="1">
        <f t="shared" si="1"/>
        <v>0.23970696431910501</v>
      </c>
      <c r="N8" s="1">
        <f t="shared" si="2"/>
        <v>0.29976562301751797</v>
      </c>
    </row>
    <row r="9" spans="1:16" x14ac:dyDescent="0.25">
      <c r="A9" s="6">
        <v>450.86</v>
      </c>
      <c r="B9" s="6">
        <v>8.1229999999999993</v>
      </c>
      <c r="C9" s="6">
        <v>-100.27</v>
      </c>
      <c r="D9" s="6">
        <v>0.13900000000000001</v>
      </c>
      <c r="E9" s="6">
        <v>6.5</v>
      </c>
      <c r="F9" s="6" t="s">
        <v>38</v>
      </c>
      <c r="J9" s="6">
        <v>7326.0630000000001</v>
      </c>
      <c r="K9" s="62">
        <v>85.592420000000004</v>
      </c>
      <c r="L9" s="1">
        <f t="shared" si="0"/>
        <v>15.306330000000001</v>
      </c>
      <c r="M9" s="1">
        <f t="shared" si="1"/>
        <v>0.17882810183425121</v>
      </c>
      <c r="N9" s="1">
        <f t="shared" si="2"/>
        <v>0.22649611476941789</v>
      </c>
    </row>
    <row r="10" spans="1:16" x14ac:dyDescent="0.25">
      <c r="A10" s="6">
        <v>310.65699999999998</v>
      </c>
      <c r="B10" s="6">
        <v>25.95</v>
      </c>
      <c r="C10" s="6">
        <v>-57.042999999999999</v>
      </c>
      <c r="D10" s="6">
        <v>0.29299999999999998</v>
      </c>
      <c r="E10" s="6">
        <v>6.5</v>
      </c>
      <c r="F10" s="6" t="s">
        <v>38</v>
      </c>
      <c r="J10" s="6">
        <v>5047.8940000000002</v>
      </c>
      <c r="K10" s="62">
        <v>71.04853</v>
      </c>
      <c r="L10" s="1">
        <f t="shared" si="0"/>
        <v>15.306330000000001</v>
      </c>
      <c r="M10" s="1">
        <f t="shared" si="1"/>
        <v>0.21543485839890003</v>
      </c>
      <c r="N10" s="1">
        <f t="shared" si="2"/>
        <v>0.36367729955738798</v>
      </c>
    </row>
    <row r="11" spans="1:16" x14ac:dyDescent="0.25">
      <c r="A11" s="6">
        <v>1753.06</v>
      </c>
      <c r="B11" s="6">
        <v>30.709</v>
      </c>
      <c r="C11" s="6">
        <v>-35.981999999999999</v>
      </c>
      <c r="D11" s="6">
        <v>0.09</v>
      </c>
      <c r="E11" s="6">
        <v>6.5</v>
      </c>
      <c r="F11" s="6" t="s">
        <v>38</v>
      </c>
      <c r="J11" s="6">
        <v>28485.66</v>
      </c>
      <c r="K11" s="62">
        <v>168.77695</v>
      </c>
      <c r="L11" s="1">
        <f t="shared" si="0"/>
        <v>15.306330000000001</v>
      </c>
      <c r="M11" s="1">
        <f t="shared" si="1"/>
        <v>9.0689694297710677E-2</v>
      </c>
      <c r="N11" s="1">
        <f t="shared" si="2"/>
        <v>0.12776783887900828</v>
      </c>
    </row>
    <row r="12" spans="1:16" x14ac:dyDescent="0.25">
      <c r="A12" s="6">
        <v>662.55799999999999</v>
      </c>
      <c r="B12" s="6">
        <v>13.042</v>
      </c>
      <c r="C12" s="6">
        <v>10.096</v>
      </c>
      <c r="D12" s="6">
        <v>0.14599999999999999</v>
      </c>
      <c r="E12" s="6">
        <v>6.5</v>
      </c>
      <c r="F12" s="6" t="s">
        <v>38</v>
      </c>
      <c r="J12" s="6">
        <v>10765.97</v>
      </c>
      <c r="K12" s="62">
        <v>103.75919</v>
      </c>
      <c r="L12" s="1">
        <f t="shared" si="0"/>
        <v>15.306330000000001</v>
      </c>
      <c r="M12" s="1">
        <f t="shared" si="1"/>
        <v>0.1475178246861796</v>
      </c>
      <c r="N12" s="1">
        <f t="shared" si="2"/>
        <v>0.20755121922104536</v>
      </c>
    </row>
    <row r="13" spans="1:16" x14ac:dyDescent="0.25">
      <c r="A13" s="6">
        <v>949.48699999999997</v>
      </c>
      <c r="B13" s="6">
        <v>19.135999999999999</v>
      </c>
      <c r="C13" s="6">
        <v>79.462999999999994</v>
      </c>
      <c r="D13" s="6">
        <v>0.115</v>
      </c>
      <c r="E13" s="6">
        <v>6.5</v>
      </c>
      <c r="F13" s="6" t="s">
        <v>38</v>
      </c>
      <c r="J13" s="6">
        <v>15428.3</v>
      </c>
      <c r="K13" s="62">
        <v>124.21071000000001</v>
      </c>
      <c r="L13" s="1">
        <f t="shared" si="0"/>
        <v>15.306330000000001</v>
      </c>
      <c r="M13" s="1">
        <f t="shared" si="1"/>
        <v>0.12322874573376161</v>
      </c>
      <c r="N13" s="1">
        <f t="shared" si="2"/>
        <v>0.16855362284779307</v>
      </c>
    </row>
    <row r="14" spans="1:16" x14ac:dyDescent="0.25">
      <c r="A14" s="6">
        <v>592.59900000000005</v>
      </c>
      <c r="B14" s="6">
        <v>25.829000000000001</v>
      </c>
      <c r="C14" s="6">
        <v>115.11799999999999</v>
      </c>
      <c r="D14" s="6">
        <v>0.434</v>
      </c>
      <c r="E14" s="6">
        <v>6.5</v>
      </c>
      <c r="F14" s="6" t="s">
        <v>38</v>
      </c>
      <c r="J14" s="6">
        <v>9629.2060000000001</v>
      </c>
      <c r="K14" s="62">
        <v>98.128519999999995</v>
      </c>
      <c r="L14" s="1">
        <f t="shared" si="0"/>
        <v>15.306330000000001</v>
      </c>
      <c r="M14" s="1">
        <f t="shared" si="1"/>
        <v>0.15598248093418715</v>
      </c>
      <c r="N14" s="1">
        <f t="shared" si="2"/>
        <v>0.46117950340229136</v>
      </c>
    </row>
    <row r="15" spans="1:16" x14ac:dyDescent="0.25">
      <c r="A15" s="6">
        <v>369.58600000000001</v>
      </c>
      <c r="B15" s="6">
        <v>17.7</v>
      </c>
      <c r="C15" s="6">
        <v>143.39500000000001</v>
      </c>
      <c r="D15" s="6">
        <v>0.27700000000000002</v>
      </c>
      <c r="E15" s="6">
        <v>6.5</v>
      </c>
      <c r="F15" s="6" t="s">
        <v>38</v>
      </c>
      <c r="J15" s="6">
        <v>6005.4350000000004</v>
      </c>
      <c r="K15" s="62">
        <v>77.494739999999993</v>
      </c>
      <c r="L15" s="1">
        <f t="shared" si="0"/>
        <v>15.306330000000001</v>
      </c>
      <c r="M15" s="1">
        <f t="shared" si="1"/>
        <v>0.19751443775409791</v>
      </c>
      <c r="N15" s="1">
        <f t="shared" si="2"/>
        <v>0.34020722085416916</v>
      </c>
    </row>
    <row r="16" spans="1:16" x14ac:dyDescent="0.25">
      <c r="A16" s="6">
        <v>308.09699999999998</v>
      </c>
      <c r="B16" s="6">
        <v>20.600999999999999</v>
      </c>
      <c r="C16" s="6">
        <v>172.005</v>
      </c>
      <c r="D16" s="6">
        <v>0.39500000000000002</v>
      </c>
      <c r="E16" s="6">
        <v>6.5</v>
      </c>
      <c r="F16" s="6" t="s">
        <v>38</v>
      </c>
      <c r="J16" s="6">
        <v>5006.2910000000002</v>
      </c>
      <c r="K16" s="62">
        <v>70.75515</v>
      </c>
      <c r="L16" s="1">
        <f t="shared" si="0"/>
        <v>15.306330000000001</v>
      </c>
      <c r="M16" s="1">
        <f t="shared" si="1"/>
        <v>0.21632814007178278</v>
      </c>
      <c r="N16" s="1">
        <f t="shared" si="2"/>
        <v>0.45035859510718446</v>
      </c>
    </row>
    <row r="17" spans="1:14" x14ac:dyDescent="0.25">
      <c r="A17" s="6">
        <v>861.58699999999999</v>
      </c>
      <c r="B17" s="6">
        <v>16.437999999999999</v>
      </c>
      <c r="C17" s="6">
        <v>227.02799999999999</v>
      </c>
      <c r="D17" s="6">
        <v>0.12</v>
      </c>
      <c r="E17" s="6">
        <v>6.5</v>
      </c>
      <c r="F17" s="6" t="s">
        <v>38</v>
      </c>
      <c r="J17" s="6">
        <v>14000.02</v>
      </c>
      <c r="K17" s="62">
        <v>118.32168</v>
      </c>
      <c r="L17" s="1">
        <f t="shared" si="0"/>
        <v>15.306330000000001</v>
      </c>
      <c r="M17" s="1">
        <f t="shared" si="1"/>
        <v>0.12936200703032616</v>
      </c>
      <c r="N17" s="1">
        <f t="shared" si="2"/>
        <v>0.17644979133712274</v>
      </c>
    </row>
    <row r="18" spans="1:14" x14ac:dyDescent="0.25">
      <c r="A18" s="6">
        <v>339.77100000000002</v>
      </c>
      <c r="B18" s="6">
        <v>9.1039999999999992</v>
      </c>
      <c r="C18" s="6">
        <v>282.02499999999998</v>
      </c>
      <c r="D18" s="6">
        <v>0.218</v>
      </c>
      <c r="E18" s="6">
        <v>6.5</v>
      </c>
      <c r="F18" s="6" t="s">
        <v>38</v>
      </c>
      <c r="J18" s="6">
        <v>5520.9660000000003</v>
      </c>
      <c r="K18" s="62">
        <v>74.303200000000004</v>
      </c>
      <c r="L18" s="1">
        <f t="shared" si="0"/>
        <v>15.306330000000001</v>
      </c>
      <c r="M18" s="1">
        <f t="shared" si="1"/>
        <v>0.2059982611785226</v>
      </c>
      <c r="N18" s="1">
        <f t="shared" si="2"/>
        <v>0.29993213167077448</v>
      </c>
    </row>
    <row r="19" spans="1:14" x14ac:dyDescent="0.25">
      <c r="A19" s="6">
        <v>407.089</v>
      </c>
      <c r="B19" s="6">
        <v>15.39</v>
      </c>
      <c r="C19" s="6">
        <v>305.54500000000002</v>
      </c>
      <c r="D19" s="6">
        <v>0.27900000000000003</v>
      </c>
      <c r="E19" s="6">
        <v>6.5</v>
      </c>
      <c r="F19" s="6" t="s">
        <v>38</v>
      </c>
      <c r="J19" s="6">
        <v>6614.8280000000004</v>
      </c>
      <c r="K19" s="62">
        <v>81.331590000000006</v>
      </c>
      <c r="L19" s="1">
        <f t="shared" si="0"/>
        <v>15.306330000000001</v>
      </c>
      <c r="M19" s="1">
        <f t="shared" si="1"/>
        <v>0.18819661585369227</v>
      </c>
      <c r="N19" s="1">
        <f t="shared" si="2"/>
        <v>0.33653969486344731</v>
      </c>
    </row>
    <row r="20" spans="1:14" x14ac:dyDescent="0.25">
      <c r="A20" s="6">
        <v>640.36900000000003</v>
      </c>
      <c r="B20" s="6">
        <v>10.832000000000001</v>
      </c>
      <c r="C20" s="6">
        <v>319.89699999999999</v>
      </c>
      <c r="D20" s="6">
        <v>0.30299999999999999</v>
      </c>
      <c r="E20" s="6">
        <v>6.5</v>
      </c>
      <c r="F20" s="6" t="s">
        <v>38</v>
      </c>
      <c r="J20" s="6">
        <v>10405.41</v>
      </c>
      <c r="K20" s="62">
        <v>102.00691</v>
      </c>
      <c r="L20" s="1">
        <f t="shared" si="0"/>
        <v>15.306330000000001</v>
      </c>
      <c r="M20" s="1">
        <f t="shared" si="1"/>
        <v>0.15005189354329035</v>
      </c>
      <c r="N20" s="1">
        <f t="shared" si="2"/>
        <v>0.33811916650188134</v>
      </c>
    </row>
    <row r="21" spans="1:14" x14ac:dyDescent="0.25">
      <c r="A21" s="6">
        <v>1853.31</v>
      </c>
      <c r="B21" s="6">
        <v>48.293999999999997</v>
      </c>
      <c r="C21" s="6">
        <v>348.55799999999999</v>
      </c>
      <c r="D21" s="6">
        <v>0.11</v>
      </c>
      <c r="E21" s="6">
        <v>6.5</v>
      </c>
      <c r="F21" s="6" t="s">
        <v>38</v>
      </c>
      <c r="J21" s="6">
        <v>30114.66</v>
      </c>
      <c r="K21" s="62">
        <v>173.53576000000001</v>
      </c>
      <c r="L21" s="1">
        <f t="shared" si="0"/>
        <v>15.306330000000001</v>
      </c>
      <c r="M21" s="1">
        <f t="shared" si="1"/>
        <v>8.8202742766101933E-2</v>
      </c>
      <c r="N21" s="1">
        <f t="shared" si="2"/>
        <v>0.14099547450703212</v>
      </c>
    </row>
    <row r="22" spans="1:14" s="1" customFormat="1" x14ac:dyDescent="0.25">
      <c r="A22" s="1">
        <v>2186.9699999999998</v>
      </c>
      <c r="B22" s="6">
        <v>44.619</v>
      </c>
      <c r="C22" s="6">
        <v>370.85199999999998</v>
      </c>
      <c r="D22" s="44">
        <v>0.1</v>
      </c>
      <c r="E22" s="44">
        <v>6.5</v>
      </c>
      <c r="F22" s="44" t="s">
        <v>38</v>
      </c>
      <c r="G22" s="44"/>
      <c r="J22" s="1">
        <v>35536.31</v>
      </c>
      <c r="K22" s="1">
        <v>188.51077000000001</v>
      </c>
      <c r="L22" s="1">
        <f t="shared" si="0"/>
        <v>15.306330000000001</v>
      </c>
      <c r="M22" s="1">
        <f t="shared" si="1"/>
        <v>8.1196050496213035E-2</v>
      </c>
      <c r="N22" s="1">
        <f t="shared" si="2"/>
        <v>0.12881303744646183</v>
      </c>
    </row>
    <row r="23" spans="1:14" x14ac:dyDescent="0.25">
      <c r="A23" s="6"/>
      <c r="B23" s="6"/>
      <c r="C23" s="6"/>
      <c r="F23" s="44"/>
      <c r="G23" s="44"/>
    </row>
    <row r="24" spans="1:14" x14ac:dyDescent="0.25">
      <c r="A24" s="6" t="s">
        <v>39</v>
      </c>
      <c r="B24" s="6">
        <v>-194.274</v>
      </c>
      <c r="C24" s="6">
        <v>0.1</v>
      </c>
      <c r="F24" s="44"/>
      <c r="G24" s="44"/>
    </row>
    <row r="25" spans="1:14" x14ac:dyDescent="0.25">
      <c r="A25" s="6" t="s">
        <v>40</v>
      </c>
      <c r="B25" s="6">
        <v>0.45</v>
      </c>
      <c r="C25" s="6">
        <v>0.193</v>
      </c>
    </row>
    <row r="26" spans="1:14" x14ac:dyDescent="0.25">
      <c r="A26" s="6" t="s">
        <v>41</v>
      </c>
      <c r="B26" s="6">
        <v>50</v>
      </c>
      <c r="C26" s="6" t="s">
        <v>38</v>
      </c>
      <c r="F26" s="44"/>
      <c r="G26" s="44"/>
    </row>
    <row r="27" spans="1:14" x14ac:dyDescent="0.25">
      <c r="A27" s="6" t="s">
        <v>42</v>
      </c>
      <c r="B27" s="6">
        <v>1.6259999999999999</v>
      </c>
      <c r="C27" s="6">
        <v>0.309</v>
      </c>
      <c r="F27" s="44"/>
      <c r="G27" s="44"/>
    </row>
    <row r="28" spans="1:14" x14ac:dyDescent="0.25">
      <c r="A28" s="6" t="s">
        <v>43</v>
      </c>
      <c r="B28" s="6">
        <v>52.287999999999997</v>
      </c>
      <c r="C28" s="6">
        <v>2.7040000000000002</v>
      </c>
      <c r="F28" s="44"/>
      <c r="G28" s="44"/>
    </row>
    <row r="29" spans="1:14" x14ac:dyDescent="0.25">
      <c r="A29" s="6" t="s">
        <v>44</v>
      </c>
      <c r="B29" s="6">
        <v>-65.17</v>
      </c>
      <c r="C29" s="6">
        <v>8.7999999999999995E-2</v>
      </c>
      <c r="F29" s="44"/>
      <c r="G29" s="44"/>
    </row>
    <row r="30" spans="1:14" x14ac:dyDescent="0.25">
      <c r="A30" s="6" t="s">
        <v>45</v>
      </c>
      <c r="B30" s="6">
        <v>1.3129999999999999</v>
      </c>
      <c r="C30" s="6">
        <v>7.8E-2</v>
      </c>
    </row>
    <row r="31" spans="1:14" x14ac:dyDescent="0.25">
      <c r="A31" s="6" t="s">
        <v>46</v>
      </c>
      <c r="B31" s="6">
        <v>50</v>
      </c>
      <c r="C31" s="6" t="s">
        <v>38</v>
      </c>
      <c r="F31" s="44"/>
      <c r="G31" s="44"/>
    </row>
    <row r="32" spans="1:14" x14ac:dyDescent="0.25">
      <c r="A32" s="6" t="s">
        <v>47</v>
      </c>
      <c r="B32" s="6">
        <v>7.8719999999999999</v>
      </c>
      <c r="C32" s="6">
        <v>0.29499999999999998</v>
      </c>
      <c r="F32" s="44"/>
      <c r="G32" s="44"/>
    </row>
    <row r="33" spans="1:7" x14ac:dyDescent="0.25">
      <c r="A33" s="6" t="s">
        <v>48</v>
      </c>
      <c r="B33" s="6">
        <v>433.80200000000002</v>
      </c>
      <c r="C33" s="6">
        <v>6.423</v>
      </c>
      <c r="F33" s="44"/>
      <c r="G33" s="44"/>
    </row>
    <row r="34" spans="1:7" x14ac:dyDescent="0.25">
      <c r="A34" s="6" t="s">
        <v>49</v>
      </c>
      <c r="B34" s="6">
        <v>-15.215999999999999</v>
      </c>
      <c r="C34" s="6">
        <v>0.61399999999999999</v>
      </c>
      <c r="F34" s="44"/>
      <c r="G34" s="44"/>
    </row>
    <row r="35" spans="1:7" x14ac:dyDescent="0.25">
      <c r="A35" s="6" t="s">
        <v>50</v>
      </c>
      <c r="B35" s="6">
        <v>187.898</v>
      </c>
      <c r="C35" s="6">
        <v>11.21</v>
      </c>
    </row>
    <row r="36" spans="1:7" x14ac:dyDescent="0.25">
      <c r="A36" s="6" t="s">
        <v>51</v>
      </c>
      <c r="B36" s="6">
        <v>50</v>
      </c>
      <c r="C36" s="6" t="s">
        <v>38</v>
      </c>
      <c r="F36" s="44"/>
      <c r="G36" s="44"/>
    </row>
    <row r="37" spans="1:7" x14ac:dyDescent="0.25">
      <c r="A37" s="6" t="s">
        <v>52</v>
      </c>
      <c r="B37" s="6">
        <v>6.8150000000000004</v>
      </c>
      <c r="C37" s="6">
        <v>0.61899999999999999</v>
      </c>
      <c r="F37" s="44"/>
      <c r="G37" s="44"/>
    </row>
    <row r="38" spans="1:7" x14ac:dyDescent="0.25">
      <c r="A38" s="6" t="s">
        <v>53</v>
      </c>
      <c r="B38" s="6">
        <v>112.042</v>
      </c>
      <c r="C38" s="6">
        <v>3.9729999999999999</v>
      </c>
      <c r="F38" s="44"/>
      <c r="G38" s="44"/>
    </row>
    <row r="39" spans="1:7" x14ac:dyDescent="0.25">
      <c r="A39" s="6" t="s">
        <v>54</v>
      </c>
      <c r="B39" s="6">
        <v>60.567</v>
      </c>
      <c r="C39" s="6">
        <v>0.46400000000000002</v>
      </c>
      <c r="F39" s="44"/>
      <c r="G39" s="44"/>
    </row>
    <row r="40" spans="1:7" x14ac:dyDescent="0.25">
      <c r="A40" s="6" t="s">
        <v>55</v>
      </c>
      <c r="B40" s="6">
        <v>14.446</v>
      </c>
      <c r="C40" s="6">
        <v>0.78800000000000003</v>
      </c>
    </row>
    <row r="41" spans="1:7" x14ac:dyDescent="0.25">
      <c r="A41" s="6" t="s">
        <v>56</v>
      </c>
      <c r="B41" s="6">
        <v>50</v>
      </c>
      <c r="C41" s="6" t="s">
        <v>38</v>
      </c>
      <c r="F41" s="44"/>
      <c r="G41" s="44"/>
    </row>
    <row r="42" spans="1:7" x14ac:dyDescent="0.25">
      <c r="A42" s="6" t="s">
        <v>57</v>
      </c>
      <c r="B42" s="6">
        <v>2.7480000000000002</v>
      </c>
      <c r="C42" s="6">
        <v>0.25800000000000001</v>
      </c>
      <c r="F42" s="44"/>
      <c r="G42" s="44"/>
    </row>
    <row r="43" spans="1:7" x14ac:dyDescent="0.25">
      <c r="A43" s="6" t="s">
        <v>58</v>
      </c>
      <c r="B43" s="6">
        <v>325.99900000000002</v>
      </c>
      <c r="C43" s="6">
        <v>8.9489999999999998</v>
      </c>
      <c r="F43" s="44"/>
      <c r="G43" s="44"/>
    </row>
    <row r="44" spans="1:7" x14ac:dyDescent="0.25">
      <c r="A44" s="6" t="s">
        <v>59</v>
      </c>
      <c r="B44" s="6">
        <v>152.43</v>
      </c>
      <c r="C44" s="6">
        <v>0.375</v>
      </c>
      <c r="F44" s="44"/>
      <c r="G44" s="44"/>
    </row>
    <row r="45" spans="1:7" x14ac:dyDescent="0.25">
      <c r="A45" s="6" t="s">
        <v>60</v>
      </c>
      <c r="B45" s="6">
        <v>19.841000000000001</v>
      </c>
      <c r="C45" s="6">
        <v>1.109</v>
      </c>
    </row>
    <row r="46" spans="1:7" x14ac:dyDescent="0.25">
      <c r="A46" s="6" t="s">
        <v>61</v>
      </c>
      <c r="B46" s="6">
        <v>50</v>
      </c>
      <c r="C46" s="6" t="s">
        <v>38</v>
      </c>
      <c r="F46" s="44"/>
      <c r="G46" s="44"/>
    </row>
    <row r="47" spans="1:7" x14ac:dyDescent="0.25">
      <c r="A47" s="6" t="s">
        <v>62</v>
      </c>
      <c r="B47" s="6">
        <v>25.939</v>
      </c>
      <c r="C47" s="6">
        <v>0.311</v>
      </c>
      <c r="F47" s="44"/>
      <c r="G47" s="44"/>
    </row>
    <row r="48" spans="1:7" x14ac:dyDescent="0.25">
      <c r="A48" s="6" t="s">
        <v>63</v>
      </c>
      <c r="B48" s="6">
        <v>1862.7</v>
      </c>
      <c r="C48" s="6">
        <v>30.678000000000001</v>
      </c>
      <c r="F48" s="44"/>
      <c r="G48" s="44"/>
    </row>
    <row r="49" spans="1:7" x14ac:dyDescent="0.25">
      <c r="A49" s="6" t="s">
        <v>64</v>
      </c>
      <c r="B49" s="6">
        <v>155.74</v>
      </c>
      <c r="C49" s="6">
        <v>0.23599999999999999</v>
      </c>
      <c r="F49" s="44"/>
      <c r="G49" s="44"/>
    </row>
    <row r="50" spans="1:7" x14ac:dyDescent="0.25">
      <c r="A50" s="6" t="s">
        <v>65</v>
      </c>
      <c r="B50" s="6">
        <v>-16.350000000000001</v>
      </c>
      <c r="C50" s="6">
        <v>1.617</v>
      </c>
    </row>
    <row r="51" spans="1:7" x14ac:dyDescent="0.25">
      <c r="A51" s="6" t="s">
        <v>66</v>
      </c>
      <c r="B51" s="6">
        <v>50</v>
      </c>
      <c r="C51" s="6" t="s">
        <v>38</v>
      </c>
      <c r="F51" s="44"/>
      <c r="G51" s="44"/>
    </row>
    <row r="52" spans="1:7" x14ac:dyDescent="0.25">
      <c r="A52" s="6" t="s">
        <v>67</v>
      </c>
      <c r="B52" s="6">
        <v>-11.083</v>
      </c>
      <c r="C52" s="6">
        <v>0.25600000000000001</v>
      </c>
      <c r="F52" s="44"/>
      <c r="G52" s="44"/>
    </row>
    <row r="53" spans="1:7" x14ac:dyDescent="0.25">
      <c r="A53" s="6" t="s">
        <v>68</v>
      </c>
      <c r="B53" s="6">
        <v>1150</v>
      </c>
      <c r="C53" s="6">
        <v>24.140999999999998</v>
      </c>
      <c r="F53" s="44"/>
      <c r="G53" s="44"/>
    </row>
    <row r="54" spans="1:7" x14ac:dyDescent="0.25">
      <c r="A54" s="6" t="s">
        <v>69</v>
      </c>
      <c r="B54" s="6">
        <v>337.13499999999999</v>
      </c>
      <c r="C54" s="6">
        <v>0.13700000000000001</v>
      </c>
      <c r="F54" s="44"/>
      <c r="G54" s="44"/>
    </row>
    <row r="55" spans="1:7" x14ac:dyDescent="0.25">
      <c r="A55" s="6" t="s">
        <v>70</v>
      </c>
      <c r="B55" s="6">
        <v>5.3789999999999996</v>
      </c>
      <c r="C55" s="6">
        <v>0.19400000000000001</v>
      </c>
    </row>
    <row r="56" spans="1:7" x14ac:dyDescent="0.25">
      <c r="A56" s="6" t="s">
        <v>71</v>
      </c>
      <c r="B56" s="6">
        <v>50</v>
      </c>
      <c r="C56" s="6" t="s">
        <v>38</v>
      </c>
      <c r="F56" s="44"/>
      <c r="G56" s="44"/>
    </row>
    <row r="57" spans="1:7" x14ac:dyDescent="0.25">
      <c r="A57" s="6" t="s">
        <v>72</v>
      </c>
      <c r="B57" s="6">
        <v>14.179</v>
      </c>
      <c r="C57" s="6">
        <v>0.29299999999999998</v>
      </c>
      <c r="F57" s="44"/>
      <c r="G57" s="44"/>
    </row>
    <row r="58" spans="1:7" s="1" customFormat="1" x14ac:dyDescent="0.25">
      <c r="A58" s="6" t="s">
        <v>73</v>
      </c>
      <c r="B58" s="6">
        <v>1164.44</v>
      </c>
      <c r="C58" s="6">
        <v>8.8979999999999997</v>
      </c>
      <c r="F58" s="44"/>
      <c r="G58" s="44"/>
    </row>
    <row r="59" spans="1:7" s="1" customFormat="1" x14ac:dyDescent="0.25">
      <c r="A59" s="6"/>
      <c r="B59" s="6"/>
      <c r="C59" s="6"/>
      <c r="F59" s="44"/>
      <c r="G59" s="44"/>
    </row>
    <row r="60" spans="1:7" s="1" customFormat="1" x14ac:dyDescent="0.25">
      <c r="A60" s="6"/>
      <c r="B60" s="6"/>
      <c r="C60" s="6"/>
      <c r="F60" s="44"/>
      <c r="G60" s="44"/>
    </row>
    <row r="61" spans="1:7" s="1" customFormat="1" ht="15" x14ac:dyDescent="0.3">
      <c r="A61"/>
      <c r="B61"/>
      <c r="C61" s="6"/>
      <c r="D61" s="6"/>
      <c r="E61" s="6"/>
      <c r="F61" s="1" t="s">
        <v>80</v>
      </c>
      <c r="G61" s="1" t="s">
        <v>81</v>
      </c>
    </row>
    <row r="62" spans="1:7" s="1" customFormat="1" x14ac:dyDescent="0.25">
      <c r="A62">
        <v>1</v>
      </c>
      <c r="B62" t="s">
        <v>77</v>
      </c>
      <c r="C62" s="6">
        <v>447.471</v>
      </c>
      <c r="D62" s="6">
        <v>358.52600000000001</v>
      </c>
      <c r="E62" s="6"/>
      <c r="F62" s="6" t="s">
        <v>82</v>
      </c>
      <c r="G62" s="6" t="s">
        <v>82</v>
      </c>
    </row>
    <row r="63" spans="1:7" s="1" customFormat="1" x14ac:dyDescent="0.25">
      <c r="A63">
        <v>2</v>
      </c>
      <c r="B63" t="s">
        <v>78</v>
      </c>
      <c r="C63" s="6">
        <v>-232.37799999999999</v>
      </c>
      <c r="D63" s="6">
        <v>0.256212</v>
      </c>
      <c r="E63" s="6"/>
      <c r="F63" s="6"/>
      <c r="G63" s="6"/>
    </row>
    <row r="64" spans="1:7" s="1" customFormat="1" x14ac:dyDescent="0.25">
      <c r="A64">
        <v>3</v>
      </c>
      <c r="B64" t="s">
        <v>79</v>
      </c>
      <c r="C64" s="6">
        <v>0.248139</v>
      </c>
      <c r="D64" s="6">
        <v>0.339223</v>
      </c>
      <c r="E64" s="6"/>
      <c r="F64" s="6">
        <f>C64*6.51</f>
        <v>1.6153848899999999</v>
      </c>
      <c r="G64" s="6">
        <f>F64*2</f>
        <v>3.2307697799999997</v>
      </c>
    </row>
    <row r="65" spans="1:21" s="1" customFormat="1" x14ac:dyDescent="0.25">
      <c r="A65">
        <v>1</v>
      </c>
      <c r="B65" t="s">
        <v>77</v>
      </c>
      <c r="C65" s="6">
        <v>443.39600000000002</v>
      </c>
      <c r="D65" s="6">
        <v>355.16199999999998</v>
      </c>
      <c r="E65" s="6"/>
      <c r="F65" s="6"/>
      <c r="G65" s="6"/>
    </row>
    <row r="66" spans="1:21" s="1" customFormat="1" x14ac:dyDescent="0.25">
      <c r="A66">
        <v>2</v>
      </c>
      <c r="B66" t="s">
        <v>78</v>
      </c>
      <c r="C66" s="6">
        <v>-220.369</v>
      </c>
      <c r="D66" s="6">
        <v>0.25420799999999999</v>
      </c>
      <c r="E66" s="6"/>
      <c r="F66" s="6"/>
      <c r="G66" s="6"/>
    </row>
    <row r="67" spans="1:21" s="1" customFormat="1" x14ac:dyDescent="0.25">
      <c r="A67">
        <v>3</v>
      </c>
      <c r="B67" t="s">
        <v>79</v>
      </c>
      <c r="C67" s="6">
        <v>0.240038</v>
      </c>
      <c r="D67" s="6">
        <v>0.34096199999999999</v>
      </c>
      <c r="E67" s="6"/>
      <c r="F67" s="6">
        <f t="shared" ref="F67:F118" si="3">C67*6.51</f>
        <v>1.56264738</v>
      </c>
      <c r="G67" s="6">
        <f t="shared" ref="G67:G118" si="4">F67*2</f>
        <v>3.1252947600000001</v>
      </c>
    </row>
    <row r="68" spans="1:21" s="1" customFormat="1" x14ac:dyDescent="0.25">
      <c r="A68">
        <v>1</v>
      </c>
      <c r="B68" t="s">
        <v>77</v>
      </c>
      <c r="C68" s="6">
        <v>448.762</v>
      </c>
      <c r="D68" s="6">
        <v>331.03800000000001</v>
      </c>
      <c r="E68" s="6"/>
      <c r="F68" s="6"/>
      <c r="G68" s="6"/>
    </row>
    <row r="69" spans="1:21" s="1" customFormat="1" x14ac:dyDescent="0.25">
      <c r="A69">
        <v>2</v>
      </c>
      <c r="B69" t="s">
        <v>78</v>
      </c>
      <c r="C69" s="6">
        <v>-182.82</v>
      </c>
      <c r="D69" s="6">
        <v>0.27060099999999998</v>
      </c>
      <c r="E69" s="6"/>
      <c r="F69" s="6"/>
      <c r="G69" s="6"/>
    </row>
    <row r="70" spans="1:21" x14ac:dyDescent="0.25">
      <c r="A70">
        <v>3</v>
      </c>
      <c r="B70" t="s">
        <v>79</v>
      </c>
      <c r="C70" s="6">
        <v>0.24967</v>
      </c>
      <c r="D70" s="6">
        <v>0.363234</v>
      </c>
      <c r="E70" s="6"/>
      <c r="F70" s="6">
        <f t="shared" si="3"/>
        <v>1.6253517</v>
      </c>
      <c r="G70" s="6">
        <f t="shared" si="4"/>
        <v>3.2507033999999999</v>
      </c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25">
      <c r="A71">
        <v>1</v>
      </c>
      <c r="B71" t="s">
        <v>77</v>
      </c>
      <c r="C71" s="6">
        <v>445.29899999999998</v>
      </c>
      <c r="D71" s="6">
        <v>352.73</v>
      </c>
      <c r="E71" s="6"/>
      <c r="F71" s="6"/>
      <c r="G71" s="6"/>
      <c r="H71" s="1"/>
      <c r="R71" s="6"/>
      <c r="S71" s="6"/>
      <c r="T71" s="6"/>
      <c r="U71" s="6"/>
    </row>
    <row r="72" spans="1:21" x14ac:dyDescent="0.25">
      <c r="A72">
        <v>2</v>
      </c>
      <c r="B72" t="s">
        <v>78</v>
      </c>
      <c r="C72" s="6">
        <v>-162.42599999999999</v>
      </c>
      <c r="D72" s="6">
        <v>0.27532800000000002</v>
      </c>
      <c r="E72" s="6"/>
      <c r="F72" s="6"/>
      <c r="G72" s="6"/>
      <c r="H72" s="6"/>
      <c r="R72" s="6"/>
      <c r="S72" s="6"/>
      <c r="T72" s="6"/>
      <c r="U72" s="6"/>
    </row>
    <row r="73" spans="1:21" x14ac:dyDescent="0.25">
      <c r="A73">
        <v>3</v>
      </c>
      <c r="B73" t="s">
        <v>79</v>
      </c>
      <c r="C73" s="6">
        <v>0.244841</v>
      </c>
      <c r="D73" s="6">
        <v>0.37059599999999998</v>
      </c>
      <c r="E73" s="6"/>
      <c r="F73" s="6">
        <f t="shared" si="3"/>
        <v>1.5939149100000001</v>
      </c>
      <c r="G73" s="6">
        <f t="shared" si="4"/>
        <v>3.1878298200000001</v>
      </c>
      <c r="H73" s="6"/>
      <c r="R73" s="6"/>
      <c r="S73" s="6"/>
      <c r="T73" s="6"/>
      <c r="U73" s="6"/>
    </row>
    <row r="74" spans="1:21" x14ac:dyDescent="0.25">
      <c r="A74">
        <v>1</v>
      </c>
      <c r="B74" t="s">
        <v>77</v>
      </c>
      <c r="C74" s="6">
        <v>448.69299999999998</v>
      </c>
      <c r="D74" s="6">
        <v>359.61500000000001</v>
      </c>
      <c r="E74" s="6"/>
      <c r="F74" s="6"/>
      <c r="G74" s="6"/>
      <c r="H74" s="6"/>
      <c r="R74" s="6"/>
      <c r="S74" s="6"/>
      <c r="T74" s="6"/>
      <c r="U74" s="6"/>
    </row>
    <row r="75" spans="1:21" x14ac:dyDescent="0.25">
      <c r="A75">
        <v>2</v>
      </c>
      <c r="B75" t="s">
        <v>78</v>
      </c>
      <c r="C75" s="6">
        <v>-126.78</v>
      </c>
      <c r="D75" s="6">
        <v>0.26342399999999999</v>
      </c>
      <c r="E75" s="6"/>
      <c r="F75" s="6"/>
      <c r="G75" s="6"/>
      <c r="H75" s="6"/>
      <c r="R75" s="6"/>
      <c r="S75" s="6"/>
      <c r="T75" s="6"/>
      <c r="U75" s="6"/>
    </row>
    <row r="76" spans="1:21" x14ac:dyDescent="0.25">
      <c r="A76">
        <v>3</v>
      </c>
      <c r="B76" t="s">
        <v>79</v>
      </c>
      <c r="C76" s="6">
        <v>0.24959400000000001</v>
      </c>
      <c r="D76" s="6">
        <v>0.34907100000000002</v>
      </c>
      <c r="E76" s="6"/>
      <c r="F76" s="6">
        <f t="shared" si="3"/>
        <v>1.6248569399999999</v>
      </c>
      <c r="G76" s="6">
        <f t="shared" si="4"/>
        <v>3.2497138799999998</v>
      </c>
      <c r="H76" s="6"/>
      <c r="R76" s="6"/>
      <c r="S76" s="6"/>
      <c r="T76" s="6"/>
      <c r="U76" s="6"/>
    </row>
    <row r="77" spans="1:21" x14ac:dyDescent="0.25">
      <c r="A77" s="1">
        <v>1</v>
      </c>
      <c r="B77" s="1" t="s">
        <v>77</v>
      </c>
      <c r="C77" s="6">
        <v>37.942799999999998</v>
      </c>
      <c r="D77" s="6">
        <v>4.4953599999999998</v>
      </c>
      <c r="E77" s="6"/>
      <c r="F77" s="6"/>
      <c r="G77" s="6"/>
      <c r="H77" s="6"/>
      <c r="R77" s="6"/>
      <c r="S77" s="6"/>
      <c r="T77" s="6"/>
      <c r="U77" s="6"/>
    </row>
    <row r="78" spans="1:21" x14ac:dyDescent="0.25">
      <c r="A78" s="1">
        <v>2</v>
      </c>
      <c r="B78" s="1" t="s">
        <v>78</v>
      </c>
      <c r="C78" s="6">
        <v>-100.09099999999999</v>
      </c>
      <c r="D78" s="6">
        <v>3.6719300000000003E-2</v>
      </c>
      <c r="E78" s="6"/>
      <c r="F78" s="6"/>
      <c r="G78" s="6"/>
      <c r="H78" s="6"/>
      <c r="R78" s="6"/>
      <c r="S78" s="6"/>
      <c r="T78" s="6"/>
      <c r="U78" s="6"/>
    </row>
    <row r="79" spans="1:21" x14ac:dyDescent="0.25">
      <c r="A79" s="1">
        <v>3</v>
      </c>
      <c r="B79" s="1" t="s">
        <v>79</v>
      </c>
      <c r="C79" s="6">
        <v>0.41237099999999999</v>
      </c>
      <c r="D79" s="6">
        <v>3.3264000000000002E-2</v>
      </c>
      <c r="E79" s="6"/>
      <c r="F79" s="6">
        <f t="shared" si="3"/>
        <v>2.6845352099999999</v>
      </c>
      <c r="G79" s="6">
        <f t="shared" si="4"/>
        <v>5.3690704199999999</v>
      </c>
      <c r="H79" s="6"/>
      <c r="R79" s="6"/>
      <c r="S79" s="6"/>
      <c r="T79" s="6"/>
      <c r="U79" s="6"/>
    </row>
    <row r="80" spans="1:21" x14ac:dyDescent="0.25">
      <c r="A80">
        <v>1</v>
      </c>
      <c r="B80" t="s">
        <v>77</v>
      </c>
      <c r="C80" s="6">
        <v>1303.04</v>
      </c>
      <c r="D80" s="6">
        <v>609.51</v>
      </c>
      <c r="E80" s="6"/>
      <c r="F80" s="6"/>
      <c r="G80" s="6"/>
      <c r="H80" s="6"/>
      <c r="R80" s="6"/>
      <c r="S80" s="6"/>
      <c r="T80" s="6"/>
      <c r="U80" s="6"/>
    </row>
    <row r="81" spans="1:21" x14ac:dyDescent="0.25">
      <c r="A81">
        <v>2</v>
      </c>
      <c r="B81" t="s">
        <v>78</v>
      </c>
      <c r="C81" s="6">
        <v>-55.6248</v>
      </c>
      <c r="D81" s="6">
        <v>0.16178899999999999</v>
      </c>
      <c r="E81" s="6"/>
      <c r="F81" s="6"/>
      <c r="G81" s="6"/>
      <c r="H81" s="6"/>
      <c r="R81" s="6"/>
      <c r="S81" s="6"/>
      <c r="T81" s="6"/>
      <c r="U81" s="6"/>
    </row>
    <row r="82" spans="1:21" x14ac:dyDescent="0.25">
      <c r="A82">
        <v>3</v>
      </c>
      <c r="B82" t="s">
        <v>79</v>
      </c>
      <c r="C82" s="6">
        <v>0.24595700000000001</v>
      </c>
      <c r="D82" s="6">
        <v>0.22362899999999999</v>
      </c>
      <c r="E82" s="6"/>
      <c r="F82" s="6">
        <f t="shared" si="3"/>
        <v>1.6011800700000001</v>
      </c>
      <c r="G82" s="6">
        <f t="shared" si="4"/>
        <v>3.2023601400000001</v>
      </c>
      <c r="H82" s="6"/>
      <c r="R82" s="6"/>
      <c r="S82" s="6"/>
      <c r="T82" s="6"/>
      <c r="U82" s="6"/>
    </row>
    <row r="83" spans="1:21" x14ac:dyDescent="0.25">
      <c r="A83">
        <v>1</v>
      </c>
      <c r="B83" t="s">
        <v>77</v>
      </c>
      <c r="C83" s="6">
        <v>1311.93</v>
      </c>
      <c r="D83" s="6">
        <v>607.35299999999995</v>
      </c>
      <c r="E83" s="6"/>
      <c r="F83" s="6"/>
      <c r="G83" s="6"/>
      <c r="H83" s="6"/>
      <c r="R83" s="6"/>
      <c r="S83" s="6"/>
      <c r="T83" s="6"/>
      <c r="U83" s="6"/>
    </row>
    <row r="84" spans="1:21" x14ac:dyDescent="0.25">
      <c r="A84">
        <v>2</v>
      </c>
      <c r="B84" t="s">
        <v>78</v>
      </c>
      <c r="C84" s="6">
        <v>-36.419600000000003</v>
      </c>
      <c r="D84" s="6">
        <v>0.16167500000000001</v>
      </c>
      <c r="E84" s="6"/>
      <c r="F84" s="6"/>
      <c r="G84" s="6"/>
      <c r="H84" s="6"/>
      <c r="R84" s="6"/>
      <c r="S84" s="6"/>
      <c r="T84" s="6"/>
      <c r="U84" s="6"/>
    </row>
    <row r="85" spans="1:21" x14ac:dyDescent="0.25">
      <c r="A85">
        <v>3</v>
      </c>
      <c r="B85" t="s">
        <v>79</v>
      </c>
      <c r="C85" s="6">
        <v>0.249917</v>
      </c>
      <c r="D85" s="6">
        <v>0.22103900000000001</v>
      </c>
      <c r="E85" s="6"/>
      <c r="F85" s="6">
        <f t="shared" si="3"/>
        <v>1.62695967</v>
      </c>
      <c r="G85" s="6">
        <f t="shared" si="4"/>
        <v>3.2539193399999999</v>
      </c>
      <c r="H85" s="6"/>
      <c r="R85" s="6"/>
      <c r="S85" s="6"/>
      <c r="T85" s="6"/>
      <c r="U85" s="6"/>
    </row>
    <row r="86" spans="1:21" x14ac:dyDescent="0.25">
      <c r="A86">
        <v>1</v>
      </c>
      <c r="B86" t="s">
        <v>77</v>
      </c>
      <c r="C86" s="6">
        <v>1296.56</v>
      </c>
      <c r="D86" s="6">
        <v>606.66399999999999</v>
      </c>
      <c r="E86" s="6"/>
      <c r="F86" s="6"/>
      <c r="G86" s="6"/>
      <c r="H86" s="6"/>
      <c r="R86" s="6"/>
      <c r="S86" s="6"/>
      <c r="T86" s="6"/>
      <c r="U86" s="6"/>
    </row>
    <row r="87" spans="1:21" x14ac:dyDescent="0.25">
      <c r="A87">
        <v>2</v>
      </c>
      <c r="B87" t="s">
        <v>78</v>
      </c>
      <c r="C87" s="6">
        <v>10.370100000000001</v>
      </c>
      <c r="D87" s="6">
        <v>0.160248</v>
      </c>
      <c r="E87" s="6"/>
      <c r="F87" s="6"/>
      <c r="G87" s="6"/>
      <c r="H87" s="6"/>
      <c r="R87" s="6"/>
      <c r="S87" s="6"/>
      <c r="T87" s="6"/>
      <c r="U87" s="6"/>
    </row>
    <row r="88" spans="1:21" x14ac:dyDescent="0.25">
      <c r="A88">
        <v>3</v>
      </c>
      <c r="B88" t="s">
        <v>79</v>
      </c>
      <c r="C88" s="6">
        <v>0.24118100000000001</v>
      </c>
      <c r="D88" s="6">
        <v>0.22362599999999999</v>
      </c>
      <c r="E88" s="6"/>
      <c r="F88" s="6">
        <f t="shared" si="3"/>
        <v>1.57008831</v>
      </c>
      <c r="G88" s="6">
        <f t="shared" si="4"/>
        <v>3.1401766200000001</v>
      </c>
      <c r="H88" s="6"/>
      <c r="R88" s="6"/>
      <c r="S88" s="6"/>
      <c r="T88" s="6"/>
      <c r="U88" s="6"/>
    </row>
    <row r="89" spans="1:21" x14ac:dyDescent="0.25">
      <c r="A89">
        <v>1</v>
      </c>
      <c r="B89" t="s">
        <v>77</v>
      </c>
      <c r="C89" s="6">
        <v>275.71499999999997</v>
      </c>
      <c r="D89" s="6">
        <v>271.86099999999999</v>
      </c>
      <c r="E89" s="6"/>
      <c r="F89" s="6"/>
      <c r="G89" s="6"/>
      <c r="H89" s="6"/>
      <c r="R89" s="6"/>
      <c r="S89" s="6"/>
      <c r="T89" s="6"/>
      <c r="U89" s="6"/>
    </row>
    <row r="90" spans="1:21" x14ac:dyDescent="0.25">
      <c r="A90">
        <v>2</v>
      </c>
      <c r="B90" t="s">
        <v>78</v>
      </c>
      <c r="C90" s="6">
        <v>79.9786</v>
      </c>
      <c r="D90" s="6">
        <v>0.34991699999999998</v>
      </c>
      <c r="E90" s="6"/>
      <c r="F90" s="6"/>
      <c r="G90" s="6"/>
      <c r="H90" s="6"/>
      <c r="R90" s="6"/>
      <c r="S90" s="6"/>
      <c r="T90" s="6"/>
      <c r="U90" s="6"/>
    </row>
    <row r="91" spans="1:21" x14ac:dyDescent="0.25">
      <c r="A91">
        <v>3</v>
      </c>
      <c r="B91" t="s">
        <v>79</v>
      </c>
      <c r="C91" s="6">
        <v>0.248644</v>
      </c>
      <c r="D91" s="6">
        <v>0.454683</v>
      </c>
      <c r="E91" s="6"/>
      <c r="F91" s="6">
        <f t="shared" si="3"/>
        <v>1.6186724399999999</v>
      </c>
      <c r="G91" s="6">
        <f t="shared" si="4"/>
        <v>3.2373448799999998</v>
      </c>
      <c r="H91" s="6"/>
      <c r="R91" s="6"/>
      <c r="S91" s="6"/>
      <c r="T91" s="6"/>
      <c r="U91" s="6"/>
    </row>
    <row r="92" spans="1:21" x14ac:dyDescent="0.25">
      <c r="A92">
        <v>1</v>
      </c>
      <c r="B92" t="s">
        <v>77</v>
      </c>
      <c r="C92" s="6">
        <v>276.20100000000002</v>
      </c>
      <c r="D92" s="6">
        <v>269.80900000000003</v>
      </c>
      <c r="E92" s="6"/>
      <c r="F92" s="6"/>
      <c r="G92" s="6"/>
      <c r="H92" s="6"/>
      <c r="R92" s="6"/>
      <c r="S92" s="6"/>
      <c r="T92" s="6"/>
      <c r="U92" s="6"/>
    </row>
    <row r="93" spans="1:21" x14ac:dyDescent="0.25">
      <c r="A93">
        <v>2</v>
      </c>
      <c r="B93" t="s">
        <v>78</v>
      </c>
      <c r="C93" s="6">
        <v>109.98</v>
      </c>
      <c r="D93" s="6">
        <v>0.348416</v>
      </c>
      <c r="E93" s="6"/>
      <c r="F93" s="6"/>
      <c r="G93" s="6"/>
      <c r="H93" s="6"/>
      <c r="R93" s="6"/>
      <c r="S93" s="6"/>
      <c r="T93" s="6"/>
      <c r="U93" s="6"/>
    </row>
    <row r="94" spans="1:21" x14ac:dyDescent="0.25">
      <c r="A94">
        <v>3</v>
      </c>
      <c r="B94" t="s">
        <v>79</v>
      </c>
      <c r="C94" s="6">
        <v>0.24956200000000001</v>
      </c>
      <c r="D94" s="6">
        <v>0.45347500000000002</v>
      </c>
      <c r="E94" s="6"/>
      <c r="F94" s="6">
        <f t="shared" si="3"/>
        <v>1.6246486199999999</v>
      </c>
      <c r="G94" s="6">
        <f t="shared" si="4"/>
        <v>3.2492972399999998</v>
      </c>
      <c r="H94" s="6"/>
      <c r="R94" s="6"/>
      <c r="S94" s="6"/>
      <c r="T94" s="6"/>
      <c r="U94" s="6"/>
    </row>
    <row r="95" spans="1:21" x14ac:dyDescent="0.25">
      <c r="A95" s="1">
        <v>1</v>
      </c>
      <c r="B95" s="1" t="s">
        <v>77</v>
      </c>
      <c r="C95" s="6">
        <v>19.237400000000001</v>
      </c>
      <c r="D95" s="6">
        <v>2.4344700000000001</v>
      </c>
      <c r="E95" s="6"/>
      <c r="F95" s="6"/>
      <c r="G95" s="6"/>
      <c r="H95" s="6"/>
      <c r="R95" s="6"/>
      <c r="S95" s="6"/>
      <c r="T95" s="6"/>
      <c r="U95" s="6"/>
    </row>
    <row r="96" spans="1:21" x14ac:dyDescent="0.25">
      <c r="A96" s="1">
        <v>2</v>
      </c>
      <c r="B96" s="1" t="s">
        <v>78</v>
      </c>
      <c r="C96" s="6">
        <v>145.80000000000001</v>
      </c>
      <c r="D96" s="6">
        <v>6.9627400000000006E-2</v>
      </c>
      <c r="E96" s="6"/>
      <c r="F96" s="6"/>
      <c r="G96" s="6"/>
      <c r="H96" s="6"/>
      <c r="R96" s="6"/>
      <c r="S96" s="6"/>
      <c r="T96" s="6"/>
      <c r="U96" s="6"/>
    </row>
    <row r="97" spans="1:21" x14ac:dyDescent="0.25">
      <c r="A97" s="1">
        <v>3</v>
      </c>
      <c r="B97" s="1" t="s">
        <v>79</v>
      </c>
      <c r="C97" s="6">
        <v>0.72456100000000001</v>
      </c>
      <c r="D97" s="6">
        <v>6.5140400000000001E-2</v>
      </c>
      <c r="E97" s="6"/>
      <c r="F97" s="6">
        <f t="shared" si="3"/>
        <v>4.7168921099999999</v>
      </c>
      <c r="G97" s="6">
        <f t="shared" si="4"/>
        <v>9.4337842199999997</v>
      </c>
      <c r="H97" s="6"/>
      <c r="R97" s="6"/>
      <c r="S97" s="6"/>
      <c r="T97" s="6"/>
      <c r="U97" s="6"/>
    </row>
    <row r="98" spans="1:21" x14ac:dyDescent="0.25">
      <c r="A98">
        <v>1</v>
      </c>
      <c r="B98" t="s">
        <v>77</v>
      </c>
      <c r="C98" s="6">
        <v>276.52300000000002</v>
      </c>
      <c r="D98" s="6">
        <v>261.19400000000002</v>
      </c>
      <c r="E98" s="6"/>
      <c r="F98" s="6"/>
      <c r="G98" s="6"/>
      <c r="H98" s="6"/>
      <c r="R98" s="6"/>
      <c r="S98" s="6"/>
      <c r="T98" s="6"/>
      <c r="U98" s="6"/>
    </row>
    <row r="99" spans="1:21" x14ac:dyDescent="0.25">
      <c r="A99">
        <v>2</v>
      </c>
      <c r="B99" t="s">
        <v>78</v>
      </c>
      <c r="C99" s="6">
        <v>172.381</v>
      </c>
      <c r="D99" s="6">
        <v>0.34553200000000001</v>
      </c>
      <c r="E99" s="6"/>
      <c r="F99" s="6"/>
      <c r="G99" s="6"/>
      <c r="H99" s="6"/>
      <c r="R99" s="6"/>
      <c r="S99" s="6"/>
      <c r="T99" s="6"/>
      <c r="U99" s="6"/>
    </row>
    <row r="100" spans="1:21" x14ac:dyDescent="0.25">
      <c r="A100">
        <v>3</v>
      </c>
      <c r="B100" t="s">
        <v>79</v>
      </c>
      <c r="C100" s="6">
        <v>0.25013000000000002</v>
      </c>
      <c r="D100" s="6">
        <v>0.44999899999999998</v>
      </c>
      <c r="E100" s="6"/>
      <c r="F100" s="6">
        <f t="shared" si="3"/>
        <v>1.6283463</v>
      </c>
      <c r="G100" s="6">
        <f t="shared" si="4"/>
        <v>3.2566926</v>
      </c>
      <c r="H100" s="6"/>
      <c r="R100" s="6"/>
      <c r="S100" s="6"/>
      <c r="T100" s="6"/>
      <c r="U100" s="6"/>
    </row>
    <row r="101" spans="1:21" x14ac:dyDescent="0.25">
      <c r="A101">
        <v>1</v>
      </c>
      <c r="B101" t="s">
        <v>77</v>
      </c>
      <c r="C101" s="6">
        <v>273.12299999999999</v>
      </c>
      <c r="D101" s="6">
        <v>248.167</v>
      </c>
      <c r="E101" s="6"/>
      <c r="F101" s="6"/>
      <c r="G101" s="6"/>
      <c r="H101" s="6"/>
      <c r="R101" s="6"/>
      <c r="S101" s="6"/>
      <c r="T101" s="6"/>
      <c r="U101" s="6"/>
    </row>
    <row r="102" spans="1:21" x14ac:dyDescent="0.25">
      <c r="A102">
        <v>2</v>
      </c>
      <c r="B102" t="s">
        <v>78</v>
      </c>
      <c r="C102" s="6">
        <v>226.37</v>
      </c>
      <c r="D102" s="6">
        <v>0.338642</v>
      </c>
      <c r="E102" s="6"/>
      <c r="F102" s="6"/>
      <c r="G102" s="6"/>
      <c r="H102" s="6"/>
      <c r="R102" s="6"/>
      <c r="S102" s="6"/>
      <c r="T102" s="6"/>
      <c r="U102" s="6"/>
    </row>
    <row r="103" spans="1:21" x14ac:dyDescent="0.25">
      <c r="A103">
        <v>3</v>
      </c>
      <c r="B103" t="s">
        <v>79</v>
      </c>
      <c r="C103" s="6">
        <v>0.24098</v>
      </c>
      <c r="D103" s="6">
        <v>0.44967299999999999</v>
      </c>
      <c r="E103" s="6"/>
      <c r="F103" s="6">
        <f t="shared" si="3"/>
        <v>1.5687797999999999</v>
      </c>
      <c r="G103" s="6">
        <f t="shared" si="4"/>
        <v>3.1375595999999999</v>
      </c>
      <c r="H103" s="6"/>
      <c r="R103" s="6"/>
      <c r="S103" s="6"/>
      <c r="T103" s="6"/>
      <c r="U103" s="6"/>
    </row>
    <row r="104" spans="1:21" x14ac:dyDescent="0.25">
      <c r="A104">
        <v>1</v>
      </c>
      <c r="B104" t="s">
        <v>77</v>
      </c>
      <c r="C104" s="6">
        <v>278.67200000000003</v>
      </c>
      <c r="D104" s="6">
        <v>252.46799999999999</v>
      </c>
      <c r="E104" s="6"/>
      <c r="F104" s="6"/>
      <c r="G104" s="6"/>
      <c r="H104" s="6"/>
      <c r="R104" s="6"/>
      <c r="S104" s="6"/>
      <c r="T104" s="6"/>
      <c r="U104" s="6"/>
    </row>
    <row r="105" spans="1:21" x14ac:dyDescent="0.25">
      <c r="A105">
        <v>2</v>
      </c>
      <c r="B105" t="s">
        <v>78</v>
      </c>
      <c r="C105" s="6">
        <v>279.18599999999998</v>
      </c>
      <c r="D105" s="6">
        <v>0.34049200000000002</v>
      </c>
      <c r="E105" s="6"/>
      <c r="F105" s="6"/>
      <c r="G105" s="6"/>
      <c r="H105" s="6"/>
      <c r="R105" s="6"/>
      <c r="S105" s="6"/>
      <c r="T105" s="6"/>
      <c r="U105" s="6"/>
    </row>
    <row r="106" spans="1:21" x14ac:dyDescent="0.25">
      <c r="A106">
        <v>3</v>
      </c>
      <c r="B106" t="s">
        <v>79</v>
      </c>
      <c r="C106" s="6">
        <v>0.25329600000000002</v>
      </c>
      <c r="D106" s="6">
        <v>0.441666</v>
      </c>
      <c r="E106" s="6"/>
      <c r="F106" s="6">
        <f t="shared" si="3"/>
        <v>1.64895696</v>
      </c>
      <c r="G106" s="6">
        <f t="shared" si="4"/>
        <v>3.2979139200000001</v>
      </c>
      <c r="H106" s="6"/>
      <c r="R106" s="6"/>
      <c r="S106" s="6"/>
      <c r="T106" s="6"/>
      <c r="U106" s="6"/>
    </row>
    <row r="107" spans="1:21" x14ac:dyDescent="0.25">
      <c r="A107">
        <v>1</v>
      </c>
      <c r="B107" t="s">
        <v>77</v>
      </c>
      <c r="C107" s="6">
        <v>274.05900000000003</v>
      </c>
      <c r="D107" s="6">
        <v>272.95999999999998</v>
      </c>
      <c r="E107" s="6"/>
      <c r="F107" s="6"/>
      <c r="G107" s="6"/>
      <c r="H107" s="6"/>
      <c r="R107" s="6"/>
      <c r="S107" s="6"/>
      <c r="T107" s="6"/>
      <c r="U107" s="6"/>
    </row>
    <row r="108" spans="1:21" x14ac:dyDescent="0.25">
      <c r="A108">
        <v>2</v>
      </c>
      <c r="B108" t="s">
        <v>78</v>
      </c>
      <c r="C108" s="6">
        <v>300.774</v>
      </c>
      <c r="D108" s="6">
        <v>0.34938900000000001</v>
      </c>
      <c r="E108" s="6"/>
      <c r="F108" s="6"/>
      <c r="G108" s="6"/>
      <c r="H108" s="6"/>
      <c r="R108" s="6"/>
      <c r="S108" s="6"/>
      <c r="T108" s="6"/>
      <c r="U108" s="6"/>
    </row>
    <row r="109" spans="1:21" x14ac:dyDescent="0.25">
      <c r="A109">
        <v>3</v>
      </c>
      <c r="B109" t="s">
        <v>79</v>
      </c>
      <c r="C109" s="6">
        <v>0.24462800000000001</v>
      </c>
      <c r="D109" s="6">
        <v>0.45778799999999997</v>
      </c>
      <c r="E109" s="6"/>
      <c r="F109" s="6">
        <f t="shared" si="3"/>
        <v>1.59252828</v>
      </c>
      <c r="G109" s="6">
        <f t="shared" si="4"/>
        <v>3.18505656</v>
      </c>
      <c r="H109" s="6"/>
      <c r="R109" s="6"/>
      <c r="S109" s="6"/>
      <c r="T109" s="6"/>
      <c r="U109" s="6"/>
    </row>
    <row r="110" spans="1:21" x14ac:dyDescent="0.25">
      <c r="A110">
        <v>1</v>
      </c>
      <c r="B110" t="s">
        <v>77</v>
      </c>
      <c r="C110" s="6">
        <v>274.30399999999997</v>
      </c>
      <c r="D110" s="6">
        <v>272.76900000000001</v>
      </c>
      <c r="E110" s="6"/>
      <c r="F110" s="6"/>
      <c r="G110" s="6"/>
      <c r="H110" s="6"/>
      <c r="R110" s="6"/>
      <c r="S110" s="6"/>
      <c r="T110" s="6"/>
      <c r="U110" s="6"/>
    </row>
    <row r="111" spans="1:21" x14ac:dyDescent="0.25">
      <c r="A111">
        <v>2</v>
      </c>
      <c r="B111" t="s">
        <v>78</v>
      </c>
      <c r="C111" s="6">
        <v>316.375</v>
      </c>
      <c r="D111" s="6">
        <v>0.34963100000000003</v>
      </c>
      <c r="E111" s="6"/>
      <c r="F111" s="6"/>
      <c r="G111" s="6"/>
      <c r="H111" s="6"/>
      <c r="R111" s="6"/>
      <c r="S111" s="6"/>
      <c r="T111" s="6"/>
      <c r="U111" s="6"/>
    </row>
    <row r="112" spans="1:21" x14ac:dyDescent="0.25">
      <c r="A112">
        <v>3</v>
      </c>
      <c r="B112" t="s">
        <v>79</v>
      </c>
      <c r="C112" s="6">
        <v>0.24534900000000001</v>
      </c>
      <c r="D112" s="6">
        <v>0.45752599999999999</v>
      </c>
      <c r="E112" s="6"/>
      <c r="F112" s="6">
        <f t="shared" si="3"/>
        <v>1.59722199</v>
      </c>
      <c r="G112" s="6">
        <f t="shared" si="4"/>
        <v>3.19444398</v>
      </c>
      <c r="H112" s="6"/>
      <c r="R112" s="6"/>
      <c r="S112" s="6"/>
      <c r="T112" s="6"/>
      <c r="U112" s="6"/>
    </row>
    <row r="113" spans="1:21" x14ac:dyDescent="0.25">
      <c r="A113">
        <v>1</v>
      </c>
      <c r="B113" t="s">
        <v>77</v>
      </c>
      <c r="C113" s="6">
        <v>277.68299999999999</v>
      </c>
      <c r="D113" s="6">
        <v>243.613</v>
      </c>
      <c r="E113" s="6"/>
      <c r="F113" s="6"/>
      <c r="G113" s="6"/>
      <c r="H113" s="6"/>
      <c r="R113" s="6"/>
      <c r="S113" s="6"/>
      <c r="T113" s="6"/>
      <c r="U113" s="6"/>
    </row>
    <row r="114" spans="1:21" x14ac:dyDescent="0.25">
      <c r="A114">
        <v>2</v>
      </c>
      <c r="B114" t="s">
        <v>78</v>
      </c>
      <c r="C114" s="6">
        <v>348.78300000000002</v>
      </c>
      <c r="D114" s="6">
        <v>0.338505</v>
      </c>
      <c r="E114" s="6"/>
      <c r="F114" s="6"/>
      <c r="G114" s="6"/>
      <c r="H114" s="6"/>
      <c r="R114" s="6"/>
      <c r="S114" s="6"/>
      <c r="T114" s="6"/>
      <c r="U114" s="6"/>
    </row>
    <row r="115" spans="1:21" x14ac:dyDescent="0.25">
      <c r="A115">
        <v>3</v>
      </c>
      <c r="B115" t="s">
        <v>79</v>
      </c>
      <c r="C115" s="6">
        <v>0.25195200000000001</v>
      </c>
      <c r="D115" s="6">
        <v>0.44234099999999998</v>
      </c>
      <c r="E115" s="6"/>
      <c r="F115" s="6">
        <f t="shared" si="3"/>
        <v>1.6402075199999999</v>
      </c>
      <c r="G115" s="6">
        <f t="shared" si="4"/>
        <v>3.2804150399999998</v>
      </c>
      <c r="H115" s="6"/>
      <c r="R115" s="6"/>
      <c r="S115" s="6"/>
      <c r="T115" s="6"/>
      <c r="U115" s="6"/>
    </row>
    <row r="116" spans="1:21" x14ac:dyDescent="0.25">
      <c r="A116">
        <v>1</v>
      </c>
      <c r="B116" t="s">
        <v>77</v>
      </c>
      <c r="C116" s="6">
        <v>277.87299999999999</v>
      </c>
      <c r="D116" s="6">
        <v>241.899</v>
      </c>
      <c r="E116" s="6"/>
      <c r="F116" s="6"/>
      <c r="G116" s="6"/>
      <c r="H116" s="6"/>
      <c r="R116" s="6"/>
      <c r="S116" s="6"/>
      <c r="T116" s="6"/>
      <c r="U116" s="6"/>
    </row>
    <row r="117" spans="1:21" x14ac:dyDescent="0.25">
      <c r="A117">
        <v>2</v>
      </c>
      <c r="B117" t="s">
        <v>78</v>
      </c>
      <c r="C117" s="6">
        <v>370.38400000000001</v>
      </c>
      <c r="D117" s="6">
        <v>0.33771600000000002</v>
      </c>
      <c r="E117" s="6"/>
      <c r="F117" s="6"/>
      <c r="G117" s="6"/>
      <c r="H117" s="6"/>
      <c r="R117" s="6"/>
      <c r="S117" s="6"/>
      <c r="T117" s="6"/>
      <c r="U117" s="6"/>
    </row>
    <row r="118" spans="1:21" x14ac:dyDescent="0.25">
      <c r="A118">
        <v>3</v>
      </c>
      <c r="B118" t="s">
        <v>79</v>
      </c>
      <c r="C118" s="6">
        <v>0.25222299999999997</v>
      </c>
      <c r="D118" s="6">
        <v>0.44140600000000002</v>
      </c>
      <c r="E118" s="6"/>
      <c r="F118" s="6">
        <f t="shared" si="3"/>
        <v>1.6419717299999999</v>
      </c>
      <c r="G118" s="6">
        <f t="shared" si="4"/>
        <v>3.2839434599999997</v>
      </c>
      <c r="H118" s="6"/>
      <c r="R118" s="6"/>
      <c r="S118" s="6"/>
      <c r="T118" s="6"/>
      <c r="U118" s="6"/>
    </row>
    <row r="119" spans="1:21" x14ac:dyDescent="0.25">
      <c r="D119" s="6"/>
      <c r="E119" s="6"/>
      <c r="F119" s="6"/>
      <c r="G119" s="6"/>
      <c r="H119" s="6"/>
      <c r="R119" s="6"/>
      <c r="S119" s="6"/>
      <c r="T119" s="6"/>
      <c r="U119" s="6"/>
    </row>
    <row r="120" spans="1:21" x14ac:dyDescent="0.25">
      <c r="D120" s="6"/>
      <c r="E120" s="6"/>
      <c r="F120" s="6"/>
      <c r="G120" s="6"/>
      <c r="H120" s="6"/>
      <c r="R120" s="6"/>
      <c r="S120" s="6"/>
      <c r="T120" s="6"/>
      <c r="U120" s="6"/>
    </row>
    <row r="121" spans="1:21" x14ac:dyDescent="0.25">
      <c r="D121" s="6"/>
      <c r="E121" s="6"/>
      <c r="F121" s="6"/>
      <c r="G121" s="6"/>
      <c r="H121" s="6"/>
      <c r="R121" s="6"/>
      <c r="S121" s="6"/>
      <c r="T121" s="6"/>
      <c r="U121" s="6"/>
    </row>
    <row r="122" spans="1:21" x14ac:dyDescent="0.25">
      <c r="A122" s="87"/>
      <c r="B122" s="87"/>
      <c r="C122" s="87"/>
      <c r="D122" s="87"/>
      <c r="E122" s="87"/>
      <c r="F122" s="6"/>
      <c r="J122" s="44"/>
      <c r="K122" s="44"/>
      <c r="M122" s="44"/>
      <c r="R122" s="6"/>
      <c r="S122" s="6"/>
      <c r="T122" s="6"/>
      <c r="U122" s="6"/>
    </row>
    <row r="123" spans="1:21" x14ac:dyDescent="0.25">
      <c r="A123" s="87"/>
      <c r="B123" s="87"/>
      <c r="C123" s="87"/>
      <c r="D123" s="87"/>
      <c r="E123" s="87"/>
      <c r="J123" s="44"/>
      <c r="K123" s="44"/>
      <c r="L123" s="1"/>
      <c r="M123" s="44"/>
      <c r="N123" s="1"/>
      <c r="R123" s="6"/>
      <c r="S123" s="6"/>
      <c r="T123" s="6"/>
      <c r="U123" s="6"/>
    </row>
    <row r="124" spans="1:21" x14ac:dyDescent="0.25">
      <c r="A124" s="87"/>
      <c r="B124" s="87"/>
      <c r="C124" s="87"/>
      <c r="D124" s="87"/>
      <c r="E124" s="87"/>
      <c r="J124" s="44"/>
      <c r="K124" s="44"/>
      <c r="L124" s="1"/>
      <c r="M124" s="44"/>
      <c r="N124" s="1"/>
      <c r="R124" s="6"/>
      <c r="S124" s="6"/>
      <c r="T124" s="6"/>
      <c r="U124" s="6"/>
    </row>
    <row r="125" spans="1:21" x14ac:dyDescent="0.25">
      <c r="A125" s="87"/>
      <c r="B125" s="87"/>
      <c r="C125" s="87"/>
      <c r="D125" s="87"/>
      <c r="E125" s="87"/>
      <c r="J125" s="44"/>
      <c r="K125" s="44"/>
      <c r="L125" s="1"/>
      <c r="M125" s="44"/>
      <c r="N125" s="1"/>
      <c r="O125" s="6"/>
      <c r="P125" s="6"/>
      <c r="Q125" s="6"/>
      <c r="R125" s="6"/>
      <c r="S125" s="6"/>
      <c r="T125" s="6"/>
      <c r="U125" s="6"/>
    </row>
    <row r="126" spans="1:21" x14ac:dyDescent="0.25">
      <c r="A126" s="87"/>
      <c r="B126" s="87"/>
      <c r="C126" s="87"/>
      <c r="D126" s="87"/>
      <c r="E126" s="87"/>
      <c r="J126" s="44"/>
      <c r="K126" s="44"/>
      <c r="L126" s="1"/>
      <c r="M126" s="44"/>
      <c r="N126" s="1"/>
      <c r="O126" s="6"/>
      <c r="P126" s="6"/>
      <c r="Q126" s="6"/>
      <c r="R126" s="6"/>
      <c r="S126" s="6"/>
      <c r="T126" s="6"/>
      <c r="U126" s="6"/>
    </row>
    <row r="127" spans="1:21" x14ac:dyDescent="0.25">
      <c r="A127" s="87"/>
      <c r="B127" s="87"/>
      <c r="C127" s="87"/>
      <c r="D127" s="87"/>
      <c r="E127" s="87"/>
      <c r="J127" s="44"/>
      <c r="K127" s="44"/>
      <c r="L127" s="1"/>
      <c r="M127" s="44"/>
      <c r="N127" s="1"/>
      <c r="O127" s="6"/>
      <c r="P127" s="6"/>
      <c r="Q127" s="6"/>
      <c r="R127" s="6"/>
      <c r="S127" s="6"/>
      <c r="T127" s="6"/>
      <c r="U127" s="6"/>
    </row>
    <row r="128" spans="1:21" x14ac:dyDescent="0.25">
      <c r="A128" s="87"/>
      <c r="B128" s="87"/>
      <c r="C128" s="87"/>
      <c r="D128" s="87"/>
      <c r="E128" s="87"/>
      <c r="J128" s="44"/>
      <c r="K128" s="44"/>
      <c r="L128" s="1"/>
      <c r="M128" s="44"/>
      <c r="N128" s="1"/>
      <c r="O128" s="6"/>
      <c r="P128" s="6"/>
      <c r="Q128" s="6"/>
      <c r="R128" s="6"/>
      <c r="S128" s="6"/>
      <c r="T128" s="6"/>
      <c r="U128" s="6"/>
    </row>
    <row r="129" spans="1:21" x14ac:dyDescent="0.25">
      <c r="A129" s="87"/>
      <c r="B129" s="87"/>
      <c r="C129" s="87"/>
      <c r="D129" s="87"/>
      <c r="E129" s="87"/>
      <c r="J129" s="44"/>
      <c r="K129" s="44"/>
      <c r="L129" s="1"/>
      <c r="M129" s="44"/>
      <c r="N129" s="1"/>
      <c r="O129" s="6"/>
      <c r="P129" s="6"/>
      <c r="Q129" s="6"/>
      <c r="R129" s="6"/>
      <c r="S129" s="6"/>
      <c r="T129" s="6"/>
      <c r="U129" s="6"/>
    </row>
    <row r="130" spans="1:21" x14ac:dyDescent="0.25">
      <c r="A130" s="87"/>
      <c r="B130" s="87"/>
      <c r="C130" s="87"/>
      <c r="D130" s="87"/>
      <c r="E130" s="87"/>
      <c r="J130" s="44"/>
      <c r="K130" s="44"/>
      <c r="L130" s="1"/>
      <c r="M130" s="44"/>
      <c r="N130" s="1"/>
      <c r="O130" s="6"/>
      <c r="P130" s="6"/>
      <c r="Q130" s="6"/>
      <c r="R130" s="6"/>
      <c r="S130" s="6"/>
      <c r="T130" s="6"/>
      <c r="U130" s="6"/>
    </row>
    <row r="131" spans="1:21" x14ac:dyDescent="0.25">
      <c r="A131" s="87"/>
      <c r="B131" s="87"/>
      <c r="C131" s="87"/>
      <c r="D131" s="87"/>
      <c r="E131" s="87"/>
      <c r="J131" s="44"/>
      <c r="K131" s="44"/>
      <c r="L131" s="1"/>
      <c r="M131" s="44"/>
      <c r="N131" s="1"/>
      <c r="O131" s="6"/>
      <c r="P131" s="6"/>
      <c r="Q131" s="6"/>
      <c r="R131" s="6"/>
      <c r="S131" s="6"/>
      <c r="T131" s="6"/>
      <c r="U131" s="6"/>
    </row>
    <row r="132" spans="1:21" x14ac:dyDescent="0.25">
      <c r="A132" s="87"/>
      <c r="B132" s="87"/>
      <c r="C132" s="87"/>
      <c r="D132" s="87"/>
      <c r="E132" s="87"/>
      <c r="J132" s="44"/>
      <c r="K132" s="44"/>
      <c r="L132" s="1"/>
      <c r="M132" s="44"/>
      <c r="N132" s="1"/>
      <c r="O132" s="6"/>
      <c r="P132" s="6"/>
      <c r="Q132" s="6"/>
      <c r="R132" s="6"/>
      <c r="S132" s="6"/>
      <c r="T132" s="6"/>
      <c r="U132" s="6"/>
    </row>
    <row r="133" spans="1:21" x14ac:dyDescent="0.25">
      <c r="A133" s="87"/>
      <c r="B133" s="87"/>
      <c r="C133" s="87"/>
      <c r="D133" s="87"/>
      <c r="E133" s="87"/>
      <c r="J133" s="44"/>
      <c r="K133" s="44"/>
      <c r="L133" s="1"/>
      <c r="M133" s="44"/>
      <c r="N133" s="1"/>
      <c r="O133" s="6"/>
      <c r="P133" s="6"/>
      <c r="Q133" s="6"/>
      <c r="R133" s="6"/>
      <c r="S133" s="6"/>
      <c r="T133" s="6"/>
      <c r="U133" s="6"/>
    </row>
    <row r="134" spans="1:21" x14ac:dyDescent="0.25">
      <c r="A134" s="87"/>
      <c r="B134" s="87"/>
      <c r="C134" s="87"/>
      <c r="D134" s="87"/>
      <c r="E134" s="87"/>
      <c r="J134" s="44"/>
      <c r="K134" s="44"/>
      <c r="L134" s="1"/>
      <c r="M134" s="44"/>
      <c r="N134" s="1"/>
      <c r="O134" s="6"/>
      <c r="P134" s="6"/>
      <c r="Q134" s="6"/>
      <c r="R134" s="6"/>
      <c r="S134" s="6"/>
      <c r="T134" s="6"/>
      <c r="U134" s="6"/>
    </row>
    <row r="135" spans="1:21" x14ac:dyDescent="0.25">
      <c r="A135" s="87"/>
      <c r="B135" s="87"/>
      <c r="C135" s="87"/>
      <c r="D135" s="87"/>
      <c r="E135" s="87"/>
      <c r="J135" s="44"/>
      <c r="K135" s="44"/>
      <c r="L135" s="1"/>
      <c r="M135" s="44"/>
      <c r="N135" s="1"/>
      <c r="O135" s="6"/>
      <c r="P135" s="6"/>
      <c r="Q135" s="6"/>
      <c r="R135" s="6"/>
      <c r="S135" s="6"/>
      <c r="T135" s="6"/>
      <c r="U135" s="6"/>
    </row>
    <row r="136" spans="1:21" x14ac:dyDescent="0.25">
      <c r="A136" s="87"/>
      <c r="B136" s="87"/>
      <c r="C136" s="87"/>
      <c r="D136" s="87"/>
      <c r="E136" s="87"/>
      <c r="J136" s="44"/>
      <c r="K136" s="44"/>
      <c r="L136" s="1"/>
      <c r="M136" s="44"/>
      <c r="N136" s="1"/>
      <c r="O136" s="6"/>
      <c r="P136" s="6"/>
      <c r="Q136" s="6"/>
      <c r="R136" s="6"/>
      <c r="S136" s="6"/>
      <c r="T136" s="6"/>
      <c r="U136" s="6"/>
    </row>
    <row r="137" spans="1:21" x14ac:dyDescent="0.25">
      <c r="A137" s="87"/>
      <c r="B137" s="87"/>
      <c r="C137" s="87"/>
      <c r="D137" s="87"/>
      <c r="E137" s="87"/>
      <c r="J137" s="44"/>
      <c r="K137" s="44"/>
      <c r="L137" s="1"/>
      <c r="M137" s="44"/>
      <c r="N137" s="1"/>
      <c r="O137" s="6"/>
      <c r="P137" s="6"/>
      <c r="Q137" s="6"/>
      <c r="R137" s="6"/>
      <c r="S137" s="6"/>
      <c r="T137" s="6"/>
      <c r="U137" s="6"/>
    </row>
    <row r="138" spans="1:21" x14ac:dyDescent="0.25">
      <c r="A138" s="87"/>
      <c r="B138" s="87"/>
      <c r="C138" s="87"/>
      <c r="D138" s="87"/>
      <c r="E138" s="87"/>
      <c r="J138" s="44"/>
      <c r="K138" s="44"/>
      <c r="L138" s="1"/>
      <c r="M138" s="44"/>
      <c r="N138" s="1"/>
      <c r="O138" s="6"/>
      <c r="P138" s="6"/>
      <c r="Q138" s="6"/>
      <c r="R138" s="6"/>
      <c r="S138" s="6"/>
      <c r="T138" s="6"/>
      <c r="U138" s="6"/>
    </row>
    <row r="139" spans="1:21" x14ac:dyDescent="0.25">
      <c r="A139" s="87"/>
      <c r="B139" s="87"/>
      <c r="C139" s="87"/>
      <c r="D139" s="87"/>
      <c r="E139" s="87"/>
      <c r="J139" s="44"/>
      <c r="K139" s="44"/>
      <c r="L139" s="1"/>
      <c r="M139" s="44"/>
      <c r="N139" s="1"/>
      <c r="O139" s="6"/>
      <c r="P139" s="6"/>
      <c r="Q139" s="6"/>
      <c r="R139" s="6"/>
      <c r="S139" s="6"/>
      <c r="T139" s="6"/>
      <c r="U139" s="6"/>
    </row>
    <row r="140" spans="1:21" x14ac:dyDescent="0.25">
      <c r="A140" s="87"/>
      <c r="B140" s="87"/>
      <c r="C140" s="87"/>
      <c r="D140" s="87"/>
      <c r="E140" s="87"/>
      <c r="J140" s="44"/>
      <c r="K140" s="44"/>
      <c r="L140" s="1"/>
      <c r="M140" s="44"/>
      <c r="N140" s="1"/>
      <c r="O140" s="6"/>
      <c r="P140" s="6"/>
      <c r="Q140" s="6"/>
      <c r="R140" s="6"/>
      <c r="S140" s="6"/>
      <c r="T140" s="6"/>
      <c r="U140" s="6"/>
    </row>
    <row r="141" spans="1:21" x14ac:dyDescent="0.25">
      <c r="A141" s="87"/>
      <c r="B141" s="87"/>
      <c r="C141" s="87"/>
      <c r="D141" s="87"/>
      <c r="E141" s="87"/>
      <c r="J141" s="44"/>
      <c r="K141" s="44"/>
      <c r="L141" s="1"/>
      <c r="M141" s="44"/>
      <c r="N141" s="1"/>
      <c r="O141" s="6"/>
      <c r="P141" s="6"/>
      <c r="Q141" s="6"/>
      <c r="R141" s="6"/>
      <c r="S141" s="6"/>
      <c r="T141" s="6"/>
      <c r="U141" s="6"/>
    </row>
    <row r="142" spans="1:21" x14ac:dyDescent="0.25">
      <c r="A142" s="87"/>
      <c r="B142" s="87"/>
      <c r="C142" s="87"/>
      <c r="D142" s="87"/>
      <c r="E142" s="87"/>
      <c r="J142" s="44"/>
      <c r="K142" s="44"/>
      <c r="L142" s="1"/>
      <c r="M142" s="44"/>
      <c r="N142" s="1"/>
      <c r="O142" s="6"/>
      <c r="P142" s="6"/>
      <c r="Q142" s="6"/>
      <c r="R142" s="6"/>
      <c r="S142" s="6"/>
      <c r="T142" s="6"/>
      <c r="U142" s="6"/>
    </row>
    <row r="143" spans="1:21" x14ac:dyDescent="0.25">
      <c r="M143" s="6"/>
      <c r="N143" s="6"/>
      <c r="O143" s="6"/>
      <c r="P143" s="6"/>
      <c r="Q143" s="6"/>
      <c r="R143" s="6"/>
      <c r="S143" s="6"/>
      <c r="T143" s="6"/>
      <c r="U143" s="6"/>
    </row>
    <row r="144" spans="1:21" x14ac:dyDescent="0.25">
      <c r="A144" s="44"/>
      <c r="B144" s="44"/>
      <c r="C144" s="44"/>
      <c r="D144" s="44"/>
      <c r="M144" s="6"/>
      <c r="N144" s="6"/>
      <c r="O144" s="6"/>
      <c r="P144" s="6"/>
      <c r="Q144" s="6"/>
      <c r="R144" s="6"/>
      <c r="S144" s="6"/>
      <c r="T144" s="6"/>
      <c r="U144" s="6"/>
    </row>
    <row r="145" spans="1:21" x14ac:dyDescent="0.25">
      <c r="A145" s="44"/>
      <c r="B145" s="44"/>
      <c r="C145" s="44"/>
      <c r="D145" s="44"/>
      <c r="M145" s="6"/>
      <c r="N145" s="6"/>
      <c r="O145" s="6"/>
      <c r="P145" s="6"/>
      <c r="Q145" s="6"/>
      <c r="R145" s="6"/>
      <c r="S145" s="6"/>
      <c r="T145" s="6"/>
      <c r="U145" s="6"/>
    </row>
    <row r="146" spans="1:21" x14ac:dyDescent="0.25">
      <c r="A146" s="44"/>
      <c r="M146" s="6"/>
      <c r="N146" s="6"/>
      <c r="O146" s="6"/>
      <c r="P146" s="6"/>
      <c r="Q146" s="6"/>
      <c r="R146" s="6"/>
      <c r="S146" s="6"/>
      <c r="T146" s="6"/>
      <c r="U146" s="6"/>
    </row>
    <row r="147" spans="1:21" x14ac:dyDescent="0.25">
      <c r="A147" s="44"/>
      <c r="B147" s="44"/>
      <c r="C147" s="44"/>
      <c r="D147" s="44"/>
      <c r="M147" s="6"/>
      <c r="N147" s="6"/>
      <c r="O147" s="6"/>
      <c r="P147" s="6"/>
      <c r="Q147" s="6"/>
      <c r="R147" s="6"/>
      <c r="S147" s="6"/>
      <c r="T147" s="6"/>
      <c r="U147" s="6"/>
    </row>
    <row r="148" spans="1:21" x14ac:dyDescent="0.25">
      <c r="A148" s="44"/>
      <c r="B148" s="44"/>
      <c r="C148" s="44"/>
      <c r="D148" s="44"/>
      <c r="M148" s="6"/>
      <c r="N148" s="6"/>
      <c r="O148" s="6"/>
      <c r="P148" s="6"/>
      <c r="Q148" s="6"/>
      <c r="R148" s="6"/>
      <c r="S148" s="6"/>
      <c r="T148" s="6"/>
      <c r="U148" s="6"/>
    </row>
    <row r="149" spans="1:21" x14ac:dyDescent="0.25">
      <c r="A149" s="44"/>
      <c r="B149" s="44"/>
      <c r="C149" s="44"/>
      <c r="D149" s="44"/>
      <c r="M149" s="6"/>
      <c r="N149" s="6"/>
      <c r="O149" s="6"/>
      <c r="P149" s="6"/>
      <c r="Q149" s="6"/>
      <c r="R149" s="6"/>
      <c r="S149" s="6"/>
      <c r="T149" s="6"/>
      <c r="U149" s="6"/>
    </row>
    <row r="150" spans="1:21" x14ac:dyDescent="0.25">
      <c r="A150" s="44"/>
      <c r="B150" s="44"/>
      <c r="C150" s="44"/>
      <c r="D150" s="44"/>
      <c r="M150" s="6"/>
      <c r="N150" s="6"/>
      <c r="O150" s="6"/>
      <c r="P150" s="6"/>
      <c r="Q150" s="6"/>
      <c r="R150" s="6"/>
      <c r="S150" s="6"/>
      <c r="T150" s="6"/>
      <c r="U150" s="6"/>
    </row>
    <row r="151" spans="1:21" x14ac:dyDescent="0.25">
      <c r="A151" s="44"/>
      <c r="M151" s="6"/>
      <c r="N151" s="6"/>
      <c r="O151" s="6"/>
      <c r="P151" s="6"/>
      <c r="Q151" s="6"/>
      <c r="R151" s="6"/>
      <c r="S151" s="6"/>
      <c r="T151" s="6"/>
      <c r="U151" s="6"/>
    </row>
    <row r="152" spans="1:21" x14ac:dyDescent="0.25">
      <c r="A152" s="44"/>
      <c r="B152" s="44"/>
      <c r="C152" s="44"/>
      <c r="D152" s="44"/>
      <c r="M152" s="6"/>
      <c r="N152" s="6"/>
      <c r="O152" s="6"/>
      <c r="P152" s="6"/>
      <c r="Q152" s="6"/>
      <c r="R152" s="6"/>
      <c r="S152" s="6"/>
      <c r="T152" s="6"/>
      <c r="U152" s="6"/>
    </row>
    <row r="153" spans="1:21" x14ac:dyDescent="0.25">
      <c r="A153" s="44"/>
      <c r="B153" s="44"/>
      <c r="C153" s="44"/>
      <c r="D153" s="44"/>
      <c r="M153" s="6"/>
      <c r="N153" s="6"/>
      <c r="O153" s="6"/>
      <c r="P153" s="6"/>
      <c r="Q153" s="6"/>
      <c r="R153" s="6"/>
      <c r="S153" s="6"/>
      <c r="T153" s="6"/>
      <c r="U153" s="6"/>
    </row>
    <row r="154" spans="1:21" x14ac:dyDescent="0.25">
      <c r="A154" s="44"/>
      <c r="B154" s="44"/>
      <c r="C154" s="44"/>
      <c r="D154" s="44"/>
      <c r="M154" s="6"/>
      <c r="N154" s="6"/>
      <c r="O154" s="6"/>
      <c r="P154" s="6"/>
      <c r="Q154" s="6"/>
      <c r="R154" s="6"/>
      <c r="S154" s="6"/>
      <c r="T154" s="6"/>
      <c r="U154" s="6"/>
    </row>
    <row r="155" spans="1:21" x14ac:dyDescent="0.25">
      <c r="A155" s="44"/>
      <c r="B155" s="44"/>
      <c r="C155" s="44"/>
      <c r="D155" s="44"/>
      <c r="M155" s="6"/>
      <c r="N155" s="6"/>
      <c r="O155" s="6"/>
      <c r="P155" s="6"/>
      <c r="Q155" s="6"/>
      <c r="R155" s="6"/>
      <c r="S155" s="6"/>
      <c r="T155" s="6"/>
      <c r="U155" s="6"/>
    </row>
    <row r="156" spans="1:21" x14ac:dyDescent="0.25">
      <c r="A156" s="44"/>
      <c r="M156" s="6"/>
      <c r="N156" s="6"/>
      <c r="O156" s="6"/>
      <c r="P156" s="6"/>
      <c r="Q156" s="6"/>
      <c r="R156" s="6"/>
      <c r="S156" s="6"/>
      <c r="T156" s="6"/>
      <c r="U156" s="6"/>
    </row>
    <row r="157" spans="1:21" x14ac:dyDescent="0.25">
      <c r="A157" s="44"/>
      <c r="B157" s="44"/>
      <c r="C157" s="44"/>
      <c r="D157" s="44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25">
      <c r="A158" s="44"/>
      <c r="B158" s="44"/>
      <c r="C158" s="44"/>
      <c r="D158" s="44"/>
      <c r="M158" s="6"/>
      <c r="N158" s="6"/>
      <c r="O158" s="6"/>
      <c r="P158" s="6"/>
      <c r="Q158" s="6"/>
      <c r="R158" s="6"/>
      <c r="S158" s="6"/>
      <c r="T158" s="6"/>
      <c r="U158" s="6"/>
    </row>
    <row r="159" spans="1:21" x14ac:dyDescent="0.25">
      <c r="A159" s="44"/>
      <c r="B159" s="44"/>
      <c r="C159" s="44"/>
      <c r="D159" s="44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25">
      <c r="A160" s="44"/>
      <c r="B160" s="44"/>
      <c r="C160" s="44"/>
      <c r="D160" s="44"/>
      <c r="M160" s="6"/>
      <c r="N160" s="6"/>
      <c r="O160" s="6"/>
      <c r="P160" s="6"/>
      <c r="Q160" s="6"/>
      <c r="R160" s="6"/>
      <c r="S160" s="6"/>
      <c r="T160" s="6"/>
      <c r="U160" s="6"/>
    </row>
    <row r="161" spans="1:21" x14ac:dyDescent="0.25">
      <c r="A161" s="44"/>
      <c r="M161" s="6"/>
      <c r="N161" s="6"/>
      <c r="O161" s="6"/>
      <c r="P161" s="6"/>
      <c r="Q161" s="6"/>
      <c r="R161" s="6"/>
      <c r="S161" s="6"/>
      <c r="T161" s="6"/>
      <c r="U161" s="6"/>
    </row>
    <row r="162" spans="1:21" x14ac:dyDescent="0.25">
      <c r="A162" s="44"/>
      <c r="B162" s="44"/>
      <c r="C162" s="44"/>
      <c r="D162" s="44"/>
      <c r="M162" s="6"/>
      <c r="N162" s="6"/>
      <c r="O162" s="6"/>
      <c r="P162" s="6"/>
      <c r="Q162" s="6"/>
      <c r="R162" s="6"/>
      <c r="S162" s="6"/>
      <c r="T162" s="6"/>
      <c r="U162" s="6"/>
    </row>
    <row r="163" spans="1:21" x14ac:dyDescent="0.25">
      <c r="A163" s="44"/>
      <c r="B163" s="44"/>
      <c r="C163" s="44"/>
      <c r="D163" s="44"/>
      <c r="M163" s="6"/>
      <c r="N163" s="6"/>
      <c r="O163" s="6"/>
      <c r="P163" s="6"/>
      <c r="Q163" s="6"/>
      <c r="R163" s="6"/>
      <c r="S163" s="6"/>
      <c r="T163" s="6"/>
      <c r="U163" s="6"/>
    </row>
    <row r="164" spans="1:21" x14ac:dyDescent="0.25">
      <c r="A164" s="44"/>
      <c r="B164" s="44"/>
      <c r="C164" s="44"/>
      <c r="D164" s="44"/>
      <c r="M164" s="6"/>
      <c r="N164" s="6"/>
      <c r="O164" s="6"/>
      <c r="P164" s="6"/>
      <c r="Q164" s="6"/>
      <c r="R164" s="6"/>
      <c r="S164" s="6"/>
      <c r="T164" s="6"/>
      <c r="U164" s="6"/>
    </row>
    <row r="165" spans="1:21" x14ac:dyDescent="0.25">
      <c r="A165" s="44"/>
      <c r="B165" s="44"/>
      <c r="C165" s="44"/>
      <c r="D165" s="44"/>
      <c r="M165" s="6"/>
      <c r="N165" s="6"/>
      <c r="O165" s="6"/>
      <c r="P165" s="6"/>
      <c r="Q165" s="6"/>
      <c r="R165" s="6"/>
      <c r="S165" s="6"/>
      <c r="T165" s="6"/>
      <c r="U165" s="6"/>
    </row>
    <row r="166" spans="1:21" x14ac:dyDescent="0.25">
      <c r="A166" s="44"/>
      <c r="M166" s="6"/>
      <c r="N166" s="6"/>
      <c r="O166" s="6"/>
      <c r="P166" s="6"/>
      <c r="Q166" s="6"/>
      <c r="R166" s="6"/>
      <c r="S166" s="6"/>
      <c r="T166" s="6"/>
      <c r="U166" s="6"/>
    </row>
    <row r="167" spans="1:21" x14ac:dyDescent="0.25">
      <c r="A167" s="44"/>
      <c r="B167" s="44"/>
      <c r="C167" s="44"/>
      <c r="D167" s="44"/>
      <c r="M167" s="6"/>
      <c r="N167" s="6"/>
      <c r="O167" s="6"/>
      <c r="P167" s="6"/>
      <c r="Q167" s="6"/>
      <c r="R167" s="6"/>
      <c r="S167" s="6"/>
      <c r="T167" s="6"/>
      <c r="U167" s="6"/>
    </row>
    <row r="168" spans="1:21" x14ac:dyDescent="0.25">
      <c r="A168" s="44"/>
      <c r="B168" s="44"/>
      <c r="C168" s="44"/>
      <c r="D168" s="44"/>
      <c r="M168" s="6"/>
      <c r="N168" s="6"/>
      <c r="O168" s="6"/>
      <c r="P168" s="6"/>
      <c r="Q168" s="6"/>
      <c r="R168" s="6"/>
      <c r="S168" s="6"/>
      <c r="T168" s="6"/>
      <c r="U168" s="6"/>
    </row>
    <row r="169" spans="1:21" x14ac:dyDescent="0.25">
      <c r="A169" s="44"/>
      <c r="B169" s="44"/>
      <c r="C169" s="44"/>
      <c r="D169" s="44"/>
      <c r="M169" s="6"/>
      <c r="N169" s="6"/>
      <c r="O169" s="6"/>
      <c r="P169" s="6"/>
      <c r="Q169" s="6"/>
      <c r="R169" s="6"/>
      <c r="S169" s="6"/>
      <c r="T169" s="6"/>
      <c r="U169" s="6"/>
    </row>
    <row r="170" spans="1:21" x14ac:dyDescent="0.25">
      <c r="A170" s="44"/>
      <c r="B170" s="44"/>
      <c r="C170" s="44"/>
      <c r="D170" s="44"/>
      <c r="M170" s="6"/>
      <c r="N170" s="6"/>
      <c r="O170" s="6"/>
      <c r="P170" s="6"/>
      <c r="Q170" s="6"/>
      <c r="R170" s="6"/>
      <c r="S170" s="6"/>
      <c r="T170" s="6"/>
      <c r="U170" s="6"/>
    </row>
    <row r="171" spans="1:21" x14ac:dyDescent="0.25">
      <c r="A171" s="44"/>
    </row>
    <row r="172" spans="1:21" x14ac:dyDescent="0.25">
      <c r="A172" s="44"/>
      <c r="B172" s="44"/>
      <c r="C172" s="44"/>
      <c r="D172" s="44"/>
    </row>
    <row r="173" spans="1:21" x14ac:dyDescent="0.25">
      <c r="A173" s="44"/>
      <c r="B173" s="44"/>
      <c r="C173" s="44"/>
      <c r="D173" s="44"/>
    </row>
    <row r="174" spans="1:21" x14ac:dyDescent="0.25">
      <c r="A174" s="44"/>
      <c r="B174" s="44"/>
      <c r="C174" s="44"/>
      <c r="D174" s="44"/>
    </row>
    <row r="175" spans="1:21" x14ac:dyDescent="0.25">
      <c r="A175" s="44"/>
      <c r="B175" s="44"/>
      <c r="C175" s="44"/>
      <c r="D175" s="44"/>
    </row>
    <row r="176" spans="1:21" x14ac:dyDescent="0.25">
      <c r="A176" s="44"/>
    </row>
    <row r="177" spans="1:4" x14ac:dyDescent="0.25">
      <c r="A177" s="44"/>
      <c r="B177" s="44"/>
      <c r="C177" s="44"/>
      <c r="D177" s="44"/>
    </row>
    <row r="178" spans="1:4" x14ac:dyDescent="0.25">
      <c r="A178" s="44"/>
      <c r="B178" s="44"/>
      <c r="C178" s="44"/>
      <c r="D178" s="44"/>
    </row>
  </sheetData>
  <phoneticPr fontId="1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3"/>
  <sheetViews>
    <sheetView tabSelected="1" zoomScale="85" zoomScaleNormal="85" zoomScalePageLayoutView="85" workbookViewId="0">
      <selection activeCell="E10" sqref="E10:F10"/>
    </sheetView>
  </sheetViews>
  <sheetFormatPr defaultColWidth="8.77734375" defaultRowHeight="14.4" x14ac:dyDescent="0.25"/>
  <cols>
    <col min="1" max="1" width="8.77734375" style="1"/>
    <col min="2" max="2" width="10.109375" style="1" customWidth="1"/>
    <col min="3" max="3" width="14.33203125" style="1" customWidth="1"/>
    <col min="4" max="4" width="19.109375" style="1" customWidth="1"/>
    <col min="5" max="5" width="25.44140625" style="1" customWidth="1"/>
    <col min="6" max="6" width="10.33203125" style="1" bestFit="1" customWidth="1"/>
    <col min="7" max="7" width="18.44140625" style="1" customWidth="1"/>
    <col min="8" max="9" width="17" style="1" customWidth="1"/>
    <col min="10" max="10" width="11.33203125" style="1" customWidth="1"/>
    <col min="11" max="11" width="14.6640625" style="1" customWidth="1"/>
    <col min="12" max="12" width="13.6640625" style="1" customWidth="1"/>
    <col min="13" max="13" width="17.77734375" style="1" customWidth="1"/>
    <col min="14" max="14" width="21.77734375" style="1" customWidth="1"/>
    <col min="15" max="15" width="13.33203125" style="1" customWidth="1"/>
    <col min="16" max="16" width="14.6640625" style="1" customWidth="1"/>
    <col min="17" max="17" width="15.44140625" style="1" customWidth="1"/>
    <col min="18" max="18" width="8.77734375" style="1"/>
    <col min="19" max="19" width="17.33203125" style="1" customWidth="1"/>
    <col min="20" max="21" width="14.44140625" style="1" customWidth="1"/>
    <col min="22" max="22" width="8.77734375" style="1"/>
    <col min="23" max="23" width="9.109375" style="1" customWidth="1"/>
    <col min="24" max="24" width="8.77734375" style="1"/>
    <col min="25" max="25" width="13.33203125" style="1" customWidth="1"/>
    <col min="26" max="26" width="14" style="1" customWidth="1"/>
    <col min="27" max="27" width="10" style="1" bestFit="1" customWidth="1"/>
    <col min="28" max="28" width="15.77734375" style="1" customWidth="1"/>
    <col min="29" max="30" width="14.33203125" style="1" customWidth="1"/>
    <col min="31" max="34" width="8.77734375" style="1"/>
    <col min="35" max="35" width="10.44140625" style="1" bestFit="1" customWidth="1"/>
    <col min="36" max="16384" width="8.77734375" style="1"/>
  </cols>
  <sheetData>
    <row r="1" spans="2:17" x14ac:dyDescent="0.25">
      <c r="B1" s="1" t="s">
        <v>20</v>
      </c>
    </row>
    <row r="4" spans="2:17" x14ac:dyDescent="0.25">
      <c r="B4" s="105" t="s">
        <v>124</v>
      </c>
      <c r="C4" s="106"/>
      <c r="D4" s="107"/>
      <c r="E4" s="105" t="s">
        <v>123</v>
      </c>
      <c r="F4" s="106"/>
      <c r="G4" s="121"/>
      <c r="H4" s="121"/>
      <c r="I4" s="81"/>
      <c r="J4" s="105" t="s">
        <v>119</v>
      </c>
      <c r="K4" s="121"/>
      <c r="L4" s="122"/>
      <c r="M4" s="105" t="s">
        <v>139</v>
      </c>
      <c r="N4" s="106"/>
      <c r="O4" s="106"/>
      <c r="P4" s="107"/>
      <c r="Q4" s="4"/>
    </row>
    <row r="5" spans="2:17" x14ac:dyDescent="0.25">
      <c r="B5" s="7" t="s">
        <v>122</v>
      </c>
      <c r="C5" s="8">
        <v>1.602176565E-19</v>
      </c>
      <c r="D5" s="9" t="s">
        <v>121</v>
      </c>
      <c r="E5" s="10"/>
      <c r="F5" s="2" t="s">
        <v>120</v>
      </c>
      <c r="G5" s="93" t="s">
        <v>131</v>
      </c>
      <c r="H5" s="11" t="s">
        <v>132</v>
      </c>
      <c r="I5" s="10" t="s">
        <v>133</v>
      </c>
      <c r="J5" s="3" t="s">
        <v>134</v>
      </c>
      <c r="K5" s="31">
        <v>56</v>
      </c>
      <c r="L5" s="2" t="s">
        <v>104</v>
      </c>
      <c r="M5" s="5" t="s">
        <v>142</v>
      </c>
      <c r="N5" s="34" t="s">
        <v>141</v>
      </c>
      <c r="O5" s="95" t="s">
        <v>140</v>
      </c>
      <c r="P5" s="96" t="s">
        <v>141</v>
      </c>
      <c r="Q5" s="4"/>
    </row>
    <row r="6" spans="2:17" ht="15" x14ac:dyDescent="0.25">
      <c r="B6" s="3" t="s">
        <v>6</v>
      </c>
      <c r="C6" s="4">
        <v>1</v>
      </c>
      <c r="D6" s="4" t="s">
        <v>7</v>
      </c>
      <c r="E6" s="10" t="s">
        <v>119</v>
      </c>
      <c r="F6" s="2" t="s">
        <v>130</v>
      </c>
      <c r="G6" s="92">
        <v>13135.721740000001</v>
      </c>
      <c r="H6" s="28">
        <f>G6/1000+2*C10</f>
        <v>1876.12384374</v>
      </c>
      <c r="I6" s="83">
        <v>1.1E-4</v>
      </c>
      <c r="J6" s="108" t="s">
        <v>118</v>
      </c>
      <c r="K6" s="109"/>
      <c r="L6" s="110"/>
      <c r="M6" s="35" t="s">
        <v>5</v>
      </c>
      <c r="N6" s="36" t="s">
        <v>13</v>
      </c>
      <c r="O6" s="97" t="s">
        <v>5</v>
      </c>
      <c r="P6" s="98" t="s">
        <v>14</v>
      </c>
      <c r="Q6" s="4"/>
    </row>
    <row r="7" spans="2:17" ht="15" x14ac:dyDescent="0.25">
      <c r="B7" s="7" t="s">
        <v>117</v>
      </c>
      <c r="C7" s="8">
        <v>299792458</v>
      </c>
      <c r="D7" s="9" t="s">
        <v>116</v>
      </c>
      <c r="E7" s="10" t="s">
        <v>115</v>
      </c>
      <c r="F7" s="2" t="s">
        <v>170</v>
      </c>
      <c r="G7" s="92">
        <v>-13933.569</v>
      </c>
      <c r="H7" s="28">
        <f>G7/1000+24*C10</f>
        <v>22341.923895</v>
      </c>
      <c r="I7" s="92">
        <v>1.2999999999999999E-2</v>
      </c>
      <c r="J7" s="3" t="s">
        <v>135</v>
      </c>
      <c r="K7" s="6">
        <v>0.17467480465600002</v>
      </c>
      <c r="L7" s="2" t="s">
        <v>104</v>
      </c>
      <c r="M7" s="27">
        <v>83</v>
      </c>
      <c r="N7" s="80">
        <f>0.1076*3.6532E-21</f>
        <v>3.9308432000000003E-22</v>
      </c>
      <c r="O7" s="99">
        <v>83</v>
      </c>
      <c r="P7" s="100">
        <f>1.288*0.00144</f>
        <v>1.8547200000000002E-3</v>
      </c>
      <c r="Q7" s="4"/>
    </row>
    <row r="8" spans="2:17" ht="15" x14ac:dyDescent="0.25">
      <c r="B8" s="7" t="s">
        <v>114</v>
      </c>
      <c r="C8" s="8">
        <v>6241509740000</v>
      </c>
      <c r="D8" s="9" t="s">
        <v>104</v>
      </c>
      <c r="E8" s="10" t="s">
        <v>113</v>
      </c>
      <c r="F8" s="2" t="s">
        <v>171</v>
      </c>
      <c r="G8" s="92">
        <v>-13192.771000000001</v>
      </c>
      <c r="H8" s="28">
        <f>G8/1000+25*C10</f>
        <v>23274.158753999996</v>
      </c>
      <c r="I8" s="92">
        <v>4.7E-2</v>
      </c>
      <c r="J8" s="108" t="s">
        <v>112</v>
      </c>
      <c r="K8" s="109"/>
      <c r="L8" s="109"/>
      <c r="M8" s="27">
        <v>82.5</v>
      </c>
      <c r="N8" s="80">
        <f>0.108*3.6532E-21</f>
        <v>3.9454560000000002E-22</v>
      </c>
      <c r="O8" s="99">
        <v>82.5</v>
      </c>
      <c r="P8" s="100">
        <f>1.294*0.00144</f>
        <v>1.8633600000000001E-3</v>
      </c>
      <c r="Q8" s="4"/>
    </row>
    <row r="9" spans="2:17" ht="15" x14ac:dyDescent="0.25">
      <c r="B9" s="7" t="s">
        <v>111</v>
      </c>
      <c r="C9" s="8">
        <f>C8*C7^2</f>
        <v>5.6095892019612877E+29</v>
      </c>
      <c r="D9" s="9" t="s">
        <v>109</v>
      </c>
      <c r="E9" s="12" t="s">
        <v>110</v>
      </c>
      <c r="F9" s="13" t="s">
        <v>172</v>
      </c>
      <c r="G9" s="92">
        <v>7288.9705899999999</v>
      </c>
      <c r="H9" s="29">
        <f>G9/1000+1*C10</f>
        <v>938.78303158999995</v>
      </c>
      <c r="I9" s="83">
        <v>9.0000000000000006E-5</v>
      </c>
      <c r="J9" s="3" t="s">
        <v>136</v>
      </c>
      <c r="K9" s="8">
        <f>H6+K5-K7</f>
        <v>1931.949168935344</v>
      </c>
      <c r="L9" s="2" t="s">
        <v>104</v>
      </c>
      <c r="M9" s="27">
        <v>82</v>
      </c>
      <c r="N9" s="80">
        <f>0.1085*3.6532E-21</f>
        <v>3.9637220000000003E-22</v>
      </c>
      <c r="O9" s="99">
        <v>82</v>
      </c>
      <c r="P9" s="100">
        <f>1.3*0.00144</f>
        <v>1.8720000000000002E-3</v>
      </c>
      <c r="Q9" s="4"/>
    </row>
    <row r="10" spans="2:17" x14ac:dyDescent="0.25">
      <c r="B10" s="7" t="s">
        <v>8</v>
      </c>
      <c r="C10" s="14">
        <v>931.49406099999999</v>
      </c>
      <c r="D10" s="9" t="s">
        <v>109</v>
      </c>
      <c r="E10" s="111" t="s">
        <v>108</v>
      </c>
      <c r="F10" s="112"/>
      <c r="G10" s="113" t="s">
        <v>107</v>
      </c>
      <c r="H10" s="114"/>
      <c r="I10" s="24"/>
      <c r="J10" s="108" t="s">
        <v>106</v>
      </c>
      <c r="K10" s="109"/>
      <c r="L10" s="109"/>
      <c r="M10" s="27">
        <v>81.5</v>
      </c>
      <c r="N10" s="80">
        <f>0.109*3.6532E-21</f>
        <v>3.981988E-22</v>
      </c>
      <c r="O10" s="99">
        <v>81.5</v>
      </c>
      <c r="P10" s="100">
        <f>1.306*0.00144</f>
        <v>1.8806400000000003E-3</v>
      </c>
      <c r="Q10" s="4"/>
    </row>
    <row r="11" spans="2:17" x14ac:dyDescent="0.25">
      <c r="B11" s="7" t="s">
        <v>9</v>
      </c>
      <c r="C11" s="91">
        <v>0.5</v>
      </c>
      <c r="D11" s="9" t="s">
        <v>105</v>
      </c>
      <c r="E11" s="12" t="s">
        <v>129</v>
      </c>
      <c r="F11" s="89" t="s">
        <v>143</v>
      </c>
      <c r="G11" s="12"/>
      <c r="H11" s="15" t="s">
        <v>104</v>
      </c>
      <c r="I11" s="2"/>
      <c r="J11" s="3" t="s">
        <v>136</v>
      </c>
      <c r="K11" s="2">
        <f>SQRT(K9^2-H6^2)</f>
        <v>461.07148502180712</v>
      </c>
      <c r="L11" s="2" t="s">
        <v>103</v>
      </c>
      <c r="M11" s="27">
        <v>81</v>
      </c>
      <c r="N11" s="80">
        <f>0.1095*3.6532E-21</f>
        <v>4.0002540000000002E-22</v>
      </c>
      <c r="O11" s="99">
        <v>81</v>
      </c>
      <c r="P11" s="100">
        <f>1.312*0.00144</f>
        <v>1.8892800000000001E-3</v>
      </c>
      <c r="Q11" s="4"/>
    </row>
    <row r="12" spans="2:17" x14ac:dyDescent="0.25">
      <c r="B12" s="58" t="s">
        <v>102</v>
      </c>
      <c r="C12" s="59">
        <f>COS(C11*3.14/180)</f>
        <v>0.99996196166090812</v>
      </c>
      <c r="D12" s="60"/>
      <c r="E12" s="4"/>
      <c r="F12" s="90"/>
      <c r="G12" s="4"/>
      <c r="H12" s="4"/>
      <c r="I12" s="4"/>
      <c r="J12" s="115" t="s">
        <v>101</v>
      </c>
      <c r="K12" s="116"/>
      <c r="L12" s="117"/>
      <c r="M12" s="27">
        <v>80.5</v>
      </c>
      <c r="N12" s="80">
        <f>0.11*3.6532E-21</f>
        <v>4.0185200000000004E-22</v>
      </c>
      <c r="O12" s="99">
        <v>80.5</v>
      </c>
      <c r="P12" s="100">
        <f>1.318*0.00144</f>
        <v>1.8979200000000002E-3</v>
      </c>
      <c r="Q12" s="4"/>
    </row>
    <row r="13" spans="2:17" x14ac:dyDescent="0.25">
      <c r="B13" s="61"/>
      <c r="C13" s="61"/>
      <c r="D13" s="61"/>
      <c r="E13" s="61"/>
      <c r="F13" s="57"/>
      <c r="G13" s="57"/>
      <c r="H13" s="41"/>
      <c r="I13" s="82"/>
      <c r="J13" s="16" t="s">
        <v>100</v>
      </c>
      <c r="K13" s="13">
        <v>1</v>
      </c>
      <c r="L13" s="15"/>
      <c r="M13" s="27">
        <v>80</v>
      </c>
      <c r="N13" s="80">
        <f>0.1105*3.6532E-21</f>
        <v>4.0367860000000005E-22</v>
      </c>
      <c r="O13" s="99">
        <v>80</v>
      </c>
      <c r="P13" s="100">
        <f>1.324*0.00144</f>
        <v>1.9065600000000003E-3</v>
      </c>
      <c r="Q13" s="4"/>
    </row>
    <row r="14" spans="2:17" x14ac:dyDescent="0.25">
      <c r="B14" s="42" t="s">
        <v>21</v>
      </c>
      <c r="C14" s="56">
        <v>-4.0847100000000001E-9</v>
      </c>
      <c r="D14" s="43" t="s">
        <v>99</v>
      </c>
      <c r="E14" s="44"/>
      <c r="F14" s="13"/>
      <c r="G14" s="45"/>
      <c r="H14" s="45"/>
      <c r="I14" s="45"/>
      <c r="J14" s="88" t="s">
        <v>128</v>
      </c>
      <c r="L14" s="47"/>
      <c r="M14" s="27">
        <v>79.5</v>
      </c>
      <c r="N14" s="80">
        <f>0.1111*3.6532E-21</f>
        <v>4.0587052000000006E-22</v>
      </c>
      <c r="O14" s="99">
        <v>79.5</v>
      </c>
      <c r="P14" s="100">
        <f>1.331*0.00144</f>
        <v>1.9166400000000001E-3</v>
      </c>
      <c r="Q14" s="4"/>
    </row>
    <row r="15" spans="2:17" x14ac:dyDescent="0.25">
      <c r="B15" s="45" t="s">
        <v>22</v>
      </c>
      <c r="C15" s="56">
        <v>-1.64153E-4</v>
      </c>
      <c r="D15" s="46" t="s">
        <v>23</v>
      </c>
      <c r="E15" s="44"/>
      <c r="F15" s="45"/>
      <c r="G15" s="45"/>
      <c r="H15" s="45"/>
      <c r="I15" s="45"/>
      <c r="J15" s="45"/>
      <c r="K15" s="45"/>
      <c r="L15" s="47"/>
      <c r="M15" s="27">
        <v>79</v>
      </c>
      <c r="N15" s="80">
        <f>0.1117*3.6532E-21</f>
        <v>4.0806244000000001E-22</v>
      </c>
      <c r="O15" s="99">
        <v>79</v>
      </c>
      <c r="P15" s="100">
        <f>1.339*0.00144</f>
        <v>1.9281600000000002E-3</v>
      </c>
      <c r="Q15" s="4"/>
    </row>
    <row r="16" spans="2:17" x14ac:dyDescent="0.25">
      <c r="B16" s="45" t="s">
        <v>24</v>
      </c>
      <c r="C16" s="56">
        <v>3.7907899999999999</v>
      </c>
      <c r="D16" s="46" t="s">
        <v>25</v>
      </c>
      <c r="E16" s="44"/>
      <c r="F16" s="4"/>
      <c r="G16" s="4"/>
      <c r="H16" s="4"/>
      <c r="I16" s="4"/>
      <c r="J16" s="4"/>
      <c r="K16" s="4"/>
      <c r="L16" s="4"/>
      <c r="M16" s="27">
        <v>78.5</v>
      </c>
      <c r="N16" s="80">
        <f>0.1123*3.6532E-21</f>
        <v>4.1025436000000001E-22</v>
      </c>
      <c r="O16" s="99">
        <v>78.5</v>
      </c>
      <c r="P16" s="100">
        <f>1.346*0.00144</f>
        <v>1.9382400000000001E-3</v>
      </c>
      <c r="Q16" s="4"/>
    </row>
    <row r="17" spans="2:17" x14ac:dyDescent="0.25">
      <c r="B17" s="4" t="s">
        <v>26</v>
      </c>
      <c r="C17" s="4"/>
      <c r="D17" s="4"/>
      <c r="E17" s="47"/>
      <c r="F17" s="4"/>
      <c r="G17" s="4"/>
      <c r="H17" s="4"/>
      <c r="I17" s="4"/>
      <c r="J17" s="4"/>
      <c r="K17" s="4"/>
      <c r="L17" s="4"/>
      <c r="M17" s="27">
        <v>78</v>
      </c>
      <c r="N17" s="80">
        <f>0.1129*3.6532E-21</f>
        <v>4.1244628000000001E-22</v>
      </c>
      <c r="O17" s="99">
        <v>78</v>
      </c>
      <c r="P17" s="100">
        <f>1.353*0.00144</f>
        <v>1.9483200000000001E-3</v>
      </c>
      <c r="Q17" s="4"/>
    </row>
    <row r="18" spans="2:17" x14ac:dyDescent="0.25">
      <c r="B18" s="47"/>
      <c r="C18" s="48" t="s">
        <v>99</v>
      </c>
      <c r="D18" s="46" t="s">
        <v>23</v>
      </c>
      <c r="E18" s="46" t="s">
        <v>25</v>
      </c>
      <c r="F18" s="4"/>
      <c r="G18" s="4"/>
      <c r="H18" s="22">
        <f>K5-K7</f>
        <v>55.825325195344</v>
      </c>
      <c r="I18" s="22"/>
      <c r="J18" s="4"/>
      <c r="K18" s="4"/>
      <c r="L18" s="4"/>
      <c r="M18" s="27">
        <v>77.5</v>
      </c>
      <c r="N18" s="80">
        <f>0.1136*3.6532E-21</f>
        <v>4.1500352000000005E-22</v>
      </c>
      <c r="O18" s="99">
        <v>77.5</v>
      </c>
      <c r="P18" s="100">
        <f>1.361*0.00144</f>
        <v>1.95984E-3</v>
      </c>
      <c r="Q18" s="4"/>
    </row>
    <row r="19" spans="2:17" x14ac:dyDescent="0.25">
      <c r="B19" s="48" t="s">
        <v>99</v>
      </c>
      <c r="C19" s="49"/>
      <c r="D19" s="50"/>
      <c r="E19" s="50"/>
      <c r="F19" s="4"/>
      <c r="G19" s="4"/>
      <c r="H19" s="4"/>
      <c r="I19" s="4"/>
      <c r="J19" s="4"/>
      <c r="K19" s="4"/>
      <c r="L19" s="4"/>
      <c r="M19" s="27">
        <v>77</v>
      </c>
      <c r="N19" s="80">
        <f>0.1142*3.6532E-21</f>
        <v>4.1719544E-22</v>
      </c>
      <c r="O19" s="99">
        <v>77</v>
      </c>
      <c r="P19" s="100">
        <f>1.368*0.00144</f>
        <v>1.9699200000000004E-3</v>
      </c>
      <c r="Q19" s="4"/>
    </row>
    <row r="20" spans="2:17" x14ac:dyDescent="0.25">
      <c r="B20" s="46" t="s">
        <v>23</v>
      </c>
      <c r="C20" s="49"/>
      <c r="D20" s="49"/>
      <c r="E20" s="49"/>
      <c r="F20" s="4"/>
      <c r="G20" s="4"/>
      <c r="H20" s="4"/>
      <c r="I20" s="4"/>
      <c r="J20" s="4"/>
      <c r="K20" s="4"/>
      <c r="L20" s="4"/>
      <c r="M20" s="27">
        <v>76.5</v>
      </c>
      <c r="N20" s="80">
        <f>0.1148*3.6532E-21</f>
        <v>4.1938736E-22</v>
      </c>
      <c r="O20" s="99">
        <v>76.5</v>
      </c>
      <c r="P20" s="100">
        <f>1.376*0.00144</f>
        <v>1.9814400000000001E-3</v>
      </c>
      <c r="Q20" s="4"/>
    </row>
    <row r="21" spans="2:17" x14ac:dyDescent="0.25">
      <c r="B21" s="46" t="s">
        <v>25</v>
      </c>
      <c r="C21" s="51"/>
      <c r="D21" s="51"/>
      <c r="E21" s="51"/>
      <c r="F21" s="4"/>
      <c r="G21" s="4"/>
      <c r="H21" s="4"/>
      <c r="I21" s="22"/>
      <c r="J21" s="4"/>
      <c r="K21" s="4"/>
      <c r="L21" s="4"/>
      <c r="M21" s="27">
        <v>76</v>
      </c>
      <c r="N21" s="80">
        <f>0.1154*3.6532E-21</f>
        <v>4.2157928000000005E-22</v>
      </c>
      <c r="O21" s="99">
        <v>76</v>
      </c>
      <c r="P21" s="100">
        <f>1.383*0.00144</f>
        <v>1.9915200000000001E-3</v>
      </c>
      <c r="Q21" s="4"/>
    </row>
    <row r="22" spans="2:17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27">
        <v>75.5</v>
      </c>
      <c r="N22" s="80">
        <f>0.116*3.6532E-21</f>
        <v>4.2377120000000001E-22</v>
      </c>
      <c r="O22" s="99">
        <v>75.5</v>
      </c>
      <c r="P22" s="100">
        <f>1.391*0.00144</f>
        <v>2.0030400000000002E-3</v>
      </c>
      <c r="Q22" s="4"/>
    </row>
    <row r="23" spans="2:17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27">
        <v>75</v>
      </c>
      <c r="N23" s="80">
        <f>0.1166*3.6532E-21</f>
        <v>4.2596312000000001E-22</v>
      </c>
      <c r="O23" s="99">
        <v>75</v>
      </c>
      <c r="P23" s="100">
        <f>1.398*0.00144</f>
        <v>2.0131200000000002E-3</v>
      </c>
      <c r="Q23" s="4"/>
    </row>
    <row r="24" spans="2:17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27">
        <v>74.5</v>
      </c>
      <c r="N24" s="80">
        <f>0.1173*3.6532E-21</f>
        <v>4.2852035999999999E-22</v>
      </c>
      <c r="O24" s="99">
        <v>74.5</v>
      </c>
      <c r="P24" s="100">
        <f>1.406*0.00144</f>
        <v>2.0246399999999999E-3</v>
      </c>
      <c r="Q24" s="4"/>
    </row>
    <row r="25" spans="2:17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27">
        <v>74</v>
      </c>
      <c r="N25" s="80">
        <f>0.1179*3.6532E-21</f>
        <v>4.3071228000000009E-22</v>
      </c>
      <c r="O25" s="99">
        <v>74</v>
      </c>
      <c r="P25" s="100">
        <f>1.413*0.00144</f>
        <v>2.0347200000000003E-3</v>
      </c>
      <c r="Q25" s="4"/>
    </row>
    <row r="26" spans="2:17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27">
        <v>73.5</v>
      </c>
      <c r="N26" s="80">
        <f>0.1185*3.6532E-21</f>
        <v>4.329042E-22</v>
      </c>
      <c r="O26" s="99">
        <v>73.5</v>
      </c>
      <c r="P26" s="100">
        <f>1.421*0.00144</f>
        <v>2.0462400000000004E-3</v>
      </c>
      <c r="Q26" s="4"/>
    </row>
    <row r="27" spans="2:17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27">
        <v>73</v>
      </c>
      <c r="N27" s="80">
        <f>0.1191*3.6532E-21</f>
        <v>4.3509612E-22</v>
      </c>
      <c r="O27" s="99">
        <v>73</v>
      </c>
      <c r="P27" s="100">
        <f>1.428*0.00144</f>
        <v>2.0563199999999999E-3</v>
      </c>
      <c r="Q27" s="4"/>
    </row>
    <row r="28" spans="2:17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27">
        <v>72.5</v>
      </c>
      <c r="N28" s="80">
        <f>0.1197*3.6532E-21</f>
        <v>4.3728804E-22</v>
      </c>
      <c r="O28" s="99">
        <v>72.5</v>
      </c>
      <c r="P28" s="100">
        <f>1.436*0.00144</f>
        <v>2.06784E-3</v>
      </c>
      <c r="Q28" s="4"/>
    </row>
    <row r="29" spans="2:17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27">
        <v>72</v>
      </c>
      <c r="N29" s="80">
        <f>0.1203*3.6532E-21</f>
        <v>4.3947996E-22</v>
      </c>
      <c r="O29" s="99">
        <v>72</v>
      </c>
      <c r="P29" s="100">
        <f>1.443*0.00144</f>
        <v>2.07792E-3</v>
      </c>
      <c r="Q29" s="4"/>
    </row>
    <row r="30" spans="2:17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27">
        <v>71.5</v>
      </c>
      <c r="N30" s="80">
        <f>0.1209*3.6532E-21</f>
        <v>4.4167188E-22</v>
      </c>
      <c r="O30" s="99">
        <v>71.5</v>
      </c>
      <c r="P30" s="100">
        <f>1.451*0.00144</f>
        <v>2.0894400000000001E-3</v>
      </c>
      <c r="Q30" s="4"/>
    </row>
    <row r="31" spans="2:17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27">
        <v>71</v>
      </c>
      <c r="N31" s="80">
        <f>0.1216*3.6532E-21</f>
        <v>4.4422911999999999E-22</v>
      </c>
      <c r="O31" s="99">
        <v>71</v>
      </c>
      <c r="P31" s="100">
        <f>1.458*0.00144</f>
        <v>2.0995200000000001E-3</v>
      </c>
      <c r="Q31" s="4"/>
    </row>
    <row r="32" spans="2:17" x14ac:dyDescent="0.25">
      <c r="B32" s="4"/>
      <c r="C32" s="4"/>
      <c r="D32" s="4"/>
      <c r="E32" s="4"/>
      <c r="F32" s="4"/>
      <c r="G32" s="4"/>
      <c r="H32" s="4"/>
      <c r="I32" s="4"/>
      <c r="J32" s="4"/>
      <c r="K32" s="84"/>
      <c r="L32" s="4"/>
      <c r="M32" s="27">
        <v>70.5</v>
      </c>
      <c r="N32" s="80">
        <f>0.1222*3.6532E-21</f>
        <v>4.4642104000000009E-22</v>
      </c>
      <c r="O32" s="99">
        <v>70.5</v>
      </c>
      <c r="P32" s="100">
        <f>1.466*0.00144</f>
        <v>2.1110400000000002E-3</v>
      </c>
      <c r="Q32" s="4"/>
    </row>
    <row r="33" spans="2:35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27">
        <v>70</v>
      </c>
      <c r="N33" s="80">
        <f>0.1228*3.6532E-21</f>
        <v>4.4861296000000009E-22</v>
      </c>
      <c r="O33" s="99">
        <v>70</v>
      </c>
      <c r="P33" s="100">
        <f>1.473*0.00144</f>
        <v>2.1211200000000002E-3</v>
      </c>
      <c r="Q33" s="4"/>
    </row>
    <row r="34" spans="2:35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27">
        <v>69.5</v>
      </c>
      <c r="N34" s="80">
        <f>0.1235*3.6532E-21</f>
        <v>4.5117019999999998E-22</v>
      </c>
      <c r="O34" s="99">
        <v>69.5</v>
      </c>
      <c r="P34" s="100">
        <f>1.482*0.00144</f>
        <v>2.13408E-3</v>
      </c>
      <c r="Q34" s="4"/>
      <c r="U34" s="44"/>
    </row>
    <row r="35" spans="2:35" x14ac:dyDescent="0.25">
      <c r="B35" s="4"/>
      <c r="C35" s="4"/>
      <c r="D35" s="4"/>
      <c r="E35" s="4"/>
      <c r="F35" s="4"/>
      <c r="G35" s="4"/>
      <c r="H35" s="22"/>
      <c r="I35" s="22"/>
      <c r="J35" s="4"/>
      <c r="K35" s="4"/>
      <c r="L35" s="4"/>
      <c r="M35" s="27">
        <v>69</v>
      </c>
      <c r="N35" s="80">
        <f>0.1243*3.6532E-21</f>
        <v>4.5409276000000005E-22</v>
      </c>
      <c r="O35" s="99">
        <v>69</v>
      </c>
      <c r="P35" s="100">
        <f>1.491*0.00144</f>
        <v>2.1470400000000002E-3</v>
      </c>
      <c r="Q35" s="4"/>
      <c r="U35" s="44"/>
    </row>
    <row r="36" spans="2:35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27">
        <v>68.5</v>
      </c>
      <c r="N36" s="80">
        <f>0.125*3.6532E-21</f>
        <v>4.5665000000000003E-22</v>
      </c>
      <c r="O36" s="99">
        <v>68.5</v>
      </c>
      <c r="P36" s="100">
        <f>1.5*0.00144</f>
        <v>2.16E-3</v>
      </c>
      <c r="Q36" s="4"/>
    </row>
    <row r="37" spans="2:35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27">
        <v>68</v>
      </c>
      <c r="N37" s="80">
        <f>0.1258*3.6532E-21</f>
        <v>4.5957256E-22</v>
      </c>
      <c r="O37" s="99">
        <v>68</v>
      </c>
      <c r="P37" s="100">
        <f>1.509*0.00144</f>
        <v>2.1729599999999998E-3</v>
      </c>
      <c r="Q37" s="4"/>
    </row>
    <row r="38" spans="2:35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27">
        <v>67.5</v>
      </c>
      <c r="N38" s="80">
        <f>0.1265*3.6532E-21</f>
        <v>4.6212980000000008E-22</v>
      </c>
      <c r="O38" s="99">
        <v>67.5</v>
      </c>
      <c r="P38" s="100">
        <f>1.518*0.00144</f>
        <v>2.1859200000000001E-3</v>
      </c>
      <c r="Q38" s="4"/>
    </row>
    <row r="39" spans="2:35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30">
        <v>67</v>
      </c>
      <c r="N39" s="38">
        <f>0.1272*3.6532E-21</f>
        <v>4.6468704000000007E-22</v>
      </c>
      <c r="O39" s="101">
        <v>67</v>
      </c>
      <c r="P39" s="102">
        <f>1.527*0.00144</f>
        <v>2.1988799999999998E-3</v>
      </c>
      <c r="Q39" s="4"/>
    </row>
    <row r="40" spans="2:35" x14ac:dyDescent="0.25">
      <c r="B40" s="4" t="s">
        <v>168</v>
      </c>
      <c r="C40" s="4" t="s">
        <v>169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2:35" ht="16.8" x14ac:dyDescent="0.35">
      <c r="B41" s="66" t="s">
        <v>98</v>
      </c>
      <c r="C41" s="52" t="s">
        <v>76</v>
      </c>
      <c r="D41" s="52" t="s">
        <v>27</v>
      </c>
      <c r="E41" s="52" t="s">
        <v>28</v>
      </c>
      <c r="F41" s="68" t="s">
        <v>97</v>
      </c>
      <c r="G41" s="52" t="s">
        <v>96</v>
      </c>
      <c r="H41" s="52" t="s">
        <v>95</v>
      </c>
      <c r="I41" s="52" t="s">
        <v>29</v>
      </c>
      <c r="J41" s="52" t="s">
        <v>125</v>
      </c>
      <c r="K41" s="67" t="s">
        <v>15</v>
      </c>
      <c r="L41" s="52" t="s">
        <v>126</v>
      </c>
      <c r="M41" s="67" t="s">
        <v>94</v>
      </c>
      <c r="N41" s="67" t="s">
        <v>93</v>
      </c>
      <c r="O41" s="67" t="s">
        <v>92</v>
      </c>
      <c r="P41" s="52" t="s">
        <v>30</v>
      </c>
      <c r="Q41" s="53" t="s">
        <v>19</v>
      </c>
      <c r="R41" s="53" t="s">
        <v>16</v>
      </c>
      <c r="S41" s="53" t="s">
        <v>17</v>
      </c>
      <c r="T41" s="53" t="s">
        <v>18</v>
      </c>
      <c r="U41" s="85" t="s">
        <v>127</v>
      </c>
      <c r="V41" s="67" t="s">
        <v>91</v>
      </c>
      <c r="W41" s="52" t="s">
        <v>37</v>
      </c>
      <c r="X41" s="67" t="s">
        <v>90</v>
      </c>
      <c r="Y41" s="52" t="s">
        <v>31</v>
      </c>
      <c r="Z41" s="67" t="s">
        <v>89</v>
      </c>
      <c r="AA41" s="67" t="s">
        <v>10</v>
      </c>
      <c r="AB41" s="52" t="s">
        <v>32</v>
      </c>
      <c r="AC41" s="67" t="s">
        <v>11</v>
      </c>
      <c r="AD41" s="54" t="s">
        <v>88</v>
      </c>
    </row>
    <row r="42" spans="2:35" x14ac:dyDescent="0.25">
      <c r="B42" s="6">
        <v>-441.39999399999999</v>
      </c>
      <c r="D42" s="6"/>
      <c r="F42" s="23">
        <f>(($C$14*(B42)^2)+($C$15*(B42))+$C$16)*$K$13</f>
        <v>3.8624512930119663</v>
      </c>
      <c r="G42" s="56"/>
      <c r="K42" s="17">
        <f>SQRT(($C$5*$C$9*F42/$C$7)^2+$H$8^2)-$H$8</f>
        <v>28.786907132554916</v>
      </c>
      <c r="L42" s="44"/>
      <c r="M42" s="17">
        <f t="shared" ref="M42:M50" si="0">1+K42/$H$8</f>
        <v>1.0012368613377962</v>
      </c>
      <c r="N42" s="18">
        <f t="shared" ref="N42:N50" si="1">SQRT(1-1/M42^2)</f>
        <v>4.9690449331150056E-2</v>
      </c>
      <c r="O42" s="19">
        <f t="shared" ref="O42:O50" si="2">M42*N42*$H$8</f>
        <v>1157.9338406410502</v>
      </c>
      <c r="Q42" s="1">
        <f>(9.39235E-22*EXP((-0.0105371)*K42))*($F$12)</f>
        <v>0</v>
      </c>
      <c r="R42" s="39">
        <f>K42-Q42</f>
        <v>28.786907132554916</v>
      </c>
      <c r="T42" s="1">
        <f>Q42+S42</f>
        <v>0</v>
      </c>
      <c r="U42" s="1">
        <f>SQRT((($K$9^2*J42^2)+($H$6^2*$I$6^2))/($K$9^2-$H$6^2))</f>
        <v>4.4759571891902887E-4</v>
      </c>
      <c r="V42" s="20">
        <f>SQRT($H$8^2+O42^2)+T42</f>
        <v>23302.945661132551</v>
      </c>
      <c r="W42" s="1">
        <f>SQRT(((($H$8^2*$I$8^2)+(O42^2*P42^2))/($H$8^2+O42^2))+(0.1*T42)^2)</f>
        <v>4.6941939330121397E-2</v>
      </c>
      <c r="X42" s="19">
        <f t="shared" ref="X42:X50" si="3">SQRT(V42^2-$H$8^2)</f>
        <v>1157.9338406410629</v>
      </c>
      <c r="Y42" s="5">
        <f>SQRT(((V42^2*W42^2)+($H$8^2*$I$8^2))/(V42^2-$H$8^2))</f>
        <v>1.3359896748435276</v>
      </c>
      <c r="Z42" s="21">
        <f t="shared" ref="Z42:Z50" si="4">$H$6^2+$H$7^2+$H$8^2+2*$H$7*($K$9-V42)-2*$K$9*V42+2*$K$11*X42*$C$12</f>
        <v>457042.26223549386</v>
      </c>
      <c r="AA42" s="63">
        <f>SQRT(Z42)-$H$9</f>
        <v>-262.73402283731059</v>
      </c>
      <c r="AB42" s="86"/>
      <c r="AC42" s="65"/>
      <c r="AD42" s="33">
        <f>(AA42-AC42)*1000</f>
        <v>-262734.02283731056</v>
      </c>
      <c r="AI42" s="62"/>
    </row>
    <row r="43" spans="2:35" x14ac:dyDescent="0.25">
      <c r="B43" s="6">
        <v>-430.20001200000002</v>
      </c>
      <c r="D43" s="6"/>
      <c r="F43" s="23">
        <f t="shared" ref="F43:F50" si="5">(($C$14*(B43)^2)+($C$15*(B43))+$C$16)*$K$13</f>
        <v>3.8606526569151538</v>
      </c>
      <c r="G43" s="56"/>
      <c r="K43" s="17">
        <f t="shared" ref="K43:K50" si="6">SQRT(($C$5*$C$9*F43/$C$7)^2+$H$8^2)-$H$8</f>
        <v>28.760119392380147</v>
      </c>
      <c r="L43" s="44"/>
      <c r="M43" s="17">
        <f>1+K43/$H$8</f>
        <v>1.0012357103728802</v>
      </c>
      <c r="N43" s="18">
        <f t="shared" si="1"/>
        <v>4.9667366966279207E-2</v>
      </c>
      <c r="O43" s="19">
        <f t="shared" si="2"/>
        <v>1157.3946230702127</v>
      </c>
      <c r="Q43" s="1">
        <f t="shared" ref="Q43:Q50" si="7">(9.39235E-22*EXP((-0.0105371)*K43))*($F$12)</f>
        <v>0</v>
      </c>
      <c r="R43" s="39">
        <f t="shared" ref="R43:R50" si="8">K43-Q43</f>
        <v>28.760119392380147</v>
      </c>
      <c r="T43" s="1">
        <f t="shared" ref="T43:T50" si="9">Q43+S43</f>
        <v>0</v>
      </c>
      <c r="U43" s="1">
        <f t="shared" ref="U43:U50" si="10">SQRT((($K$9^2*J43^2)+($H$6^2*$I$6^2))/($K$9^2-$H$6^2))</f>
        <v>4.4759571891902887E-4</v>
      </c>
      <c r="V43" s="20">
        <f t="shared" ref="V43:V50" si="11">SQRT($H$8^2+O43^2)+T43</f>
        <v>23302.918873392373</v>
      </c>
      <c r="W43" s="1">
        <f t="shared" ref="W43:W50" si="12">SQRT(((($H$8^2*$I$8^2)+(O43^2*P43^2))/($H$8^2+O43^2))+(0.1*T43)^2)</f>
        <v>4.6941993291965453E-2</v>
      </c>
      <c r="X43" s="19">
        <f t="shared" si="3"/>
        <v>1157.3946230701649</v>
      </c>
      <c r="Y43" s="5">
        <f t="shared" ref="Y43:Y50" si="13">SQRT(((V43^2*W43^2)+($H$8^2*$I$8^2))/(V43^2-$H$8^2))</f>
        <v>1.3366120979072385</v>
      </c>
      <c r="Z43" s="21">
        <f t="shared" si="4"/>
        <v>457845.52986672707</v>
      </c>
      <c r="AA43" s="63">
        <f t="shared" ref="AA43:AA50" si="14">SQRT(Z43)-$H$9</f>
        <v>-262.14019384860546</v>
      </c>
      <c r="AB43" s="86"/>
      <c r="AC43" s="32"/>
      <c r="AD43" s="33">
        <f t="shared" ref="AD43:AD50" si="15">(AA43-AC43)*1000</f>
        <v>-262140.19384860547</v>
      </c>
      <c r="AI43" s="62"/>
    </row>
    <row r="44" spans="2:35" x14ac:dyDescent="0.25">
      <c r="B44" s="6">
        <v>-244.60000600000001</v>
      </c>
      <c r="D44" s="6"/>
      <c r="F44" s="23">
        <f t="shared" si="5"/>
        <v>3.8306974400047848</v>
      </c>
      <c r="G44" s="56"/>
      <c r="K44" s="17">
        <f t="shared" si="6"/>
        <v>28.315815281737741</v>
      </c>
      <c r="L44" s="44"/>
      <c r="M44" s="17">
        <f t="shared" si="0"/>
        <v>1.0012166203548334</v>
      </c>
      <c r="N44" s="18">
        <f t="shared" si="1"/>
        <v>4.9282932204373242E-2</v>
      </c>
      <c r="O44" s="19">
        <f t="shared" si="2"/>
        <v>1148.4142743920434</v>
      </c>
      <c r="Q44" s="1">
        <f t="shared" si="7"/>
        <v>0</v>
      </c>
      <c r="R44" s="39">
        <f t="shared" si="8"/>
        <v>28.315815281737741</v>
      </c>
      <c r="T44" s="1">
        <f t="shared" si="9"/>
        <v>0</v>
      </c>
      <c r="U44" s="1">
        <f t="shared" si="10"/>
        <v>4.4759571891902887E-4</v>
      </c>
      <c r="V44" s="20">
        <f t="shared" si="11"/>
        <v>23302.474569281738</v>
      </c>
      <c r="W44" s="1">
        <f t="shared" si="12"/>
        <v>4.694288832654725E-2</v>
      </c>
      <c r="X44" s="19">
        <f t="shared" si="3"/>
        <v>1148.4142743920536</v>
      </c>
      <c r="Y44" s="5">
        <f t="shared" si="13"/>
        <v>1.3470641124408813</v>
      </c>
      <c r="Z44" s="21">
        <f t="shared" si="4"/>
        <v>471134.64263317245</v>
      </c>
      <c r="AA44" s="63">
        <f t="shared" si="14"/>
        <v>-252.39054719555929</v>
      </c>
      <c r="AB44" s="86"/>
      <c r="AC44" s="26"/>
      <c r="AD44" s="33">
        <f t="shared" si="15"/>
        <v>-252390.54719555928</v>
      </c>
      <c r="AI44" s="62"/>
    </row>
    <row r="45" spans="2:35" x14ac:dyDescent="0.25">
      <c r="B45" s="6">
        <v>-54.599997999999999</v>
      </c>
      <c r="D45" s="6"/>
      <c r="F45" s="23">
        <f t="shared" si="5"/>
        <v>3.7997405762985226</v>
      </c>
      <c r="G45" s="56"/>
      <c r="K45" s="17">
        <f t="shared" si="6"/>
        <v>27.860282021869352</v>
      </c>
      <c r="L45" s="44"/>
      <c r="M45" s="17">
        <f t="shared" si="0"/>
        <v>1.0011970478639569</v>
      </c>
      <c r="N45" s="18">
        <f t="shared" si="1"/>
        <v>4.888561964431775E-2</v>
      </c>
      <c r="O45" s="19">
        <f t="shared" si="2"/>
        <v>1139.1336395396168</v>
      </c>
      <c r="Q45" s="1">
        <f t="shared" si="7"/>
        <v>0</v>
      </c>
      <c r="R45" s="39">
        <f t="shared" si="8"/>
        <v>27.860282021869352</v>
      </c>
      <c r="T45" s="1">
        <f t="shared" si="9"/>
        <v>0</v>
      </c>
      <c r="U45" s="1">
        <f t="shared" si="10"/>
        <v>4.4759571891902887E-4</v>
      </c>
      <c r="V45" s="20">
        <f t="shared" si="11"/>
        <v>23302.019036021869</v>
      </c>
      <c r="W45" s="1">
        <f t="shared" si="12"/>
        <v>4.6943806017281008E-2</v>
      </c>
      <c r="X45" s="19">
        <f t="shared" si="3"/>
        <v>1139.1336395396922</v>
      </c>
      <c r="Y45" s="5">
        <f t="shared" si="13"/>
        <v>1.3580387774989127</v>
      </c>
      <c r="Z45" s="21">
        <f t="shared" si="4"/>
        <v>484692.00903429696</v>
      </c>
      <c r="AA45" s="63">
        <f t="shared" si="14"/>
        <v>-242.58477747390623</v>
      </c>
      <c r="AB45" s="86"/>
      <c r="AC45" s="32"/>
      <c r="AD45" s="33">
        <f t="shared" si="15"/>
        <v>-242584.77747390623</v>
      </c>
      <c r="AI45" s="62"/>
    </row>
    <row r="46" spans="2:35" x14ac:dyDescent="0.25">
      <c r="B46" s="6">
        <v>-40.599997999999999</v>
      </c>
      <c r="D46" s="6"/>
      <c r="F46" s="23">
        <f t="shared" si="5"/>
        <v>3.7974478783997818</v>
      </c>
      <c r="G46" s="56"/>
      <c r="K46" s="17">
        <f t="shared" si="6"/>
        <v>27.82669140663711</v>
      </c>
      <c r="L46" s="44"/>
      <c r="M46" s="17">
        <f t="shared" si="0"/>
        <v>1.001195604605982</v>
      </c>
      <c r="N46" s="18">
        <f t="shared" si="1"/>
        <v>4.8856193332736074E-2</v>
      </c>
      <c r="O46" s="19">
        <f t="shared" si="2"/>
        <v>1138.4463059573886</v>
      </c>
      <c r="Q46" s="1">
        <f t="shared" si="7"/>
        <v>0</v>
      </c>
      <c r="R46" s="39">
        <f t="shared" si="8"/>
        <v>27.82669140663711</v>
      </c>
      <c r="T46" s="1">
        <f t="shared" si="9"/>
        <v>0</v>
      </c>
      <c r="U46" s="1">
        <f t="shared" si="10"/>
        <v>4.4759571891902887E-4</v>
      </c>
      <c r="V46" s="20">
        <f t="shared" si="11"/>
        <v>23301.985445406637</v>
      </c>
      <c r="W46" s="1">
        <f t="shared" si="12"/>
        <v>4.6943873688395518E-2</v>
      </c>
      <c r="X46" s="19">
        <f t="shared" si="3"/>
        <v>1138.446305957405</v>
      </c>
      <c r="Y46" s="5">
        <f t="shared" si="13"/>
        <v>1.3588586893849093</v>
      </c>
      <c r="Z46" s="21">
        <f t="shared" si="4"/>
        <v>485688.96197333396</v>
      </c>
      <c r="AA46" s="63">
        <f t="shared" si="14"/>
        <v>-241.86914740248142</v>
      </c>
      <c r="AB46" s="86"/>
      <c r="AC46" s="25"/>
      <c r="AD46" s="33">
        <f t="shared" si="15"/>
        <v>-241869.14740248141</v>
      </c>
      <c r="AI46" s="62"/>
    </row>
    <row r="47" spans="2:35" x14ac:dyDescent="0.25">
      <c r="B47" s="6">
        <v>-11.8</v>
      </c>
      <c r="D47" s="6"/>
      <c r="F47" s="23">
        <f t="shared" si="5"/>
        <v>3.7927264366449793</v>
      </c>
      <c r="G47" s="56"/>
      <c r="K47" s="17">
        <f t="shared" si="6"/>
        <v>27.757580662499095</v>
      </c>
      <c r="L47" s="44"/>
      <c r="M47" s="17">
        <f t="shared" si="0"/>
        <v>1.0011926351863407</v>
      </c>
      <c r="N47" s="18">
        <f t="shared" si="1"/>
        <v>4.8795594186693769E-2</v>
      </c>
      <c r="O47" s="19">
        <f t="shared" si="2"/>
        <v>1137.0308532384818</v>
      </c>
      <c r="Q47" s="1">
        <f t="shared" si="7"/>
        <v>0</v>
      </c>
      <c r="R47" s="39">
        <f t="shared" si="8"/>
        <v>27.757580662499095</v>
      </c>
      <c r="T47" s="1">
        <f t="shared" si="9"/>
        <v>0</v>
      </c>
      <c r="U47" s="1">
        <f t="shared" si="10"/>
        <v>4.4759571891902887E-4</v>
      </c>
      <c r="V47" s="20">
        <f t="shared" si="11"/>
        <v>23301.916334662499</v>
      </c>
      <c r="W47" s="1">
        <f t="shared" si="12"/>
        <v>4.6944012918405477E-2</v>
      </c>
      <c r="X47" s="19">
        <f t="shared" si="3"/>
        <v>1137.030853238547</v>
      </c>
      <c r="Y47" s="5">
        <f t="shared" si="13"/>
        <v>1.3605502883603948</v>
      </c>
      <c r="Z47" s="21">
        <f t="shared" si="4"/>
        <v>487738.93270983873</v>
      </c>
      <c r="AA47" s="64">
        <f t="shared" si="14"/>
        <v>-240.39994709422069</v>
      </c>
      <c r="AB47" s="86"/>
      <c r="AC47" s="26"/>
      <c r="AD47" s="33">
        <f t="shared" si="15"/>
        <v>-240399.9470942207</v>
      </c>
      <c r="AI47" s="62"/>
    </row>
    <row r="48" spans="2:35" x14ac:dyDescent="0.25">
      <c r="B48" s="6">
        <v>148.60000600000001</v>
      </c>
      <c r="D48" s="6"/>
      <c r="F48" s="23">
        <f t="shared" si="5"/>
        <v>3.7663066648049663</v>
      </c>
      <c r="G48" s="56"/>
      <c r="K48" s="17">
        <f t="shared" si="6"/>
        <v>27.372440574068605</v>
      </c>
      <c r="L48" s="44"/>
      <c r="M48" s="17">
        <f t="shared" si="0"/>
        <v>1.0011760872160145</v>
      </c>
      <c r="N48" s="18">
        <f t="shared" si="1"/>
        <v>4.8456489617222778E-2</v>
      </c>
      <c r="O48" s="19">
        <f t="shared" si="2"/>
        <v>1129.110404395271</v>
      </c>
      <c r="Q48" s="1">
        <f t="shared" si="7"/>
        <v>0</v>
      </c>
      <c r="R48" s="39">
        <f t="shared" si="8"/>
        <v>27.372440574068605</v>
      </c>
      <c r="T48" s="1">
        <f t="shared" si="9"/>
        <v>0</v>
      </c>
      <c r="U48" s="1">
        <f t="shared" si="10"/>
        <v>4.4759571891902887E-4</v>
      </c>
      <c r="V48" s="20">
        <f t="shared" si="11"/>
        <v>23301.531194574069</v>
      </c>
      <c r="W48" s="1">
        <f t="shared" si="12"/>
        <v>4.694478883399384E-2</v>
      </c>
      <c r="X48" s="19">
        <f t="shared" si="3"/>
        <v>1129.1104043952948</v>
      </c>
      <c r="Y48" s="5">
        <f t="shared" si="13"/>
        <v>1.3700942345641334</v>
      </c>
      <c r="Z48" s="21">
        <f t="shared" si="4"/>
        <v>499133.10755016317</v>
      </c>
      <c r="AA48" s="64">
        <f t="shared" si="14"/>
        <v>-232.28950186013526</v>
      </c>
      <c r="AB48" s="86"/>
      <c r="AC48" s="26"/>
      <c r="AD48" s="33">
        <f t="shared" si="15"/>
        <v>-232289.50186013526</v>
      </c>
      <c r="AI48" s="62"/>
    </row>
    <row r="49" spans="1:35" x14ac:dyDescent="0.25">
      <c r="B49" s="6">
        <v>195</v>
      </c>
      <c r="D49" s="6"/>
      <c r="F49" s="23">
        <f t="shared" si="5"/>
        <v>3.75862484390225</v>
      </c>
      <c r="G49" s="56"/>
      <c r="K49" s="17">
        <f t="shared" si="6"/>
        <v>27.260961135496473</v>
      </c>
      <c r="L49" s="44"/>
      <c r="M49" s="17">
        <f t="shared" si="0"/>
        <v>1.0011712973785061</v>
      </c>
      <c r="N49" s="18">
        <f t="shared" si="1"/>
        <v>4.8357888319849635E-2</v>
      </c>
      <c r="O49" s="19">
        <f t="shared" si="2"/>
        <v>1126.8074522784646</v>
      </c>
      <c r="Q49" s="1">
        <f t="shared" si="7"/>
        <v>0</v>
      </c>
      <c r="R49" s="39">
        <f t="shared" si="8"/>
        <v>27.260961135496473</v>
      </c>
      <c r="T49" s="1">
        <f t="shared" si="9"/>
        <v>0</v>
      </c>
      <c r="U49" s="1">
        <f t="shared" si="10"/>
        <v>4.4759571891902887E-4</v>
      </c>
      <c r="V49" s="20">
        <f t="shared" si="11"/>
        <v>23301.419715135489</v>
      </c>
      <c r="W49" s="1">
        <f t="shared" si="12"/>
        <v>4.6945013428836876E-2</v>
      </c>
      <c r="X49" s="19">
        <f t="shared" si="3"/>
        <v>1126.8074522783986</v>
      </c>
      <c r="Y49" s="5">
        <f t="shared" si="13"/>
        <v>1.3728944125461453</v>
      </c>
      <c r="Z49" s="21">
        <f t="shared" si="4"/>
        <v>502421.61270797299</v>
      </c>
      <c r="AA49" s="64">
        <f t="shared" si="14"/>
        <v>-229.96597994128786</v>
      </c>
      <c r="AB49" s="86"/>
      <c r="AC49" s="26"/>
      <c r="AD49" s="33">
        <f t="shared" si="15"/>
        <v>-229965.97994128786</v>
      </c>
      <c r="AI49" s="62"/>
    </row>
    <row r="50" spans="1:35" x14ac:dyDescent="0.25">
      <c r="B50" s="6">
        <v>335.79998799999998</v>
      </c>
      <c r="D50" s="6"/>
      <c r="F50" s="23">
        <f t="shared" si="5"/>
        <v>3.735206826004231</v>
      </c>
      <c r="G50" s="56"/>
      <c r="K50" s="17">
        <f t="shared" si="6"/>
        <v>26.922517537128442</v>
      </c>
      <c r="L50" s="44"/>
      <c r="M50" s="17">
        <f t="shared" si="0"/>
        <v>1.0011567557745777</v>
      </c>
      <c r="N50" s="18">
        <f t="shared" si="1"/>
        <v>4.8057293721086192E-2</v>
      </c>
      <c r="O50" s="19">
        <f t="shared" si="2"/>
        <v>1119.7869066851601</v>
      </c>
      <c r="Q50" s="1">
        <f t="shared" si="7"/>
        <v>0</v>
      </c>
      <c r="R50" s="39">
        <f t="shared" si="8"/>
        <v>26.922517537128442</v>
      </c>
      <c r="T50" s="1">
        <f t="shared" si="9"/>
        <v>0</v>
      </c>
      <c r="U50" s="1">
        <f t="shared" si="10"/>
        <v>4.4759571891902887E-4</v>
      </c>
      <c r="V50" s="20">
        <f t="shared" si="11"/>
        <v>23301.081271537128</v>
      </c>
      <c r="W50" s="1">
        <f t="shared" si="12"/>
        <v>4.6945695295874924E-2</v>
      </c>
      <c r="X50" s="19">
        <f t="shared" si="3"/>
        <v>1119.7869066852388</v>
      </c>
      <c r="Y50" s="5">
        <f t="shared" si="13"/>
        <v>1.381501825046088</v>
      </c>
      <c r="Z50" s="21">
        <f t="shared" si="4"/>
        <v>512378.58609334996</v>
      </c>
      <c r="AA50" s="64">
        <f t="shared" si="14"/>
        <v>-222.976782599849</v>
      </c>
      <c r="AB50" s="86"/>
      <c r="AC50" s="25"/>
      <c r="AD50" s="33">
        <f t="shared" si="15"/>
        <v>-222976.78259984902</v>
      </c>
      <c r="AI50" s="62"/>
    </row>
    <row r="51" spans="1:35" x14ac:dyDescent="0.25">
      <c r="B51" s="6"/>
      <c r="D51" s="6"/>
      <c r="F51" s="23"/>
      <c r="G51" s="56"/>
      <c r="K51" s="17"/>
      <c r="L51" s="44"/>
      <c r="M51" s="17"/>
      <c r="N51" s="18"/>
      <c r="O51" s="19"/>
      <c r="R51" s="39"/>
      <c r="V51" s="20"/>
      <c r="X51" s="19"/>
      <c r="Y51" s="5"/>
      <c r="Z51" s="21"/>
      <c r="AA51" s="64"/>
      <c r="AB51" s="86"/>
      <c r="AC51" s="25"/>
      <c r="AD51" s="33"/>
      <c r="AI51" s="62"/>
    </row>
    <row r="52" spans="1:35" x14ac:dyDescent="0.25">
      <c r="B52" s="6"/>
      <c r="D52" s="6"/>
      <c r="F52" s="23"/>
      <c r="G52" s="56"/>
      <c r="K52" s="17"/>
      <c r="L52" s="44"/>
      <c r="M52" s="17"/>
      <c r="N52" s="18"/>
      <c r="O52" s="19"/>
      <c r="R52" s="39"/>
      <c r="V52" s="20"/>
      <c r="X52" s="19"/>
      <c r="Y52" s="5"/>
      <c r="Z52" s="21"/>
      <c r="AA52" s="64"/>
      <c r="AB52" s="86"/>
      <c r="AC52" s="26"/>
      <c r="AD52" s="33"/>
      <c r="AI52" s="62"/>
    </row>
    <row r="53" spans="1:35" x14ac:dyDescent="0.25">
      <c r="B53" s="6"/>
      <c r="D53" s="6"/>
      <c r="F53" s="23"/>
      <c r="G53" s="56"/>
      <c r="K53" s="17"/>
      <c r="L53" s="44"/>
      <c r="M53" s="17"/>
      <c r="N53" s="18"/>
      <c r="O53" s="19"/>
      <c r="R53" s="39"/>
      <c r="V53" s="20"/>
      <c r="X53" s="19"/>
      <c r="Y53" s="5"/>
      <c r="Z53" s="21"/>
      <c r="AA53" s="64"/>
      <c r="AB53" s="86"/>
      <c r="AC53" s="26"/>
      <c r="AD53" s="33"/>
      <c r="AI53" s="62"/>
    </row>
    <row r="54" spans="1:35" x14ac:dyDescent="0.25">
      <c r="B54" s="6"/>
      <c r="D54" s="6"/>
      <c r="F54" s="23"/>
      <c r="G54" s="56"/>
      <c r="K54" s="17"/>
      <c r="L54" s="44"/>
      <c r="M54" s="17"/>
      <c r="N54" s="18"/>
      <c r="O54" s="19"/>
      <c r="R54" s="39"/>
      <c r="V54" s="20"/>
      <c r="X54" s="19"/>
      <c r="Y54" s="5"/>
      <c r="Z54" s="21"/>
      <c r="AA54" s="64"/>
      <c r="AB54" s="86"/>
      <c r="AC54" s="26"/>
      <c r="AD54" s="33"/>
      <c r="AI54" s="62"/>
    </row>
    <row r="55" spans="1:35" x14ac:dyDescent="0.25">
      <c r="B55" s="6"/>
      <c r="D55" s="6"/>
      <c r="F55" s="23"/>
      <c r="G55" s="56"/>
      <c r="K55" s="17"/>
      <c r="L55" s="44"/>
      <c r="M55" s="17"/>
      <c r="N55" s="18"/>
      <c r="O55" s="19"/>
      <c r="R55" s="39"/>
      <c r="V55" s="20"/>
      <c r="X55" s="19"/>
      <c r="Y55" s="5"/>
      <c r="Z55" s="21"/>
      <c r="AA55" s="64"/>
      <c r="AB55" s="86"/>
      <c r="AC55" s="26"/>
      <c r="AD55" s="33"/>
      <c r="AI55" s="62"/>
    </row>
    <row r="56" spans="1:35" x14ac:dyDescent="0.25">
      <c r="B56" s="6"/>
      <c r="D56" s="6"/>
      <c r="F56" s="23"/>
      <c r="G56" s="56"/>
      <c r="K56" s="17"/>
      <c r="L56" s="44"/>
      <c r="M56" s="17"/>
      <c r="N56" s="18"/>
      <c r="O56" s="19"/>
      <c r="R56" s="39"/>
      <c r="V56" s="20"/>
      <c r="X56" s="19"/>
      <c r="Y56" s="5"/>
      <c r="Z56" s="21"/>
      <c r="AA56" s="64"/>
      <c r="AB56" s="86"/>
      <c r="AC56" s="26"/>
      <c r="AD56" s="33"/>
      <c r="AI56" s="62"/>
    </row>
    <row r="57" spans="1:35" x14ac:dyDescent="0.25">
      <c r="B57" s="6"/>
      <c r="D57" s="6"/>
      <c r="F57" s="23"/>
      <c r="G57" s="56"/>
      <c r="K57" s="17"/>
      <c r="L57" s="44"/>
      <c r="M57" s="17"/>
      <c r="N57" s="18"/>
      <c r="O57" s="19"/>
      <c r="R57" s="39"/>
      <c r="V57" s="20"/>
      <c r="X57" s="19"/>
      <c r="Y57" s="5"/>
      <c r="Z57" s="21"/>
      <c r="AA57" s="64"/>
      <c r="AB57" s="86"/>
      <c r="AC57" s="17"/>
      <c r="AD57" s="40"/>
      <c r="AI57" s="62"/>
    </row>
    <row r="58" spans="1:35" x14ac:dyDescent="0.25">
      <c r="B58" s="6"/>
      <c r="D58" s="6"/>
      <c r="F58" s="23"/>
      <c r="G58" s="56"/>
      <c r="K58" s="17"/>
      <c r="L58" s="44"/>
      <c r="M58" s="17"/>
      <c r="N58" s="18"/>
      <c r="O58" s="19"/>
      <c r="R58" s="39"/>
      <c r="V58" s="20"/>
      <c r="X58" s="19"/>
      <c r="Y58" s="5"/>
      <c r="Z58" s="21"/>
      <c r="AA58" s="64"/>
      <c r="AB58" s="86"/>
      <c r="AC58" s="17"/>
      <c r="AD58" s="40"/>
      <c r="AI58" s="62"/>
    </row>
    <row r="59" spans="1:35" x14ac:dyDescent="0.25">
      <c r="B59" s="6"/>
      <c r="D59" s="6"/>
      <c r="F59" s="23"/>
      <c r="G59" s="56"/>
      <c r="K59" s="17"/>
      <c r="L59" s="44"/>
      <c r="M59" s="17"/>
      <c r="N59" s="18"/>
      <c r="O59" s="19"/>
      <c r="R59" s="39"/>
      <c r="V59" s="20"/>
      <c r="X59" s="19"/>
      <c r="Y59" s="5"/>
      <c r="Z59" s="21"/>
      <c r="AA59" s="64"/>
      <c r="AB59" s="86"/>
      <c r="AC59" s="17"/>
      <c r="AD59" s="40"/>
      <c r="AI59" s="62"/>
    </row>
    <row r="60" spans="1:35" x14ac:dyDescent="0.25">
      <c r="B60" s="6"/>
      <c r="D60" s="6"/>
      <c r="F60" s="23"/>
      <c r="G60" s="56"/>
      <c r="K60" s="17"/>
      <c r="L60" s="44"/>
      <c r="M60" s="17"/>
      <c r="N60" s="18"/>
      <c r="O60" s="19"/>
      <c r="R60" s="39"/>
      <c r="V60" s="20"/>
      <c r="X60" s="19"/>
      <c r="Y60" s="5"/>
      <c r="Z60" s="21"/>
      <c r="AA60" s="64"/>
      <c r="AB60" s="86"/>
      <c r="AC60" s="17"/>
      <c r="AD60" s="40"/>
      <c r="AI60" s="62"/>
    </row>
    <row r="62" spans="1:35" x14ac:dyDescent="0.25">
      <c r="B62" s="118" t="s">
        <v>137</v>
      </c>
      <c r="C62" s="119"/>
      <c r="D62" s="119"/>
      <c r="E62" s="120"/>
      <c r="F62" s="4"/>
      <c r="AI62" s="6"/>
    </row>
    <row r="63" spans="1:35" ht="15" x14ac:dyDescent="0.3">
      <c r="A63" s="79" t="s">
        <v>147</v>
      </c>
      <c r="B63" s="79" t="s">
        <v>138</v>
      </c>
      <c r="C63" s="76" t="s">
        <v>145</v>
      </c>
      <c r="D63" s="78" t="s">
        <v>144</v>
      </c>
      <c r="E63" s="77" t="s">
        <v>146</v>
      </c>
      <c r="F63" s="77" t="s">
        <v>16</v>
      </c>
      <c r="G63" s="77" t="s">
        <v>17</v>
      </c>
      <c r="H63" s="77" t="s">
        <v>18</v>
      </c>
      <c r="I63" s="77"/>
      <c r="J63" s="76" t="s">
        <v>87</v>
      </c>
      <c r="K63" s="76" t="s">
        <v>83</v>
      </c>
      <c r="L63" s="75" t="s">
        <v>84</v>
      </c>
      <c r="M63" s="75" t="s">
        <v>85</v>
      </c>
      <c r="N63" s="37" t="s">
        <v>86</v>
      </c>
      <c r="O63" s="74" t="s">
        <v>12</v>
      </c>
      <c r="P63" s="73" t="s">
        <v>76</v>
      </c>
    </row>
    <row r="64" spans="1:35" x14ac:dyDescent="0.25">
      <c r="A64" s="1">
        <v>0.5</v>
      </c>
      <c r="B64" s="94">
        <f>3089.443/1000</f>
        <v>3.0894430000000002</v>
      </c>
      <c r="C64" s="6">
        <v>54.866</v>
      </c>
      <c r="D64" s="6">
        <f>C64+(0.002+$I$9)/1000</f>
        <v>54.866002090000002</v>
      </c>
      <c r="E64" s="44">
        <f xml:space="preserve"> 0.01038*1</f>
        <v>1.038E-2</v>
      </c>
      <c r="F64" s="6">
        <f>C64-E64</f>
        <v>54.855620000000002</v>
      </c>
      <c r="H64" s="44">
        <f>E64+G64</f>
        <v>1.038E-2</v>
      </c>
      <c r="J64" s="70">
        <f>C64-H64</f>
        <v>54.855620000000002</v>
      </c>
      <c r="K64" s="6">
        <f>D64-H64</f>
        <v>54.855622090000004</v>
      </c>
      <c r="L64" s="69">
        <f t="shared" ref="L64:M66" si="16">$C$7*$H$8/($C$5*$C$9*$C$6)*SQRT((J64/$H$8+1)^2-1)</f>
        <v>5.3333192052638836</v>
      </c>
      <c r="M64" s="72">
        <f t="shared" si="16"/>
        <v>5.3333193069830793</v>
      </c>
      <c r="N64" s="71">
        <f>M64-L64</f>
        <v>1.0171919573309651E-7</v>
      </c>
      <c r="O64" s="6">
        <v>-361.39699999999999</v>
      </c>
      <c r="R64" s="1" t="s">
        <v>167</v>
      </c>
      <c r="AI64" s="6"/>
    </row>
    <row r="65" spans="1:15" x14ac:dyDescent="0.25">
      <c r="B65" s="94">
        <f>3684.507/1000</f>
        <v>3.684507</v>
      </c>
      <c r="C65" s="31">
        <v>54.250071547752228</v>
      </c>
      <c r="D65" s="6">
        <f>C65+(0.0019+$I$9)/1000</f>
        <v>54.250073537752229</v>
      </c>
      <c r="E65" s="1">
        <f xml:space="preserve"> 0.01048</f>
        <v>1.048E-2</v>
      </c>
      <c r="F65" s="6">
        <f>C65-E65</f>
        <v>54.239591547752227</v>
      </c>
      <c r="H65" s="44">
        <f t="shared" ref="H65:H98" si="17">E65+G65</f>
        <v>1.048E-2</v>
      </c>
      <c r="J65" s="70">
        <f>C65-H65</f>
        <v>54.239591547752227</v>
      </c>
      <c r="K65" s="6">
        <f>D65-H65</f>
        <v>54.239593537752228</v>
      </c>
      <c r="L65" s="69">
        <f t="shared" si="16"/>
        <v>5.3032530241771045</v>
      </c>
      <c r="M65" s="72">
        <f t="shared" si="16"/>
        <v>5.3032531215761205</v>
      </c>
      <c r="N65" s="71">
        <f>M65-L65</f>
        <v>9.739901596361733E-8</v>
      </c>
      <c r="O65" s="6">
        <v>-227.084</v>
      </c>
    </row>
    <row r="66" spans="1:15" x14ac:dyDescent="0.25">
      <c r="B66" s="94">
        <f>3853.807/1000</f>
        <v>3.8538069999999998</v>
      </c>
      <c r="C66" s="6">
        <v>54.074634723241758</v>
      </c>
      <c r="D66" s="6">
        <f>C66+(0.0019+$I$9)/1000</f>
        <v>54.074636713241759</v>
      </c>
      <c r="E66" s="1">
        <f xml:space="preserve"> 0.01051</f>
        <v>1.051E-2</v>
      </c>
      <c r="F66" s="6">
        <f>C66-E66</f>
        <v>54.064124723241761</v>
      </c>
      <c r="H66" s="44">
        <f t="shared" si="17"/>
        <v>1.051E-2</v>
      </c>
      <c r="J66" s="70">
        <f>C66-H66</f>
        <v>54.064124723241761</v>
      </c>
      <c r="K66" s="6">
        <f>D66-H66</f>
        <v>54.064126713241762</v>
      </c>
      <c r="L66" s="69">
        <f t="shared" si="16"/>
        <v>5.2946580105234604</v>
      </c>
      <c r="M66" s="72">
        <f t="shared" si="16"/>
        <v>5.2946581080799566</v>
      </c>
      <c r="N66" s="71">
        <f>M66-L66</f>
        <v>9.75564962146791E-8</v>
      </c>
      <c r="O66" s="6">
        <v>-188.85499999999999</v>
      </c>
    </row>
    <row r="67" spans="1:15" x14ac:dyDescent="0.25">
      <c r="B67" s="94"/>
      <c r="C67" s="6"/>
      <c r="D67" s="6"/>
      <c r="F67" s="6"/>
      <c r="H67" s="44"/>
      <c r="J67" s="70"/>
      <c r="K67" s="6"/>
      <c r="L67" s="69"/>
      <c r="M67" s="72"/>
      <c r="N67" s="71"/>
      <c r="O67" s="6"/>
    </row>
    <row r="68" spans="1:15" x14ac:dyDescent="0.25">
      <c r="A68" s="1">
        <v>5</v>
      </c>
      <c r="B68" s="94">
        <f>3089.443/1000</f>
        <v>3.0894430000000002</v>
      </c>
      <c r="C68" s="31">
        <v>54.818044193325932</v>
      </c>
      <c r="D68" s="6">
        <f>C68+(0.002+$I$9)/1000</f>
        <v>54.818046283325934</v>
      </c>
      <c r="E68" s="44">
        <v>1.039E-2</v>
      </c>
      <c r="F68" s="6">
        <f t="shared" ref="F68:F98" si="18">C68-E68</f>
        <v>54.807654193325931</v>
      </c>
      <c r="H68" s="44">
        <f t="shared" si="17"/>
        <v>1.039E-2</v>
      </c>
      <c r="J68" s="70">
        <f t="shared" ref="J68:J98" si="19">C68-H68</f>
        <v>54.807654193325931</v>
      </c>
      <c r="K68" s="6">
        <f t="shared" ref="K68:K98" si="20">D68-H68</f>
        <v>54.807656283325933</v>
      </c>
      <c r="L68" s="69">
        <f t="shared" ref="L68:L98" si="21">$C$7*$H$8/($C$5*$C$9*$C$6)*SQRT((J68/$H$8+1)^2-1)</f>
        <v>5.3309842221825576</v>
      </c>
      <c r="M68" s="72"/>
      <c r="N68" s="71"/>
      <c r="O68" s="6">
        <v>-351.78</v>
      </c>
    </row>
    <row r="69" spans="1:15" x14ac:dyDescent="0.25">
      <c r="B69" s="94">
        <f>3684.507/1000</f>
        <v>3.684507</v>
      </c>
      <c r="C69" s="1">
        <v>54.20192915449136</v>
      </c>
      <c r="D69" s="6">
        <f>C69+(0.0019+$I$9)/1000</f>
        <v>54.201931144491361</v>
      </c>
      <c r="E69" s="44">
        <v>1.0489999999999999E-2</v>
      </c>
      <c r="F69" s="6">
        <f t="shared" si="18"/>
        <v>54.191439154491363</v>
      </c>
      <c r="H69" s="44">
        <f t="shared" si="17"/>
        <v>1.0489999999999999E-2</v>
      </c>
      <c r="J69" s="70">
        <f t="shared" si="19"/>
        <v>54.191439154491363</v>
      </c>
      <c r="K69" s="6">
        <f t="shared" si="20"/>
        <v>54.191441144491364</v>
      </c>
      <c r="L69" s="69">
        <f t="shared" si="21"/>
        <v>5.3008957229893525</v>
      </c>
      <c r="O69" s="6">
        <v>-217.86699999999999</v>
      </c>
    </row>
    <row r="70" spans="1:15" x14ac:dyDescent="0.25">
      <c r="B70" s="94">
        <f>3853.807/1000</f>
        <v>3.8538069999999998</v>
      </c>
      <c r="C70" s="1">
        <v>54.026563777627487</v>
      </c>
      <c r="D70" s="6">
        <f>C70+(0.0019+$I$9)/1000</f>
        <v>54.026565767627488</v>
      </c>
      <c r="E70" s="44">
        <v>1.052E-2</v>
      </c>
      <c r="F70" s="6">
        <f t="shared" si="18"/>
        <v>54.016043777627488</v>
      </c>
      <c r="H70" s="44">
        <f t="shared" si="17"/>
        <v>1.052E-2</v>
      </c>
      <c r="J70" s="70">
        <f t="shared" si="19"/>
        <v>54.016043777627488</v>
      </c>
      <c r="K70" s="6">
        <f t="shared" si="20"/>
        <v>54.016045767627489</v>
      </c>
      <c r="L70" s="69">
        <f t="shared" si="21"/>
        <v>5.2923004028509277</v>
      </c>
      <c r="O70" s="6">
        <v>-179.79</v>
      </c>
    </row>
    <row r="71" spans="1:15" x14ac:dyDescent="0.25">
      <c r="B71" s="94"/>
      <c r="F71" s="6"/>
      <c r="H71" s="44"/>
      <c r="J71" s="70"/>
      <c r="K71" s="6"/>
      <c r="L71" s="69"/>
      <c r="O71" s="6"/>
    </row>
    <row r="72" spans="1:15" x14ac:dyDescent="0.25">
      <c r="A72" s="1">
        <v>10</v>
      </c>
      <c r="B72" s="94">
        <f>3089.443/1000</f>
        <v>3.0894430000000002</v>
      </c>
      <c r="C72" s="6">
        <v>54.672023461585312</v>
      </c>
      <c r="D72" s="6">
        <f>C72+(0.002+$I$9)/1000</f>
        <v>54.672025551585314</v>
      </c>
      <c r="E72" s="44">
        <v>1.0410000000000001E-2</v>
      </c>
      <c r="F72" s="6">
        <f t="shared" si="18"/>
        <v>54.661613461585311</v>
      </c>
      <c r="H72" s="44">
        <f t="shared" si="17"/>
        <v>1.0410000000000001E-2</v>
      </c>
      <c r="J72" s="70">
        <f t="shared" si="19"/>
        <v>54.661613461585311</v>
      </c>
      <c r="K72" s="6">
        <f t="shared" si="20"/>
        <v>54.661615551585314</v>
      </c>
      <c r="L72" s="69">
        <f t="shared" si="21"/>
        <v>5.3238686600406631</v>
      </c>
      <c r="O72" s="6">
        <v>-321.767</v>
      </c>
    </row>
    <row r="73" spans="1:15" x14ac:dyDescent="0.25">
      <c r="B73" s="94">
        <f>3684.507/1000</f>
        <v>3.684507</v>
      </c>
      <c r="C73" s="1">
        <v>54.056664795167642</v>
      </c>
      <c r="D73" s="6">
        <f>C73+(0.0019+$I$9)/1000</f>
        <v>54.056666785167643</v>
      </c>
      <c r="E73" s="44">
        <v>1.051E-2</v>
      </c>
      <c r="F73" s="6">
        <f t="shared" si="18"/>
        <v>54.046154795167645</v>
      </c>
      <c r="H73" s="44">
        <f t="shared" si="17"/>
        <v>1.051E-2</v>
      </c>
      <c r="J73" s="70">
        <f t="shared" si="19"/>
        <v>54.046154795167645</v>
      </c>
      <c r="K73" s="6">
        <f t="shared" si="20"/>
        <v>54.046156785167646</v>
      </c>
      <c r="L73" s="69">
        <f t="shared" si="21"/>
        <v>5.2937769929182155</v>
      </c>
      <c r="O73" s="6">
        <v>-187.95</v>
      </c>
    </row>
    <row r="74" spans="1:15" x14ac:dyDescent="0.25">
      <c r="B74" s="94">
        <f>3853.807/1000</f>
        <v>3.8538069999999998</v>
      </c>
      <c r="C74" s="1">
        <v>53.881515395423222</v>
      </c>
      <c r="D74" s="6">
        <f>C74+(0.0019+$I$9)/1000</f>
        <v>53.881517385423223</v>
      </c>
      <c r="E74" s="44">
        <v>1.0540000000000001E-2</v>
      </c>
      <c r="F74" s="6">
        <f t="shared" si="18"/>
        <v>53.870975395423223</v>
      </c>
      <c r="H74" s="44">
        <f t="shared" si="17"/>
        <v>1.0540000000000001E-2</v>
      </c>
      <c r="J74" s="70">
        <f t="shared" si="19"/>
        <v>53.870975395423223</v>
      </c>
      <c r="K74" s="6">
        <f t="shared" si="20"/>
        <v>53.870977385423224</v>
      </c>
      <c r="L74" s="69">
        <f t="shared" si="21"/>
        <v>5.2851807559962554</v>
      </c>
      <c r="O74" s="6">
        <v>-149.89599999999999</v>
      </c>
    </row>
    <row r="75" spans="1:15" x14ac:dyDescent="0.25">
      <c r="B75" s="94"/>
      <c r="F75" s="6"/>
      <c r="H75" s="44"/>
      <c r="J75" s="70"/>
      <c r="K75" s="6"/>
      <c r="L75" s="69"/>
      <c r="O75" s="6"/>
    </row>
    <row r="76" spans="1:15" x14ac:dyDescent="0.25">
      <c r="A76" s="1">
        <v>15</v>
      </c>
      <c r="B76" s="94">
        <f>3089.443/1000</f>
        <v>3.0894430000000002</v>
      </c>
      <c r="C76" s="6">
        <v>54.430725187684565</v>
      </c>
      <c r="D76" s="6">
        <f>C76+(0.002+$I$9)/1000</f>
        <v>54.430727277684568</v>
      </c>
      <c r="E76" s="44">
        <v>1.0449999999999999E-2</v>
      </c>
      <c r="F76" s="6">
        <f t="shared" si="18"/>
        <v>54.420275187684567</v>
      </c>
      <c r="H76" s="44">
        <f t="shared" si="17"/>
        <v>1.0449999999999999E-2</v>
      </c>
      <c r="J76" s="70">
        <f t="shared" si="19"/>
        <v>54.420275187684567</v>
      </c>
      <c r="K76" s="6">
        <f t="shared" si="20"/>
        <v>54.420277277684569</v>
      </c>
      <c r="L76" s="69">
        <f t="shared" si="21"/>
        <v>5.3120891109844264</v>
      </c>
      <c r="O76" s="103">
        <v>-268.67500000000001</v>
      </c>
    </row>
    <row r="77" spans="1:15" x14ac:dyDescent="0.25">
      <c r="B77" s="94">
        <f>3684.507/1000</f>
        <v>3.684507</v>
      </c>
      <c r="C77" s="1">
        <v>53.81662092768336</v>
      </c>
      <c r="D77" s="6">
        <f>C77+(0.0019+$I$9)/1000</f>
        <v>53.816622917683361</v>
      </c>
      <c r="E77" s="44">
        <v>1.055E-2</v>
      </c>
      <c r="F77" s="6">
        <f t="shared" si="18"/>
        <v>53.806070927683358</v>
      </c>
      <c r="H77" s="44">
        <f t="shared" si="17"/>
        <v>1.055E-2</v>
      </c>
      <c r="J77" s="70">
        <f t="shared" si="19"/>
        <v>53.806070927683358</v>
      </c>
      <c r="K77" s="6">
        <f t="shared" si="20"/>
        <v>53.806072917683359</v>
      </c>
      <c r="L77" s="69">
        <f t="shared" si="21"/>
        <v>5.2819922901899972</v>
      </c>
      <c r="O77" s="103">
        <v>-135.11000000000001</v>
      </c>
    </row>
    <row r="78" spans="1:15" x14ac:dyDescent="0.25">
      <c r="B78" s="94">
        <f>3853.807/1000</f>
        <v>3.8538069999999998</v>
      </c>
      <c r="C78" s="1">
        <v>53.641829717467068</v>
      </c>
      <c r="D78" s="6">
        <f>C78+(0.0019+$I$9)/1000</f>
        <v>53.64183170746707</v>
      </c>
      <c r="E78" s="44">
        <v>1.0580000000000001E-2</v>
      </c>
      <c r="F78" s="6">
        <f t="shared" si="18"/>
        <v>53.631249717467071</v>
      </c>
      <c r="H78" s="44">
        <f t="shared" si="17"/>
        <v>1.0580000000000001E-2</v>
      </c>
      <c r="J78" s="70">
        <f t="shared" si="19"/>
        <v>53.631249717467071</v>
      </c>
      <c r="K78" s="6">
        <f t="shared" si="20"/>
        <v>53.631251707467072</v>
      </c>
      <c r="L78" s="69">
        <f t="shared" si="21"/>
        <v>5.2733945616917675</v>
      </c>
      <c r="O78" s="103">
        <v>-97.128699999999995</v>
      </c>
    </row>
    <row r="79" spans="1:15" x14ac:dyDescent="0.25">
      <c r="B79" s="94"/>
      <c r="F79" s="6"/>
      <c r="H79" s="44"/>
      <c r="J79" s="70"/>
      <c r="K79" s="6"/>
      <c r="L79" s="69"/>
      <c r="O79" s="6"/>
    </row>
    <row r="80" spans="1:15" x14ac:dyDescent="0.25">
      <c r="A80" s="1">
        <v>20</v>
      </c>
      <c r="B80" s="94">
        <f>3089.443/1000</f>
        <v>3.0894430000000002</v>
      </c>
      <c r="C80" s="6">
        <v>54.097204991332326</v>
      </c>
      <c r="D80" s="6">
        <f>C80+(0.002+$I$9)/1000</f>
        <v>54.097207081332328</v>
      </c>
      <c r="E80" s="44">
        <v>1.051E-2</v>
      </c>
      <c r="F80" s="6">
        <f t="shared" si="18"/>
        <v>54.08669499133233</v>
      </c>
      <c r="H80" s="44">
        <f t="shared" si="17"/>
        <v>1.051E-2</v>
      </c>
      <c r="J80" s="70">
        <f t="shared" si="19"/>
        <v>54.08669499133233</v>
      </c>
      <c r="K80" s="6">
        <f t="shared" si="20"/>
        <v>54.086697081332332</v>
      </c>
      <c r="L80" s="69">
        <f t="shared" si="21"/>
        <v>5.2957643638271161</v>
      </c>
      <c r="O80" s="6">
        <v>-199.69499999999999</v>
      </c>
    </row>
    <row r="81" spans="1:17" x14ac:dyDescent="0.25">
      <c r="B81" s="94">
        <f>3684.507/1000</f>
        <v>3.684507</v>
      </c>
      <c r="C81" s="1">
        <v>53.484843873033498</v>
      </c>
      <c r="D81" s="6">
        <f>C81+(0.0019+$I$9)/1000</f>
        <v>53.484845863033499</v>
      </c>
      <c r="E81" s="44">
        <v>1.061E-2</v>
      </c>
      <c r="F81" s="6">
        <f t="shared" si="18"/>
        <v>53.474233873033498</v>
      </c>
      <c r="H81" s="44">
        <f t="shared" si="17"/>
        <v>1.061E-2</v>
      </c>
      <c r="J81" s="70">
        <f t="shared" si="19"/>
        <v>53.474233873033498</v>
      </c>
      <c r="K81" s="6">
        <f t="shared" si="20"/>
        <v>53.474235863033499</v>
      </c>
      <c r="L81" s="69">
        <f t="shared" si="21"/>
        <v>5.2656605918888761</v>
      </c>
      <c r="O81" s="44">
        <v>-66.975499999999997</v>
      </c>
    </row>
    <row r="82" spans="1:17" x14ac:dyDescent="0.25">
      <c r="B82" s="94">
        <f>3853.807/1000</f>
        <v>3.8538069999999998</v>
      </c>
      <c r="C82" s="1">
        <v>53.310550412585989</v>
      </c>
      <c r="D82" s="6">
        <f>C82+(0.0019+$I$9)/1000</f>
        <v>53.310552402585991</v>
      </c>
      <c r="E82" s="44">
        <v>1.064E-2</v>
      </c>
      <c r="F82" s="6">
        <f t="shared" si="18"/>
        <v>53.299910412585987</v>
      </c>
      <c r="H82" s="44">
        <f t="shared" si="17"/>
        <v>1.064E-2</v>
      </c>
      <c r="J82" s="70">
        <f t="shared" si="19"/>
        <v>53.299910412585987</v>
      </c>
      <c r="K82" s="6">
        <f t="shared" si="20"/>
        <v>53.299912402585989</v>
      </c>
      <c r="L82" s="69">
        <f t="shared" si="21"/>
        <v>5.2570608513128247</v>
      </c>
      <c r="O82" s="44">
        <v>-29.243600000000001</v>
      </c>
    </row>
    <row r="83" spans="1:17" x14ac:dyDescent="0.25">
      <c r="F83" s="6"/>
      <c r="H83" s="44"/>
      <c r="J83" s="70"/>
      <c r="K83" s="6"/>
      <c r="L83" s="69"/>
    </row>
    <row r="84" spans="1:17" x14ac:dyDescent="0.25">
      <c r="A84" s="1">
        <v>25</v>
      </c>
      <c r="B84" s="94">
        <f>3089.443/1000</f>
        <v>3.0894430000000002</v>
      </c>
      <c r="C84" s="6">
        <v>53.675644941482943</v>
      </c>
      <c r="D84" s="6">
        <f>C84+(0.002+$I$9)/1000</f>
        <v>53.675647031482946</v>
      </c>
      <c r="E84" s="44">
        <v>1.0580000000000001E-2</v>
      </c>
      <c r="F84" s="6">
        <f t="shared" si="18"/>
        <v>53.665064941482946</v>
      </c>
      <c r="H84" s="44">
        <f t="shared" si="17"/>
        <v>1.0580000000000001E-2</v>
      </c>
      <c r="J84" s="70">
        <f t="shared" si="19"/>
        <v>53.665064941482946</v>
      </c>
      <c r="K84" s="6">
        <f t="shared" si="20"/>
        <v>53.665067031482948</v>
      </c>
      <c r="L84" s="69">
        <f t="shared" si="21"/>
        <v>5.275058686645429</v>
      </c>
      <c r="O84" s="44">
        <v>-111.357</v>
      </c>
    </row>
    <row r="85" spans="1:17" x14ac:dyDescent="0.25">
      <c r="B85" s="94">
        <f>3684.507/1000</f>
        <v>3.684507</v>
      </c>
      <c r="C85" s="1">
        <v>53.065502729266619</v>
      </c>
      <c r="D85" s="6">
        <f>C85+(0.0019+$I$9)/1000</f>
        <v>53.06550471926662</v>
      </c>
      <c r="E85" s="44">
        <v>1.068E-2</v>
      </c>
      <c r="F85" s="6">
        <f t="shared" si="18"/>
        <v>53.054822729266618</v>
      </c>
      <c r="H85" s="44">
        <f t="shared" si="17"/>
        <v>1.068E-2</v>
      </c>
      <c r="J85" s="70">
        <f t="shared" si="19"/>
        <v>53.054822729266618</v>
      </c>
      <c r="K85" s="6">
        <f t="shared" si="20"/>
        <v>53.05482471926662</v>
      </c>
      <c r="L85" s="69">
        <f t="shared" si="21"/>
        <v>5.2449464249749953</v>
      </c>
      <c r="O85" s="44">
        <v>20.7758</v>
      </c>
    </row>
    <row r="86" spans="1:17" x14ac:dyDescent="0.25">
      <c r="B86" s="94">
        <f>3853.807/1000</f>
        <v>3.8538069999999998</v>
      </c>
      <c r="C86" s="1">
        <v>52.891842879017638</v>
      </c>
      <c r="D86" s="6">
        <f>C86+(0.0019+$I$9)/1000</f>
        <v>52.891844869017639</v>
      </c>
      <c r="E86" s="44">
        <v>1.0699999999999999E-2</v>
      </c>
      <c r="F86" s="6">
        <f t="shared" si="18"/>
        <v>52.881142879017638</v>
      </c>
      <c r="H86" s="44">
        <f t="shared" si="17"/>
        <v>1.0699999999999999E-2</v>
      </c>
      <c r="J86" s="70">
        <f t="shared" si="19"/>
        <v>52.881142879017638</v>
      </c>
      <c r="K86" s="6">
        <f t="shared" si="20"/>
        <v>52.881144869017639</v>
      </c>
      <c r="L86" s="69">
        <f t="shared" si="21"/>
        <v>5.2363447221443042</v>
      </c>
      <c r="O86" s="44">
        <v>58.259599999999999</v>
      </c>
    </row>
    <row r="87" spans="1:17" x14ac:dyDescent="0.25">
      <c r="F87" s="6"/>
      <c r="H87" s="44"/>
      <c r="J87" s="70"/>
      <c r="K87" s="6"/>
      <c r="L87" s="69"/>
    </row>
    <row r="88" spans="1:17" x14ac:dyDescent="0.25">
      <c r="A88" s="1">
        <v>30</v>
      </c>
      <c r="B88" s="94">
        <f>3089.443/1000</f>
        <v>3.0894430000000002</v>
      </c>
      <c r="C88" s="6">
        <v>53.171261867733513</v>
      </c>
      <c r="D88" s="6">
        <f>C88+(0.002+$I$9)/1000</f>
        <v>53.171263957733515</v>
      </c>
      <c r="E88" s="44">
        <v>1.0659999999999999E-2</v>
      </c>
      <c r="F88" s="6">
        <f t="shared" si="18"/>
        <v>53.160601867733511</v>
      </c>
      <c r="H88" s="44">
        <f t="shared" si="17"/>
        <v>1.0659999999999999E-2</v>
      </c>
      <c r="J88" s="70">
        <f t="shared" si="19"/>
        <v>53.160601867733511</v>
      </c>
      <c r="K88" s="6">
        <f t="shared" si="20"/>
        <v>53.160603957733514</v>
      </c>
      <c r="L88" s="69">
        <f t="shared" si="21"/>
        <v>5.2501783896442706</v>
      </c>
      <c r="O88" s="44">
        <v>-4.27921</v>
      </c>
    </row>
    <row r="89" spans="1:17" x14ac:dyDescent="0.25">
      <c r="B89" s="94">
        <f>3684.507/1000</f>
        <v>3.684507</v>
      </c>
      <c r="C89" s="1">
        <v>52.563797734470235</v>
      </c>
      <c r="D89" s="6">
        <f>C89+(0.0019+$I$9)/1000</f>
        <v>52.563799724470236</v>
      </c>
      <c r="E89" s="44">
        <v>1.076E-2</v>
      </c>
      <c r="F89" s="6">
        <f t="shared" si="18"/>
        <v>52.553037734470237</v>
      </c>
      <c r="H89" s="44">
        <f t="shared" si="17"/>
        <v>1.076E-2</v>
      </c>
      <c r="J89" s="70">
        <f t="shared" si="19"/>
        <v>52.553037734470237</v>
      </c>
      <c r="K89" s="6">
        <f t="shared" si="20"/>
        <v>52.553039724470239</v>
      </c>
      <c r="L89" s="69">
        <f t="shared" si="21"/>
        <v>5.2200564162514205</v>
      </c>
      <c r="O89" s="44">
        <v>126.858</v>
      </c>
    </row>
    <row r="90" spans="1:17" x14ac:dyDescent="0.25">
      <c r="B90" s="94">
        <f>3853.807/1000</f>
        <v>3.8538069999999998</v>
      </c>
      <c r="C90" s="1">
        <v>52.390902621863184</v>
      </c>
      <c r="D90" s="6">
        <f>C90+(0.0019+$I$9)/1000</f>
        <v>52.390904611863185</v>
      </c>
      <c r="E90" s="44">
        <v>1.0789999999999999E-2</v>
      </c>
      <c r="F90" s="6">
        <f t="shared" si="18"/>
        <v>52.380112621863184</v>
      </c>
      <c r="H90" s="44">
        <f t="shared" si="17"/>
        <v>1.0789999999999999E-2</v>
      </c>
      <c r="J90" s="70">
        <f t="shared" si="19"/>
        <v>52.380112621863184</v>
      </c>
      <c r="K90" s="6">
        <f t="shared" si="20"/>
        <v>52.380114611863185</v>
      </c>
      <c r="L90" s="69">
        <f t="shared" si="21"/>
        <v>5.2114514052970122</v>
      </c>
      <c r="O90" s="44">
        <v>163.971</v>
      </c>
    </row>
    <row r="91" spans="1:17" x14ac:dyDescent="0.25">
      <c r="F91" s="6"/>
      <c r="H91" s="44"/>
      <c r="J91" s="70"/>
      <c r="K91" s="6"/>
      <c r="L91" s="69"/>
    </row>
    <row r="92" spans="1:17" x14ac:dyDescent="0.25">
      <c r="A92" s="1">
        <v>35</v>
      </c>
      <c r="B92" s="94">
        <f>3089.443/1000</f>
        <v>3.0894430000000002</v>
      </c>
      <c r="C92" s="6">
        <v>52.590195126570357</v>
      </c>
      <c r="D92" s="6">
        <f>C92+(0.002+$I$9)/1000</f>
        <v>52.59019721657036</v>
      </c>
      <c r="E92" s="44">
        <v>1.0749999999999999E-2</v>
      </c>
      <c r="F92" s="6">
        <f t="shared" si="18"/>
        <v>52.579445126570356</v>
      </c>
      <c r="H92" s="44">
        <f t="shared" si="17"/>
        <v>1.0749999999999999E-2</v>
      </c>
      <c r="J92" s="70">
        <f t="shared" si="19"/>
        <v>52.579445126570356</v>
      </c>
      <c r="K92" s="6">
        <f t="shared" si="20"/>
        <v>52.579447216570358</v>
      </c>
      <c r="L92" s="69">
        <f t="shared" si="21"/>
        <v>5.2213692448146745</v>
      </c>
      <c r="O92" s="44">
        <v>117.06699999999999</v>
      </c>
    </row>
    <row r="93" spans="1:17" x14ac:dyDescent="0.25">
      <c r="B93" s="94">
        <f>3684.507/1000</f>
        <v>3.684507</v>
      </c>
      <c r="C93" s="1">
        <v>51.985848105165829</v>
      </c>
      <c r="D93" s="6">
        <f>C93+(0.0019+$I$9)/1000</f>
        <v>51.98585009516583</v>
      </c>
      <c r="E93" s="44">
        <v>1.085E-2</v>
      </c>
      <c r="F93" s="6">
        <f t="shared" si="18"/>
        <v>51.974998105165831</v>
      </c>
      <c r="H93" s="44">
        <f t="shared" si="17"/>
        <v>1.085E-2</v>
      </c>
      <c r="J93" s="70">
        <f t="shared" si="19"/>
        <v>51.974998105165831</v>
      </c>
      <c r="K93" s="6">
        <f t="shared" si="20"/>
        <v>51.975000095165832</v>
      </c>
      <c r="L93" s="69">
        <f t="shared" si="21"/>
        <v>5.1912367055365038</v>
      </c>
      <c r="O93" s="44">
        <v>247.10300000000001</v>
      </c>
    </row>
    <row r="94" spans="1:17" x14ac:dyDescent="0.25">
      <c r="B94" s="94">
        <f>3853.807/1000</f>
        <v>3.8538069999999998</v>
      </c>
      <c r="C94" s="1">
        <v>51.813843111775896</v>
      </c>
      <c r="D94" s="6">
        <f>C94+(0.0019+$I$9)/1000</f>
        <v>51.813845101775897</v>
      </c>
      <c r="E94" s="44">
        <v>1.0880000000000001E-2</v>
      </c>
      <c r="F94" s="6">
        <f t="shared" si="18"/>
        <v>51.802963111775895</v>
      </c>
      <c r="H94" s="44">
        <f t="shared" si="17"/>
        <v>1.0880000000000001E-2</v>
      </c>
      <c r="J94" s="70">
        <f t="shared" si="19"/>
        <v>51.802963111775895</v>
      </c>
      <c r="K94" s="6">
        <f t="shared" si="20"/>
        <v>51.802965101775897</v>
      </c>
      <c r="L94" s="69">
        <f t="shared" si="21"/>
        <v>5.1826286336821825</v>
      </c>
      <c r="O94" s="44">
        <v>284.08199999999999</v>
      </c>
    </row>
    <row r="95" spans="1:17" x14ac:dyDescent="0.25">
      <c r="F95" s="6"/>
      <c r="H95" s="44"/>
      <c r="J95" s="70"/>
      <c r="K95" s="6"/>
      <c r="L95" s="69"/>
    </row>
    <row r="96" spans="1:17" x14ac:dyDescent="0.25">
      <c r="A96" s="1">
        <v>40</v>
      </c>
      <c r="B96" s="94">
        <f>3089.443/1000</f>
        <v>3.0894430000000002</v>
      </c>
      <c r="C96" s="6">
        <v>51.939377690027449</v>
      </c>
      <c r="D96" s="6">
        <f>C96+(0.002+$I$9)/1000</f>
        <v>51.939379780027451</v>
      </c>
      <c r="E96" s="44">
        <v>1.086E-2</v>
      </c>
      <c r="F96" s="6">
        <f t="shared" si="18"/>
        <v>51.928517690027448</v>
      </c>
      <c r="H96" s="44">
        <f t="shared" si="17"/>
        <v>1.086E-2</v>
      </c>
      <c r="J96" s="70">
        <f t="shared" si="19"/>
        <v>51.928517690027448</v>
      </c>
      <c r="K96" s="6">
        <f t="shared" si="20"/>
        <v>51.92851978002745</v>
      </c>
      <c r="L96" s="69">
        <f t="shared" si="21"/>
        <v>5.1889123783033941</v>
      </c>
      <c r="O96" s="104">
        <v>252.708</v>
      </c>
      <c r="P96" s="104">
        <v>-423.53800000000001</v>
      </c>
      <c r="Q96" s="1">
        <v>0</v>
      </c>
    </row>
    <row r="97" spans="2:17" x14ac:dyDescent="0.25">
      <c r="B97" s="94">
        <f>3684.507/1000</f>
        <v>3.684507</v>
      </c>
      <c r="C97" s="1">
        <v>51.338563221521689</v>
      </c>
      <c r="D97" s="6">
        <f>C97+(0.0019+$I$9)/1000</f>
        <v>51.33856521152169</v>
      </c>
      <c r="E97" s="44">
        <v>1.0959999999999999E-2</v>
      </c>
      <c r="F97" s="6">
        <f t="shared" si="18"/>
        <v>51.327603221521692</v>
      </c>
      <c r="H97" s="44">
        <f t="shared" si="17"/>
        <v>1.0959999999999999E-2</v>
      </c>
      <c r="J97" s="70">
        <f t="shared" si="19"/>
        <v>51.327603221521692</v>
      </c>
      <c r="K97" s="6">
        <f t="shared" si="20"/>
        <v>51.327605211521693</v>
      </c>
      <c r="L97" s="69">
        <f t="shared" si="21"/>
        <v>5.1587688241720429</v>
      </c>
      <c r="O97" s="104">
        <v>381.44900000000001</v>
      </c>
      <c r="P97" s="104">
        <v>252.708</v>
      </c>
      <c r="Q97" s="94">
        <f>3089.443/1000</f>
        <v>3.0894430000000002</v>
      </c>
    </row>
    <row r="98" spans="2:17" x14ac:dyDescent="0.25">
      <c r="B98" s="94">
        <f>3853.807/1000</f>
        <v>3.8538069999999998</v>
      </c>
      <c r="C98" s="1">
        <v>51.167566997400726</v>
      </c>
      <c r="D98" s="6">
        <f>C98+(0.0019+$I$9)/1000</f>
        <v>51.167568987400728</v>
      </c>
      <c r="E98" s="44">
        <v>1.098E-2</v>
      </c>
      <c r="F98" s="6">
        <f t="shared" si="18"/>
        <v>51.156586997400723</v>
      </c>
      <c r="H98" s="44">
        <f t="shared" si="17"/>
        <v>1.098E-2</v>
      </c>
      <c r="J98" s="70">
        <f t="shared" si="19"/>
        <v>51.156586997400723</v>
      </c>
      <c r="K98" s="6">
        <f t="shared" si="20"/>
        <v>51.156588987400724</v>
      </c>
      <c r="L98" s="69">
        <f t="shared" si="21"/>
        <v>5.1501580637836986</v>
      </c>
      <c r="O98" s="104">
        <v>417.83600000000001</v>
      </c>
      <c r="P98" s="104">
        <v>381.44900000000001</v>
      </c>
      <c r="Q98" s="94">
        <f>3684.507/1000</f>
        <v>3.684507</v>
      </c>
    </row>
    <row r="99" spans="2:17" x14ac:dyDescent="0.25">
      <c r="H99" s="44"/>
      <c r="P99" s="104">
        <v>417.83600000000001</v>
      </c>
      <c r="Q99" s="94">
        <f>3853.807/1000</f>
        <v>3.8538069999999998</v>
      </c>
    </row>
    <row r="101" spans="2:17" x14ac:dyDescent="0.25">
      <c r="M101" s="1">
        <v>3.849583522368123</v>
      </c>
    </row>
    <row r="102" spans="2:17" x14ac:dyDescent="0.25">
      <c r="M102" s="1">
        <v>3.8278585244712624</v>
      </c>
    </row>
    <row r="103" spans="2:17" x14ac:dyDescent="0.25">
      <c r="M103" s="1">
        <v>3.8216480766838434</v>
      </c>
    </row>
  </sheetData>
  <sortState ref="P96:P99">
    <sortCondition ref="P96"/>
  </sortState>
  <mergeCells count="11">
    <mergeCell ref="J12:L12"/>
    <mergeCell ref="B62:E62"/>
    <mergeCell ref="B4:D4"/>
    <mergeCell ref="E4:H4"/>
    <mergeCell ref="J4:L4"/>
    <mergeCell ref="M4:P4"/>
    <mergeCell ref="J6:L6"/>
    <mergeCell ref="J8:L8"/>
    <mergeCell ref="E10:F10"/>
    <mergeCell ref="G10:H10"/>
    <mergeCell ref="J10:L10"/>
  </mergeCells>
  <phoneticPr fontId="10" type="noConversion"/>
  <hyperlinks>
    <hyperlink ref="G5" r:id="rId1"/>
  </hyperlinks>
  <pageMargins left="0.7" right="0.7" top="0.75" bottom="0.75" header="0.3" footer="0.3"/>
  <pageSetup orientation="portrait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6"/>
  <sheetViews>
    <sheetView workbookViewId="0">
      <selection activeCell="F39" sqref="F39"/>
    </sheetView>
  </sheetViews>
  <sheetFormatPr defaultColWidth="8.77734375" defaultRowHeight="14.4" x14ac:dyDescent="0.25"/>
  <sheetData>
    <row r="2" spans="1:9" x14ac:dyDescent="0.25">
      <c r="A2" t="s">
        <v>74</v>
      </c>
      <c r="D2" t="s">
        <v>20</v>
      </c>
    </row>
    <row r="4" spans="1:9" x14ac:dyDescent="0.25">
      <c r="A4" t="s">
        <v>0</v>
      </c>
      <c r="B4" t="s">
        <v>1</v>
      </c>
      <c r="C4" t="s">
        <v>2</v>
      </c>
      <c r="D4" t="s">
        <v>1</v>
      </c>
      <c r="E4" t="s">
        <v>3</v>
      </c>
      <c r="F4" t="s">
        <v>1</v>
      </c>
      <c r="H4" t="s">
        <v>33</v>
      </c>
      <c r="I4" t="s">
        <v>75</v>
      </c>
    </row>
    <row r="5" spans="1:9" x14ac:dyDescent="0.25">
      <c r="A5" s="6">
        <v>156</v>
      </c>
      <c r="B5" s="6">
        <v>0.84399999999999997</v>
      </c>
      <c r="C5" s="6">
        <v>-233.625</v>
      </c>
      <c r="D5" s="6">
        <v>0.35799999999999998</v>
      </c>
      <c r="E5" s="6">
        <v>6</v>
      </c>
      <c r="F5" s="6">
        <v>0.11899999999999999</v>
      </c>
      <c r="G5" s="6"/>
      <c r="H5" s="6">
        <v>2346.203074</v>
      </c>
      <c r="I5" s="6">
        <v>48.183733660000001</v>
      </c>
    </row>
    <row r="6" spans="1:9" x14ac:dyDescent="0.25">
      <c r="A6" s="6">
        <v>37.372</v>
      </c>
      <c r="B6" s="6">
        <v>4.3220000000000001</v>
      </c>
      <c r="C6" s="6">
        <v>-219.77099999999999</v>
      </c>
      <c r="D6" s="6">
        <v>0.86499999999999999</v>
      </c>
      <c r="E6" s="6">
        <v>5</v>
      </c>
      <c r="F6" s="6">
        <v>0.21299999999999999</v>
      </c>
      <c r="G6" s="6"/>
      <c r="H6" s="6">
        <v>468.38334830000002</v>
      </c>
      <c r="I6" s="6">
        <v>57.72055538</v>
      </c>
    </row>
    <row r="7" spans="1:9" x14ac:dyDescent="0.25">
      <c r="A7" s="6">
        <v>79</v>
      </c>
      <c r="B7" s="6">
        <v>3.1970000000000001</v>
      </c>
      <c r="C7" s="6">
        <v>-185.642</v>
      </c>
      <c r="D7" s="6">
        <v>0.28799999999999998</v>
      </c>
      <c r="E7" s="6">
        <v>5.5</v>
      </c>
      <c r="F7" s="6">
        <v>0.246</v>
      </c>
      <c r="G7" s="6"/>
      <c r="H7" s="6">
        <v>1089.1295250000001</v>
      </c>
      <c r="I7" s="6">
        <v>65.628056819999998</v>
      </c>
    </row>
    <row r="8" spans="1:9" x14ac:dyDescent="0.25">
      <c r="A8" s="6">
        <v>35</v>
      </c>
      <c r="B8" s="6">
        <v>0.879</v>
      </c>
      <c r="C8" s="6">
        <v>-174</v>
      </c>
      <c r="D8" s="6">
        <v>0.122</v>
      </c>
      <c r="E8" s="6">
        <v>2</v>
      </c>
      <c r="F8" s="6">
        <v>0.66300000000000003</v>
      </c>
      <c r="G8" s="6"/>
      <c r="H8" s="6">
        <v>175.46390510000001</v>
      </c>
      <c r="I8" s="6">
        <v>58.30767608</v>
      </c>
    </row>
    <row r="9" spans="1:9" x14ac:dyDescent="0.25">
      <c r="A9" s="6">
        <v>65</v>
      </c>
      <c r="B9" s="6">
        <v>0.749</v>
      </c>
      <c r="C9" s="6">
        <v>-163.55600000000001</v>
      </c>
      <c r="D9" s="6">
        <v>0.29199999999999998</v>
      </c>
      <c r="E9" s="6">
        <v>5</v>
      </c>
      <c r="F9" s="6">
        <v>0.20200000000000001</v>
      </c>
      <c r="G9" s="6"/>
      <c r="H9" s="6">
        <v>814.65384519999998</v>
      </c>
      <c r="I9" s="6">
        <v>34.250050629999997</v>
      </c>
    </row>
    <row r="10" spans="1:9" x14ac:dyDescent="0.25">
      <c r="A10" s="6">
        <v>71</v>
      </c>
      <c r="B10" s="6">
        <v>2.9359999999999999</v>
      </c>
      <c r="C10" s="6">
        <v>-129.352</v>
      </c>
      <c r="D10" s="6">
        <v>0.36799999999999999</v>
      </c>
      <c r="E10" s="6">
        <v>6</v>
      </c>
      <c r="F10" s="6">
        <v>9.2999999999999999E-2</v>
      </c>
      <c r="G10" s="6"/>
      <c r="H10" s="6">
        <v>1067.8231940000001</v>
      </c>
      <c r="I10" s="6">
        <v>47.182946270000002</v>
      </c>
    </row>
    <row r="11" spans="1:9" x14ac:dyDescent="0.25">
      <c r="A11" s="6">
        <v>76</v>
      </c>
      <c r="B11" s="6">
        <v>1.3109999999999999</v>
      </c>
      <c r="C11" s="6">
        <v>-103.307</v>
      </c>
      <c r="D11" s="6">
        <v>0.44400000000000001</v>
      </c>
      <c r="E11" s="6">
        <v>5.399</v>
      </c>
      <c r="F11" s="6">
        <v>0.62</v>
      </c>
      <c r="G11" s="6"/>
      <c r="H11" s="6">
        <v>1028.5140650000001</v>
      </c>
      <c r="I11" s="6">
        <v>119.3985529</v>
      </c>
    </row>
    <row r="12" spans="1:9" x14ac:dyDescent="0.25">
      <c r="A12" s="6">
        <v>298</v>
      </c>
      <c r="B12" s="6">
        <v>1.4930000000000001</v>
      </c>
      <c r="C12" s="6">
        <v>-57.756</v>
      </c>
      <c r="D12" s="6">
        <v>0.185</v>
      </c>
      <c r="E12" s="6">
        <v>5</v>
      </c>
      <c r="F12" s="6">
        <v>2.1000000000000001E-2</v>
      </c>
      <c r="G12" s="6"/>
      <c r="H12" s="6">
        <v>3734.8745520000002</v>
      </c>
      <c r="I12" s="6">
        <v>24.414012379999999</v>
      </c>
    </row>
    <row r="13" spans="1:9" x14ac:dyDescent="0.25">
      <c r="A13" s="6">
        <v>535</v>
      </c>
      <c r="B13" s="6">
        <v>5.1289999999999996</v>
      </c>
      <c r="C13" s="6">
        <v>-38.781999999999996</v>
      </c>
      <c r="D13" s="6">
        <v>0.13200000000000001</v>
      </c>
      <c r="E13" s="6">
        <v>5.7270000000000003</v>
      </c>
      <c r="F13" s="6">
        <v>0.14799999999999999</v>
      </c>
      <c r="G13" s="6"/>
      <c r="H13" s="6">
        <v>7680.637291</v>
      </c>
      <c r="I13" s="6">
        <v>211.07115020000001</v>
      </c>
    </row>
    <row r="14" spans="1:9" x14ac:dyDescent="0.25">
      <c r="A14" s="6">
        <v>142.27799999999999</v>
      </c>
      <c r="B14" s="6">
        <v>10.166</v>
      </c>
      <c r="C14" s="6">
        <v>-27</v>
      </c>
      <c r="D14" s="6">
        <v>0.65400000000000003</v>
      </c>
      <c r="E14" s="6">
        <v>6</v>
      </c>
      <c r="F14" s="6">
        <v>8.5000000000000006E-2</v>
      </c>
      <c r="G14" s="6"/>
      <c r="H14" s="6">
        <v>2139.8274419999998</v>
      </c>
      <c r="I14" s="6">
        <v>155.85338290000001</v>
      </c>
    </row>
    <row r="15" spans="1:9" x14ac:dyDescent="0.25">
      <c r="A15" s="6">
        <v>57.043999999999997</v>
      </c>
      <c r="B15" s="6">
        <v>6.1150000000000002</v>
      </c>
      <c r="C15" s="6">
        <v>-14</v>
      </c>
      <c r="D15" s="6">
        <v>0.14899999999999999</v>
      </c>
      <c r="E15" s="6">
        <v>4.5069999999999997</v>
      </c>
      <c r="F15" s="6">
        <v>0.53600000000000003</v>
      </c>
      <c r="G15" s="6"/>
      <c r="H15" s="6">
        <v>644.41572310000004</v>
      </c>
      <c r="I15" s="6">
        <v>103.13535760000001</v>
      </c>
    </row>
    <row r="16" spans="1:9" x14ac:dyDescent="0.25">
      <c r="A16" s="6">
        <v>175</v>
      </c>
      <c r="B16" s="6">
        <v>4.3769999999999998</v>
      </c>
      <c r="C16" s="6">
        <v>8.1880000000000006</v>
      </c>
      <c r="D16" s="6">
        <v>0.318</v>
      </c>
      <c r="E16" s="6">
        <v>5</v>
      </c>
      <c r="F16" s="6">
        <v>6.2E-2</v>
      </c>
      <c r="G16" s="6"/>
      <c r="H16" s="6">
        <v>2193.2988140000002</v>
      </c>
      <c r="I16" s="6">
        <v>61.275165430000001</v>
      </c>
    </row>
    <row r="17" spans="1:9" x14ac:dyDescent="0.25">
      <c r="A17" s="6">
        <v>40.137</v>
      </c>
      <c r="B17" s="6">
        <v>7.1890000000000001</v>
      </c>
      <c r="C17" s="6">
        <v>18.477</v>
      </c>
      <c r="D17" s="6">
        <v>0.73399999999999999</v>
      </c>
      <c r="E17" s="6">
        <v>3</v>
      </c>
      <c r="F17" s="6">
        <v>3.2000000000000001E-2</v>
      </c>
      <c r="G17" s="6"/>
      <c r="H17" s="6">
        <v>301.82849770000001</v>
      </c>
      <c r="I17" s="6">
        <v>54.153454330000002</v>
      </c>
    </row>
    <row r="18" spans="1:9" x14ac:dyDescent="0.25">
      <c r="A18" s="6">
        <v>49.301000000000002</v>
      </c>
      <c r="B18" s="6">
        <v>5.58</v>
      </c>
      <c r="C18" s="6">
        <v>64</v>
      </c>
      <c r="D18" s="6">
        <v>0.153</v>
      </c>
      <c r="E18" s="6">
        <v>5</v>
      </c>
      <c r="F18" s="6">
        <v>0.17699999999999999</v>
      </c>
      <c r="G18" s="6"/>
      <c r="H18" s="6">
        <v>617.89488859999994</v>
      </c>
      <c r="I18" s="6">
        <v>73.291083369999996</v>
      </c>
    </row>
    <row r="19" spans="1:9" x14ac:dyDescent="0.25">
      <c r="A19" s="6">
        <v>237</v>
      </c>
      <c r="B19" s="6">
        <v>1.347</v>
      </c>
      <c r="C19" s="6">
        <v>77.793999999999997</v>
      </c>
      <c r="D19" s="6">
        <v>0.221</v>
      </c>
      <c r="E19" s="6">
        <v>5.226</v>
      </c>
      <c r="F19" s="6">
        <v>0.253</v>
      </c>
      <c r="G19" s="6"/>
      <c r="H19" s="6">
        <v>3104.4112340000001</v>
      </c>
      <c r="I19" s="6">
        <v>151.09165110000001</v>
      </c>
    </row>
    <row r="20" spans="1:9" x14ac:dyDescent="0.25">
      <c r="A20" s="6">
        <v>115</v>
      </c>
      <c r="B20" s="6">
        <v>3.4820000000000002</v>
      </c>
      <c r="C20" s="6">
        <v>105</v>
      </c>
      <c r="D20" s="6">
        <v>0.19600000000000001</v>
      </c>
      <c r="E20" s="6">
        <v>6</v>
      </c>
      <c r="F20" s="6">
        <v>5.6000000000000001E-2</v>
      </c>
      <c r="G20" s="6"/>
      <c r="H20" s="6">
        <v>1729.5727790000001</v>
      </c>
      <c r="I20" s="6">
        <v>54.766203599999997</v>
      </c>
    </row>
    <row r="21" spans="1:9" x14ac:dyDescent="0.25">
      <c r="A21" s="6">
        <v>122</v>
      </c>
      <c r="B21" s="6">
        <v>5.3</v>
      </c>
      <c r="C21" s="6">
        <v>144.21299999999999</v>
      </c>
      <c r="D21" s="6">
        <v>0.189</v>
      </c>
      <c r="E21" s="6">
        <v>6</v>
      </c>
      <c r="F21" s="6">
        <v>3.9E-2</v>
      </c>
      <c r="G21" s="6"/>
      <c r="H21" s="6">
        <v>1834.851122</v>
      </c>
      <c r="I21" s="6">
        <v>80.614236390000002</v>
      </c>
    </row>
    <row r="22" spans="1:9" x14ac:dyDescent="0.25">
      <c r="A22" s="6">
        <v>75</v>
      </c>
      <c r="B22" s="6">
        <v>4.3109999999999999</v>
      </c>
      <c r="C22" s="6">
        <v>159.41300000000001</v>
      </c>
      <c r="D22" s="6">
        <v>0.28299999999999997</v>
      </c>
      <c r="E22" s="6">
        <v>3</v>
      </c>
      <c r="F22" s="6">
        <v>6.9000000000000006E-2</v>
      </c>
      <c r="G22" s="6"/>
      <c r="H22" s="6">
        <v>563.99112360000004</v>
      </c>
      <c r="I22" s="6">
        <v>34.934458130000003</v>
      </c>
    </row>
    <row r="23" spans="1:9" x14ac:dyDescent="0.25">
      <c r="A23" s="6">
        <v>122</v>
      </c>
      <c r="B23" s="6">
        <v>1.2569999999999999</v>
      </c>
      <c r="C23" s="6">
        <v>170</v>
      </c>
      <c r="D23" s="6">
        <v>0.13300000000000001</v>
      </c>
      <c r="E23" s="6">
        <v>6</v>
      </c>
      <c r="F23" s="6">
        <v>0.315</v>
      </c>
      <c r="G23" s="6"/>
      <c r="H23" s="6">
        <v>1834.851122</v>
      </c>
      <c r="I23" s="6">
        <v>98.158807830000001</v>
      </c>
    </row>
    <row r="24" spans="1:9" x14ac:dyDescent="0.25">
      <c r="A24" s="6">
        <v>40</v>
      </c>
      <c r="B24" s="6">
        <v>1.2849999999999999</v>
      </c>
      <c r="C24" s="6">
        <v>187</v>
      </c>
      <c r="D24" s="6">
        <v>0.247</v>
      </c>
      <c r="E24" s="6">
        <v>6</v>
      </c>
      <c r="F24" s="6">
        <v>0.14000000000000001</v>
      </c>
      <c r="G24" s="6"/>
      <c r="H24" s="6">
        <v>601.59053180000001</v>
      </c>
      <c r="I24" s="6">
        <v>23.894173859999999</v>
      </c>
    </row>
    <row r="25" spans="1:9" x14ac:dyDescent="0.25">
      <c r="A25" s="6">
        <v>120</v>
      </c>
      <c r="B25" s="6">
        <v>1.4259999999999999</v>
      </c>
      <c r="C25" s="6">
        <v>204.97900000000001</v>
      </c>
      <c r="D25" s="6">
        <v>0.223</v>
      </c>
      <c r="E25" s="6">
        <v>4.5</v>
      </c>
      <c r="F25" s="6">
        <v>3.6999999999999998E-2</v>
      </c>
      <c r="G25" s="6"/>
      <c r="H25" s="6">
        <v>1353.5786969999999</v>
      </c>
      <c r="I25" s="6">
        <v>19.493744490000001</v>
      </c>
    </row>
    <row r="26" spans="1:9" x14ac:dyDescent="0.25">
      <c r="A26" s="6">
        <v>282.846</v>
      </c>
      <c r="B26" s="6">
        <v>7.1180000000000003</v>
      </c>
      <c r="C26" s="6">
        <v>222.797</v>
      </c>
      <c r="D26" s="6">
        <v>0.183</v>
      </c>
      <c r="E26" s="6">
        <v>6</v>
      </c>
      <c r="F26" s="6">
        <v>4.8000000000000001E-2</v>
      </c>
      <c r="G26" s="6"/>
      <c r="H26" s="6">
        <v>4253.9368889999996</v>
      </c>
      <c r="I26" s="6">
        <v>112.2397921</v>
      </c>
    </row>
    <row r="27" spans="1:9" x14ac:dyDescent="0.25">
      <c r="A27" s="6">
        <v>53.515000000000001</v>
      </c>
      <c r="B27" s="6">
        <v>9.3179999999999996</v>
      </c>
      <c r="C27" s="6">
        <v>235</v>
      </c>
      <c r="D27" s="6">
        <v>3.0750000000000002</v>
      </c>
      <c r="E27" s="6">
        <v>3</v>
      </c>
      <c r="F27" s="6">
        <v>0.504</v>
      </c>
      <c r="G27" s="6"/>
      <c r="H27" s="6">
        <v>402.42797039999999</v>
      </c>
      <c r="I27" s="6">
        <v>97.406655119999996</v>
      </c>
    </row>
    <row r="28" spans="1:9" x14ac:dyDescent="0.25">
      <c r="A28" s="6">
        <v>99.891999999999996</v>
      </c>
      <c r="B28" s="6">
        <v>4.7130000000000001</v>
      </c>
      <c r="C28" s="6">
        <v>276.19299999999998</v>
      </c>
      <c r="D28" s="6">
        <v>0.315</v>
      </c>
      <c r="E28" s="6">
        <v>4.9080000000000004</v>
      </c>
      <c r="F28" s="6">
        <v>0.46</v>
      </c>
      <c r="G28" s="6"/>
      <c r="H28" s="6">
        <v>1228.922691</v>
      </c>
      <c r="I28" s="6">
        <v>128.85781850000001</v>
      </c>
    </row>
    <row r="29" spans="1:9" x14ac:dyDescent="0.25">
      <c r="A29" s="6">
        <v>120.033</v>
      </c>
      <c r="B29" s="6">
        <v>3.1240000000000001</v>
      </c>
      <c r="C29" s="6">
        <v>286.91899999999998</v>
      </c>
      <c r="D29" s="6">
        <v>0.34499999999999997</v>
      </c>
      <c r="E29" s="6">
        <v>5</v>
      </c>
      <c r="F29" s="6">
        <v>0.14299999999999999</v>
      </c>
      <c r="G29" s="6"/>
      <c r="H29" s="6">
        <v>1504.3417830000001</v>
      </c>
      <c r="I29" s="6">
        <v>58.215704119999998</v>
      </c>
    </row>
    <row r="30" spans="1:9" x14ac:dyDescent="0.25">
      <c r="A30" s="6">
        <v>170</v>
      </c>
      <c r="B30" s="6">
        <v>1.2509999999999999</v>
      </c>
      <c r="C30" s="6">
        <v>310.315</v>
      </c>
      <c r="D30" s="6">
        <v>0.28299999999999997</v>
      </c>
      <c r="E30" s="6">
        <v>6</v>
      </c>
      <c r="F30" s="6">
        <v>4.2999999999999997E-2</v>
      </c>
      <c r="G30" s="6"/>
      <c r="H30" s="6">
        <v>2556.7597599999999</v>
      </c>
      <c r="I30" s="6">
        <v>26.357075049999999</v>
      </c>
    </row>
    <row r="31" spans="1:9" x14ac:dyDescent="0.25">
      <c r="A31" s="6">
        <v>165</v>
      </c>
      <c r="B31" s="6">
        <v>1.6579999999999999</v>
      </c>
      <c r="C31" s="6">
        <v>324</v>
      </c>
      <c r="D31" s="6">
        <v>5.5E-2</v>
      </c>
      <c r="E31" s="6">
        <v>4</v>
      </c>
      <c r="F31" s="6">
        <v>2.4E-2</v>
      </c>
      <c r="G31" s="6"/>
      <c r="H31" s="6">
        <v>1654.373963</v>
      </c>
      <c r="I31" s="6">
        <v>19.457175840000001</v>
      </c>
    </row>
    <row r="32" spans="1:9" x14ac:dyDescent="0.25">
      <c r="A32" s="6">
        <v>442</v>
      </c>
      <c r="B32" s="6">
        <v>12.574</v>
      </c>
      <c r="C32" s="6">
        <v>347.91</v>
      </c>
      <c r="D32" s="6">
        <v>0.155</v>
      </c>
      <c r="E32" s="6">
        <v>6</v>
      </c>
      <c r="F32" s="6">
        <v>0.126</v>
      </c>
      <c r="G32" s="6"/>
      <c r="H32" s="6">
        <v>6647.5753770000001</v>
      </c>
      <c r="I32" s="6">
        <v>234.92895630000001</v>
      </c>
    </row>
    <row r="33" spans="1:9" x14ac:dyDescent="0.25">
      <c r="A33" s="6">
        <v>195</v>
      </c>
      <c r="B33" s="6">
        <v>4.97</v>
      </c>
      <c r="C33" s="6">
        <v>358.61900000000003</v>
      </c>
      <c r="D33" s="6">
        <v>0.19400000000000001</v>
      </c>
      <c r="E33" s="6">
        <v>1.5</v>
      </c>
      <c r="F33" s="6">
        <v>5.8000000000000003E-2</v>
      </c>
      <c r="G33" s="6"/>
      <c r="H33" s="6">
        <v>733.18846069999995</v>
      </c>
      <c r="I33" s="6">
        <v>33.906446389999999</v>
      </c>
    </row>
    <row r="34" spans="1:9" x14ac:dyDescent="0.25">
      <c r="A34" s="6">
        <v>515</v>
      </c>
      <c r="B34" s="6">
        <v>6.093</v>
      </c>
      <c r="C34" s="6">
        <v>367.12599999999998</v>
      </c>
      <c r="D34" s="6">
        <v>0.14699999999999999</v>
      </c>
      <c r="E34" s="6">
        <v>4.5</v>
      </c>
      <c r="F34" s="6">
        <v>2.1000000000000001E-2</v>
      </c>
      <c r="G34" s="6"/>
      <c r="H34" s="6">
        <v>5809.1085730000004</v>
      </c>
      <c r="I34" s="6">
        <v>73.648341759999994</v>
      </c>
    </row>
    <row r="35" spans="1:9" x14ac:dyDescent="0.25">
      <c r="A35" s="6">
        <v>250</v>
      </c>
      <c r="B35" s="6">
        <v>3.8050000000000002</v>
      </c>
      <c r="C35" s="6">
        <v>375.97</v>
      </c>
      <c r="D35" s="6">
        <v>0.21099999999999999</v>
      </c>
      <c r="E35" s="6">
        <v>4.5549999999999997</v>
      </c>
      <c r="F35" s="6">
        <v>0.21</v>
      </c>
      <c r="G35" s="6"/>
      <c r="H35" s="6">
        <v>2854.5282739999998</v>
      </c>
      <c r="I35" s="6">
        <v>138.32265079999999</v>
      </c>
    </row>
    <row r="36" spans="1:9" x14ac:dyDescent="0.25">
      <c r="A36" s="6">
        <v>180</v>
      </c>
      <c r="B36" s="6">
        <v>2.96</v>
      </c>
      <c r="C36" s="6">
        <v>393.24799999999999</v>
      </c>
      <c r="D36" s="6">
        <v>0.33300000000000002</v>
      </c>
      <c r="E36" s="6">
        <v>6</v>
      </c>
      <c r="F36" s="6">
        <v>0.14299999999999999</v>
      </c>
      <c r="G36" s="6"/>
      <c r="H36" s="6">
        <v>2707.157393</v>
      </c>
      <c r="I36" s="6">
        <v>78.220362699999995</v>
      </c>
    </row>
  </sheetData>
  <phoneticPr fontId="10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E20" sqref="E20"/>
    </sheetView>
  </sheetViews>
  <sheetFormatPr defaultColWidth="8.77734375" defaultRowHeight="14.4" x14ac:dyDescent="0.25"/>
  <sheetData>
    <row r="1" spans="1:1" x14ac:dyDescent="0.25">
      <c r="A1" s="94" t="s">
        <v>148</v>
      </c>
    </row>
    <row r="2" spans="1:1" x14ac:dyDescent="0.25">
      <c r="A2" s="94">
        <v>5116.5200000000004</v>
      </c>
    </row>
    <row r="3" spans="1:1" x14ac:dyDescent="0.25">
      <c r="A3" s="94" t="s">
        <v>149</v>
      </c>
    </row>
    <row r="4" spans="1:1" x14ac:dyDescent="0.25">
      <c r="A4" s="94" t="s">
        <v>150</v>
      </c>
    </row>
    <row r="5" spans="1:1" x14ac:dyDescent="0.25">
      <c r="A5" s="94" t="s">
        <v>151</v>
      </c>
    </row>
    <row r="6" spans="1:1" x14ac:dyDescent="0.25">
      <c r="A6" s="94" t="s">
        <v>152</v>
      </c>
    </row>
    <row r="7" spans="1:1" x14ac:dyDescent="0.25">
      <c r="A7" s="94" t="s">
        <v>153</v>
      </c>
    </row>
    <row r="8" spans="1:1" x14ac:dyDescent="0.25">
      <c r="A8" s="94">
        <v>5746.2</v>
      </c>
    </row>
    <row r="9" spans="1:1" x14ac:dyDescent="0.25">
      <c r="A9" s="94" t="s">
        <v>154</v>
      </c>
    </row>
    <row r="10" spans="1:1" x14ac:dyDescent="0.25">
      <c r="A10" s="94" t="s">
        <v>155</v>
      </c>
    </row>
    <row r="11" spans="1:1" x14ac:dyDescent="0.25">
      <c r="A11" s="94" t="s">
        <v>156</v>
      </c>
    </row>
    <row r="12" spans="1:1" x14ac:dyDescent="0.25">
      <c r="A12" s="94" t="s">
        <v>157</v>
      </c>
    </row>
    <row r="13" spans="1:1" x14ac:dyDescent="0.25">
      <c r="A13" s="94" t="s">
        <v>158</v>
      </c>
    </row>
    <row r="14" spans="1:1" x14ac:dyDescent="0.25">
      <c r="A14" s="94" t="s">
        <v>159</v>
      </c>
    </row>
    <row r="15" spans="1:1" x14ac:dyDescent="0.25">
      <c r="A15" s="94" t="s">
        <v>160</v>
      </c>
    </row>
    <row r="16" spans="1:1" x14ac:dyDescent="0.25">
      <c r="A16" s="94" t="s">
        <v>161</v>
      </c>
    </row>
    <row r="17" spans="1:1" x14ac:dyDescent="0.25">
      <c r="A17" s="94">
        <v>6362</v>
      </c>
    </row>
    <row r="18" spans="1:1" x14ac:dyDescent="0.25">
      <c r="A18" s="94" t="s">
        <v>162</v>
      </c>
    </row>
    <row r="19" spans="1:1" x14ac:dyDescent="0.25">
      <c r="A19" s="94" t="s">
        <v>163</v>
      </c>
    </row>
    <row r="20" spans="1:1" x14ac:dyDescent="0.25">
      <c r="A20" s="94" t="s">
        <v>164</v>
      </c>
    </row>
    <row r="21" spans="1:1" x14ac:dyDescent="0.25">
      <c r="A21" s="94" t="s">
        <v>165</v>
      </c>
    </row>
    <row r="22" spans="1:1" x14ac:dyDescent="0.25">
      <c r="A22" s="94" t="s">
        <v>166</v>
      </c>
    </row>
  </sheetData>
  <phoneticPr fontId="16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Sheet5</vt:lpstr>
      <vt:lpstr>Sheet6</vt:lpstr>
      <vt:lpstr>Sheet9</vt:lpstr>
      <vt:lpstr>25mg states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Y</cp:lastModifiedBy>
  <cp:lastPrinted>2013-03-04T22:06:44Z</cp:lastPrinted>
  <dcterms:created xsi:type="dcterms:W3CDTF">2012-07-25T13:56:06Z</dcterms:created>
  <dcterms:modified xsi:type="dcterms:W3CDTF">2015-12-08T20:51:35Z</dcterms:modified>
</cp:coreProperties>
</file>