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85" windowWidth="15195" windowHeight="7500" activeTab="1"/>
  </bookViews>
  <sheets>
    <sheet name="Sheet5" sheetId="5" r:id="rId1"/>
    <sheet name="Sheet6" sheetId="11" r:id="rId2"/>
    <sheet name="Sheet9" sheetId="10" r:id="rId3"/>
    <sheet name="Sheet1" sheetId="12" r:id="rId4"/>
    <sheet name="Sheet2" sheetId="13" r:id="rId5"/>
  </sheets>
  <definedNames>
    <definedName name="_xlnm._FilterDatabase" localSheetId="3" hidden="1">Sheet1!$A$1:$F$31</definedName>
    <definedName name="_xlnm._FilterDatabase" localSheetId="4" hidden="1">Sheet2!$A$1:$G$25</definedName>
  </definedNames>
  <calcPr calcId="144525"/>
  <fileRecoveryPr repairLoad="1"/>
</workbook>
</file>

<file path=xl/calcChain.xml><?xml version="1.0" encoding="utf-8"?>
<calcChain xmlns="http://schemas.openxmlformats.org/spreadsheetml/2006/main">
  <c r="O64" i="11" l="1"/>
  <c r="F82" i="11"/>
  <c r="E82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3" i="11"/>
  <c r="O84" i="11"/>
  <c r="O85" i="11"/>
  <c r="O86" i="11"/>
  <c r="O87" i="11"/>
  <c r="O88" i="11"/>
  <c r="O89" i="11"/>
  <c r="O90" i="11"/>
  <c r="O91" i="11"/>
  <c r="O92" i="11"/>
  <c r="O93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3" i="11"/>
  <c r="N84" i="11"/>
  <c r="N85" i="11"/>
  <c r="N86" i="11"/>
  <c r="N87" i="11"/>
  <c r="N88" i="11"/>
  <c r="N89" i="11"/>
  <c r="N90" i="11"/>
  <c r="N91" i="11"/>
  <c r="N92" i="11"/>
  <c r="N93" i="11"/>
  <c r="N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3" i="11"/>
  <c r="L84" i="11"/>
  <c r="L85" i="11"/>
  <c r="L86" i="11"/>
  <c r="L87" i="11"/>
  <c r="L88" i="11"/>
  <c r="L89" i="11"/>
  <c r="L90" i="11"/>
  <c r="L91" i="11"/>
  <c r="L92" i="11"/>
  <c r="L93" i="11"/>
  <c r="L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3" i="11"/>
  <c r="K84" i="11"/>
  <c r="K85" i="11"/>
  <c r="K86" i="11"/>
  <c r="K87" i="11"/>
  <c r="K88" i="11"/>
  <c r="K89" i="11"/>
  <c r="K90" i="11"/>
  <c r="K91" i="11"/>
  <c r="K92" i="11"/>
  <c r="K93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3" i="11"/>
  <c r="J84" i="11"/>
  <c r="J85" i="11"/>
  <c r="J86" i="11"/>
  <c r="J87" i="11"/>
  <c r="J88" i="11"/>
  <c r="J89" i="11"/>
  <c r="J90" i="11"/>
  <c r="J91" i="11"/>
  <c r="J92" i="11"/>
  <c r="J93" i="11"/>
  <c r="J64" i="11"/>
  <c r="E93" i="11"/>
  <c r="F93" i="11"/>
  <c r="F91" i="11"/>
  <c r="E91" i="11"/>
  <c r="E92" i="11"/>
  <c r="F92" i="11"/>
  <c r="H92" i="11" s="1"/>
  <c r="E90" i="11"/>
  <c r="H90" i="11" s="1"/>
  <c r="F90" i="11"/>
  <c r="F89" i="11"/>
  <c r="E89" i="11"/>
  <c r="E87" i="11"/>
  <c r="F87" i="11"/>
  <c r="F88" i="11"/>
  <c r="E88" i="11"/>
  <c r="F86" i="11"/>
  <c r="E86" i="11"/>
  <c r="E85" i="11"/>
  <c r="E84" i="11"/>
  <c r="F85" i="11"/>
  <c r="F84" i="11"/>
  <c r="F83" i="11"/>
  <c r="H83" i="11" s="1"/>
  <c r="E83" i="11"/>
  <c r="F81" i="11"/>
  <c r="H81" i="11" s="1"/>
  <c r="E81" i="11"/>
  <c r="E80" i="11"/>
  <c r="F80" i="11"/>
  <c r="F79" i="11"/>
  <c r="E79" i="11"/>
  <c r="H79" i="11" s="1"/>
  <c r="E78" i="11"/>
  <c r="F78" i="11"/>
  <c r="H78" i="11" s="1"/>
  <c r="F77" i="11"/>
  <c r="E77" i="11"/>
  <c r="H77" i="11" s="1"/>
  <c r="E76" i="11"/>
  <c r="F75" i="11"/>
  <c r="F76" i="11"/>
  <c r="E75" i="11"/>
  <c r="F74" i="11"/>
  <c r="E74" i="11"/>
  <c r="F73" i="11"/>
  <c r="E73" i="11"/>
  <c r="E72" i="11"/>
  <c r="F72" i="11"/>
  <c r="F71" i="11"/>
  <c r="E71" i="11"/>
  <c r="E70" i="11"/>
  <c r="F70" i="11"/>
  <c r="H70" i="11" s="1"/>
  <c r="F69" i="11"/>
  <c r="E69" i="11"/>
  <c r="F68" i="11"/>
  <c r="E68" i="11"/>
  <c r="H68" i="11" s="1"/>
  <c r="F67" i="11"/>
  <c r="E67" i="11"/>
  <c r="E66" i="11"/>
  <c r="F65" i="11"/>
  <c r="F66" i="11"/>
  <c r="H66" i="11" s="1"/>
  <c r="E65" i="11"/>
  <c r="H73" i="11"/>
  <c r="H74" i="11"/>
  <c r="H75" i="11"/>
  <c r="H76" i="11"/>
  <c r="H80" i="11"/>
  <c r="H84" i="11"/>
  <c r="H85" i="11"/>
  <c r="H86" i="11"/>
  <c r="H87" i="11"/>
  <c r="H88" i="11"/>
  <c r="H89" i="11"/>
  <c r="H91" i="11"/>
  <c r="K64" i="11"/>
  <c r="E64" i="11"/>
  <c r="H64" i="11" s="1"/>
  <c r="F64" i="11"/>
  <c r="D64" i="11"/>
  <c r="J7" i="11"/>
  <c r="G18" i="11" s="1"/>
  <c r="L7" i="11"/>
  <c r="E11" i="11"/>
  <c r="E12" i="11"/>
  <c r="H82" i="11" l="1"/>
  <c r="K82" i="11" s="1"/>
  <c r="N82" i="11" s="1"/>
  <c r="O82" i="11" s="1"/>
  <c r="J82" i="11"/>
  <c r="L82" i="11" s="1"/>
  <c r="H93" i="11"/>
  <c r="H72" i="11"/>
  <c r="H71" i="11"/>
  <c r="H69" i="11"/>
  <c r="H67" i="11"/>
  <c r="H65" i="11"/>
  <c r="D92" i="11"/>
  <c r="D90" i="11"/>
  <c r="D88" i="11"/>
  <c r="D86" i="11"/>
  <c r="D84" i="11"/>
  <c r="D82" i="11"/>
  <c r="D80" i="11"/>
  <c r="D78" i="11"/>
  <c r="D77" i="11"/>
  <c r="D76" i="11"/>
  <c r="D74" i="11"/>
  <c r="D72" i="11"/>
  <c r="D71" i="11"/>
  <c r="D70" i="11"/>
  <c r="D68" i="11"/>
  <c r="D66" i="11"/>
  <c r="D67" i="11"/>
  <c r="D69" i="11"/>
  <c r="D73" i="11"/>
  <c r="D75" i="11"/>
  <c r="D79" i="11"/>
  <c r="D81" i="11"/>
  <c r="D83" i="11"/>
  <c r="D85" i="11"/>
  <c r="D87" i="11"/>
  <c r="D89" i="11"/>
  <c r="D91" i="11"/>
  <c r="D93" i="11"/>
  <c r="D65" i="11"/>
  <c r="J9" i="11"/>
  <c r="J11" i="11" s="1"/>
  <c r="G9" i="11"/>
  <c r="G8" i="11"/>
  <c r="G6" i="11"/>
  <c r="G7" i="11"/>
  <c r="L5" i="5" l="1"/>
  <c r="M5" i="5" s="1"/>
  <c r="N5" i="5" s="1"/>
  <c r="L6" i="5"/>
  <c r="M6" i="5" s="1"/>
  <c r="N6" i="5" s="1"/>
  <c r="L7" i="5"/>
  <c r="M7" i="5" s="1"/>
  <c r="N7" i="5" s="1"/>
  <c r="L8" i="5"/>
  <c r="M8" i="5" s="1"/>
  <c r="N8" i="5" s="1"/>
  <c r="L9" i="5"/>
  <c r="M9" i="5" s="1"/>
  <c r="N9" i="5" s="1"/>
  <c r="L10" i="5"/>
  <c r="M10" i="5" s="1"/>
  <c r="N10" i="5" s="1"/>
  <c r="L11" i="5"/>
  <c r="M11" i="5" s="1"/>
  <c r="N11" i="5" s="1"/>
  <c r="L12" i="5"/>
  <c r="M12" i="5" s="1"/>
  <c r="N12" i="5" s="1"/>
  <c r="L13" i="5"/>
  <c r="M13" i="5" s="1"/>
  <c r="N13" i="5" s="1"/>
  <c r="L14" i="5"/>
  <c r="M14" i="5" s="1"/>
  <c r="N14" i="5" s="1"/>
  <c r="L15" i="5"/>
  <c r="M15" i="5" s="1"/>
  <c r="N15" i="5" s="1"/>
  <c r="L16" i="5"/>
  <c r="M16" i="5" s="1"/>
  <c r="N16" i="5" s="1"/>
  <c r="L17" i="5"/>
  <c r="M17" i="5" s="1"/>
  <c r="N17" i="5" s="1"/>
  <c r="L18" i="5"/>
  <c r="M18" i="5" s="1"/>
  <c r="N18" i="5" s="1"/>
  <c r="L19" i="5"/>
  <c r="M19" i="5" s="1"/>
  <c r="N19" i="5" s="1"/>
  <c r="L20" i="5"/>
  <c r="M20" i="5" s="1"/>
  <c r="N20" i="5" s="1"/>
  <c r="L21" i="5"/>
  <c r="M21" i="5" s="1"/>
  <c r="N21" i="5" s="1"/>
  <c r="L22" i="5"/>
  <c r="M22" i="5" s="1"/>
  <c r="N22" i="5" s="1"/>
  <c r="L4" i="5"/>
  <c r="M4" i="5" s="1"/>
  <c r="N4" i="5" s="1"/>
  <c r="B9" i="11" l="1"/>
  <c r="B12" i="11"/>
  <c r="F67" i="5"/>
  <c r="G67" i="5" s="1"/>
  <c r="F70" i="5"/>
  <c r="G70" i="5" s="1"/>
  <c r="F73" i="5"/>
  <c r="G73" i="5" s="1"/>
  <c r="F76" i="5"/>
  <c r="G76" i="5" s="1"/>
  <c r="F79" i="5"/>
  <c r="G79" i="5" s="1"/>
  <c r="F82" i="5"/>
  <c r="G82" i="5" s="1"/>
  <c r="F85" i="5"/>
  <c r="G85" i="5" s="1"/>
  <c r="F88" i="5"/>
  <c r="G88" i="5" s="1"/>
  <c r="F91" i="5"/>
  <c r="G91" i="5" s="1"/>
  <c r="F94" i="5"/>
  <c r="G94" i="5" s="1"/>
  <c r="F97" i="5"/>
  <c r="G97" i="5" s="1"/>
  <c r="F100" i="5"/>
  <c r="G100" i="5" s="1"/>
  <c r="F103" i="5"/>
  <c r="G103" i="5" s="1"/>
  <c r="F106" i="5"/>
  <c r="G106" i="5" s="1"/>
  <c r="F109" i="5"/>
  <c r="G109" i="5" s="1"/>
  <c r="F112" i="5"/>
  <c r="G112" i="5" s="1"/>
  <c r="F115" i="5"/>
  <c r="G115" i="5" s="1"/>
  <c r="F118" i="5"/>
  <c r="G118" i="5" s="1"/>
  <c r="F64" i="5"/>
  <c r="G64" i="5" s="1"/>
  <c r="Q52" i="11" l="1"/>
  <c r="R52" i="11" s="1"/>
  <c r="S52" i="11" s="1"/>
  <c r="T52" i="11" s="1"/>
  <c r="M56" i="11"/>
  <c r="N56" i="11" s="1"/>
  <c r="M58" i="11"/>
  <c r="N58" i="11" s="1"/>
  <c r="Q49" i="11"/>
  <c r="R49" i="11" s="1"/>
  <c r="S49" i="11" s="1"/>
  <c r="T49" i="11" s="1"/>
  <c r="Q51" i="11"/>
  <c r="R51" i="11" s="1"/>
  <c r="S51" i="11" s="1"/>
  <c r="T51" i="11" s="1"/>
  <c r="M55" i="11"/>
  <c r="N55" i="11" s="1"/>
  <c r="M57" i="11"/>
  <c r="N57" i="11" s="1"/>
  <c r="U44" i="11"/>
  <c r="U46" i="11"/>
  <c r="U48" i="11"/>
  <c r="U50" i="11"/>
  <c r="U52" i="11"/>
  <c r="U54" i="11"/>
  <c r="U56" i="11"/>
  <c r="U58" i="11"/>
  <c r="U60" i="11"/>
  <c r="U43" i="11"/>
  <c r="U45" i="11"/>
  <c r="U47" i="11"/>
  <c r="U49" i="11"/>
  <c r="U51" i="11"/>
  <c r="U53" i="11"/>
  <c r="U55" i="11"/>
  <c r="U57" i="11"/>
  <c r="U59" i="11"/>
  <c r="U42" i="11"/>
  <c r="M54" i="11"/>
  <c r="N54" i="11" s="1"/>
  <c r="P58" i="11"/>
  <c r="P56" i="11"/>
  <c r="M53" i="11"/>
  <c r="N53" i="11" s="1"/>
  <c r="M60" i="11"/>
  <c r="M59" i="11"/>
  <c r="N59" i="11" s="1"/>
  <c r="O58" i="11"/>
  <c r="O54" i="11"/>
  <c r="O57" i="11"/>
  <c r="P54" i="11"/>
  <c r="M51" i="11"/>
  <c r="N51" i="11" s="1"/>
  <c r="M49" i="11"/>
  <c r="N49" i="11" s="1"/>
  <c r="M52" i="11"/>
  <c r="N52" i="11" s="1"/>
  <c r="Q58" i="11"/>
  <c r="R58" i="11" s="1"/>
  <c r="S58" i="11" s="1"/>
  <c r="T58" i="11" s="1"/>
  <c r="Q57" i="11"/>
  <c r="R57" i="11" s="1"/>
  <c r="S57" i="11" s="1"/>
  <c r="T57" i="11" s="1"/>
  <c r="Q54" i="11"/>
  <c r="R54" i="11" s="1"/>
  <c r="S54" i="11" s="1"/>
  <c r="T54" i="11" s="1"/>
  <c r="Q53" i="11"/>
  <c r="R53" i="11" s="1"/>
  <c r="S53" i="11" s="1"/>
  <c r="T53" i="11" s="1"/>
  <c r="Q60" i="11" l="1"/>
  <c r="Q56" i="11"/>
  <c r="R56" i="11" s="1"/>
  <c r="S56" i="11" s="1"/>
  <c r="T56" i="11" s="1"/>
  <c r="Q55" i="11"/>
  <c r="R55" i="11" s="1"/>
  <c r="S55" i="11" s="1"/>
  <c r="T55" i="11" s="1"/>
  <c r="Q59" i="11"/>
  <c r="R59" i="11" s="1"/>
  <c r="S59" i="11" s="1"/>
  <c r="T59" i="11" s="1"/>
  <c r="P55" i="11"/>
  <c r="O56" i="11"/>
  <c r="V56" i="11" s="1"/>
  <c r="X56" i="11" s="1"/>
  <c r="Z56" i="11" s="1"/>
  <c r="V54" i="11"/>
  <c r="X54" i="11" s="1"/>
  <c r="Z54" i="11" s="1"/>
  <c r="V58" i="11"/>
  <c r="X58" i="11" s="1"/>
  <c r="Z58" i="11" s="1"/>
  <c r="P53" i="11"/>
  <c r="O53" i="11"/>
  <c r="O59" i="11"/>
  <c r="P59" i="11"/>
  <c r="P57" i="11"/>
  <c r="W57" i="11" s="1"/>
  <c r="M45" i="11"/>
  <c r="Q45" i="11"/>
  <c r="R45" i="11" s="1"/>
  <c r="S45" i="11" s="1"/>
  <c r="T45" i="11" s="1"/>
  <c r="M50" i="11"/>
  <c r="Q50" i="11"/>
  <c r="R50" i="11" s="1"/>
  <c r="S50" i="11" s="1"/>
  <c r="T50" i="11" s="1"/>
  <c r="M46" i="11"/>
  <c r="Q46" i="11"/>
  <c r="R46" i="11" s="1"/>
  <c r="S46" i="11" s="1"/>
  <c r="T46" i="11" s="1"/>
  <c r="V53" i="11"/>
  <c r="V57" i="11"/>
  <c r="X57" i="11" s="1"/>
  <c r="Z57" i="11" s="1"/>
  <c r="O55" i="11"/>
  <c r="M42" i="11"/>
  <c r="N42" i="11" s="1"/>
  <c r="P42" i="11" s="1"/>
  <c r="Q42" i="11"/>
  <c r="R42" i="11" s="1"/>
  <c r="S42" i="11" s="1"/>
  <c r="T42" i="11" s="1"/>
  <c r="M47" i="11"/>
  <c r="Q47" i="11"/>
  <c r="R47" i="11" s="1"/>
  <c r="S47" i="11" s="1"/>
  <c r="T47" i="11" s="1"/>
  <c r="M43" i="11"/>
  <c r="Q43" i="11"/>
  <c r="R43" i="11" s="1"/>
  <c r="S43" i="11" s="1"/>
  <c r="T43" i="11" s="1"/>
  <c r="M48" i="11"/>
  <c r="Q48" i="11"/>
  <c r="R48" i="11" s="1"/>
  <c r="S48" i="11" s="1"/>
  <c r="T48" i="11" s="1"/>
  <c r="M44" i="11"/>
  <c r="Q44" i="11"/>
  <c r="R44" i="11" s="1"/>
  <c r="S44" i="11" s="1"/>
  <c r="T44" i="11" s="1"/>
  <c r="O51" i="11"/>
  <c r="P51" i="11"/>
  <c r="O52" i="11"/>
  <c r="P52" i="11"/>
  <c r="O49" i="11"/>
  <c r="P49" i="11"/>
  <c r="O42" i="11"/>
  <c r="W54" i="11"/>
  <c r="W56" i="11"/>
  <c r="W58" i="11"/>
  <c r="X53" i="11"/>
  <c r="Z53" i="11" s="1"/>
  <c r="N60" i="11"/>
  <c r="R60" i="11"/>
  <c r="S60" i="11" s="1"/>
  <c r="T60" i="11" s="1"/>
  <c r="Y54" i="11" l="1"/>
  <c r="W55" i="11"/>
  <c r="Y58" i="11"/>
  <c r="V59" i="11"/>
  <c r="X59" i="11" s="1"/>
  <c r="Z59" i="11" s="1"/>
  <c r="W53" i="11"/>
  <c r="V55" i="11"/>
  <c r="X55" i="11" s="1"/>
  <c r="Z55" i="11" s="1"/>
  <c r="AA55" i="11" s="1"/>
  <c r="AD55" i="11" s="1"/>
  <c r="Y56" i="11"/>
  <c r="V42" i="11"/>
  <c r="X42" i="11" s="1"/>
  <c r="Z42" i="11" s="1"/>
  <c r="AA42" i="11" s="1"/>
  <c r="AD42" i="11" s="1"/>
  <c r="W59" i="11"/>
  <c r="Y55" i="11"/>
  <c r="N44" i="11"/>
  <c r="P44" i="11" s="1"/>
  <c r="N48" i="11"/>
  <c r="P48" i="11" s="1"/>
  <c r="N43" i="11"/>
  <c r="P43" i="11" s="1"/>
  <c r="N47" i="11"/>
  <c r="P47" i="11" s="1"/>
  <c r="N46" i="11"/>
  <c r="P46" i="11" s="1"/>
  <c r="N50" i="11"/>
  <c r="P50" i="11" s="1"/>
  <c r="N45" i="11"/>
  <c r="P45" i="11" s="1"/>
  <c r="Y57" i="11"/>
  <c r="AB57" i="11" s="1"/>
  <c r="Y53" i="11"/>
  <c r="AA58" i="11"/>
  <c r="AD58" i="11" s="1"/>
  <c r="AB58" i="11"/>
  <c r="AA54" i="11"/>
  <c r="AD54" i="11" s="1"/>
  <c r="AB54" i="11"/>
  <c r="AA53" i="11"/>
  <c r="AD53" i="11" s="1"/>
  <c r="AB53" i="11"/>
  <c r="AA56" i="11"/>
  <c r="AD56" i="11" s="1"/>
  <c r="AB56" i="11"/>
  <c r="AA59" i="11"/>
  <c r="AD59" i="11" s="1"/>
  <c r="W49" i="11"/>
  <c r="V49" i="11"/>
  <c r="W52" i="11"/>
  <c r="V52" i="11"/>
  <c r="W51" i="11"/>
  <c r="V51" i="11"/>
  <c r="W42" i="11"/>
  <c r="Y42" i="11" s="1"/>
  <c r="O60" i="11"/>
  <c r="V60" i="11" s="1"/>
  <c r="P60" i="11"/>
  <c r="AA57" i="11"/>
  <c r="AD57" i="11" s="1"/>
  <c r="Y59" i="11" l="1"/>
  <c r="AB59" i="11" s="1"/>
  <c r="O44" i="11"/>
  <c r="V44" i="11" s="1"/>
  <c r="AB55" i="11"/>
  <c r="AB42" i="11"/>
  <c r="Y51" i="11"/>
  <c r="Y52" i="11"/>
  <c r="Y49" i="11"/>
  <c r="O45" i="11"/>
  <c r="O50" i="11"/>
  <c r="O46" i="11"/>
  <c r="O47" i="11"/>
  <c r="O43" i="11"/>
  <c r="O48" i="11"/>
  <c r="X51" i="11"/>
  <c r="Z51" i="11" s="1"/>
  <c r="X52" i="11"/>
  <c r="Z52" i="11" s="1"/>
  <c r="X49" i="11"/>
  <c r="Z49" i="11" s="1"/>
  <c r="W60" i="11"/>
  <c r="Y60" i="11" s="1"/>
  <c r="X60" i="11"/>
  <c r="Z60" i="11" s="1"/>
  <c r="W44" i="11" l="1"/>
  <c r="Y44" i="11" s="1"/>
  <c r="V43" i="11"/>
  <c r="W43" i="11"/>
  <c r="V46" i="11"/>
  <c r="W46" i="11"/>
  <c r="V45" i="11"/>
  <c r="W45" i="11"/>
  <c r="V48" i="11"/>
  <c r="W48" i="11"/>
  <c r="V47" i="11"/>
  <c r="W47" i="11"/>
  <c r="V50" i="11"/>
  <c r="W50" i="11"/>
  <c r="X44" i="11"/>
  <c r="Z44" i="11" s="1"/>
  <c r="AA49" i="11"/>
  <c r="AD49" i="11" s="1"/>
  <c r="AB49" i="11"/>
  <c r="AA51" i="11"/>
  <c r="AD51" i="11" s="1"/>
  <c r="AB51" i="11"/>
  <c r="AA60" i="11"/>
  <c r="AD60" i="11" s="1"/>
  <c r="AB60" i="11"/>
  <c r="AA52" i="11"/>
  <c r="AD52" i="11" s="1"/>
  <c r="AB52" i="11"/>
  <c r="AA44" i="11" l="1"/>
  <c r="AD44" i="11" s="1"/>
  <c r="AB44" i="11"/>
  <c r="Y50" i="11"/>
  <c r="X50" i="11"/>
  <c r="Z50" i="11" s="1"/>
  <c r="Y47" i="11"/>
  <c r="X47" i="11"/>
  <c r="Z47" i="11" s="1"/>
  <c r="Y48" i="11"/>
  <c r="X48" i="11"/>
  <c r="Z48" i="11" s="1"/>
  <c r="Y45" i="11"/>
  <c r="X45" i="11"/>
  <c r="Z45" i="11" s="1"/>
  <c r="Y46" i="11"/>
  <c r="X46" i="11"/>
  <c r="Z46" i="11" s="1"/>
  <c r="Y43" i="11"/>
  <c r="X43" i="11"/>
  <c r="Z43" i="11" s="1"/>
  <c r="AA46" i="11" l="1"/>
  <c r="AD46" i="11" s="1"/>
  <c r="AB46" i="11"/>
  <c r="AB43" i="11"/>
  <c r="AA43" i="11"/>
  <c r="AD43" i="11" s="1"/>
  <c r="AB45" i="11"/>
  <c r="AA45" i="11"/>
  <c r="AD45" i="11" s="1"/>
  <c r="AA48" i="11"/>
  <c r="AD48" i="11" s="1"/>
  <c r="AB48" i="11"/>
  <c r="AB47" i="11"/>
  <c r="AA47" i="11"/>
  <c r="AD47" i="11" s="1"/>
  <c r="AA50" i="11"/>
  <c r="AD50" i="11" s="1"/>
  <c r="AB50" i="11"/>
</calcChain>
</file>

<file path=xl/sharedStrings.xml><?xml version="1.0" encoding="utf-8"?>
<sst xmlns="http://schemas.openxmlformats.org/spreadsheetml/2006/main" count="268" uniqueCount="150">
  <si>
    <t>P0</t>
  </si>
  <si>
    <t>Error</t>
  </si>
  <si>
    <t>P1</t>
  </si>
  <si>
    <t>P2</t>
  </si>
  <si>
    <t>22Ne(6Li,d)</t>
  </si>
  <si>
    <t>6Li:</t>
  </si>
  <si>
    <t>KE</t>
  </si>
  <si>
    <t>q=</t>
  </si>
  <si>
    <t>e</t>
  </si>
  <si>
    <t>6Li</t>
  </si>
  <si>
    <t>u=</t>
  </si>
  <si>
    <t>θ=</t>
  </si>
  <si>
    <t>Ex(cal)</t>
  </si>
  <si>
    <t>Ex(NNDC)</t>
  </si>
  <si>
    <t>Channel</t>
  </si>
  <si>
    <t>22Ne</t>
  </si>
  <si>
    <t>KE1</t>
  </si>
  <si>
    <t>KE2</t>
  </si>
  <si>
    <t>Proj Eloss (Aramid)</t>
  </si>
  <si>
    <t xml:space="preserve">Final Proj Eloss </t>
  </si>
  <si>
    <t>Proj Eloss (22Ne)</t>
  </si>
  <si>
    <t>800 channels</t>
  </si>
  <si>
    <t>a</t>
  </si>
  <si>
    <t>b</t>
  </si>
  <si>
    <t>∆b</t>
  </si>
  <si>
    <t>c</t>
  </si>
  <si>
    <t>∆c</t>
  </si>
  <si>
    <t>Covariance Matrix</t>
  </si>
  <si>
    <t>∆xfit</t>
  </si>
  <si>
    <t>∆xstatistical</t>
  </si>
  <si>
    <t>∆Bρfinal</t>
  </si>
  <si>
    <t>∆p (MeV/c)</t>
  </si>
  <si>
    <t>∆p_out</t>
  </si>
  <si>
    <t>Ex Errors (keV)</t>
  </si>
  <si>
    <t>N</t>
  </si>
  <si>
    <t>N^0.5</t>
  </si>
  <si>
    <t>FWHM</t>
  </si>
  <si>
    <t>Statistical Error</t>
  </si>
  <si>
    <t xml:space="preserve">∆E_out </t>
  </si>
  <si>
    <t>fixed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</si>
  <si>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</si>
  <si>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</si>
  <si>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</si>
  <si>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</si>
  <si>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</si>
  <si>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</si>
  <si>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</si>
  <si>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</si>
  <si>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</si>
  <si>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</si>
  <si>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</si>
  <si>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</si>
  <si>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</si>
  <si>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</si>
  <si>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</si>
  <si>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</si>
  <si>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</si>
  <si>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</si>
  <si>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</si>
  <si>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</si>
  <si>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</si>
  <si>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</si>
  <si>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</si>
  <si>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</si>
  <si>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</si>
  <si>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</si>
  <si>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</si>
  <si>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</si>
  <si>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</si>
  <si>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</si>
  <si>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</si>
  <si>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</si>
  <si>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</si>
  <si>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</si>
  <si>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</si>
  <si>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(∆x)</t>
  </si>
  <si>
    <t>20Ne(sitting in background)</t>
  </si>
  <si>
    <t>Constant</t>
  </si>
  <si>
    <t>Mean</t>
  </si>
  <si>
    <t>Sigma</t>
  </si>
  <si>
    <r>
      <t>1</t>
    </r>
    <r>
      <rPr>
        <sz val="11"/>
        <color theme="1"/>
        <rFont val="Calibri"/>
        <family val="2"/>
      </rPr>
      <t>σ</t>
    </r>
  </si>
  <si>
    <r>
      <t>2</t>
    </r>
    <r>
      <rPr>
        <sz val="11"/>
        <color theme="1"/>
        <rFont val="Calibri"/>
        <family val="2"/>
      </rPr>
      <t>σ</t>
    </r>
  </si>
  <si>
    <t>(keV)</t>
  </si>
  <si>
    <t>Real KE+∆Ex</t>
  </si>
  <si>
    <t>Bρ (Real KE)</t>
  </si>
  <si>
    <t>Bρ(Real KE+∆Ex)</t>
  </si>
  <si>
    <t>Error in Bρ</t>
  </si>
  <si>
    <t>Real KE</t>
    <phoneticPr fontId="0" type="noConversion"/>
  </si>
  <si>
    <r>
      <t xml:space="preserve">KE1 + </t>
    </r>
    <r>
      <rPr>
        <sz val="11"/>
        <color theme="1"/>
        <rFont val="Calibri"/>
        <family val="2"/>
      </rPr>
      <t>∆Ex</t>
    </r>
  </si>
  <si>
    <t>State</t>
    <phoneticPr fontId="0" type="noConversion"/>
  </si>
  <si>
    <t>Res Diff (keV)</t>
    <phoneticPr fontId="0" type="noConversion"/>
  </si>
  <si>
    <t>P*P</t>
    <phoneticPr fontId="0" type="noConversion"/>
  </si>
  <si>
    <t>p_out</t>
    <phoneticPr fontId="0" type="noConversion"/>
  </si>
  <si>
    <t>E_out</t>
    <phoneticPr fontId="0" type="noConversion"/>
  </si>
  <si>
    <t>p</t>
    <phoneticPr fontId="0" type="noConversion"/>
  </si>
  <si>
    <t>β</t>
    <phoneticPr fontId="0" type="noConversion"/>
  </si>
  <si>
    <t>γ</t>
    <phoneticPr fontId="0" type="noConversion"/>
  </si>
  <si>
    <r>
      <t>∆Bρ</t>
    </r>
    <r>
      <rPr>
        <vertAlign val="subscript"/>
        <sz val="11"/>
        <color theme="1"/>
        <rFont val="Calibri"/>
        <family val="2"/>
      </rPr>
      <t>pos</t>
    </r>
  </si>
  <si>
    <r>
      <t>∆Bρ</t>
    </r>
    <r>
      <rPr>
        <vertAlign val="subscript"/>
        <sz val="11"/>
        <color theme="1"/>
        <rFont val="Calibri"/>
        <family val="2"/>
      </rPr>
      <t>fit</t>
    </r>
    <r>
      <rPr>
        <vertAlign val="superscript"/>
        <sz val="11"/>
        <color theme="1"/>
        <rFont val="Calibri"/>
        <family val="2"/>
      </rPr>
      <t>2</t>
    </r>
  </si>
  <si>
    <t>Bρ</t>
    <phoneticPr fontId="0" type="noConversion"/>
  </si>
  <si>
    <t>Channel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</si>
  <si>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a</t>
    </r>
  </si>
  <si>
    <t>f=</t>
    <phoneticPr fontId="0" type="noConversion"/>
  </si>
  <si>
    <t>Calibration factor</t>
    <phoneticPr fontId="0" type="noConversion"/>
  </si>
  <si>
    <t>Cos(θ)=</t>
    <phoneticPr fontId="0" type="noConversion"/>
  </si>
  <si>
    <t>MeV/c</t>
    <phoneticPr fontId="0" type="noConversion"/>
  </si>
  <si>
    <t>MeV</t>
    <phoneticPr fontId="0" type="noConversion"/>
  </si>
  <si>
    <t>°</t>
    <phoneticPr fontId="0" type="noConversion"/>
  </si>
  <si>
    <t xml:space="preserve">Momentum In </t>
    <phoneticPr fontId="0" type="noConversion"/>
  </si>
  <si>
    <t>a-Threshold</t>
    <phoneticPr fontId="0" type="noConversion"/>
  </si>
  <si>
    <t>Target Thickness</t>
    <phoneticPr fontId="0" type="noConversion"/>
  </si>
  <si>
    <t>MeV/c^2</t>
    <phoneticPr fontId="0" type="noConversion"/>
  </si>
  <si>
    <t>Recoil</t>
    <phoneticPr fontId="0" type="noConversion"/>
  </si>
  <si>
    <t>1 kg =</t>
    <phoneticPr fontId="0" type="noConversion"/>
  </si>
  <si>
    <t>Energy In:</t>
    <phoneticPr fontId="0" type="noConversion"/>
  </si>
  <si>
    <t xml:space="preserve">Projectile </t>
    <phoneticPr fontId="0" type="noConversion"/>
  </si>
  <si>
    <t>1 J =</t>
    <phoneticPr fontId="0" type="noConversion"/>
  </si>
  <si>
    <t>Target</t>
    <phoneticPr fontId="0" type="noConversion"/>
  </si>
  <si>
    <t>m/s</t>
    <phoneticPr fontId="0" type="noConversion"/>
  </si>
  <si>
    <t>c=</t>
    <phoneticPr fontId="0" type="noConversion"/>
  </si>
  <si>
    <t>Energy Loss</t>
    <phoneticPr fontId="0" type="noConversion"/>
  </si>
  <si>
    <t>Beam</t>
    <phoneticPr fontId="0" type="noConversion"/>
  </si>
  <si>
    <t>Type</t>
    <phoneticPr fontId="0" type="noConversion"/>
  </si>
  <si>
    <t>C</t>
    <phoneticPr fontId="0" type="noConversion"/>
  </si>
  <si>
    <t>e=</t>
    <phoneticPr fontId="0" type="noConversion"/>
  </si>
  <si>
    <t>Needed Masses</t>
    <phoneticPr fontId="0" type="noConversion"/>
  </si>
  <si>
    <t>Needed Constants</t>
    <phoneticPr fontId="0" type="noConversion"/>
  </si>
  <si>
    <t>∆Ein</t>
  </si>
  <si>
    <t>∆KE (MeV)</t>
  </si>
  <si>
    <r>
      <rPr>
        <sz val="11"/>
        <rFont val="Calibri"/>
        <family val="2"/>
      </rPr>
      <t>∆</t>
    </r>
    <r>
      <rPr>
        <sz val="11"/>
        <rFont val="Verdana"/>
        <family val="2"/>
      </rPr>
      <t>p_in</t>
    </r>
  </si>
  <si>
    <r>
      <rPr>
        <sz val="8"/>
        <rFont val="Calibri"/>
        <family val="2"/>
      </rPr>
      <t>∆</t>
    </r>
    <r>
      <rPr>
        <sz val="8"/>
        <rFont val="Verdana"/>
        <family val="2"/>
      </rPr>
      <t>f=</t>
    </r>
  </si>
  <si>
    <t>6Li</t>
    <phoneticPr fontId="11" type="noConversion"/>
  </si>
  <si>
    <t>9Be backing</t>
    <phoneticPr fontId="11" type="noConversion"/>
  </si>
  <si>
    <t>Excess(KeV)</t>
    <phoneticPr fontId="0" type="noConversion"/>
  </si>
  <si>
    <t>Total(KeV)</t>
    <phoneticPr fontId="0" type="noConversion"/>
  </si>
  <si>
    <r>
      <rPr>
        <sz val="8"/>
        <rFont val="Calibri"/>
        <family val="2"/>
      </rPr>
      <t>∆</t>
    </r>
    <r>
      <rPr>
        <sz val="8"/>
        <rFont val="Verdana"/>
        <family val="2"/>
      </rPr>
      <t>m(KeV)</t>
    </r>
    <phoneticPr fontId="11" type="noConversion"/>
  </si>
  <si>
    <t>6Li in 9Be (MeV)</t>
    <phoneticPr fontId="0" type="noConversion"/>
  </si>
  <si>
    <t>6Li in 22Ne(MeV)</t>
    <phoneticPr fontId="11" type="noConversion"/>
  </si>
  <si>
    <t>Energy lost by 6Li in Target</t>
    <phoneticPr fontId="11" type="noConversion"/>
  </si>
  <si>
    <t>anles</t>
    <phoneticPr fontId="11" type="noConversion"/>
  </si>
  <si>
    <t>9be</t>
    <phoneticPr fontId="11" type="noConversion"/>
  </si>
  <si>
    <t>Known States(MeV)</t>
    <phoneticPr fontId="0" type="noConversion"/>
  </si>
  <si>
    <t>Proj Eloss (9Be)</t>
    <phoneticPr fontId="11" type="noConversion"/>
  </si>
  <si>
    <t>Proj Eloss (22Ne)</t>
    <phoneticPr fontId="11" type="noConversion"/>
  </si>
  <si>
    <t>9Be in 6Li</t>
    <phoneticPr fontId="11" type="noConversion"/>
  </si>
  <si>
    <t>dE/dx(eV/(E15atoms/cm2))</t>
    <phoneticPr fontId="11" type="noConversion"/>
  </si>
  <si>
    <r>
      <rPr>
        <sz val="8"/>
        <rFont val="FangSong"/>
        <family val="3"/>
        <charset val="134"/>
      </rPr>
      <t>先按</t>
    </r>
    <r>
      <rPr>
        <sz val="8"/>
        <rFont val="Verdana"/>
        <family val="2"/>
      </rPr>
      <t>be</t>
    </r>
    <r>
      <rPr>
        <sz val="8"/>
        <rFont val="FangSong"/>
        <family val="3"/>
        <charset val="134"/>
      </rPr>
      <t>：</t>
    </r>
    <r>
      <rPr>
        <sz val="8"/>
        <rFont val="Verdana"/>
        <family val="2"/>
      </rPr>
      <t>ne=4:1</t>
    </r>
    <phoneticPr fontId="11" type="noConversion"/>
  </si>
  <si>
    <t>22Ne in 6Li(solid)</t>
    <phoneticPr fontId="11" type="noConversion"/>
  </si>
  <si>
    <t>angles</t>
    <phoneticPr fontId="11" type="noConversion"/>
  </si>
  <si>
    <t>2.55-3e-7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</si>
</sst>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00"/>
    <numFmt numFmtId="177" formatCode="0.000000"/>
    <numFmt numFmtId="178" formatCode="0.00000"/>
    <numFmt numFmtId="179" formatCode="0.000"/>
    <numFmt numFmtId="180" formatCode="0.00000E+00"/>
    <numFmt numFmtId="181" formatCode="0.000000E+00"/>
    <numFmt numFmtId="182" formatCode="0.000E+00"/>
    <numFmt numFmtId="183" formatCode="0.000000_ "/>
    <numFmt numFmtId="184" formatCode="0.000000000000_ "/>
    <numFmt numFmtId="185" formatCode="0.000_ "/>
    <numFmt numFmtId="186" formatCode="0.0000_);[Red]\(0.0000\)"/>
    <numFmt numFmtId="187" formatCode="0.00000_);[Red]\(0.00000\)"/>
  </numFmts>
  <fonts count="14">
    <font>
      <sz val="11"/>
      <color theme="1"/>
      <name val="宋体"/>
      <family val="2"/>
      <scheme val="minor"/>
    </font>
    <font>
      <sz val="10"/>
      <name val="Verdana"/>
      <family val="2"/>
    </font>
    <font>
      <sz val="10"/>
      <color theme="1"/>
      <name val="Arial Unicode MS"/>
      <family val="2"/>
    </font>
    <font>
      <sz val="8"/>
      <name val="Verdana"/>
      <family val="2"/>
    </font>
    <font>
      <sz val="10"/>
      <color rgb="FF000000"/>
      <name val="Verdana"/>
      <family val="2"/>
    </font>
    <font>
      <sz val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sz val="11"/>
      <name val="Verdana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8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25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right"/>
    </xf>
    <xf numFmtId="0" fontId="3" fillId="0" borderId="0" xfId="0" applyFont="1"/>
    <xf numFmtId="0" fontId="3" fillId="0" borderId="0" xfId="0" applyFont="1" applyFill="1" applyBorder="1"/>
    <xf numFmtId="179" fontId="0" fillId="0" borderId="0" xfId="0" applyNumberFormat="1"/>
    <xf numFmtId="11" fontId="3" fillId="0" borderId="4" xfId="0" applyNumberFormat="1" applyFont="1" applyBorder="1" applyAlignment="1">
      <alignment horizontal="right"/>
    </xf>
    <xf numFmtId="11" fontId="3" fillId="0" borderId="0" xfId="0" applyNumberFormat="1" applyFont="1" applyBorder="1"/>
    <xf numFmtId="11" fontId="3" fillId="0" borderId="5" xfId="0" applyNumberFormat="1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11" fontId="3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0" fontId="3" fillId="0" borderId="11" xfId="0" applyFont="1" applyBorder="1"/>
    <xf numFmtId="0" fontId="3" fillId="0" borderId="9" xfId="0" applyFont="1" applyBorder="1" applyAlignment="1">
      <alignment horizontal="right"/>
    </xf>
    <xf numFmtId="176" fontId="3" fillId="0" borderId="0" xfId="0" applyNumberFormat="1" applyFont="1" applyFill="1" applyBorder="1"/>
    <xf numFmtId="178" fontId="3" fillId="0" borderId="0" xfId="0" applyNumberFormat="1" applyFont="1" applyFill="1" applyBorder="1"/>
    <xf numFmtId="179" fontId="3" fillId="0" borderId="0" xfId="0" applyNumberFormat="1" applyFont="1" applyFill="1" applyBorder="1"/>
    <xf numFmtId="11" fontId="3" fillId="0" borderId="0" xfId="0" applyNumberFormat="1" applyFont="1" applyFill="1" applyBorder="1"/>
    <xf numFmtId="180" fontId="3" fillId="0" borderId="0" xfId="0" applyNumberFormat="1" applyFont="1" applyFill="1" applyBorder="1"/>
    <xf numFmtId="179" fontId="3" fillId="0" borderId="0" xfId="0" applyNumberFormat="1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76" fontId="3" fillId="5" borderId="13" xfId="0" applyNumberFormat="1" applyFont="1" applyFill="1" applyBorder="1"/>
    <xf numFmtId="176" fontId="3" fillId="0" borderId="13" xfId="0" applyNumberFormat="1" applyFont="1" applyFill="1" applyBorder="1"/>
    <xf numFmtId="0" fontId="3" fillId="0" borderId="13" xfId="0" applyFont="1" applyBorder="1"/>
    <xf numFmtId="179" fontId="3" fillId="0" borderId="4" xfId="0" applyNumberFormat="1" applyFont="1" applyBorder="1"/>
    <xf numFmtId="179" fontId="3" fillId="0" borderId="9" xfId="0" applyNumberFormat="1" applyFont="1" applyBorder="1"/>
    <xf numFmtId="179" fontId="3" fillId="0" borderId="0" xfId="0" applyNumberFormat="1" applyFont="1" applyBorder="1"/>
    <xf numFmtId="176" fontId="0" fillId="0" borderId="13" xfId="0" applyNumberFormat="1" applyFill="1" applyBorder="1"/>
    <xf numFmtId="176" fontId="3" fillId="4" borderId="13" xfId="0" applyNumberFormat="1" applyFont="1" applyFill="1" applyBorder="1"/>
    <xf numFmtId="0" fontId="0" fillId="0" borderId="3" xfId="0" applyBorder="1"/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8" xfId="0" applyBorder="1"/>
    <xf numFmtId="176" fontId="0" fillId="0" borderId="0" xfId="0" applyNumberFormat="1"/>
    <xf numFmtId="176" fontId="3" fillId="4" borderId="0" xfId="0" applyNumberFormat="1" applyFont="1" applyFill="1" applyBorder="1"/>
    <xf numFmtId="0" fontId="3" fillId="0" borderId="3" xfId="0" applyFont="1" applyBorder="1" applyAlignment="1"/>
    <xf numFmtId="0" fontId="3" fillId="0" borderId="9" xfId="0" applyFont="1" applyBorder="1" applyAlignment="1"/>
    <xf numFmtId="0" fontId="3" fillId="0" borderId="14" xfId="0" applyFont="1" applyBorder="1" applyAlignment="1"/>
    <xf numFmtId="11" fontId="0" fillId="0" borderId="0" xfId="0" applyNumberFormat="1"/>
    <xf numFmtId="0" fontId="3" fillId="0" borderId="2" xfId="0" applyFont="1" applyBorder="1"/>
    <xf numFmtId="0" fontId="5" fillId="0" borderId="15" xfId="0" applyFont="1" applyBorder="1" applyAlignment="1"/>
    <xf numFmtId="0" fontId="3" fillId="0" borderId="3" xfId="0" applyFont="1" applyBorder="1"/>
    <xf numFmtId="0" fontId="3" fillId="0" borderId="15" xfId="0" applyFont="1" applyBorder="1" applyAlignment="1"/>
    <xf numFmtId="11" fontId="3" fillId="0" borderId="15" xfId="0" applyNumberFormat="1" applyFont="1" applyBorder="1"/>
    <xf numFmtId="11" fontId="3" fillId="0" borderId="12" xfId="0" applyNumberFormat="1" applyFont="1" applyBorder="1"/>
    <xf numFmtId="11" fontId="3" fillId="0" borderId="14" xfId="0" applyNumberFormat="1" applyFont="1" applyBorder="1"/>
    <xf numFmtId="0" fontId="6" fillId="6" borderId="2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6" fillId="0" borderId="0" xfId="0" applyFont="1"/>
    <xf numFmtId="181" fontId="0" fillId="0" borderId="0" xfId="0" applyNumberFormat="1"/>
    <xf numFmtId="0" fontId="3" fillId="0" borderId="2" xfId="0" applyFont="1" applyBorder="1" applyAlignment="1"/>
    <xf numFmtId="0" fontId="3" fillId="0" borderId="4" xfId="0" applyFont="1" applyFill="1" applyBorder="1" applyAlignment="1">
      <alignment horizontal="right"/>
    </xf>
    <xf numFmtId="177" fontId="3" fillId="0" borderId="0" xfId="0" applyNumberFormat="1" applyFont="1" applyBorder="1"/>
    <xf numFmtId="0" fontId="3" fillId="0" borderId="5" xfId="0" applyFont="1" applyFill="1" applyBorder="1" applyAlignment="1">
      <alignment horizontal="left"/>
    </xf>
    <xf numFmtId="0" fontId="0" fillId="0" borderId="2" xfId="0" applyBorder="1"/>
    <xf numFmtId="178" fontId="0" fillId="0" borderId="0" xfId="0" applyNumberFormat="1"/>
    <xf numFmtId="178" fontId="3" fillId="0" borderId="5" xfId="0" applyNumberFormat="1" applyFont="1" applyFill="1" applyBorder="1"/>
    <xf numFmtId="178" fontId="3" fillId="0" borderId="13" xfId="0" applyNumberFormat="1" applyFont="1" applyFill="1" applyBorder="1"/>
    <xf numFmtId="176" fontId="0" fillId="5" borderId="13" xfId="0" applyNumberForma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80" fontId="0" fillId="0" borderId="0" xfId="0" applyNumberFormat="1"/>
    <xf numFmtId="177" fontId="0" fillId="0" borderId="0" xfId="0" applyNumberFormat="1"/>
    <xf numFmtId="0" fontId="6" fillId="0" borderId="12" xfId="0" applyFont="1" applyBorder="1"/>
    <xf numFmtId="0" fontId="3" fillId="3" borderId="8" xfId="0" applyFont="1" applyFill="1" applyBorder="1"/>
    <xf numFmtId="0" fontId="3" fillId="3" borderId="1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0" fillId="0" borderId="7" xfId="0" applyBorder="1"/>
    <xf numFmtId="0" fontId="3" fillId="0" borderId="6" xfId="0" applyFont="1" applyFill="1" applyBorder="1" applyAlignment="1">
      <alignment horizontal="center"/>
    </xf>
    <xf numFmtId="0" fontId="0" fillId="0" borderId="13" xfId="0" applyBorder="1"/>
    <xf numFmtId="0" fontId="0" fillId="2" borderId="2" xfId="0" applyFill="1" applyBorder="1" applyAlignment="1"/>
    <xf numFmtId="0" fontId="3" fillId="0" borderId="10" xfId="0" applyFont="1" applyBorder="1" applyAlignment="1"/>
    <xf numFmtId="182" fontId="3" fillId="0" borderId="4" xfId="0" applyNumberFormat="1" applyFont="1" applyBorder="1"/>
    <xf numFmtId="11" fontId="3" fillId="0" borderId="0" xfId="0" applyNumberFormat="1" applyFont="1"/>
    <xf numFmtId="0" fontId="10" fillId="2" borderId="2" xfId="0" applyFont="1" applyFill="1" applyBorder="1"/>
    <xf numFmtId="182" fontId="0" fillId="0" borderId="0" xfId="0" applyNumberFormat="1"/>
    <xf numFmtId="2" fontId="0" fillId="0" borderId="0" xfId="0" applyNumberFormat="1"/>
    <xf numFmtId="0" fontId="0" fillId="0" borderId="0" xfId="0" applyNumberFormat="1" applyBorder="1"/>
    <xf numFmtId="0" fontId="3" fillId="0" borderId="0" xfId="0" applyFont="1" applyAlignment="1">
      <alignment horizontal="right"/>
    </xf>
    <xf numFmtId="0" fontId="0" fillId="2" borderId="5" xfId="0" applyFill="1" applyBorder="1" applyAlignment="1"/>
    <xf numFmtId="0" fontId="3" fillId="0" borderId="5" xfId="0" applyFont="1" applyBorder="1"/>
    <xf numFmtId="0" fontId="0" fillId="0" borderId="0" xfId="0" applyNumberFormat="1"/>
    <xf numFmtId="0" fontId="0" fillId="0" borderId="5" xfId="0" applyNumberFormat="1" applyBorder="1"/>
    <xf numFmtId="0" fontId="0" fillId="0" borderId="14" xfId="0" applyNumberFormat="1" applyBorder="1"/>
    <xf numFmtId="183" fontId="0" fillId="0" borderId="0" xfId="0" applyNumberFormat="1"/>
    <xf numFmtId="184" fontId="3" fillId="0" borderId="5" xfId="0" applyNumberFormat="1" applyFont="1" applyBorder="1"/>
    <xf numFmtId="179" fontId="0" fillId="0" borderId="0" xfId="0" applyNumberFormat="1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186" fontId="0" fillId="0" borderId="0" xfId="0" applyNumberFormat="1"/>
    <xf numFmtId="185" fontId="0" fillId="0" borderId="0" xfId="0" applyNumberFormat="1"/>
    <xf numFmtId="185" fontId="0" fillId="0" borderId="0" xfId="0" applyNumberFormat="1" applyAlignment="1">
      <alignment vertical="center"/>
    </xf>
    <xf numFmtId="185" fontId="0" fillId="0" borderId="0" xfId="0" applyNumberFormat="1" applyFill="1" applyAlignment="1">
      <alignment vertical="center"/>
    </xf>
    <xf numFmtId="187" fontId="0" fillId="0" borderId="0" xfId="0" applyNumberFormat="1"/>
    <xf numFmtId="0" fontId="3" fillId="0" borderId="12" xfId="0" applyFont="1" applyFill="1" applyBorder="1" applyAlignment="1">
      <alignment horizontal="center"/>
    </xf>
    <xf numFmtId="177" fontId="3" fillId="0" borderId="0" xfId="0" applyNumberFormat="1" applyFont="1" applyFill="1" applyBorder="1"/>
    <xf numFmtId="177" fontId="3" fillId="0" borderId="13" xfId="0" applyNumberFormat="1" applyFont="1" applyFill="1" applyBorder="1"/>
    <xf numFmtId="0" fontId="3" fillId="3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2" borderId="8" xfId="0" applyFill="1" applyBorder="1" applyAlignment="1"/>
    <xf numFmtId="0" fontId="3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2" xfId="0" applyFill="1" applyBorder="1" applyAlignment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3">
    <cellStyle name="Normal 2" xfId="1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8992856603968382E-4"/>
                  <c:y val="-0.66285306127220689"/>
                </c:manualLayout>
              </c:layout>
              <c:numFmt formatCode="General" sourceLinked="0"/>
            </c:trendlineLbl>
          </c:trendline>
          <c:xVal>
            <c:numRef>
              <c:f>Sheet6!$P$70:$P$93</c:f>
              <c:numCache>
                <c:formatCode>General</c:formatCode>
                <c:ptCount val="24"/>
                <c:pt idx="0">
                  <c:v>-272.59399999999999</c:v>
                </c:pt>
                <c:pt idx="1">
                  <c:v>-177.297</c:v>
                </c:pt>
                <c:pt idx="2">
                  <c:v>-239.54900000000001</c:v>
                </c:pt>
                <c:pt idx="3">
                  <c:v>-145.05500000000001</c:v>
                </c:pt>
                <c:pt idx="4">
                  <c:v>-197.43</c:v>
                </c:pt>
                <c:pt idx="5">
                  <c:v>-102.687</c:v>
                </c:pt>
                <c:pt idx="6">
                  <c:v>-153.416</c:v>
                </c:pt>
                <c:pt idx="7">
                  <c:v>-58.633600000000001</c:v>
                </c:pt>
                <c:pt idx="8">
                  <c:v>-105.238</c:v>
                </c:pt>
                <c:pt idx="9">
                  <c:v>-10.7555</c:v>
                </c:pt>
                <c:pt idx="10">
                  <c:v>-52.8523</c:v>
                </c:pt>
                <c:pt idx="11">
                  <c:v>42.759900000000002</c:v>
                </c:pt>
                <c:pt idx="12">
                  <c:v>8.8188899999999997</c:v>
                </c:pt>
                <c:pt idx="13">
                  <c:v>103.801</c:v>
                </c:pt>
                <c:pt idx="14">
                  <c:v>71.353399999999993</c:v>
                </c:pt>
                <c:pt idx="15">
                  <c:v>165.03700000000001</c:v>
                </c:pt>
                <c:pt idx="16">
                  <c:v>137.435</c:v>
                </c:pt>
                <c:pt idx="17">
                  <c:v>230.869</c:v>
                </c:pt>
                <c:pt idx="18">
                  <c:v>207.49100000000001</c:v>
                </c:pt>
                <c:pt idx="19">
                  <c:v>300.48099999999999</c:v>
                </c:pt>
                <c:pt idx="20">
                  <c:v>280.589</c:v>
                </c:pt>
                <c:pt idx="21">
                  <c:v>373.23099999999999</c:v>
                </c:pt>
                <c:pt idx="22">
                  <c:v>363.10300000000001</c:v>
                </c:pt>
                <c:pt idx="23">
                  <c:v>452.70499999999998</c:v>
                </c:pt>
              </c:numCache>
            </c:numRef>
          </c:xVal>
          <c:yVal>
            <c:numRef>
              <c:f>Sheet6!$L$70:$L$93</c:f>
              <c:numCache>
                <c:formatCode>0.000000</c:formatCode>
                <c:ptCount val="24"/>
                <c:pt idx="0">
                  <c:v>2.0863256686779637</c:v>
                </c:pt>
                <c:pt idx="1">
                  <c:v>2.077807943557469</c:v>
                </c:pt>
                <c:pt idx="2">
                  <c:v>2.0829703388612772</c:v>
                </c:pt>
                <c:pt idx="3">
                  <c:v>2.074445296332438</c:v>
                </c:pt>
                <c:pt idx="4">
                  <c:v>2.0791737972417601</c:v>
                </c:pt>
                <c:pt idx="5">
                  <c:v>2.0706404513125443</c:v>
                </c:pt>
                <c:pt idx="6">
                  <c:v>2.0749383330812776</c:v>
                </c:pt>
                <c:pt idx="7">
                  <c:v>2.0663957219045597</c:v>
                </c:pt>
                <c:pt idx="8">
                  <c:v>2.0702665372542981</c:v>
                </c:pt>
                <c:pt idx="9">
                  <c:v>2.0617136668292089</c:v>
                </c:pt>
                <c:pt idx="10">
                  <c:v>2.0651612304616904</c:v>
                </c:pt>
                <c:pt idx="11">
                  <c:v>2.0565971221428687</c:v>
                </c:pt>
                <c:pt idx="12">
                  <c:v>2.0596255072750353</c:v>
                </c:pt>
                <c:pt idx="13">
                  <c:v>2.0510491908821957</c:v>
                </c:pt>
                <c:pt idx="14">
                  <c:v>2.0536626599089525</c:v>
                </c:pt>
                <c:pt idx="15">
                  <c:v>2.0450732271227294</c:v>
                </c:pt>
                <c:pt idx="16">
                  <c:v>2.0472765297922764</c:v>
                </c:pt>
                <c:pt idx="17">
                  <c:v>2.0386728582854063</c:v>
                </c:pt>
                <c:pt idx="18">
                  <c:v>2.0404707703296823</c:v>
                </c:pt>
                <c:pt idx="19">
                  <c:v>2.0318519600328333</c:v>
                </c:pt>
                <c:pt idx="20">
                  <c:v>2.0332495959714181</c:v>
                </c:pt>
                <c:pt idx="21">
                  <c:v>2.0246146594132637</c:v>
                </c:pt>
                <c:pt idx="22">
                  <c:v>2.0256173891816185</c:v>
                </c:pt>
                <c:pt idx="23">
                  <c:v>2.0169653397721534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1872"/>
        <c:axId val="28993408"/>
      </c:scatterChart>
      <c:valAx>
        <c:axId val="289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93408"/>
        <c:crosses val="autoZero"/>
        <c:crossBetween val="midCat"/>
      </c:valAx>
      <c:valAx>
        <c:axId val="2899340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899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971550</xdr:colOff>
      <xdr:row>61</xdr:row>
      <xdr:rowOff>180974</xdr:rowOff>
    </xdr:from>
    <xdr:to>
      <xdr:col>27</xdr:col>
      <xdr:colOff>885825</xdr:colOff>
      <xdr:row>81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"/>
  <sheetViews>
    <sheetView topLeftCell="A103" workbookViewId="0">
      <selection activeCell="A122" sqref="A122:N236"/>
    </sheetView>
  </sheetViews>
  <sheetFormatPr defaultRowHeight="13.5"/>
  <cols>
    <col min="4" max="4" width="9.625" bestFit="1" customWidth="1"/>
    <col min="10" max="10" width="11" bestFit="1" customWidth="1"/>
    <col min="11" max="11" width="13.125" customWidth="1"/>
    <col min="13" max="13" width="16.125" customWidth="1"/>
  </cols>
  <sheetData>
    <row r="1" spans="1:16">
      <c r="A1" s="1" t="s">
        <v>4</v>
      </c>
      <c r="B1" s="1"/>
      <c r="C1" s="1"/>
      <c r="D1" s="1" t="s">
        <v>21</v>
      </c>
      <c r="E1" s="1"/>
      <c r="F1" s="1"/>
    </row>
    <row r="2" spans="1:16">
      <c r="A2" s="1"/>
      <c r="B2" s="1"/>
      <c r="C2" s="1"/>
      <c r="D2" s="1"/>
      <c r="E2" s="1"/>
      <c r="F2" s="1"/>
    </row>
    <row r="3" spans="1:16" ht="15">
      <c r="A3" s="1" t="s">
        <v>0</v>
      </c>
      <c r="B3" s="1" t="s">
        <v>1</v>
      </c>
      <c r="C3" s="1" t="s">
        <v>2</v>
      </c>
      <c r="D3" s="1" t="s">
        <v>1</v>
      </c>
      <c r="E3" s="1" t="s">
        <v>3</v>
      </c>
      <c r="F3" s="1" t="s">
        <v>1</v>
      </c>
      <c r="J3" s="1" t="s">
        <v>34</v>
      </c>
      <c r="K3" s="1" t="s">
        <v>35</v>
      </c>
      <c r="L3" s="1" t="s">
        <v>36</v>
      </c>
      <c r="M3" s="1" t="s">
        <v>37</v>
      </c>
      <c r="N3" s="55" t="s">
        <v>75</v>
      </c>
      <c r="P3" s="1"/>
    </row>
    <row r="4" spans="1:16">
      <c r="A4" s="7">
        <v>599.67700000000002</v>
      </c>
      <c r="B4" s="7">
        <v>12.446999999999999</v>
      </c>
      <c r="C4" s="7">
        <v>-231.42099999999999</v>
      </c>
      <c r="D4" s="7">
        <v>0.14499999999999999</v>
      </c>
      <c r="E4" s="7">
        <v>6.5</v>
      </c>
      <c r="F4" s="7" t="s">
        <v>39</v>
      </c>
      <c r="J4" s="7">
        <v>9744.2099999999991</v>
      </c>
      <c r="K4" s="62">
        <v>98.712770000000006</v>
      </c>
      <c r="L4" s="1">
        <f>2.35482*E4</f>
        <v>15.306330000000001</v>
      </c>
      <c r="M4" s="1">
        <f>L4/K4</f>
        <v>0.15505926943393444</v>
      </c>
      <c r="N4" s="1">
        <f>SQRT(D4^2+M4^2)</f>
        <v>0.21229313940253811</v>
      </c>
    </row>
    <row r="5" spans="1:16">
      <c r="A5" s="7">
        <v>131.55500000000001</v>
      </c>
      <c r="B5" s="7">
        <v>10.263</v>
      </c>
      <c r="C5" s="7">
        <v>-219.119</v>
      </c>
      <c r="D5" s="7">
        <v>0.52900000000000003</v>
      </c>
      <c r="E5" s="7">
        <v>6.5</v>
      </c>
      <c r="F5" s="7" t="s">
        <v>39</v>
      </c>
      <c r="J5" s="7">
        <v>2137.6489999999999</v>
      </c>
      <c r="K5" s="62">
        <v>46.234720000000003</v>
      </c>
      <c r="L5" s="1">
        <f t="shared" ref="L5:L22" si="0">2.35482*E5</f>
        <v>15.306330000000001</v>
      </c>
      <c r="M5" s="1">
        <f t="shared" ref="M5:M22" si="1">L5/K5</f>
        <v>0.3310570497669284</v>
      </c>
      <c r="N5" s="1">
        <f t="shared" ref="N5:N22" si="2">SQRT(D5^2+M5^2)</f>
        <v>0.62405109582499929</v>
      </c>
    </row>
    <row r="6" spans="1:16">
      <c r="A6" s="7">
        <v>247.34100000000001</v>
      </c>
      <c r="B6" s="7">
        <v>12.398999999999999</v>
      </c>
      <c r="C6" s="7">
        <v>-183.804</v>
      </c>
      <c r="D6" s="7">
        <v>0.26</v>
      </c>
      <c r="E6" s="7">
        <v>6.5</v>
      </c>
      <c r="F6" s="7" t="s">
        <v>39</v>
      </c>
      <c r="J6" s="7">
        <v>4019.069</v>
      </c>
      <c r="K6" s="62">
        <v>63.396129999999999</v>
      </c>
      <c r="L6" s="1">
        <f t="shared" si="0"/>
        <v>15.306330000000001</v>
      </c>
      <c r="M6" s="1">
        <f t="shared" si="1"/>
        <v>0.24143950111781273</v>
      </c>
      <c r="N6" s="1">
        <f t="shared" si="2"/>
        <v>0.35481408187953634</v>
      </c>
    </row>
    <row r="7" spans="1:16">
      <c r="A7" s="7">
        <v>151.25200000000001</v>
      </c>
      <c r="B7" s="7">
        <v>11.85</v>
      </c>
      <c r="C7" s="7">
        <v>-163.59700000000001</v>
      </c>
      <c r="D7" s="7">
        <v>0.46500000000000002</v>
      </c>
      <c r="E7" s="7">
        <v>6.5</v>
      </c>
      <c r="F7" s="7" t="s">
        <v>39</v>
      </c>
      <c r="J7" s="7">
        <v>2457.7049999999999</v>
      </c>
      <c r="K7" s="62">
        <v>49.575249999999997</v>
      </c>
      <c r="L7" s="1">
        <f t="shared" si="0"/>
        <v>15.306330000000001</v>
      </c>
      <c r="M7" s="1">
        <f t="shared" si="1"/>
        <v>0.30874942637707325</v>
      </c>
      <c r="N7" s="1">
        <f t="shared" si="2"/>
        <v>0.55816772415482052</v>
      </c>
    </row>
    <row r="8" spans="1:16">
      <c r="A8" s="7">
        <v>250.929</v>
      </c>
      <c r="B8" s="7">
        <v>6.7640000000000002</v>
      </c>
      <c r="C8" s="7">
        <v>-126.79900000000001</v>
      </c>
      <c r="D8" s="7">
        <v>0.18</v>
      </c>
      <c r="E8" s="7">
        <v>6.5</v>
      </c>
      <c r="F8" s="7" t="s">
        <v>39</v>
      </c>
      <c r="J8" s="7">
        <v>4077.377</v>
      </c>
      <c r="K8" s="62">
        <v>63.854340000000001</v>
      </c>
      <c r="L8" s="1">
        <f t="shared" si="0"/>
        <v>15.306330000000001</v>
      </c>
      <c r="M8" s="1">
        <f t="shared" si="1"/>
        <v>0.23970696431910501</v>
      </c>
      <c r="N8" s="1">
        <f t="shared" si="2"/>
        <v>0.29976562301751797</v>
      </c>
    </row>
    <row r="9" spans="1:16">
      <c r="A9" s="7">
        <v>450.86</v>
      </c>
      <c r="B9" s="7">
        <v>8.1229999999999993</v>
      </c>
      <c r="C9" s="7">
        <v>-100.27</v>
      </c>
      <c r="D9" s="7">
        <v>0.13900000000000001</v>
      </c>
      <c r="E9" s="7">
        <v>6.5</v>
      </c>
      <c r="F9" s="7" t="s">
        <v>39</v>
      </c>
      <c r="J9" s="7">
        <v>7326.0630000000001</v>
      </c>
      <c r="K9" s="62">
        <v>85.592420000000004</v>
      </c>
      <c r="L9" s="1">
        <f t="shared" si="0"/>
        <v>15.306330000000001</v>
      </c>
      <c r="M9" s="1">
        <f t="shared" si="1"/>
        <v>0.17882810183425121</v>
      </c>
      <c r="N9" s="1">
        <f t="shared" si="2"/>
        <v>0.22649611476941789</v>
      </c>
    </row>
    <row r="10" spans="1:16">
      <c r="A10" s="7">
        <v>310.65699999999998</v>
      </c>
      <c r="B10" s="7">
        <v>25.95</v>
      </c>
      <c r="C10" s="7">
        <v>-57.042999999999999</v>
      </c>
      <c r="D10" s="7">
        <v>0.29299999999999998</v>
      </c>
      <c r="E10" s="7">
        <v>6.5</v>
      </c>
      <c r="F10" s="7" t="s">
        <v>39</v>
      </c>
      <c r="J10" s="7">
        <v>5047.8940000000002</v>
      </c>
      <c r="K10" s="62">
        <v>71.04853</v>
      </c>
      <c r="L10" s="1">
        <f t="shared" si="0"/>
        <v>15.306330000000001</v>
      </c>
      <c r="M10" s="1">
        <f t="shared" si="1"/>
        <v>0.21543485839890003</v>
      </c>
      <c r="N10" s="1">
        <f t="shared" si="2"/>
        <v>0.36367729955738798</v>
      </c>
    </row>
    <row r="11" spans="1:16">
      <c r="A11" s="7">
        <v>1753.06</v>
      </c>
      <c r="B11" s="7">
        <v>30.709</v>
      </c>
      <c r="C11" s="7">
        <v>-35.981999999999999</v>
      </c>
      <c r="D11" s="7">
        <v>0.09</v>
      </c>
      <c r="E11" s="7">
        <v>6.5</v>
      </c>
      <c r="F11" s="7" t="s">
        <v>39</v>
      </c>
      <c r="J11" s="7">
        <v>28485.66</v>
      </c>
      <c r="K11" s="62">
        <v>168.77695</v>
      </c>
      <c r="L11" s="1">
        <f t="shared" si="0"/>
        <v>15.306330000000001</v>
      </c>
      <c r="M11" s="1">
        <f t="shared" si="1"/>
        <v>9.0689694297710677E-2</v>
      </c>
      <c r="N11" s="1">
        <f t="shared" si="2"/>
        <v>0.12776783887900828</v>
      </c>
    </row>
    <row r="12" spans="1:16">
      <c r="A12" s="7">
        <v>662.55799999999999</v>
      </c>
      <c r="B12" s="7">
        <v>13.042</v>
      </c>
      <c r="C12" s="7">
        <v>10.096</v>
      </c>
      <c r="D12" s="7">
        <v>0.14599999999999999</v>
      </c>
      <c r="E12" s="7">
        <v>6.5</v>
      </c>
      <c r="F12" s="7" t="s">
        <v>39</v>
      </c>
      <c r="J12" s="7">
        <v>10765.97</v>
      </c>
      <c r="K12" s="62">
        <v>103.75919</v>
      </c>
      <c r="L12" s="1">
        <f t="shared" si="0"/>
        <v>15.306330000000001</v>
      </c>
      <c r="M12" s="1">
        <f t="shared" si="1"/>
        <v>0.1475178246861796</v>
      </c>
      <c r="N12" s="1">
        <f t="shared" si="2"/>
        <v>0.20755121922104536</v>
      </c>
    </row>
    <row r="13" spans="1:16">
      <c r="A13" s="7">
        <v>949.48699999999997</v>
      </c>
      <c r="B13" s="7">
        <v>19.135999999999999</v>
      </c>
      <c r="C13" s="7">
        <v>79.462999999999994</v>
      </c>
      <c r="D13" s="7">
        <v>0.115</v>
      </c>
      <c r="E13" s="7">
        <v>6.5</v>
      </c>
      <c r="F13" s="7" t="s">
        <v>39</v>
      </c>
      <c r="J13" s="7">
        <v>15428.3</v>
      </c>
      <c r="K13" s="62">
        <v>124.21071000000001</v>
      </c>
      <c r="L13" s="1">
        <f t="shared" si="0"/>
        <v>15.306330000000001</v>
      </c>
      <c r="M13" s="1">
        <f t="shared" si="1"/>
        <v>0.12322874573376161</v>
      </c>
      <c r="N13" s="1">
        <f t="shared" si="2"/>
        <v>0.16855362284779307</v>
      </c>
    </row>
    <row r="14" spans="1:16">
      <c r="A14" s="7">
        <v>592.59900000000005</v>
      </c>
      <c r="B14" s="7">
        <v>25.829000000000001</v>
      </c>
      <c r="C14" s="7">
        <v>115.11799999999999</v>
      </c>
      <c r="D14" s="7">
        <v>0.434</v>
      </c>
      <c r="E14" s="7">
        <v>6.5</v>
      </c>
      <c r="F14" s="7" t="s">
        <v>39</v>
      </c>
      <c r="J14" s="7">
        <v>9629.2060000000001</v>
      </c>
      <c r="K14" s="62">
        <v>98.128519999999995</v>
      </c>
      <c r="L14" s="1">
        <f t="shared" si="0"/>
        <v>15.306330000000001</v>
      </c>
      <c r="M14" s="1">
        <f t="shared" si="1"/>
        <v>0.15598248093418715</v>
      </c>
      <c r="N14" s="1">
        <f t="shared" si="2"/>
        <v>0.46117950340229136</v>
      </c>
    </row>
    <row r="15" spans="1:16">
      <c r="A15" s="7">
        <v>369.58600000000001</v>
      </c>
      <c r="B15" s="7">
        <v>17.7</v>
      </c>
      <c r="C15" s="7">
        <v>143.39500000000001</v>
      </c>
      <c r="D15" s="7">
        <v>0.27700000000000002</v>
      </c>
      <c r="E15" s="7">
        <v>6.5</v>
      </c>
      <c r="F15" s="7" t="s">
        <v>39</v>
      </c>
      <c r="J15" s="7">
        <v>6005.4350000000004</v>
      </c>
      <c r="K15" s="62">
        <v>77.494739999999993</v>
      </c>
      <c r="L15" s="1">
        <f t="shared" si="0"/>
        <v>15.306330000000001</v>
      </c>
      <c r="M15" s="1">
        <f t="shared" si="1"/>
        <v>0.19751443775409791</v>
      </c>
      <c r="N15" s="1">
        <f t="shared" si="2"/>
        <v>0.34020722085416916</v>
      </c>
    </row>
    <row r="16" spans="1:16">
      <c r="A16" s="7">
        <v>308.09699999999998</v>
      </c>
      <c r="B16" s="7">
        <v>20.600999999999999</v>
      </c>
      <c r="C16" s="7">
        <v>172.005</v>
      </c>
      <c r="D16" s="7">
        <v>0.39500000000000002</v>
      </c>
      <c r="E16" s="7">
        <v>6.5</v>
      </c>
      <c r="F16" s="7" t="s">
        <v>39</v>
      </c>
      <c r="J16" s="7">
        <v>5006.2910000000002</v>
      </c>
      <c r="K16" s="62">
        <v>70.75515</v>
      </c>
      <c r="L16" s="1">
        <f t="shared" si="0"/>
        <v>15.306330000000001</v>
      </c>
      <c r="M16" s="1">
        <f t="shared" si="1"/>
        <v>0.21632814007178278</v>
      </c>
      <c r="N16" s="1">
        <f t="shared" si="2"/>
        <v>0.45035859510718446</v>
      </c>
    </row>
    <row r="17" spans="1:14">
      <c r="A17" s="7">
        <v>861.58699999999999</v>
      </c>
      <c r="B17" s="7">
        <v>16.437999999999999</v>
      </c>
      <c r="C17" s="7">
        <v>227.02799999999999</v>
      </c>
      <c r="D17" s="7">
        <v>0.12</v>
      </c>
      <c r="E17" s="7">
        <v>6.5</v>
      </c>
      <c r="F17" s="7" t="s">
        <v>39</v>
      </c>
      <c r="J17" s="7">
        <v>14000.02</v>
      </c>
      <c r="K17" s="62">
        <v>118.32168</v>
      </c>
      <c r="L17" s="1">
        <f t="shared" si="0"/>
        <v>15.306330000000001</v>
      </c>
      <c r="M17" s="1">
        <f t="shared" si="1"/>
        <v>0.12936200703032616</v>
      </c>
      <c r="N17" s="1">
        <f t="shared" si="2"/>
        <v>0.17644979133712274</v>
      </c>
    </row>
    <row r="18" spans="1:14">
      <c r="A18" s="7">
        <v>339.77100000000002</v>
      </c>
      <c r="B18" s="7">
        <v>9.1039999999999992</v>
      </c>
      <c r="C18" s="7">
        <v>282.02499999999998</v>
      </c>
      <c r="D18" s="7">
        <v>0.218</v>
      </c>
      <c r="E18" s="7">
        <v>6.5</v>
      </c>
      <c r="F18" s="7" t="s">
        <v>39</v>
      </c>
      <c r="J18" s="7">
        <v>5520.9660000000003</v>
      </c>
      <c r="K18" s="62">
        <v>74.303200000000004</v>
      </c>
      <c r="L18" s="1">
        <f t="shared" si="0"/>
        <v>15.306330000000001</v>
      </c>
      <c r="M18" s="1">
        <f t="shared" si="1"/>
        <v>0.2059982611785226</v>
      </c>
      <c r="N18" s="1">
        <f t="shared" si="2"/>
        <v>0.29993213167077448</v>
      </c>
    </row>
    <row r="19" spans="1:14">
      <c r="A19" s="7">
        <v>407.089</v>
      </c>
      <c r="B19" s="7">
        <v>15.39</v>
      </c>
      <c r="C19" s="7">
        <v>305.54500000000002</v>
      </c>
      <c r="D19" s="7">
        <v>0.27900000000000003</v>
      </c>
      <c r="E19" s="7">
        <v>6.5</v>
      </c>
      <c r="F19" s="7" t="s">
        <v>39</v>
      </c>
      <c r="J19" s="7">
        <v>6614.8280000000004</v>
      </c>
      <c r="K19" s="62">
        <v>81.331590000000006</v>
      </c>
      <c r="L19" s="1">
        <f t="shared" si="0"/>
        <v>15.306330000000001</v>
      </c>
      <c r="M19" s="1">
        <f t="shared" si="1"/>
        <v>0.18819661585369227</v>
      </c>
      <c r="N19" s="1">
        <f t="shared" si="2"/>
        <v>0.33653969486344731</v>
      </c>
    </row>
    <row r="20" spans="1:14">
      <c r="A20" s="7">
        <v>640.36900000000003</v>
      </c>
      <c r="B20" s="7">
        <v>10.832000000000001</v>
      </c>
      <c r="C20" s="7">
        <v>319.89699999999999</v>
      </c>
      <c r="D20" s="7">
        <v>0.30299999999999999</v>
      </c>
      <c r="E20" s="7">
        <v>6.5</v>
      </c>
      <c r="F20" s="7" t="s">
        <v>39</v>
      </c>
      <c r="J20" s="7">
        <v>10405.41</v>
      </c>
      <c r="K20" s="62">
        <v>102.00691</v>
      </c>
      <c r="L20" s="1">
        <f t="shared" si="0"/>
        <v>15.306330000000001</v>
      </c>
      <c r="M20" s="1">
        <f t="shared" si="1"/>
        <v>0.15005189354329035</v>
      </c>
      <c r="N20" s="1">
        <f t="shared" si="2"/>
        <v>0.33811916650188134</v>
      </c>
    </row>
    <row r="21" spans="1:14">
      <c r="A21" s="7">
        <v>1853.31</v>
      </c>
      <c r="B21" s="7">
        <v>48.293999999999997</v>
      </c>
      <c r="C21" s="7">
        <v>348.55799999999999</v>
      </c>
      <c r="D21" s="7">
        <v>0.11</v>
      </c>
      <c r="E21" s="7">
        <v>6.5</v>
      </c>
      <c r="F21" s="7" t="s">
        <v>39</v>
      </c>
      <c r="J21" s="7">
        <v>30114.66</v>
      </c>
      <c r="K21" s="62">
        <v>173.53576000000001</v>
      </c>
      <c r="L21" s="1">
        <f t="shared" si="0"/>
        <v>15.306330000000001</v>
      </c>
      <c r="M21" s="1">
        <f t="shared" si="1"/>
        <v>8.8202742766101933E-2</v>
      </c>
      <c r="N21" s="1">
        <f t="shared" si="2"/>
        <v>0.14099547450703212</v>
      </c>
    </row>
    <row r="22" spans="1:14" s="1" customFormat="1">
      <c r="A22" s="1">
        <v>2186.9699999999998</v>
      </c>
      <c r="B22" s="7">
        <v>44.619</v>
      </c>
      <c r="C22" s="7">
        <v>370.85199999999998</v>
      </c>
      <c r="D22" s="44">
        <v>0.1</v>
      </c>
      <c r="E22" s="44">
        <v>6.5</v>
      </c>
      <c r="F22" s="44" t="s">
        <v>39</v>
      </c>
      <c r="G22" s="44"/>
      <c r="J22" s="1">
        <v>35536.31</v>
      </c>
      <c r="K22" s="1">
        <v>188.51077000000001</v>
      </c>
      <c r="L22" s="1">
        <f t="shared" si="0"/>
        <v>15.306330000000001</v>
      </c>
      <c r="M22" s="1">
        <f t="shared" si="1"/>
        <v>8.1196050496213035E-2</v>
      </c>
      <c r="N22" s="1">
        <f t="shared" si="2"/>
        <v>0.12881303744646183</v>
      </c>
    </row>
    <row r="23" spans="1:14">
      <c r="A23" s="7"/>
      <c r="B23" s="7"/>
      <c r="C23" s="7"/>
      <c r="F23" s="44"/>
      <c r="G23" s="44"/>
    </row>
    <row r="24" spans="1:14">
      <c r="A24" s="7" t="s">
        <v>40</v>
      </c>
      <c r="B24" s="7">
        <v>-194.274</v>
      </c>
      <c r="C24" s="7">
        <v>0.1</v>
      </c>
      <c r="F24" s="44"/>
      <c r="G24" s="44"/>
    </row>
    <row r="25" spans="1:14">
      <c r="A25" s="7" t="s">
        <v>41</v>
      </c>
      <c r="B25" s="7">
        <v>0.45</v>
      </c>
      <c r="C25" s="7">
        <v>0.193</v>
      </c>
    </row>
    <row r="26" spans="1:14">
      <c r="A26" s="7" t="s">
        <v>42</v>
      </c>
      <c r="B26" s="7">
        <v>50</v>
      </c>
      <c r="C26" s="7" t="s">
        <v>39</v>
      </c>
      <c r="F26" s="44"/>
      <c r="G26" s="44"/>
    </row>
    <row r="27" spans="1:14">
      <c r="A27" s="7" t="s">
        <v>43</v>
      </c>
      <c r="B27" s="7">
        <v>1.6259999999999999</v>
      </c>
      <c r="C27" s="7">
        <v>0.309</v>
      </c>
      <c r="F27" s="44"/>
      <c r="G27" s="44"/>
    </row>
    <row r="28" spans="1:14">
      <c r="A28" s="7" t="s">
        <v>44</v>
      </c>
      <c r="B28" s="7">
        <v>52.287999999999997</v>
      </c>
      <c r="C28" s="7">
        <v>2.7040000000000002</v>
      </c>
      <c r="F28" s="44"/>
      <c r="G28" s="44"/>
    </row>
    <row r="29" spans="1:14">
      <c r="A29" s="7" t="s">
        <v>45</v>
      </c>
      <c r="B29" s="7">
        <v>-65.17</v>
      </c>
      <c r="C29" s="7">
        <v>8.7999999999999995E-2</v>
      </c>
      <c r="F29" s="44"/>
      <c r="G29" s="44"/>
    </row>
    <row r="30" spans="1:14">
      <c r="A30" s="7" t="s">
        <v>46</v>
      </c>
      <c r="B30" s="7">
        <v>1.3129999999999999</v>
      </c>
      <c r="C30" s="7">
        <v>7.8E-2</v>
      </c>
    </row>
    <row r="31" spans="1:14">
      <c r="A31" s="7" t="s">
        <v>47</v>
      </c>
      <c r="B31" s="7">
        <v>50</v>
      </c>
      <c r="C31" s="7" t="s">
        <v>39</v>
      </c>
      <c r="F31" s="44"/>
      <c r="G31" s="44"/>
    </row>
    <row r="32" spans="1:14">
      <c r="A32" s="7" t="s">
        <v>48</v>
      </c>
      <c r="B32" s="7">
        <v>7.8719999999999999</v>
      </c>
      <c r="C32" s="7">
        <v>0.29499999999999998</v>
      </c>
      <c r="F32" s="44"/>
      <c r="G32" s="44"/>
    </row>
    <row r="33" spans="1:7">
      <c r="A33" s="7" t="s">
        <v>49</v>
      </c>
      <c r="B33" s="7">
        <v>433.80200000000002</v>
      </c>
      <c r="C33" s="7">
        <v>6.423</v>
      </c>
      <c r="F33" s="44"/>
      <c r="G33" s="44"/>
    </row>
    <row r="34" spans="1:7">
      <c r="A34" s="7" t="s">
        <v>50</v>
      </c>
      <c r="B34" s="7">
        <v>-15.215999999999999</v>
      </c>
      <c r="C34" s="7">
        <v>0.61399999999999999</v>
      </c>
      <c r="F34" s="44"/>
      <c r="G34" s="44"/>
    </row>
    <row r="35" spans="1:7">
      <c r="A35" s="7" t="s">
        <v>51</v>
      </c>
      <c r="B35" s="7">
        <v>187.898</v>
      </c>
      <c r="C35" s="7">
        <v>11.21</v>
      </c>
    </row>
    <row r="36" spans="1:7">
      <c r="A36" s="7" t="s">
        <v>52</v>
      </c>
      <c r="B36" s="7">
        <v>50</v>
      </c>
      <c r="C36" s="7" t="s">
        <v>39</v>
      </c>
      <c r="F36" s="44"/>
      <c r="G36" s="44"/>
    </row>
    <row r="37" spans="1:7">
      <c r="A37" s="7" t="s">
        <v>53</v>
      </c>
      <c r="B37" s="7">
        <v>6.8150000000000004</v>
      </c>
      <c r="C37" s="7">
        <v>0.61899999999999999</v>
      </c>
      <c r="F37" s="44"/>
      <c r="G37" s="44"/>
    </row>
    <row r="38" spans="1:7">
      <c r="A38" s="7" t="s">
        <v>54</v>
      </c>
      <c r="B38" s="7">
        <v>112.042</v>
      </c>
      <c r="C38" s="7">
        <v>3.9729999999999999</v>
      </c>
      <c r="F38" s="44"/>
      <c r="G38" s="44"/>
    </row>
    <row r="39" spans="1:7">
      <c r="A39" s="7" t="s">
        <v>55</v>
      </c>
      <c r="B39" s="7">
        <v>60.567</v>
      </c>
      <c r="C39" s="7">
        <v>0.46400000000000002</v>
      </c>
      <c r="F39" s="44"/>
      <c r="G39" s="44"/>
    </row>
    <row r="40" spans="1:7">
      <c r="A40" s="7" t="s">
        <v>56</v>
      </c>
      <c r="B40" s="7">
        <v>14.446</v>
      </c>
      <c r="C40" s="7">
        <v>0.78800000000000003</v>
      </c>
    </row>
    <row r="41" spans="1:7">
      <c r="A41" s="7" t="s">
        <v>57</v>
      </c>
      <c r="B41" s="7">
        <v>50</v>
      </c>
      <c r="C41" s="7" t="s">
        <v>39</v>
      </c>
      <c r="F41" s="44"/>
      <c r="G41" s="44"/>
    </row>
    <row r="42" spans="1:7">
      <c r="A42" s="7" t="s">
        <v>58</v>
      </c>
      <c r="B42" s="7">
        <v>2.7480000000000002</v>
      </c>
      <c r="C42" s="7">
        <v>0.25800000000000001</v>
      </c>
      <c r="F42" s="44"/>
      <c r="G42" s="44"/>
    </row>
    <row r="43" spans="1:7">
      <c r="A43" s="7" t="s">
        <v>59</v>
      </c>
      <c r="B43" s="7">
        <v>325.99900000000002</v>
      </c>
      <c r="C43" s="7">
        <v>8.9489999999999998</v>
      </c>
      <c r="F43" s="44"/>
      <c r="G43" s="44"/>
    </row>
    <row r="44" spans="1:7">
      <c r="A44" s="7" t="s">
        <v>60</v>
      </c>
      <c r="B44" s="7">
        <v>152.43</v>
      </c>
      <c r="C44" s="7">
        <v>0.375</v>
      </c>
      <c r="F44" s="44"/>
      <c r="G44" s="44"/>
    </row>
    <row r="45" spans="1:7">
      <c r="A45" s="7" t="s">
        <v>61</v>
      </c>
      <c r="B45" s="7">
        <v>19.841000000000001</v>
      </c>
      <c r="C45" s="7">
        <v>1.109</v>
      </c>
    </row>
    <row r="46" spans="1:7">
      <c r="A46" s="7" t="s">
        <v>62</v>
      </c>
      <c r="B46" s="7">
        <v>50</v>
      </c>
      <c r="C46" s="7" t="s">
        <v>39</v>
      </c>
      <c r="F46" s="44"/>
      <c r="G46" s="44"/>
    </row>
    <row r="47" spans="1:7">
      <c r="A47" s="7" t="s">
        <v>63</v>
      </c>
      <c r="B47" s="7">
        <v>25.939</v>
      </c>
      <c r="C47" s="7">
        <v>0.311</v>
      </c>
      <c r="F47" s="44"/>
      <c r="G47" s="44"/>
    </row>
    <row r="48" spans="1:7">
      <c r="A48" s="7" t="s">
        <v>64</v>
      </c>
      <c r="B48" s="7">
        <v>1862.7</v>
      </c>
      <c r="C48" s="7">
        <v>30.678000000000001</v>
      </c>
      <c r="F48" s="44"/>
      <c r="G48" s="44"/>
    </row>
    <row r="49" spans="1:7">
      <c r="A49" s="7" t="s">
        <v>65</v>
      </c>
      <c r="B49" s="7">
        <v>155.74</v>
      </c>
      <c r="C49" s="7">
        <v>0.23599999999999999</v>
      </c>
      <c r="F49" s="44"/>
      <c r="G49" s="44"/>
    </row>
    <row r="50" spans="1:7">
      <c r="A50" s="7" t="s">
        <v>66</v>
      </c>
      <c r="B50" s="7">
        <v>-16.350000000000001</v>
      </c>
      <c r="C50" s="7">
        <v>1.617</v>
      </c>
    </row>
    <row r="51" spans="1:7">
      <c r="A51" s="7" t="s">
        <v>67</v>
      </c>
      <c r="B51" s="7">
        <v>50</v>
      </c>
      <c r="C51" s="7" t="s">
        <v>39</v>
      </c>
      <c r="F51" s="44"/>
      <c r="G51" s="44"/>
    </row>
    <row r="52" spans="1:7">
      <c r="A52" s="7" t="s">
        <v>68</v>
      </c>
      <c r="B52" s="7">
        <v>-11.083</v>
      </c>
      <c r="C52" s="7">
        <v>0.25600000000000001</v>
      </c>
      <c r="F52" s="44"/>
      <c r="G52" s="44"/>
    </row>
    <row r="53" spans="1:7">
      <c r="A53" s="7" t="s">
        <v>69</v>
      </c>
      <c r="B53" s="7">
        <v>1150</v>
      </c>
      <c r="C53" s="7">
        <v>24.140999999999998</v>
      </c>
      <c r="F53" s="44"/>
      <c r="G53" s="44"/>
    </row>
    <row r="54" spans="1:7">
      <c r="A54" s="7" t="s">
        <v>70</v>
      </c>
      <c r="B54" s="7">
        <v>337.13499999999999</v>
      </c>
      <c r="C54" s="7">
        <v>0.13700000000000001</v>
      </c>
      <c r="F54" s="44"/>
      <c r="G54" s="44"/>
    </row>
    <row r="55" spans="1:7">
      <c r="A55" s="7" t="s">
        <v>71</v>
      </c>
      <c r="B55" s="7">
        <v>5.3789999999999996</v>
      </c>
      <c r="C55" s="7">
        <v>0.19400000000000001</v>
      </c>
    </row>
    <row r="56" spans="1:7">
      <c r="A56" s="7" t="s">
        <v>72</v>
      </c>
      <c r="B56" s="7">
        <v>50</v>
      </c>
      <c r="C56" s="7" t="s">
        <v>39</v>
      </c>
      <c r="F56" s="44"/>
      <c r="G56" s="44"/>
    </row>
    <row r="57" spans="1:7">
      <c r="A57" s="7" t="s">
        <v>73</v>
      </c>
      <c r="B57" s="7">
        <v>14.179</v>
      </c>
      <c r="C57" s="7">
        <v>0.29299999999999998</v>
      </c>
      <c r="F57" s="44"/>
      <c r="G57" s="44"/>
    </row>
    <row r="58" spans="1:7" s="1" customFormat="1">
      <c r="A58" s="7" t="s">
        <v>74</v>
      </c>
      <c r="B58" s="7">
        <v>1164.44</v>
      </c>
      <c r="C58" s="7">
        <v>8.8979999999999997</v>
      </c>
      <c r="F58" s="44"/>
      <c r="G58" s="44"/>
    </row>
    <row r="59" spans="1:7" s="1" customFormat="1">
      <c r="A59" s="7"/>
      <c r="B59" s="7"/>
      <c r="C59" s="7"/>
      <c r="F59" s="44"/>
      <c r="G59" s="44"/>
    </row>
    <row r="60" spans="1:7" s="1" customFormat="1">
      <c r="A60" s="7"/>
      <c r="B60" s="7"/>
      <c r="C60" s="7"/>
      <c r="F60" s="44"/>
      <c r="G60" s="44"/>
    </row>
    <row r="61" spans="1:7" s="1" customFormat="1" ht="15">
      <c r="A61"/>
      <c r="B61"/>
      <c r="C61" s="7"/>
      <c r="D61" s="7"/>
      <c r="E61" s="7"/>
      <c r="F61" s="1" t="s">
        <v>80</v>
      </c>
      <c r="G61" s="1" t="s">
        <v>81</v>
      </c>
    </row>
    <row r="62" spans="1:7" s="1" customFormat="1">
      <c r="A62">
        <v>1</v>
      </c>
      <c r="B62" t="s">
        <v>77</v>
      </c>
      <c r="C62" s="7">
        <v>447.471</v>
      </c>
      <c r="D62" s="7">
        <v>358.52600000000001</v>
      </c>
      <c r="E62" s="7"/>
      <c r="F62" s="7" t="s">
        <v>82</v>
      </c>
      <c r="G62" s="7" t="s">
        <v>82</v>
      </c>
    </row>
    <row r="63" spans="1:7" s="1" customFormat="1">
      <c r="A63">
        <v>2</v>
      </c>
      <c r="B63" t="s">
        <v>78</v>
      </c>
      <c r="C63" s="7">
        <v>-232.37799999999999</v>
      </c>
      <c r="D63" s="7">
        <v>0.256212</v>
      </c>
      <c r="E63" s="7"/>
      <c r="F63" s="7"/>
      <c r="G63" s="7"/>
    </row>
    <row r="64" spans="1:7" s="1" customFormat="1">
      <c r="A64">
        <v>3</v>
      </c>
      <c r="B64" t="s">
        <v>79</v>
      </c>
      <c r="C64" s="7">
        <v>0.248139</v>
      </c>
      <c r="D64" s="7">
        <v>0.339223</v>
      </c>
      <c r="E64" s="7"/>
      <c r="F64" s="7">
        <f>C64*6.51</f>
        <v>1.6153848899999999</v>
      </c>
      <c r="G64" s="7">
        <f>F64*2</f>
        <v>3.2307697799999997</v>
      </c>
    </row>
    <row r="65" spans="1:21" s="1" customFormat="1">
      <c r="A65">
        <v>1</v>
      </c>
      <c r="B65" t="s">
        <v>77</v>
      </c>
      <c r="C65" s="7">
        <v>443.39600000000002</v>
      </c>
      <c r="D65" s="7">
        <v>355.16199999999998</v>
      </c>
      <c r="E65" s="7"/>
      <c r="F65" s="7"/>
      <c r="G65" s="7"/>
    </row>
    <row r="66" spans="1:21" s="1" customFormat="1">
      <c r="A66">
        <v>2</v>
      </c>
      <c r="B66" t="s">
        <v>78</v>
      </c>
      <c r="C66" s="7">
        <v>-220.369</v>
      </c>
      <c r="D66" s="7">
        <v>0.25420799999999999</v>
      </c>
      <c r="E66" s="7"/>
      <c r="F66" s="7"/>
      <c r="G66" s="7"/>
    </row>
    <row r="67" spans="1:21" s="1" customFormat="1">
      <c r="A67">
        <v>3</v>
      </c>
      <c r="B67" t="s">
        <v>79</v>
      </c>
      <c r="C67" s="7">
        <v>0.240038</v>
      </c>
      <c r="D67" s="7">
        <v>0.34096199999999999</v>
      </c>
      <c r="E67" s="7"/>
      <c r="F67" s="7">
        <f>C67*6.51</f>
        <v>1.56264738</v>
      </c>
      <c r="G67" s="7">
        <f>F67*2</f>
        <v>3.1252947600000001</v>
      </c>
    </row>
    <row r="68" spans="1:21" s="1" customFormat="1">
      <c r="A68">
        <v>1</v>
      </c>
      <c r="B68" t="s">
        <v>77</v>
      </c>
      <c r="C68" s="7">
        <v>448.762</v>
      </c>
      <c r="D68" s="7">
        <v>331.03800000000001</v>
      </c>
      <c r="E68" s="7"/>
      <c r="F68" s="7"/>
      <c r="G68" s="7"/>
    </row>
    <row r="69" spans="1:21" s="1" customFormat="1">
      <c r="A69">
        <v>2</v>
      </c>
      <c r="B69" t="s">
        <v>78</v>
      </c>
      <c r="C69" s="7">
        <v>-182.82</v>
      </c>
      <c r="D69" s="7">
        <v>0.27060099999999998</v>
      </c>
      <c r="E69" s="7"/>
      <c r="F69" s="7"/>
      <c r="G69" s="7"/>
    </row>
    <row r="70" spans="1:21">
      <c r="A70">
        <v>3</v>
      </c>
      <c r="B70" t="s">
        <v>79</v>
      </c>
      <c r="C70" s="7">
        <v>0.24967</v>
      </c>
      <c r="D70" s="7">
        <v>0.363234</v>
      </c>
      <c r="E70" s="7"/>
      <c r="F70" s="7">
        <f>C70*6.51</f>
        <v>1.6253517</v>
      </c>
      <c r="G70" s="7">
        <f>F70*2</f>
        <v>3.2507033999999999</v>
      </c>
      <c r="M70" s="7"/>
      <c r="N70" s="7"/>
      <c r="O70" s="7"/>
      <c r="P70" s="7"/>
      <c r="Q70" s="7"/>
      <c r="R70" s="7"/>
      <c r="S70" s="7"/>
      <c r="T70" s="7"/>
      <c r="U70" s="7"/>
    </row>
    <row r="71" spans="1:21">
      <c r="A71">
        <v>1</v>
      </c>
      <c r="B71" t="s">
        <v>77</v>
      </c>
      <c r="C71" s="7">
        <v>445.29899999999998</v>
      </c>
      <c r="D71" s="7">
        <v>352.73</v>
      </c>
      <c r="E71" s="7"/>
      <c r="F71" s="7"/>
      <c r="G71" s="7"/>
      <c r="H71" s="1"/>
      <c r="R71" s="7"/>
      <c r="S71" s="7"/>
      <c r="T71" s="7"/>
      <c r="U71" s="7"/>
    </row>
    <row r="72" spans="1:21">
      <c r="A72">
        <v>2</v>
      </c>
      <c r="B72" t="s">
        <v>78</v>
      </c>
      <c r="C72" s="7">
        <v>-162.42599999999999</v>
      </c>
      <c r="D72" s="7">
        <v>0.27532800000000002</v>
      </c>
      <c r="E72" s="7"/>
      <c r="F72" s="7"/>
      <c r="G72" s="7"/>
      <c r="H72" s="7"/>
      <c r="R72" s="7"/>
      <c r="S72" s="7"/>
      <c r="T72" s="7"/>
      <c r="U72" s="7"/>
    </row>
    <row r="73" spans="1:21">
      <c r="A73">
        <v>3</v>
      </c>
      <c r="B73" t="s">
        <v>79</v>
      </c>
      <c r="C73" s="7">
        <v>0.244841</v>
      </c>
      <c r="D73" s="7">
        <v>0.37059599999999998</v>
      </c>
      <c r="E73" s="7"/>
      <c r="F73" s="7">
        <f>C73*6.51</f>
        <v>1.5939149100000001</v>
      </c>
      <c r="G73" s="7">
        <f>F73*2</f>
        <v>3.1878298200000001</v>
      </c>
      <c r="H73" s="7"/>
      <c r="R73" s="7"/>
      <c r="S73" s="7"/>
      <c r="T73" s="7"/>
      <c r="U73" s="7"/>
    </row>
    <row r="74" spans="1:21">
      <c r="A74">
        <v>1</v>
      </c>
      <c r="B74" t="s">
        <v>77</v>
      </c>
      <c r="C74" s="7">
        <v>448.69299999999998</v>
      </c>
      <c r="D74" s="7">
        <v>359.61500000000001</v>
      </c>
      <c r="E74" s="7"/>
      <c r="F74" s="7"/>
      <c r="G74" s="7"/>
      <c r="H74" s="7"/>
      <c r="R74" s="7"/>
      <c r="S74" s="7"/>
      <c r="T74" s="7"/>
      <c r="U74" s="7"/>
    </row>
    <row r="75" spans="1:21">
      <c r="A75">
        <v>2</v>
      </c>
      <c r="B75" t="s">
        <v>78</v>
      </c>
      <c r="C75" s="7">
        <v>-126.78</v>
      </c>
      <c r="D75" s="7">
        <v>0.26342399999999999</v>
      </c>
      <c r="E75" s="7"/>
      <c r="F75" s="7"/>
      <c r="G75" s="7"/>
      <c r="H75" s="7"/>
      <c r="R75" s="7"/>
      <c r="S75" s="7"/>
      <c r="T75" s="7"/>
      <c r="U75" s="7"/>
    </row>
    <row r="76" spans="1:21">
      <c r="A76">
        <v>3</v>
      </c>
      <c r="B76" t="s">
        <v>79</v>
      </c>
      <c r="C76" s="7">
        <v>0.24959400000000001</v>
      </c>
      <c r="D76" s="7">
        <v>0.34907100000000002</v>
      </c>
      <c r="E76" s="7"/>
      <c r="F76" s="7">
        <f>C76*6.51</f>
        <v>1.6248569399999999</v>
      </c>
      <c r="G76" s="7">
        <f>F76*2</f>
        <v>3.2497138799999998</v>
      </c>
      <c r="H76" s="7"/>
      <c r="R76" s="7"/>
      <c r="S76" s="7"/>
      <c r="T76" s="7"/>
      <c r="U76" s="7"/>
    </row>
    <row r="77" spans="1:21">
      <c r="A77" s="1">
        <v>1</v>
      </c>
      <c r="B77" s="1" t="s">
        <v>77</v>
      </c>
      <c r="C77" s="7">
        <v>37.942799999999998</v>
      </c>
      <c r="D77" s="7">
        <v>4.4953599999999998</v>
      </c>
      <c r="E77" s="7"/>
      <c r="F77" s="7"/>
      <c r="G77" s="7"/>
      <c r="H77" s="7"/>
      <c r="R77" s="7"/>
      <c r="S77" s="7"/>
      <c r="T77" s="7"/>
      <c r="U77" s="7"/>
    </row>
    <row r="78" spans="1:21">
      <c r="A78" s="1">
        <v>2</v>
      </c>
      <c r="B78" s="1" t="s">
        <v>78</v>
      </c>
      <c r="C78" s="7">
        <v>-100.09099999999999</v>
      </c>
      <c r="D78" s="7">
        <v>3.6719300000000003E-2</v>
      </c>
      <c r="E78" s="7"/>
      <c r="F78" s="7"/>
      <c r="G78" s="7"/>
      <c r="H78" s="7"/>
      <c r="R78" s="7"/>
      <c r="S78" s="7"/>
      <c r="T78" s="7"/>
      <c r="U78" s="7"/>
    </row>
    <row r="79" spans="1:21">
      <c r="A79" s="1">
        <v>3</v>
      </c>
      <c r="B79" s="1" t="s">
        <v>79</v>
      </c>
      <c r="C79" s="7">
        <v>0.41237099999999999</v>
      </c>
      <c r="D79" s="7">
        <v>3.3264000000000002E-2</v>
      </c>
      <c r="E79" s="7"/>
      <c r="F79" s="7">
        <f>C79*6.51</f>
        <v>2.6845352099999999</v>
      </c>
      <c r="G79" s="7">
        <f>F79*2</f>
        <v>5.3690704199999999</v>
      </c>
      <c r="H79" s="7"/>
      <c r="R79" s="7"/>
      <c r="S79" s="7"/>
      <c r="T79" s="7"/>
      <c r="U79" s="7"/>
    </row>
    <row r="80" spans="1:21">
      <c r="A80">
        <v>1</v>
      </c>
      <c r="B80" t="s">
        <v>77</v>
      </c>
      <c r="C80" s="7">
        <v>1303.04</v>
      </c>
      <c r="D80" s="7">
        <v>609.51</v>
      </c>
      <c r="E80" s="7"/>
      <c r="F80" s="7"/>
      <c r="G80" s="7"/>
      <c r="H80" s="7"/>
      <c r="R80" s="7"/>
      <c r="S80" s="7"/>
      <c r="T80" s="7"/>
      <c r="U80" s="7"/>
    </row>
    <row r="81" spans="1:21">
      <c r="A81">
        <v>2</v>
      </c>
      <c r="B81" t="s">
        <v>78</v>
      </c>
      <c r="C81" s="7">
        <v>-55.6248</v>
      </c>
      <c r="D81" s="7">
        <v>0.16178899999999999</v>
      </c>
      <c r="E81" s="7"/>
      <c r="F81" s="7"/>
      <c r="G81" s="7"/>
      <c r="H81" s="7"/>
      <c r="R81" s="7"/>
      <c r="S81" s="7"/>
      <c r="T81" s="7"/>
      <c r="U81" s="7"/>
    </row>
    <row r="82" spans="1:21">
      <c r="A82">
        <v>3</v>
      </c>
      <c r="B82" t="s">
        <v>79</v>
      </c>
      <c r="C82" s="7">
        <v>0.24595700000000001</v>
      </c>
      <c r="D82" s="7">
        <v>0.22362899999999999</v>
      </c>
      <c r="E82" s="7"/>
      <c r="F82" s="7">
        <f>C82*6.51</f>
        <v>1.6011800700000001</v>
      </c>
      <c r="G82" s="7">
        <f>F82*2</f>
        <v>3.2023601400000001</v>
      </c>
      <c r="H82" s="7"/>
      <c r="R82" s="7"/>
      <c r="S82" s="7"/>
      <c r="T82" s="7"/>
      <c r="U82" s="7"/>
    </row>
    <row r="83" spans="1:21">
      <c r="A83">
        <v>1</v>
      </c>
      <c r="B83" t="s">
        <v>77</v>
      </c>
      <c r="C83" s="7">
        <v>1311.93</v>
      </c>
      <c r="D83" s="7">
        <v>607.35299999999995</v>
      </c>
      <c r="E83" s="7"/>
      <c r="F83" s="7"/>
      <c r="G83" s="7"/>
      <c r="H83" s="7"/>
      <c r="R83" s="7"/>
      <c r="S83" s="7"/>
      <c r="T83" s="7"/>
      <c r="U83" s="7"/>
    </row>
    <row r="84" spans="1:21">
      <c r="A84">
        <v>2</v>
      </c>
      <c r="B84" t="s">
        <v>78</v>
      </c>
      <c r="C84" s="7">
        <v>-36.419600000000003</v>
      </c>
      <c r="D84" s="7">
        <v>0.16167500000000001</v>
      </c>
      <c r="E84" s="7"/>
      <c r="F84" s="7"/>
      <c r="G84" s="7"/>
      <c r="H84" s="7"/>
      <c r="R84" s="7"/>
      <c r="S84" s="7"/>
      <c r="T84" s="7"/>
      <c r="U84" s="7"/>
    </row>
    <row r="85" spans="1:21">
      <c r="A85">
        <v>3</v>
      </c>
      <c r="B85" t="s">
        <v>79</v>
      </c>
      <c r="C85" s="7">
        <v>0.249917</v>
      </c>
      <c r="D85" s="7">
        <v>0.22103900000000001</v>
      </c>
      <c r="E85" s="7"/>
      <c r="F85" s="7">
        <f>C85*6.51</f>
        <v>1.62695967</v>
      </c>
      <c r="G85" s="7">
        <f>F85*2</f>
        <v>3.2539193399999999</v>
      </c>
      <c r="H85" s="7"/>
      <c r="R85" s="7"/>
      <c r="S85" s="7"/>
      <c r="T85" s="7"/>
      <c r="U85" s="7"/>
    </row>
    <row r="86" spans="1:21">
      <c r="A86">
        <v>1</v>
      </c>
      <c r="B86" t="s">
        <v>77</v>
      </c>
      <c r="C86" s="7">
        <v>1296.56</v>
      </c>
      <c r="D86" s="7">
        <v>606.66399999999999</v>
      </c>
      <c r="E86" s="7"/>
      <c r="F86" s="7"/>
      <c r="G86" s="7"/>
      <c r="H86" s="7"/>
      <c r="R86" s="7"/>
      <c r="S86" s="7"/>
      <c r="T86" s="7"/>
      <c r="U86" s="7"/>
    </row>
    <row r="87" spans="1:21">
      <c r="A87">
        <v>2</v>
      </c>
      <c r="B87" t="s">
        <v>78</v>
      </c>
      <c r="C87" s="7">
        <v>10.370100000000001</v>
      </c>
      <c r="D87" s="7">
        <v>0.160248</v>
      </c>
      <c r="E87" s="7"/>
      <c r="F87" s="7"/>
      <c r="G87" s="7"/>
      <c r="H87" s="7"/>
      <c r="R87" s="7"/>
      <c r="S87" s="7"/>
      <c r="T87" s="7"/>
      <c r="U87" s="7"/>
    </row>
    <row r="88" spans="1:21">
      <c r="A88">
        <v>3</v>
      </c>
      <c r="B88" t="s">
        <v>79</v>
      </c>
      <c r="C88" s="7">
        <v>0.24118100000000001</v>
      </c>
      <c r="D88" s="7">
        <v>0.22362599999999999</v>
      </c>
      <c r="E88" s="7"/>
      <c r="F88" s="7">
        <f>C88*6.51</f>
        <v>1.57008831</v>
      </c>
      <c r="G88" s="7">
        <f>F88*2</f>
        <v>3.1401766200000001</v>
      </c>
      <c r="H88" s="7"/>
      <c r="R88" s="7"/>
      <c r="S88" s="7"/>
      <c r="T88" s="7"/>
      <c r="U88" s="7"/>
    </row>
    <row r="89" spans="1:21">
      <c r="A89">
        <v>1</v>
      </c>
      <c r="B89" t="s">
        <v>77</v>
      </c>
      <c r="C89" s="7">
        <v>275.71499999999997</v>
      </c>
      <c r="D89" s="7">
        <v>271.86099999999999</v>
      </c>
      <c r="E89" s="7"/>
      <c r="F89" s="7"/>
      <c r="G89" s="7"/>
      <c r="H89" s="7"/>
      <c r="R89" s="7"/>
      <c r="S89" s="7"/>
      <c r="T89" s="7"/>
      <c r="U89" s="7"/>
    </row>
    <row r="90" spans="1:21">
      <c r="A90">
        <v>2</v>
      </c>
      <c r="B90" t="s">
        <v>78</v>
      </c>
      <c r="C90" s="7">
        <v>79.9786</v>
      </c>
      <c r="D90" s="7">
        <v>0.34991699999999998</v>
      </c>
      <c r="E90" s="7"/>
      <c r="F90" s="7"/>
      <c r="G90" s="7"/>
      <c r="H90" s="7"/>
      <c r="R90" s="7"/>
      <c r="S90" s="7"/>
      <c r="T90" s="7"/>
      <c r="U90" s="7"/>
    </row>
    <row r="91" spans="1:21">
      <c r="A91">
        <v>3</v>
      </c>
      <c r="B91" t="s">
        <v>79</v>
      </c>
      <c r="C91" s="7">
        <v>0.248644</v>
      </c>
      <c r="D91" s="7">
        <v>0.454683</v>
      </c>
      <c r="E91" s="7"/>
      <c r="F91" s="7">
        <f>C91*6.51</f>
        <v>1.6186724399999999</v>
      </c>
      <c r="G91" s="7">
        <f>F91*2</f>
        <v>3.2373448799999998</v>
      </c>
      <c r="H91" s="7"/>
      <c r="R91" s="7"/>
      <c r="S91" s="7"/>
      <c r="T91" s="7"/>
      <c r="U91" s="7"/>
    </row>
    <row r="92" spans="1:21">
      <c r="A92">
        <v>1</v>
      </c>
      <c r="B92" t="s">
        <v>77</v>
      </c>
      <c r="C92" s="7">
        <v>276.20100000000002</v>
      </c>
      <c r="D92" s="7">
        <v>269.80900000000003</v>
      </c>
      <c r="E92" s="7"/>
      <c r="F92" s="7"/>
      <c r="G92" s="7"/>
      <c r="H92" s="7"/>
      <c r="R92" s="7"/>
      <c r="S92" s="7"/>
      <c r="T92" s="7"/>
      <c r="U92" s="7"/>
    </row>
    <row r="93" spans="1:21">
      <c r="A93">
        <v>2</v>
      </c>
      <c r="B93" t="s">
        <v>78</v>
      </c>
      <c r="C93" s="7">
        <v>109.98</v>
      </c>
      <c r="D93" s="7">
        <v>0.348416</v>
      </c>
      <c r="E93" s="7"/>
      <c r="F93" s="7"/>
      <c r="G93" s="7"/>
      <c r="H93" s="7"/>
      <c r="R93" s="7"/>
      <c r="S93" s="7"/>
      <c r="T93" s="7"/>
      <c r="U93" s="7"/>
    </row>
    <row r="94" spans="1:21">
      <c r="A94">
        <v>3</v>
      </c>
      <c r="B94" t="s">
        <v>79</v>
      </c>
      <c r="C94" s="7">
        <v>0.24956200000000001</v>
      </c>
      <c r="D94" s="7">
        <v>0.45347500000000002</v>
      </c>
      <c r="E94" s="7"/>
      <c r="F94" s="7">
        <f>C94*6.51</f>
        <v>1.6246486199999999</v>
      </c>
      <c r="G94" s="7">
        <f>F94*2</f>
        <v>3.2492972399999998</v>
      </c>
      <c r="H94" s="7"/>
      <c r="R94" s="7"/>
      <c r="S94" s="7"/>
      <c r="T94" s="7"/>
      <c r="U94" s="7"/>
    </row>
    <row r="95" spans="1:21">
      <c r="A95" s="1">
        <v>1</v>
      </c>
      <c r="B95" s="1" t="s">
        <v>77</v>
      </c>
      <c r="C95" s="7">
        <v>19.237400000000001</v>
      </c>
      <c r="D95" s="7">
        <v>2.4344700000000001</v>
      </c>
      <c r="E95" s="7"/>
      <c r="F95" s="7"/>
      <c r="G95" s="7"/>
      <c r="H95" s="7"/>
      <c r="R95" s="7"/>
      <c r="S95" s="7"/>
      <c r="T95" s="7"/>
      <c r="U95" s="7"/>
    </row>
    <row r="96" spans="1:21">
      <c r="A96" s="1">
        <v>2</v>
      </c>
      <c r="B96" s="1" t="s">
        <v>78</v>
      </c>
      <c r="C96" s="7">
        <v>145.80000000000001</v>
      </c>
      <c r="D96" s="7">
        <v>6.9627400000000006E-2</v>
      </c>
      <c r="E96" s="7"/>
      <c r="F96" s="7"/>
      <c r="G96" s="7"/>
      <c r="H96" s="7"/>
      <c r="R96" s="7"/>
      <c r="S96" s="7"/>
      <c r="T96" s="7"/>
      <c r="U96" s="7"/>
    </row>
    <row r="97" spans="1:21">
      <c r="A97" s="1">
        <v>3</v>
      </c>
      <c r="B97" s="1" t="s">
        <v>79</v>
      </c>
      <c r="C97" s="7">
        <v>0.72456100000000001</v>
      </c>
      <c r="D97" s="7">
        <v>6.5140400000000001E-2</v>
      </c>
      <c r="E97" s="7"/>
      <c r="F97" s="7">
        <f>C97*6.51</f>
        <v>4.7168921099999999</v>
      </c>
      <c r="G97" s="7">
        <f>F97*2</f>
        <v>9.4337842199999997</v>
      </c>
      <c r="H97" s="7"/>
      <c r="R97" s="7"/>
      <c r="S97" s="7"/>
      <c r="T97" s="7"/>
      <c r="U97" s="7"/>
    </row>
    <row r="98" spans="1:21">
      <c r="A98">
        <v>1</v>
      </c>
      <c r="B98" t="s">
        <v>77</v>
      </c>
      <c r="C98" s="7">
        <v>276.52300000000002</v>
      </c>
      <c r="D98" s="7">
        <v>261.19400000000002</v>
      </c>
      <c r="E98" s="7"/>
      <c r="F98" s="7"/>
      <c r="G98" s="7"/>
      <c r="H98" s="7"/>
      <c r="R98" s="7"/>
      <c r="S98" s="7"/>
      <c r="T98" s="7"/>
      <c r="U98" s="7"/>
    </row>
    <row r="99" spans="1:21">
      <c r="A99">
        <v>2</v>
      </c>
      <c r="B99" t="s">
        <v>78</v>
      </c>
      <c r="C99" s="7">
        <v>172.381</v>
      </c>
      <c r="D99" s="7">
        <v>0.34553200000000001</v>
      </c>
      <c r="E99" s="7"/>
      <c r="F99" s="7"/>
      <c r="G99" s="7"/>
      <c r="H99" s="7"/>
      <c r="R99" s="7"/>
      <c r="S99" s="7"/>
      <c r="T99" s="7"/>
      <c r="U99" s="7"/>
    </row>
    <row r="100" spans="1:21">
      <c r="A100">
        <v>3</v>
      </c>
      <c r="B100" t="s">
        <v>79</v>
      </c>
      <c r="C100" s="7">
        <v>0.25013000000000002</v>
      </c>
      <c r="D100" s="7">
        <v>0.44999899999999998</v>
      </c>
      <c r="E100" s="7"/>
      <c r="F100" s="7">
        <f>C100*6.51</f>
        <v>1.6283463</v>
      </c>
      <c r="G100" s="7">
        <f>F100*2</f>
        <v>3.2566926</v>
      </c>
      <c r="H100" s="7"/>
      <c r="R100" s="7"/>
      <c r="S100" s="7"/>
      <c r="T100" s="7"/>
      <c r="U100" s="7"/>
    </row>
    <row r="101" spans="1:21">
      <c r="A101">
        <v>1</v>
      </c>
      <c r="B101" t="s">
        <v>77</v>
      </c>
      <c r="C101" s="7">
        <v>273.12299999999999</v>
      </c>
      <c r="D101" s="7">
        <v>248.167</v>
      </c>
      <c r="E101" s="7"/>
      <c r="F101" s="7"/>
      <c r="G101" s="7"/>
      <c r="H101" s="7"/>
      <c r="R101" s="7"/>
      <c r="S101" s="7"/>
      <c r="T101" s="7"/>
      <c r="U101" s="7"/>
    </row>
    <row r="102" spans="1:21">
      <c r="A102">
        <v>2</v>
      </c>
      <c r="B102" t="s">
        <v>78</v>
      </c>
      <c r="C102" s="7">
        <v>226.37</v>
      </c>
      <c r="D102" s="7">
        <v>0.338642</v>
      </c>
      <c r="E102" s="7"/>
      <c r="F102" s="7"/>
      <c r="G102" s="7"/>
      <c r="H102" s="7"/>
      <c r="R102" s="7"/>
      <c r="S102" s="7"/>
      <c r="T102" s="7"/>
      <c r="U102" s="7"/>
    </row>
    <row r="103" spans="1:21">
      <c r="A103">
        <v>3</v>
      </c>
      <c r="B103" t="s">
        <v>79</v>
      </c>
      <c r="C103" s="7">
        <v>0.24098</v>
      </c>
      <c r="D103" s="7">
        <v>0.44967299999999999</v>
      </c>
      <c r="E103" s="7"/>
      <c r="F103" s="7">
        <f>C103*6.51</f>
        <v>1.5687797999999999</v>
      </c>
      <c r="G103" s="7">
        <f>F103*2</f>
        <v>3.1375595999999999</v>
      </c>
      <c r="H103" s="7"/>
      <c r="R103" s="7"/>
      <c r="S103" s="7"/>
      <c r="T103" s="7"/>
      <c r="U103" s="7"/>
    </row>
    <row r="104" spans="1:21">
      <c r="A104">
        <v>1</v>
      </c>
      <c r="B104" t="s">
        <v>77</v>
      </c>
      <c r="C104" s="7">
        <v>278.67200000000003</v>
      </c>
      <c r="D104" s="7">
        <v>252.46799999999999</v>
      </c>
      <c r="E104" s="7"/>
      <c r="F104" s="7"/>
      <c r="G104" s="7"/>
      <c r="H104" s="7"/>
      <c r="R104" s="7"/>
      <c r="S104" s="7"/>
      <c r="T104" s="7"/>
      <c r="U104" s="7"/>
    </row>
    <row r="105" spans="1:21">
      <c r="A105">
        <v>2</v>
      </c>
      <c r="B105" t="s">
        <v>78</v>
      </c>
      <c r="C105" s="7">
        <v>279.18599999999998</v>
      </c>
      <c r="D105" s="7">
        <v>0.34049200000000002</v>
      </c>
      <c r="E105" s="7"/>
      <c r="F105" s="7"/>
      <c r="G105" s="7"/>
      <c r="H105" s="7"/>
      <c r="R105" s="7"/>
      <c r="S105" s="7"/>
      <c r="T105" s="7"/>
      <c r="U105" s="7"/>
    </row>
    <row r="106" spans="1:21">
      <c r="A106">
        <v>3</v>
      </c>
      <c r="B106" t="s">
        <v>79</v>
      </c>
      <c r="C106" s="7">
        <v>0.25329600000000002</v>
      </c>
      <c r="D106" s="7">
        <v>0.441666</v>
      </c>
      <c r="E106" s="7"/>
      <c r="F106" s="7">
        <f>C106*6.51</f>
        <v>1.64895696</v>
      </c>
      <c r="G106" s="7">
        <f>F106*2</f>
        <v>3.2979139200000001</v>
      </c>
      <c r="H106" s="7"/>
      <c r="R106" s="7"/>
      <c r="S106" s="7"/>
      <c r="T106" s="7"/>
      <c r="U106" s="7"/>
    </row>
    <row r="107" spans="1:21">
      <c r="A107">
        <v>1</v>
      </c>
      <c r="B107" t="s">
        <v>77</v>
      </c>
      <c r="C107" s="7">
        <v>274.05900000000003</v>
      </c>
      <c r="D107" s="7">
        <v>272.95999999999998</v>
      </c>
      <c r="E107" s="7"/>
      <c r="F107" s="7"/>
      <c r="G107" s="7"/>
      <c r="H107" s="7"/>
      <c r="R107" s="7"/>
      <c r="S107" s="7"/>
      <c r="T107" s="7"/>
      <c r="U107" s="7"/>
    </row>
    <row r="108" spans="1:21">
      <c r="A108">
        <v>2</v>
      </c>
      <c r="B108" t="s">
        <v>78</v>
      </c>
      <c r="C108" s="7">
        <v>300.774</v>
      </c>
      <c r="D108" s="7">
        <v>0.34938900000000001</v>
      </c>
      <c r="E108" s="7"/>
      <c r="F108" s="7"/>
      <c r="G108" s="7"/>
      <c r="H108" s="7"/>
      <c r="R108" s="7"/>
      <c r="S108" s="7"/>
      <c r="T108" s="7"/>
      <c r="U108" s="7"/>
    </row>
    <row r="109" spans="1:21">
      <c r="A109">
        <v>3</v>
      </c>
      <c r="B109" t="s">
        <v>79</v>
      </c>
      <c r="C109" s="7">
        <v>0.24462800000000001</v>
      </c>
      <c r="D109" s="7">
        <v>0.45778799999999997</v>
      </c>
      <c r="E109" s="7"/>
      <c r="F109" s="7">
        <f>C109*6.51</f>
        <v>1.59252828</v>
      </c>
      <c r="G109" s="7">
        <f>F109*2</f>
        <v>3.18505656</v>
      </c>
      <c r="H109" s="7"/>
      <c r="R109" s="7"/>
      <c r="S109" s="7"/>
      <c r="T109" s="7"/>
      <c r="U109" s="7"/>
    </row>
    <row r="110" spans="1:21">
      <c r="A110">
        <v>1</v>
      </c>
      <c r="B110" t="s">
        <v>77</v>
      </c>
      <c r="C110" s="7">
        <v>274.30399999999997</v>
      </c>
      <c r="D110" s="7">
        <v>272.76900000000001</v>
      </c>
      <c r="E110" s="7"/>
      <c r="F110" s="7"/>
      <c r="G110" s="7"/>
      <c r="H110" s="7"/>
      <c r="R110" s="7"/>
      <c r="S110" s="7"/>
      <c r="T110" s="7"/>
      <c r="U110" s="7"/>
    </row>
    <row r="111" spans="1:21">
      <c r="A111">
        <v>2</v>
      </c>
      <c r="B111" t="s">
        <v>78</v>
      </c>
      <c r="C111" s="7">
        <v>316.375</v>
      </c>
      <c r="D111" s="7">
        <v>0.34963100000000003</v>
      </c>
      <c r="E111" s="7"/>
      <c r="F111" s="7"/>
      <c r="G111" s="7"/>
      <c r="H111" s="7"/>
      <c r="R111" s="7"/>
      <c r="S111" s="7"/>
      <c r="T111" s="7"/>
      <c r="U111" s="7"/>
    </row>
    <row r="112" spans="1:21">
      <c r="A112">
        <v>3</v>
      </c>
      <c r="B112" t="s">
        <v>79</v>
      </c>
      <c r="C112" s="7">
        <v>0.24534900000000001</v>
      </c>
      <c r="D112" s="7">
        <v>0.45752599999999999</v>
      </c>
      <c r="E112" s="7"/>
      <c r="F112" s="7">
        <f>C112*6.51</f>
        <v>1.59722199</v>
      </c>
      <c r="G112" s="7">
        <f>F112*2</f>
        <v>3.19444398</v>
      </c>
      <c r="H112" s="7"/>
      <c r="R112" s="7"/>
      <c r="S112" s="7"/>
      <c r="T112" s="7"/>
      <c r="U112" s="7"/>
    </row>
    <row r="113" spans="1:21">
      <c r="A113">
        <v>1</v>
      </c>
      <c r="B113" t="s">
        <v>77</v>
      </c>
      <c r="C113" s="7">
        <v>277.68299999999999</v>
      </c>
      <c r="D113" s="7">
        <v>243.613</v>
      </c>
      <c r="E113" s="7"/>
      <c r="F113" s="7"/>
      <c r="G113" s="7"/>
      <c r="H113" s="7"/>
      <c r="R113" s="7"/>
      <c r="S113" s="7"/>
      <c r="T113" s="7"/>
      <c r="U113" s="7"/>
    </row>
    <row r="114" spans="1:21">
      <c r="A114">
        <v>2</v>
      </c>
      <c r="B114" t="s">
        <v>78</v>
      </c>
      <c r="C114" s="7">
        <v>348.78300000000002</v>
      </c>
      <c r="D114" s="7">
        <v>0.338505</v>
      </c>
      <c r="E114" s="7"/>
      <c r="F114" s="7"/>
      <c r="G114" s="7"/>
      <c r="H114" s="7"/>
      <c r="R114" s="7"/>
      <c r="S114" s="7"/>
      <c r="T114" s="7"/>
      <c r="U114" s="7"/>
    </row>
    <row r="115" spans="1:21">
      <c r="A115">
        <v>3</v>
      </c>
      <c r="B115" t="s">
        <v>79</v>
      </c>
      <c r="C115" s="7">
        <v>0.25195200000000001</v>
      </c>
      <c r="D115" s="7">
        <v>0.44234099999999998</v>
      </c>
      <c r="E115" s="7"/>
      <c r="F115" s="7">
        <f>C115*6.51</f>
        <v>1.6402075199999999</v>
      </c>
      <c r="G115" s="7">
        <f>F115*2</f>
        <v>3.2804150399999998</v>
      </c>
      <c r="H115" s="7"/>
      <c r="R115" s="7"/>
      <c r="S115" s="7"/>
      <c r="T115" s="7"/>
      <c r="U115" s="7"/>
    </row>
    <row r="116" spans="1:21">
      <c r="A116">
        <v>1</v>
      </c>
      <c r="B116" t="s">
        <v>77</v>
      </c>
      <c r="C116" s="7">
        <v>277.87299999999999</v>
      </c>
      <c r="D116" s="7">
        <v>241.899</v>
      </c>
      <c r="E116" s="7"/>
      <c r="F116" s="7"/>
      <c r="G116" s="7"/>
      <c r="H116" s="7"/>
      <c r="R116" s="7"/>
      <c r="S116" s="7"/>
      <c r="T116" s="7"/>
      <c r="U116" s="7"/>
    </row>
    <row r="117" spans="1:21">
      <c r="A117">
        <v>2</v>
      </c>
      <c r="B117" t="s">
        <v>78</v>
      </c>
      <c r="C117" s="7">
        <v>370.38400000000001</v>
      </c>
      <c r="D117" s="7">
        <v>0.33771600000000002</v>
      </c>
      <c r="E117" s="7"/>
      <c r="F117" s="7"/>
      <c r="G117" s="7"/>
      <c r="H117" s="7"/>
      <c r="R117" s="7"/>
      <c r="S117" s="7"/>
      <c r="T117" s="7"/>
      <c r="U117" s="7"/>
    </row>
    <row r="118" spans="1:21">
      <c r="A118">
        <v>3</v>
      </c>
      <c r="B118" t="s">
        <v>79</v>
      </c>
      <c r="C118" s="7">
        <v>0.25222299999999997</v>
      </c>
      <c r="D118" s="7">
        <v>0.44140600000000002</v>
      </c>
      <c r="E118" s="7"/>
      <c r="F118" s="7">
        <f>C118*6.51</f>
        <v>1.6419717299999999</v>
      </c>
      <c r="G118" s="7">
        <f>F118*2</f>
        <v>3.2839434599999997</v>
      </c>
      <c r="H118" s="7"/>
      <c r="R118" s="7"/>
      <c r="S118" s="7"/>
      <c r="T118" s="7"/>
      <c r="U118" s="7"/>
    </row>
    <row r="119" spans="1:21">
      <c r="D119" s="7"/>
      <c r="E119" s="7"/>
      <c r="F119" s="7"/>
      <c r="G119" s="7"/>
      <c r="H119" s="7"/>
      <c r="R119" s="7"/>
      <c r="S119" s="7"/>
      <c r="T119" s="7"/>
      <c r="U119" s="7"/>
    </row>
    <row r="120" spans="1:21">
      <c r="D120" s="7"/>
      <c r="E120" s="7"/>
      <c r="F120" s="7"/>
      <c r="G120" s="7"/>
      <c r="H120" s="7"/>
      <c r="R120" s="7"/>
      <c r="S120" s="7"/>
      <c r="T120" s="7"/>
      <c r="U120" s="7"/>
    </row>
    <row r="121" spans="1:21">
      <c r="D121" s="7"/>
      <c r="E121" s="7"/>
      <c r="F121" s="7"/>
      <c r="G121" s="7"/>
      <c r="H121" s="7"/>
      <c r="R121" s="7"/>
      <c r="S121" s="7"/>
      <c r="T121" s="7"/>
      <c r="U121" s="7"/>
    </row>
    <row r="122" spans="1:21">
      <c r="A122" s="85"/>
      <c r="B122" s="85"/>
      <c r="C122" s="85"/>
      <c r="D122" s="85"/>
      <c r="E122" s="85"/>
      <c r="F122" s="7"/>
      <c r="J122" s="44"/>
      <c r="K122" s="44"/>
      <c r="M122" s="44"/>
      <c r="R122" s="7"/>
      <c r="S122" s="7"/>
      <c r="T122" s="7"/>
      <c r="U122" s="7"/>
    </row>
    <row r="123" spans="1:21">
      <c r="A123" s="85"/>
      <c r="B123" s="85"/>
      <c r="C123" s="85"/>
      <c r="D123" s="85"/>
      <c r="E123" s="85"/>
      <c r="J123" s="44"/>
      <c r="K123" s="44"/>
      <c r="L123" s="1"/>
      <c r="M123" s="44"/>
      <c r="N123" s="1"/>
      <c r="R123" s="7"/>
      <c r="S123" s="7"/>
      <c r="T123" s="7"/>
      <c r="U123" s="7"/>
    </row>
    <row r="124" spans="1:21">
      <c r="A124" s="85"/>
      <c r="B124" s="85"/>
      <c r="C124" s="85"/>
      <c r="D124" s="85"/>
      <c r="E124" s="85"/>
      <c r="J124" s="44"/>
      <c r="K124" s="44"/>
      <c r="L124" s="1"/>
      <c r="M124" s="44"/>
      <c r="N124" s="1"/>
      <c r="R124" s="7"/>
      <c r="S124" s="7"/>
      <c r="T124" s="7"/>
      <c r="U124" s="7"/>
    </row>
    <row r="125" spans="1:21">
      <c r="A125" s="85"/>
      <c r="B125" s="85"/>
      <c r="C125" s="85"/>
      <c r="D125" s="85"/>
      <c r="E125" s="85"/>
      <c r="J125" s="44"/>
      <c r="K125" s="44"/>
      <c r="L125" s="1"/>
      <c r="M125" s="44"/>
      <c r="N125" s="1"/>
      <c r="O125" s="7"/>
      <c r="P125" s="7"/>
      <c r="Q125" s="7"/>
      <c r="R125" s="7"/>
      <c r="S125" s="7"/>
      <c r="T125" s="7"/>
      <c r="U125" s="7"/>
    </row>
    <row r="126" spans="1:21">
      <c r="A126" s="85"/>
      <c r="B126" s="85"/>
      <c r="C126" s="85"/>
      <c r="D126" s="85"/>
      <c r="E126" s="85"/>
      <c r="J126" s="44"/>
      <c r="K126" s="44"/>
      <c r="L126" s="1"/>
      <c r="M126" s="44"/>
      <c r="N126" s="1"/>
      <c r="O126" s="7"/>
      <c r="P126" s="7"/>
      <c r="Q126" s="7"/>
      <c r="R126" s="7"/>
      <c r="S126" s="7"/>
      <c r="T126" s="7"/>
      <c r="U126" s="7"/>
    </row>
    <row r="127" spans="1:21">
      <c r="A127" s="85"/>
      <c r="B127" s="85"/>
      <c r="C127" s="85"/>
      <c r="D127" s="85"/>
      <c r="E127" s="85"/>
      <c r="J127" s="44"/>
      <c r="K127" s="44"/>
      <c r="L127" s="1"/>
      <c r="M127" s="44"/>
      <c r="N127" s="1"/>
      <c r="O127" s="7"/>
      <c r="P127" s="7"/>
      <c r="Q127" s="7"/>
      <c r="R127" s="7"/>
      <c r="S127" s="7"/>
      <c r="T127" s="7"/>
      <c r="U127" s="7"/>
    </row>
    <row r="128" spans="1:21">
      <c r="A128" s="85"/>
      <c r="B128" s="85"/>
      <c r="C128" s="85"/>
      <c r="D128" s="85"/>
      <c r="E128" s="85"/>
      <c r="J128" s="44"/>
      <c r="K128" s="44"/>
      <c r="L128" s="1"/>
      <c r="M128" s="44"/>
      <c r="N128" s="1"/>
      <c r="O128" s="7"/>
      <c r="P128" s="7"/>
      <c r="Q128" s="7"/>
      <c r="R128" s="7"/>
      <c r="S128" s="7"/>
      <c r="T128" s="7"/>
      <c r="U128" s="7"/>
    </row>
    <row r="129" spans="1:21">
      <c r="A129" s="85"/>
      <c r="B129" s="85"/>
      <c r="C129" s="85"/>
      <c r="D129" s="85"/>
      <c r="E129" s="85"/>
      <c r="J129" s="44"/>
      <c r="K129" s="44"/>
      <c r="L129" s="1"/>
      <c r="M129" s="44"/>
      <c r="N129" s="1"/>
      <c r="O129" s="7"/>
      <c r="P129" s="7"/>
      <c r="Q129" s="7"/>
      <c r="R129" s="7"/>
      <c r="S129" s="7"/>
      <c r="T129" s="7"/>
      <c r="U129" s="7"/>
    </row>
    <row r="130" spans="1:21">
      <c r="A130" s="85"/>
      <c r="B130" s="85"/>
      <c r="C130" s="85"/>
      <c r="D130" s="85"/>
      <c r="E130" s="85"/>
      <c r="J130" s="44"/>
      <c r="K130" s="44"/>
      <c r="L130" s="1"/>
      <c r="M130" s="44"/>
      <c r="N130" s="1"/>
      <c r="O130" s="7"/>
      <c r="P130" s="7"/>
      <c r="Q130" s="7"/>
      <c r="R130" s="7"/>
      <c r="S130" s="7"/>
      <c r="T130" s="7"/>
      <c r="U130" s="7"/>
    </row>
    <row r="131" spans="1:21">
      <c r="A131" s="85"/>
      <c r="B131" s="85"/>
      <c r="C131" s="85"/>
      <c r="D131" s="85"/>
      <c r="E131" s="85"/>
      <c r="J131" s="44"/>
      <c r="K131" s="44"/>
      <c r="L131" s="1"/>
      <c r="M131" s="44"/>
      <c r="N131" s="1"/>
      <c r="O131" s="7"/>
      <c r="P131" s="7"/>
      <c r="Q131" s="7"/>
      <c r="R131" s="7"/>
      <c r="S131" s="7"/>
      <c r="T131" s="7"/>
      <c r="U131" s="7"/>
    </row>
    <row r="132" spans="1:21">
      <c r="A132" s="85"/>
      <c r="B132" s="85"/>
      <c r="C132" s="85"/>
      <c r="D132" s="85"/>
      <c r="E132" s="85"/>
      <c r="J132" s="44"/>
      <c r="K132" s="44"/>
      <c r="L132" s="1"/>
      <c r="M132" s="44"/>
      <c r="N132" s="1"/>
      <c r="O132" s="7"/>
      <c r="P132" s="7"/>
      <c r="Q132" s="7"/>
      <c r="R132" s="7"/>
      <c r="S132" s="7"/>
      <c r="T132" s="7"/>
      <c r="U132" s="7"/>
    </row>
    <row r="133" spans="1:21">
      <c r="A133" s="85"/>
      <c r="B133" s="85"/>
      <c r="C133" s="85"/>
      <c r="D133" s="85"/>
      <c r="E133" s="85"/>
      <c r="J133" s="44"/>
      <c r="K133" s="44"/>
      <c r="L133" s="1"/>
      <c r="M133" s="44"/>
      <c r="N133" s="1"/>
      <c r="O133" s="7"/>
      <c r="P133" s="7"/>
      <c r="Q133" s="7"/>
      <c r="R133" s="7"/>
      <c r="S133" s="7"/>
      <c r="T133" s="7"/>
      <c r="U133" s="7"/>
    </row>
    <row r="134" spans="1:21">
      <c r="A134" s="85"/>
      <c r="B134" s="85"/>
      <c r="C134" s="85"/>
      <c r="D134" s="85"/>
      <c r="E134" s="85"/>
      <c r="J134" s="44"/>
      <c r="K134" s="44"/>
      <c r="L134" s="1"/>
      <c r="M134" s="44"/>
      <c r="N134" s="1"/>
      <c r="O134" s="7"/>
      <c r="P134" s="7"/>
      <c r="Q134" s="7"/>
      <c r="R134" s="7"/>
      <c r="S134" s="7"/>
      <c r="T134" s="7"/>
      <c r="U134" s="7"/>
    </row>
    <row r="135" spans="1:21">
      <c r="A135" s="85"/>
      <c r="B135" s="85"/>
      <c r="C135" s="85"/>
      <c r="D135" s="85"/>
      <c r="E135" s="85"/>
      <c r="J135" s="44"/>
      <c r="K135" s="44"/>
      <c r="L135" s="1"/>
      <c r="M135" s="44"/>
      <c r="N135" s="1"/>
      <c r="O135" s="7"/>
      <c r="P135" s="7"/>
      <c r="Q135" s="7"/>
      <c r="R135" s="7"/>
      <c r="S135" s="7"/>
      <c r="T135" s="7"/>
      <c r="U135" s="7"/>
    </row>
    <row r="136" spans="1:21">
      <c r="A136" s="85"/>
      <c r="B136" s="85"/>
      <c r="C136" s="85"/>
      <c r="D136" s="85"/>
      <c r="E136" s="85"/>
      <c r="J136" s="44"/>
      <c r="K136" s="44"/>
      <c r="L136" s="1"/>
      <c r="M136" s="44"/>
      <c r="N136" s="1"/>
      <c r="O136" s="7"/>
      <c r="P136" s="7"/>
      <c r="Q136" s="7"/>
      <c r="R136" s="7"/>
      <c r="S136" s="7"/>
      <c r="T136" s="7"/>
      <c r="U136" s="7"/>
    </row>
    <row r="137" spans="1:21">
      <c r="A137" s="85"/>
      <c r="B137" s="85"/>
      <c r="C137" s="85"/>
      <c r="D137" s="85"/>
      <c r="E137" s="85"/>
      <c r="J137" s="44"/>
      <c r="K137" s="44"/>
      <c r="L137" s="1"/>
      <c r="M137" s="44"/>
      <c r="N137" s="1"/>
      <c r="O137" s="7"/>
      <c r="P137" s="7"/>
      <c r="Q137" s="7"/>
      <c r="R137" s="7"/>
      <c r="S137" s="7"/>
      <c r="T137" s="7"/>
      <c r="U137" s="7"/>
    </row>
    <row r="138" spans="1:21">
      <c r="A138" s="85"/>
      <c r="B138" s="85"/>
      <c r="C138" s="85"/>
      <c r="D138" s="85"/>
      <c r="E138" s="85"/>
      <c r="J138" s="44"/>
      <c r="K138" s="44"/>
      <c r="L138" s="1"/>
      <c r="M138" s="44"/>
      <c r="N138" s="1"/>
      <c r="O138" s="7"/>
      <c r="P138" s="7"/>
      <c r="Q138" s="7"/>
      <c r="R138" s="7"/>
      <c r="S138" s="7"/>
      <c r="T138" s="7"/>
      <c r="U138" s="7"/>
    </row>
    <row r="139" spans="1:21">
      <c r="A139" s="85"/>
      <c r="B139" s="85"/>
      <c r="C139" s="85"/>
      <c r="D139" s="85"/>
      <c r="E139" s="85"/>
      <c r="J139" s="44"/>
      <c r="K139" s="44"/>
      <c r="L139" s="1"/>
      <c r="M139" s="44"/>
      <c r="N139" s="1"/>
      <c r="O139" s="7"/>
      <c r="P139" s="7"/>
      <c r="Q139" s="7"/>
      <c r="R139" s="7"/>
      <c r="S139" s="7"/>
      <c r="T139" s="7"/>
      <c r="U139" s="7"/>
    </row>
    <row r="140" spans="1:21">
      <c r="A140" s="85"/>
      <c r="B140" s="85"/>
      <c r="C140" s="85"/>
      <c r="D140" s="85"/>
      <c r="E140" s="85"/>
      <c r="J140" s="44"/>
      <c r="K140" s="44"/>
      <c r="L140" s="1"/>
      <c r="M140" s="44"/>
      <c r="N140" s="1"/>
      <c r="O140" s="7"/>
      <c r="P140" s="7"/>
      <c r="Q140" s="7"/>
      <c r="R140" s="7"/>
      <c r="S140" s="7"/>
      <c r="T140" s="7"/>
      <c r="U140" s="7"/>
    </row>
    <row r="141" spans="1:21">
      <c r="A141" s="85"/>
      <c r="B141" s="85"/>
      <c r="C141" s="85"/>
      <c r="D141" s="85"/>
      <c r="E141" s="85"/>
      <c r="J141" s="44"/>
      <c r="K141" s="44"/>
      <c r="L141" s="1"/>
      <c r="M141" s="44"/>
      <c r="N141" s="1"/>
      <c r="O141" s="7"/>
      <c r="P141" s="7"/>
      <c r="Q141" s="7"/>
      <c r="R141" s="7"/>
      <c r="S141" s="7"/>
      <c r="T141" s="7"/>
      <c r="U141" s="7"/>
    </row>
    <row r="142" spans="1:21">
      <c r="A142" s="85"/>
      <c r="B142" s="85"/>
      <c r="C142" s="85"/>
      <c r="D142" s="85"/>
      <c r="E142" s="85"/>
      <c r="J142" s="44"/>
      <c r="K142" s="44"/>
      <c r="L142" s="1"/>
      <c r="M142" s="44"/>
      <c r="N142" s="1"/>
      <c r="O142" s="7"/>
      <c r="P142" s="7"/>
      <c r="Q142" s="7"/>
      <c r="R142" s="7"/>
      <c r="S142" s="7"/>
      <c r="T142" s="7"/>
      <c r="U142" s="7"/>
    </row>
    <row r="143" spans="1:21">
      <c r="M143" s="7"/>
      <c r="N143" s="7"/>
      <c r="O143" s="7"/>
      <c r="P143" s="7"/>
      <c r="Q143" s="7"/>
      <c r="R143" s="7"/>
      <c r="S143" s="7"/>
      <c r="T143" s="7"/>
      <c r="U143" s="7"/>
    </row>
    <row r="144" spans="1:21">
      <c r="A144" s="44"/>
      <c r="B144" s="44"/>
      <c r="C144" s="44"/>
      <c r="D144" s="44"/>
      <c r="M144" s="7"/>
      <c r="N144" s="7"/>
      <c r="O144" s="7"/>
      <c r="P144" s="7"/>
      <c r="Q144" s="7"/>
      <c r="R144" s="7"/>
      <c r="S144" s="7"/>
      <c r="T144" s="7"/>
      <c r="U144" s="7"/>
    </row>
    <row r="145" spans="1:21">
      <c r="A145" s="44"/>
      <c r="B145" s="44"/>
      <c r="C145" s="44"/>
      <c r="D145" s="44"/>
      <c r="M145" s="7"/>
      <c r="N145" s="7"/>
      <c r="O145" s="7"/>
      <c r="P145" s="7"/>
      <c r="Q145" s="7"/>
      <c r="R145" s="7"/>
      <c r="S145" s="7"/>
      <c r="T145" s="7"/>
      <c r="U145" s="7"/>
    </row>
    <row r="146" spans="1:21">
      <c r="A146" s="44"/>
      <c r="M146" s="7"/>
      <c r="N146" s="7"/>
      <c r="O146" s="7"/>
      <c r="P146" s="7"/>
      <c r="Q146" s="7"/>
      <c r="R146" s="7"/>
      <c r="S146" s="7"/>
      <c r="T146" s="7"/>
      <c r="U146" s="7"/>
    </row>
    <row r="147" spans="1:21">
      <c r="A147" s="44"/>
      <c r="B147" s="44"/>
      <c r="C147" s="44"/>
      <c r="D147" s="44"/>
      <c r="M147" s="7"/>
      <c r="N147" s="7"/>
      <c r="O147" s="7"/>
      <c r="P147" s="7"/>
      <c r="Q147" s="7"/>
      <c r="R147" s="7"/>
      <c r="S147" s="7"/>
      <c r="T147" s="7"/>
      <c r="U147" s="7"/>
    </row>
    <row r="148" spans="1:21">
      <c r="A148" s="44"/>
      <c r="B148" s="44"/>
      <c r="C148" s="44"/>
      <c r="D148" s="44"/>
      <c r="M148" s="7"/>
      <c r="N148" s="7"/>
      <c r="O148" s="7"/>
      <c r="P148" s="7"/>
      <c r="Q148" s="7"/>
      <c r="R148" s="7"/>
      <c r="S148" s="7"/>
      <c r="T148" s="7"/>
      <c r="U148" s="7"/>
    </row>
    <row r="149" spans="1:21">
      <c r="A149" s="44"/>
      <c r="B149" s="44"/>
      <c r="C149" s="44"/>
      <c r="D149" s="44"/>
      <c r="M149" s="7"/>
      <c r="N149" s="7"/>
      <c r="O149" s="7"/>
      <c r="P149" s="7"/>
      <c r="Q149" s="7"/>
      <c r="R149" s="7"/>
      <c r="S149" s="7"/>
      <c r="T149" s="7"/>
      <c r="U149" s="7"/>
    </row>
    <row r="150" spans="1:21">
      <c r="A150" s="44"/>
      <c r="B150" s="44"/>
      <c r="C150" s="44"/>
      <c r="D150" s="44"/>
      <c r="M150" s="7"/>
      <c r="N150" s="7"/>
      <c r="O150" s="7"/>
      <c r="P150" s="7"/>
      <c r="Q150" s="7"/>
      <c r="R150" s="7"/>
      <c r="S150" s="7"/>
      <c r="T150" s="7"/>
      <c r="U150" s="7"/>
    </row>
    <row r="151" spans="1:21">
      <c r="A151" s="44"/>
      <c r="M151" s="7"/>
      <c r="N151" s="7"/>
      <c r="O151" s="7"/>
      <c r="P151" s="7"/>
      <c r="Q151" s="7"/>
      <c r="R151" s="7"/>
      <c r="S151" s="7"/>
      <c r="T151" s="7"/>
      <c r="U151" s="7"/>
    </row>
    <row r="152" spans="1:21">
      <c r="A152" s="44"/>
      <c r="B152" s="44"/>
      <c r="C152" s="44"/>
      <c r="D152" s="44"/>
      <c r="M152" s="7"/>
      <c r="N152" s="7"/>
      <c r="O152" s="7"/>
      <c r="P152" s="7"/>
      <c r="Q152" s="7"/>
      <c r="R152" s="7"/>
      <c r="S152" s="7"/>
      <c r="T152" s="7"/>
      <c r="U152" s="7"/>
    </row>
    <row r="153" spans="1:21">
      <c r="A153" s="44"/>
      <c r="B153" s="44"/>
      <c r="C153" s="44"/>
      <c r="D153" s="44"/>
      <c r="M153" s="7"/>
      <c r="N153" s="7"/>
      <c r="O153" s="7"/>
      <c r="P153" s="7"/>
      <c r="Q153" s="7"/>
      <c r="R153" s="7"/>
      <c r="S153" s="7"/>
      <c r="T153" s="7"/>
      <c r="U153" s="7"/>
    </row>
    <row r="154" spans="1:21">
      <c r="A154" s="44"/>
      <c r="B154" s="44"/>
      <c r="C154" s="44"/>
      <c r="D154" s="44"/>
      <c r="M154" s="7"/>
      <c r="N154" s="7"/>
      <c r="O154" s="7"/>
      <c r="P154" s="7"/>
      <c r="Q154" s="7"/>
      <c r="R154" s="7"/>
      <c r="S154" s="7"/>
      <c r="T154" s="7"/>
      <c r="U154" s="7"/>
    </row>
    <row r="155" spans="1:21">
      <c r="A155" s="44"/>
      <c r="B155" s="44"/>
      <c r="C155" s="44"/>
      <c r="D155" s="44"/>
      <c r="M155" s="7"/>
      <c r="N155" s="7"/>
      <c r="O155" s="7"/>
      <c r="P155" s="7"/>
      <c r="Q155" s="7"/>
      <c r="R155" s="7"/>
      <c r="S155" s="7"/>
      <c r="T155" s="7"/>
      <c r="U155" s="7"/>
    </row>
    <row r="156" spans="1:21">
      <c r="A156" s="44"/>
      <c r="M156" s="7"/>
      <c r="N156" s="7"/>
      <c r="O156" s="7"/>
      <c r="P156" s="7"/>
      <c r="Q156" s="7"/>
      <c r="R156" s="7"/>
      <c r="S156" s="7"/>
      <c r="T156" s="7"/>
      <c r="U156" s="7"/>
    </row>
    <row r="157" spans="1:21">
      <c r="A157" s="44"/>
      <c r="B157" s="44"/>
      <c r="C157" s="44"/>
      <c r="D157" s="44"/>
      <c r="M157" s="7"/>
      <c r="N157" s="7"/>
      <c r="O157" s="7"/>
      <c r="P157" s="7"/>
      <c r="Q157" s="7"/>
      <c r="R157" s="7"/>
      <c r="S157" s="7"/>
      <c r="T157" s="7"/>
      <c r="U157" s="7"/>
    </row>
    <row r="158" spans="1:21">
      <c r="A158" s="44"/>
      <c r="B158" s="44"/>
      <c r="C158" s="44"/>
      <c r="D158" s="44"/>
      <c r="M158" s="7"/>
      <c r="N158" s="7"/>
      <c r="O158" s="7"/>
      <c r="P158" s="7"/>
      <c r="Q158" s="7"/>
      <c r="R158" s="7"/>
      <c r="S158" s="7"/>
      <c r="T158" s="7"/>
      <c r="U158" s="7"/>
    </row>
    <row r="159" spans="1:21">
      <c r="A159" s="44"/>
      <c r="B159" s="44"/>
      <c r="C159" s="44"/>
      <c r="D159" s="44"/>
      <c r="M159" s="7"/>
      <c r="N159" s="7"/>
      <c r="O159" s="7"/>
      <c r="P159" s="7"/>
      <c r="Q159" s="7"/>
      <c r="R159" s="7"/>
      <c r="S159" s="7"/>
      <c r="T159" s="7"/>
      <c r="U159" s="7"/>
    </row>
    <row r="160" spans="1:21">
      <c r="A160" s="44"/>
      <c r="B160" s="44"/>
      <c r="C160" s="44"/>
      <c r="D160" s="44"/>
      <c r="M160" s="7"/>
      <c r="N160" s="7"/>
      <c r="O160" s="7"/>
      <c r="P160" s="7"/>
      <c r="Q160" s="7"/>
      <c r="R160" s="7"/>
      <c r="S160" s="7"/>
      <c r="T160" s="7"/>
      <c r="U160" s="7"/>
    </row>
    <row r="161" spans="1:21">
      <c r="A161" s="44"/>
      <c r="M161" s="7"/>
      <c r="N161" s="7"/>
      <c r="O161" s="7"/>
      <c r="P161" s="7"/>
      <c r="Q161" s="7"/>
      <c r="R161" s="7"/>
      <c r="S161" s="7"/>
      <c r="T161" s="7"/>
      <c r="U161" s="7"/>
    </row>
    <row r="162" spans="1:21">
      <c r="A162" s="44"/>
      <c r="B162" s="44"/>
      <c r="C162" s="44"/>
      <c r="D162" s="44"/>
      <c r="M162" s="7"/>
      <c r="N162" s="7"/>
      <c r="O162" s="7"/>
      <c r="P162" s="7"/>
      <c r="Q162" s="7"/>
      <c r="R162" s="7"/>
      <c r="S162" s="7"/>
      <c r="T162" s="7"/>
      <c r="U162" s="7"/>
    </row>
    <row r="163" spans="1:21">
      <c r="A163" s="44"/>
      <c r="B163" s="44"/>
      <c r="C163" s="44"/>
      <c r="D163" s="44"/>
      <c r="M163" s="7"/>
      <c r="N163" s="7"/>
      <c r="O163" s="7"/>
      <c r="P163" s="7"/>
      <c r="Q163" s="7"/>
      <c r="R163" s="7"/>
      <c r="S163" s="7"/>
      <c r="T163" s="7"/>
      <c r="U163" s="7"/>
    </row>
    <row r="164" spans="1:21">
      <c r="A164" s="44"/>
      <c r="B164" s="44"/>
      <c r="C164" s="44"/>
      <c r="D164" s="44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s="44"/>
      <c r="B165" s="44"/>
      <c r="C165" s="44"/>
      <c r="D165" s="44"/>
      <c r="M165" s="7"/>
      <c r="N165" s="7"/>
      <c r="O165" s="7"/>
      <c r="P165" s="7"/>
      <c r="Q165" s="7"/>
      <c r="R165" s="7"/>
      <c r="S165" s="7"/>
      <c r="T165" s="7"/>
      <c r="U165" s="7"/>
    </row>
    <row r="166" spans="1:21">
      <c r="A166" s="44"/>
      <c r="M166" s="7"/>
      <c r="N166" s="7"/>
      <c r="O166" s="7"/>
      <c r="P166" s="7"/>
      <c r="Q166" s="7"/>
      <c r="R166" s="7"/>
      <c r="S166" s="7"/>
      <c r="T166" s="7"/>
      <c r="U166" s="7"/>
    </row>
    <row r="167" spans="1:21">
      <c r="A167" s="44"/>
      <c r="B167" s="44"/>
      <c r="C167" s="44"/>
      <c r="D167" s="44"/>
      <c r="M167" s="7"/>
      <c r="N167" s="7"/>
      <c r="O167" s="7"/>
      <c r="P167" s="7"/>
      <c r="Q167" s="7"/>
      <c r="R167" s="7"/>
      <c r="S167" s="7"/>
      <c r="T167" s="7"/>
      <c r="U167" s="7"/>
    </row>
    <row r="168" spans="1:21">
      <c r="A168" s="44"/>
      <c r="B168" s="44"/>
      <c r="C168" s="44"/>
      <c r="D168" s="44"/>
      <c r="M168" s="7"/>
      <c r="N168" s="7"/>
      <c r="O168" s="7"/>
      <c r="P168" s="7"/>
      <c r="Q168" s="7"/>
      <c r="R168" s="7"/>
      <c r="S168" s="7"/>
      <c r="T168" s="7"/>
      <c r="U168" s="7"/>
    </row>
    <row r="169" spans="1:21">
      <c r="A169" s="44"/>
      <c r="B169" s="44"/>
      <c r="C169" s="44"/>
      <c r="D169" s="44"/>
      <c r="M169" s="7"/>
      <c r="N169" s="7"/>
      <c r="O169" s="7"/>
      <c r="P169" s="7"/>
      <c r="Q169" s="7"/>
      <c r="R169" s="7"/>
      <c r="S169" s="7"/>
      <c r="T169" s="7"/>
      <c r="U169" s="7"/>
    </row>
    <row r="170" spans="1:21">
      <c r="A170" s="44"/>
      <c r="B170" s="44"/>
      <c r="C170" s="44"/>
      <c r="D170" s="44"/>
      <c r="M170" s="7"/>
      <c r="N170" s="7"/>
      <c r="O170" s="7"/>
      <c r="P170" s="7"/>
      <c r="Q170" s="7"/>
      <c r="R170" s="7"/>
      <c r="S170" s="7"/>
      <c r="T170" s="7"/>
      <c r="U170" s="7"/>
    </row>
    <row r="171" spans="1:21">
      <c r="A171" s="44"/>
    </row>
    <row r="172" spans="1:21">
      <c r="A172" s="44"/>
      <c r="B172" s="44"/>
      <c r="C172" s="44"/>
      <c r="D172" s="44"/>
    </row>
    <row r="173" spans="1:21">
      <c r="A173" s="44"/>
      <c r="B173" s="44"/>
      <c r="C173" s="44"/>
      <c r="D173" s="44"/>
    </row>
    <row r="174" spans="1:21">
      <c r="A174" s="44"/>
      <c r="B174" s="44"/>
      <c r="C174" s="44"/>
      <c r="D174" s="44"/>
    </row>
    <row r="175" spans="1:21">
      <c r="A175" s="44"/>
      <c r="B175" s="44"/>
      <c r="C175" s="44"/>
      <c r="D175" s="44"/>
    </row>
    <row r="176" spans="1:21">
      <c r="A176" s="44"/>
    </row>
    <row r="177" spans="1:4">
      <c r="A177" s="44"/>
      <c r="B177" s="44"/>
      <c r="C177" s="44"/>
      <c r="D177" s="44"/>
    </row>
    <row r="178" spans="1:4">
      <c r="A178" s="44"/>
      <c r="B178" s="44"/>
      <c r="C178" s="44"/>
      <c r="D178" s="44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93"/>
  <sheetViews>
    <sheetView tabSelected="1" topLeftCell="A10" workbookViewId="0">
      <selection activeCell="E27" sqref="E27"/>
    </sheetView>
  </sheetViews>
  <sheetFormatPr defaultRowHeight="13.5"/>
  <cols>
    <col min="1" max="1" width="9" style="1"/>
    <col min="2" max="2" width="13.625" style="1" customWidth="1"/>
    <col min="3" max="3" width="10.125" style="1" customWidth="1"/>
    <col min="4" max="4" width="17.125" style="1" customWidth="1"/>
    <col min="5" max="5" width="16.25" style="1" customWidth="1"/>
    <col min="6" max="6" width="18.375" style="1" customWidth="1"/>
    <col min="7" max="8" width="17" style="1" customWidth="1"/>
    <col min="9" max="9" width="13.75" style="1" customWidth="1"/>
    <col min="10" max="10" width="14.75" style="1" customWidth="1"/>
    <col min="11" max="12" width="13.75" style="1" customWidth="1"/>
    <col min="13" max="13" width="17.875" style="1" customWidth="1"/>
    <col min="14" max="14" width="21.875" style="1" customWidth="1"/>
    <col min="15" max="15" width="18" style="1" customWidth="1"/>
    <col min="16" max="16" width="20.75" style="1" customWidth="1"/>
    <col min="17" max="17" width="9.5" style="1" bestFit="1" customWidth="1"/>
    <col min="18" max="18" width="9.125" style="1"/>
    <col min="19" max="19" width="17.25" style="1" customWidth="1"/>
    <col min="20" max="21" width="14.625" style="1" customWidth="1"/>
    <col min="22" max="22" width="9.125" style="1"/>
    <col min="23" max="23" width="9.125" style="1" customWidth="1"/>
    <col min="24" max="24" width="9.125" style="1"/>
    <col min="25" max="25" width="13.25" style="1" customWidth="1"/>
    <col min="26" max="26" width="14" style="1" customWidth="1"/>
    <col min="27" max="27" width="9.125" style="1"/>
    <col min="28" max="28" width="15.875" style="1" customWidth="1"/>
    <col min="29" max="30" width="14.25" style="1" customWidth="1"/>
    <col min="31" max="34" width="9.125" style="1"/>
    <col min="35" max="35" width="10.625" style="1" bestFit="1" customWidth="1"/>
    <col min="36" max="36" width="9.125" style="1"/>
    <col min="37" max="16384" width="9" style="1"/>
  </cols>
  <sheetData>
    <row r="4" spans="1:17">
      <c r="A4" s="108" t="s">
        <v>126</v>
      </c>
      <c r="B4" s="109"/>
      <c r="C4" s="110"/>
      <c r="D4" s="108" t="s">
        <v>125</v>
      </c>
      <c r="E4" s="109"/>
      <c r="F4" s="121"/>
      <c r="G4" s="121"/>
      <c r="H4" s="79"/>
      <c r="I4" s="108" t="s">
        <v>121</v>
      </c>
      <c r="J4" s="109"/>
      <c r="K4" s="109"/>
      <c r="L4" s="110"/>
      <c r="M4" s="108" t="s">
        <v>138</v>
      </c>
      <c r="N4" s="109"/>
      <c r="O4" s="109"/>
      <c r="P4" s="110"/>
      <c r="Q4" s="5"/>
    </row>
    <row r="5" spans="1:17" ht="14.25">
      <c r="A5" s="8" t="s">
        <v>124</v>
      </c>
      <c r="B5" s="9">
        <v>1.602176565E-19</v>
      </c>
      <c r="C5" s="10" t="s">
        <v>123</v>
      </c>
      <c r="D5" s="11"/>
      <c r="E5" s="3" t="s">
        <v>122</v>
      </c>
      <c r="F5" s="3" t="s">
        <v>133</v>
      </c>
      <c r="G5" s="12" t="s">
        <v>134</v>
      </c>
      <c r="H5" s="11" t="s">
        <v>135</v>
      </c>
      <c r="I5" s="4" t="s">
        <v>5</v>
      </c>
      <c r="J5" s="32">
        <v>309</v>
      </c>
      <c r="K5" s="3" t="s">
        <v>106</v>
      </c>
      <c r="L5" s="3"/>
      <c r="M5" s="6" t="s">
        <v>147</v>
      </c>
      <c r="N5" s="35"/>
      <c r="O5" s="26" t="s">
        <v>144</v>
      </c>
      <c r="P5" s="38"/>
      <c r="Q5" s="5"/>
    </row>
    <row r="6" spans="1:17" ht="15.75">
      <c r="A6" s="4" t="s">
        <v>7</v>
      </c>
      <c r="B6" s="5">
        <v>3</v>
      </c>
      <c r="C6" s="5" t="s">
        <v>8</v>
      </c>
      <c r="D6" s="11" t="s">
        <v>121</v>
      </c>
      <c r="E6" s="3" t="s">
        <v>9</v>
      </c>
      <c r="F6" s="2">
        <v>14086.878930000001</v>
      </c>
      <c r="G6" s="30">
        <f>F6/1000+6*B10</f>
        <v>5603.0512449300004</v>
      </c>
      <c r="H6" s="81">
        <v>1.44E-6</v>
      </c>
      <c r="I6" s="122" t="s">
        <v>120</v>
      </c>
      <c r="J6" s="123"/>
      <c r="K6" s="123"/>
      <c r="L6" s="124"/>
      <c r="M6" s="36" t="s">
        <v>6</v>
      </c>
      <c r="N6" s="37" t="s">
        <v>145</v>
      </c>
      <c r="O6" s="36" t="s">
        <v>6</v>
      </c>
      <c r="P6" s="37" t="s">
        <v>145</v>
      </c>
      <c r="Q6" s="5"/>
    </row>
    <row r="7" spans="1:17" ht="15.75">
      <c r="A7" s="8" t="s">
        <v>119</v>
      </c>
      <c r="B7" s="9">
        <v>299792458</v>
      </c>
      <c r="C7" s="10" t="s">
        <v>118</v>
      </c>
      <c r="D7" s="11" t="s">
        <v>117</v>
      </c>
      <c r="E7" s="3" t="s">
        <v>140</v>
      </c>
      <c r="F7" s="2">
        <v>-8024.7139999999999</v>
      </c>
      <c r="G7" s="30">
        <f>F7/1000+22*B10</f>
        <v>20484.844627999999</v>
      </c>
      <c r="H7" s="81">
        <v>1.8E-5</v>
      </c>
      <c r="I7" s="4" t="s">
        <v>137</v>
      </c>
      <c r="J7" s="95">
        <f>3.009*0.5/1000</f>
        <v>1.5045E-3</v>
      </c>
      <c r="K7" s="3" t="s">
        <v>136</v>
      </c>
      <c r="L7" s="6">
        <f>1.342*2/1000</f>
        <v>2.6840000000000002E-3</v>
      </c>
      <c r="M7" s="78">
        <v>312</v>
      </c>
      <c r="N7" s="78">
        <v>2.9860000000000002</v>
      </c>
      <c r="O7" s="29">
        <v>312</v>
      </c>
      <c r="P7" s="91">
        <v>1.3320000000000001</v>
      </c>
      <c r="Q7" s="5"/>
    </row>
    <row r="8" spans="1:17" ht="15.75">
      <c r="A8" s="8" t="s">
        <v>116</v>
      </c>
      <c r="B8" s="9">
        <v>6241509740000</v>
      </c>
      <c r="C8" s="10" t="s">
        <v>106</v>
      </c>
      <c r="D8" s="11" t="s">
        <v>115</v>
      </c>
      <c r="E8" s="3" t="s">
        <v>131</v>
      </c>
      <c r="F8" s="2">
        <v>14086.878930000001</v>
      </c>
      <c r="G8" s="30">
        <f>F8/1000+6*B10</f>
        <v>5603.0512449300004</v>
      </c>
      <c r="H8" s="81">
        <v>1.44E-6</v>
      </c>
      <c r="I8" s="122" t="s">
        <v>114</v>
      </c>
      <c r="J8" s="123"/>
      <c r="K8" s="123"/>
      <c r="L8" s="124"/>
      <c r="M8" s="78">
        <v>311</v>
      </c>
      <c r="N8" s="78">
        <v>2.9940000000000002</v>
      </c>
      <c r="O8" s="29">
        <v>311</v>
      </c>
      <c r="P8" s="91">
        <v>1.335</v>
      </c>
      <c r="Q8" s="5"/>
    </row>
    <row r="9" spans="1:17" ht="15.75">
      <c r="A9" s="8" t="s">
        <v>113</v>
      </c>
      <c r="B9" s="9">
        <f>B8*B7^2</f>
        <v>5.6095892019612877E+29</v>
      </c>
      <c r="C9" s="10" t="s">
        <v>111</v>
      </c>
      <c r="D9" s="13" t="s">
        <v>112</v>
      </c>
      <c r="E9" s="14" t="s">
        <v>140</v>
      </c>
      <c r="F9" s="2">
        <v>-8024.7139999999999</v>
      </c>
      <c r="G9" s="31">
        <f>F9/1000+26*B10</f>
        <v>24210.820872</v>
      </c>
      <c r="H9" s="81">
        <v>1.8E-5</v>
      </c>
      <c r="I9" s="4" t="s">
        <v>9</v>
      </c>
      <c r="J9" s="9">
        <f>G6+J5-J7</f>
        <v>5912.0497404300004</v>
      </c>
      <c r="K9" s="3" t="s">
        <v>106</v>
      </c>
      <c r="L9" s="3"/>
      <c r="M9" s="78">
        <v>310</v>
      </c>
      <c r="N9" s="78">
        <v>3.0009999999999999</v>
      </c>
      <c r="O9" s="29">
        <v>310</v>
      </c>
      <c r="P9" s="91">
        <v>1.3380000000000001</v>
      </c>
      <c r="Q9" s="5"/>
    </row>
    <row r="10" spans="1:17">
      <c r="A10" s="8" t="s">
        <v>10</v>
      </c>
      <c r="B10" s="15">
        <v>931.49406099999999</v>
      </c>
      <c r="C10" s="10" t="s">
        <v>111</v>
      </c>
      <c r="D10" s="111" t="s">
        <v>110</v>
      </c>
      <c r="E10" s="112"/>
      <c r="F10" s="113" t="s">
        <v>109</v>
      </c>
      <c r="G10" s="114"/>
      <c r="H10" s="26"/>
      <c r="I10" s="122" t="s">
        <v>108</v>
      </c>
      <c r="J10" s="123"/>
      <c r="K10" s="123"/>
      <c r="L10" s="124"/>
      <c r="M10" s="78">
        <v>309</v>
      </c>
      <c r="N10" s="78">
        <v>3.0089999999999999</v>
      </c>
      <c r="O10" s="29">
        <v>309</v>
      </c>
      <c r="P10" s="91">
        <v>1.3420000000000001</v>
      </c>
      <c r="Q10" s="5"/>
    </row>
    <row r="11" spans="1:17">
      <c r="A11" s="8" t="s">
        <v>11</v>
      </c>
      <c r="B11" s="16">
        <v>0</v>
      </c>
      <c r="C11" s="10" t="s">
        <v>107</v>
      </c>
      <c r="D11" s="13" t="s">
        <v>132</v>
      </c>
      <c r="E11" s="17">
        <f>4*E12</f>
        <v>2E+18</v>
      </c>
      <c r="F11" s="13"/>
      <c r="G11" s="17" t="s">
        <v>106</v>
      </c>
      <c r="H11" s="3"/>
      <c r="I11" s="4" t="s">
        <v>9</v>
      </c>
      <c r="J11" s="3">
        <f>SQRT(J9^2-G6^2)</f>
        <v>1886.3056168094301</v>
      </c>
      <c r="K11" s="3" t="s">
        <v>105</v>
      </c>
      <c r="L11" s="3"/>
      <c r="M11" s="78">
        <v>308</v>
      </c>
      <c r="N11" s="78">
        <v>3.016</v>
      </c>
      <c r="O11" s="29">
        <v>308</v>
      </c>
      <c r="P11" s="91">
        <v>1.345</v>
      </c>
      <c r="Q11" s="5"/>
    </row>
    <row r="12" spans="1:17">
      <c r="A12" s="58" t="s">
        <v>104</v>
      </c>
      <c r="B12" s="59">
        <f>COS(B11*3.14/180)</f>
        <v>1</v>
      </c>
      <c r="C12" s="60"/>
      <c r="D12" s="5" t="s">
        <v>15</v>
      </c>
      <c r="E12" s="5">
        <f>1000000000000000000/2</f>
        <v>5E+17</v>
      </c>
      <c r="F12" s="5"/>
      <c r="G12" s="5"/>
      <c r="H12" s="5"/>
      <c r="I12" s="115" t="s">
        <v>103</v>
      </c>
      <c r="J12" s="116"/>
      <c r="K12" s="117"/>
      <c r="L12" s="88"/>
      <c r="M12" s="78">
        <v>307</v>
      </c>
      <c r="N12" s="78">
        <v>3.024</v>
      </c>
      <c r="O12" s="29">
        <v>307</v>
      </c>
      <c r="P12" s="91">
        <v>1.349</v>
      </c>
      <c r="Q12" s="5"/>
    </row>
    <row r="13" spans="1:17">
      <c r="A13" s="61"/>
      <c r="B13" s="61"/>
      <c r="C13" s="61"/>
      <c r="D13" s="61"/>
      <c r="E13" s="57"/>
      <c r="F13" s="57"/>
      <c r="G13" s="41"/>
      <c r="H13" s="80"/>
      <c r="I13" s="18" t="s">
        <v>102</v>
      </c>
      <c r="J13" s="14"/>
      <c r="K13" s="17"/>
      <c r="L13" s="89"/>
      <c r="M13" s="78">
        <v>306</v>
      </c>
      <c r="N13" s="78">
        <v>3.0310000000000001</v>
      </c>
      <c r="O13" s="29">
        <v>306</v>
      </c>
      <c r="P13" s="91">
        <v>1.3520000000000001</v>
      </c>
      <c r="Q13" s="5"/>
    </row>
    <row r="14" spans="1:17" ht="14.25">
      <c r="A14" s="42" t="s">
        <v>22</v>
      </c>
      <c r="B14" s="56">
        <v>-1.24633E-9</v>
      </c>
      <c r="C14" s="43" t="s">
        <v>101</v>
      </c>
      <c r="D14" s="44">
        <v>1.09515E-5</v>
      </c>
      <c r="E14" s="14"/>
      <c r="F14" s="45"/>
      <c r="G14" s="45"/>
      <c r="H14" s="45"/>
      <c r="I14" s="87" t="s">
        <v>130</v>
      </c>
      <c r="K14" s="47"/>
      <c r="L14" s="89"/>
      <c r="M14" s="78">
        <v>305</v>
      </c>
      <c r="N14" s="78">
        <v>3.0390000000000001</v>
      </c>
      <c r="O14" s="29">
        <v>305</v>
      </c>
      <c r="P14" s="91">
        <v>1.355</v>
      </c>
      <c r="Q14" s="5"/>
    </row>
    <row r="15" spans="1:17" ht="14.25">
      <c r="A15" s="45" t="s">
        <v>23</v>
      </c>
      <c r="B15" s="56">
        <v>-0.95154799999999995</v>
      </c>
      <c r="C15" s="46" t="s">
        <v>24</v>
      </c>
      <c r="D15" s="44">
        <v>3.9011399999999997E-5</v>
      </c>
      <c r="E15" s="45"/>
      <c r="F15" s="45"/>
      <c r="G15" s="45"/>
      <c r="H15" s="45"/>
      <c r="I15" s="45"/>
      <c r="J15" s="45"/>
      <c r="K15" s="47"/>
      <c r="L15" s="89"/>
      <c r="M15" s="78">
        <v>304</v>
      </c>
      <c r="N15" s="78">
        <v>3.0459999999999998</v>
      </c>
      <c r="O15" s="29">
        <v>304</v>
      </c>
      <c r="P15" s="91">
        <v>1.359</v>
      </c>
      <c r="Q15" s="5"/>
    </row>
    <row r="16" spans="1:17" ht="14.25">
      <c r="A16" s="45" t="s">
        <v>25</v>
      </c>
      <c r="B16" s="56">
        <v>206041</v>
      </c>
      <c r="C16" s="46" t="s">
        <v>26</v>
      </c>
      <c r="D16" s="44">
        <v>1.94672E-2</v>
      </c>
      <c r="E16" s="5"/>
      <c r="F16" s="5"/>
      <c r="G16" s="5"/>
      <c r="H16" s="5"/>
      <c r="I16" s="5"/>
      <c r="J16" s="5"/>
      <c r="K16" s="5"/>
      <c r="L16" s="5"/>
      <c r="M16" s="78">
        <v>303</v>
      </c>
      <c r="N16" s="78">
        <v>3.0529999999999999</v>
      </c>
      <c r="O16" s="29">
        <v>303</v>
      </c>
      <c r="P16" s="91">
        <v>1.3620000000000001</v>
      </c>
      <c r="Q16" s="5"/>
    </row>
    <row r="17" spans="1:17">
      <c r="A17" s="5" t="s">
        <v>27</v>
      </c>
      <c r="B17" s="5"/>
      <c r="C17" s="5"/>
      <c r="D17" s="47"/>
      <c r="E17" s="5"/>
      <c r="F17" s="5"/>
      <c r="G17" s="5"/>
      <c r="H17" s="5"/>
      <c r="I17" s="5"/>
      <c r="J17" s="5"/>
      <c r="K17" s="5"/>
      <c r="L17" s="5"/>
      <c r="M17" s="78">
        <v>302</v>
      </c>
      <c r="N17" s="78">
        <v>3.0609999999999999</v>
      </c>
      <c r="O17" s="29">
        <v>302</v>
      </c>
      <c r="P17" s="91">
        <v>1.3660000000000001</v>
      </c>
      <c r="Q17" s="5"/>
    </row>
    <row r="18" spans="1:17" ht="14.25">
      <c r="A18" s="47"/>
      <c r="B18" s="48" t="s">
        <v>101</v>
      </c>
      <c r="C18" s="46" t="s">
        <v>24</v>
      </c>
      <c r="D18" s="46" t="s">
        <v>26</v>
      </c>
      <c r="E18" s="5"/>
      <c r="F18" s="5"/>
      <c r="G18" s="24">
        <f>J5-J7-L7</f>
        <v>308.9958115</v>
      </c>
      <c r="H18" s="24"/>
      <c r="I18" s="5"/>
      <c r="J18" s="5"/>
      <c r="K18" s="5"/>
      <c r="L18" s="5"/>
      <c r="M18" s="78">
        <v>301</v>
      </c>
      <c r="N18" s="78">
        <v>3.0680000000000001</v>
      </c>
      <c r="O18" s="29">
        <v>301</v>
      </c>
      <c r="P18" s="91">
        <v>1.369</v>
      </c>
      <c r="Q18" s="5"/>
    </row>
    <row r="19" spans="1:17" ht="14.25">
      <c r="A19" s="48" t="s">
        <v>101</v>
      </c>
      <c r="B19" s="49">
        <v>1.1993999999999999E-12</v>
      </c>
      <c r="C19" s="50">
        <v>1.2864E-11</v>
      </c>
      <c r="D19" s="50">
        <v>-1.4288E-8</v>
      </c>
      <c r="E19" s="5"/>
      <c r="G19" s="5"/>
      <c r="H19" s="5"/>
      <c r="I19" s="5"/>
      <c r="J19" s="5"/>
      <c r="K19" s="5"/>
      <c r="L19" s="5"/>
      <c r="M19" s="78">
        <v>300</v>
      </c>
      <c r="N19" s="78">
        <v>3.0760000000000001</v>
      </c>
      <c r="O19" s="29">
        <v>300</v>
      </c>
      <c r="P19" s="91">
        <v>1.3720000000000001</v>
      </c>
      <c r="Q19" s="5"/>
    </row>
    <row r="20" spans="1:17" ht="14.25">
      <c r="A20" s="46" t="s">
        <v>24</v>
      </c>
      <c r="B20" s="49">
        <v>1.2864E-11</v>
      </c>
      <c r="C20" s="49">
        <v>1.5219000000000001E-9</v>
      </c>
      <c r="D20" s="49">
        <v>2.5502999999999997E-7</v>
      </c>
      <c r="E20" s="5"/>
      <c r="F20" s="5"/>
      <c r="G20" s="5"/>
      <c r="H20" s="5"/>
      <c r="I20" s="5"/>
      <c r="J20" s="5"/>
      <c r="K20" s="5"/>
      <c r="L20" s="5"/>
      <c r="M20" s="78">
        <v>299</v>
      </c>
      <c r="N20" s="78">
        <v>3.085</v>
      </c>
      <c r="O20" s="29">
        <v>299</v>
      </c>
      <c r="P20" s="91">
        <v>1.3759999999999999</v>
      </c>
      <c r="Q20" s="5"/>
    </row>
    <row r="21" spans="1:17" ht="14.25">
      <c r="A21" s="46" t="s">
        <v>26</v>
      </c>
      <c r="B21" s="51">
        <v>-1.4288E-8</v>
      </c>
      <c r="C21" s="51" t="s">
        <v>149</v>
      </c>
      <c r="D21" s="51">
        <v>3.7897000000000001E-4</v>
      </c>
      <c r="E21" s="5"/>
      <c r="F21" s="5"/>
      <c r="G21" s="5"/>
      <c r="H21" s="24"/>
      <c r="I21" s="5"/>
      <c r="J21" s="5"/>
      <c r="K21" s="5"/>
      <c r="L21" s="5"/>
      <c r="M21" s="78">
        <v>298</v>
      </c>
      <c r="N21" s="78">
        <v>3.093</v>
      </c>
      <c r="O21" s="29">
        <v>298</v>
      </c>
      <c r="P21" s="91">
        <v>1.38</v>
      </c>
      <c r="Q21" s="5"/>
    </row>
    <row r="22" spans="1:1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78">
        <v>297</v>
      </c>
      <c r="N22" s="78">
        <v>3.1019999999999999</v>
      </c>
      <c r="O22" s="29">
        <v>297</v>
      </c>
      <c r="P22" s="91">
        <v>1.3839999999999999</v>
      </c>
      <c r="Q22" s="5"/>
    </row>
    <row r="23" spans="1:1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78">
        <v>296</v>
      </c>
      <c r="N23" s="78">
        <v>3.1110000000000002</v>
      </c>
      <c r="O23" s="29">
        <v>296</v>
      </c>
      <c r="P23" s="91">
        <v>1.3879999999999999</v>
      </c>
      <c r="Q23" s="5"/>
    </row>
    <row r="24" spans="1:1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78">
        <v>295</v>
      </c>
      <c r="N24" s="78">
        <v>3.1190000000000002</v>
      </c>
      <c r="O24" s="29">
        <v>295</v>
      </c>
      <c r="P24" s="91">
        <v>1.3919999999999999</v>
      </c>
      <c r="Q24" s="5"/>
    </row>
    <row r="25" spans="1:1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78">
        <v>294</v>
      </c>
      <c r="N25" s="78">
        <v>3.1280000000000001</v>
      </c>
      <c r="O25" s="29">
        <v>294</v>
      </c>
      <c r="P25" s="91">
        <v>1.3959999999999999</v>
      </c>
      <c r="Q25" s="5"/>
    </row>
    <row r="26" spans="1:1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78">
        <v>293</v>
      </c>
      <c r="N26" s="78">
        <v>3.137</v>
      </c>
      <c r="O26" s="29">
        <v>293</v>
      </c>
      <c r="P26" s="91">
        <v>1.4</v>
      </c>
      <c r="Q26" s="5"/>
    </row>
    <row r="27" spans="1:1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78">
        <v>292</v>
      </c>
      <c r="N27" s="78">
        <v>3.1459999999999999</v>
      </c>
      <c r="O27" s="29">
        <v>292</v>
      </c>
      <c r="P27" s="91">
        <v>1.4039999999999999</v>
      </c>
      <c r="Q27" s="5"/>
    </row>
    <row r="28" spans="1:1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78">
        <v>291</v>
      </c>
      <c r="N28" s="78">
        <v>3.1539999999999999</v>
      </c>
      <c r="O28" s="29">
        <v>291</v>
      </c>
      <c r="P28" s="91">
        <v>1.4079999999999999</v>
      </c>
      <c r="Q28" s="5"/>
    </row>
    <row r="29" spans="1:1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78">
        <v>290</v>
      </c>
      <c r="N29" s="78">
        <v>3.1629999999999998</v>
      </c>
      <c r="O29" s="29">
        <v>290</v>
      </c>
      <c r="P29" s="91">
        <v>1.4119999999999999</v>
      </c>
      <c r="Q29" s="5"/>
    </row>
    <row r="30" spans="1:1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78">
        <v>289</v>
      </c>
      <c r="N30" s="78">
        <v>3.1720000000000002</v>
      </c>
      <c r="O30" s="29">
        <v>289</v>
      </c>
      <c r="P30" s="91">
        <v>1.4159999999999999</v>
      </c>
      <c r="Q30" s="5"/>
    </row>
    <row r="31" spans="1:1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78">
        <v>288</v>
      </c>
      <c r="N31" s="78">
        <v>3.18</v>
      </c>
      <c r="O31" s="29">
        <v>288</v>
      </c>
      <c r="P31" s="91">
        <v>1.42</v>
      </c>
      <c r="Q31" s="5"/>
    </row>
    <row r="32" spans="1:17">
      <c r="A32" s="5"/>
      <c r="B32" s="5"/>
      <c r="C32" s="5"/>
      <c r="D32" s="5"/>
      <c r="E32" s="5"/>
      <c r="F32" s="5"/>
      <c r="G32" s="5"/>
      <c r="H32" s="5"/>
      <c r="I32" s="5"/>
      <c r="J32" s="82"/>
      <c r="K32" s="5"/>
      <c r="L32" s="5"/>
      <c r="M32" s="78">
        <v>287</v>
      </c>
      <c r="N32" s="78">
        <v>3.1890000000000001</v>
      </c>
      <c r="O32" s="29">
        <v>287</v>
      </c>
      <c r="P32" s="91">
        <v>1.4239999999999999</v>
      </c>
      <c r="Q32" s="5"/>
    </row>
    <row r="33" spans="1: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8">
        <v>286</v>
      </c>
      <c r="N33" s="78">
        <v>3.198</v>
      </c>
      <c r="O33" s="29">
        <v>286</v>
      </c>
      <c r="P33" s="91">
        <v>1.4279999999999999</v>
      </c>
      <c r="Q33" s="5"/>
    </row>
    <row r="34" spans="1: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78">
        <v>285</v>
      </c>
      <c r="N34" s="78">
        <v>3.2069999999999999</v>
      </c>
      <c r="O34" s="29">
        <v>285</v>
      </c>
      <c r="P34" s="91">
        <v>1.4319999999999999</v>
      </c>
      <c r="Q34" s="5"/>
      <c r="U34" s="44"/>
    </row>
    <row r="35" spans="1:35">
      <c r="A35" s="5"/>
      <c r="B35" s="5"/>
      <c r="C35" s="5"/>
      <c r="D35" s="5"/>
      <c r="E35" s="5"/>
      <c r="F35" s="5"/>
      <c r="G35" s="24"/>
      <c r="H35" s="24"/>
      <c r="I35" s="5"/>
      <c r="J35" s="5"/>
      <c r="K35" s="5"/>
      <c r="L35" s="5"/>
      <c r="M35" s="78">
        <v>284</v>
      </c>
      <c r="N35" s="78">
        <v>3.2149999999999999</v>
      </c>
      <c r="O35" s="29">
        <v>284</v>
      </c>
      <c r="P35" s="91">
        <v>1.4359999999999999</v>
      </c>
      <c r="Q35" s="5"/>
      <c r="U35" s="44"/>
    </row>
    <row r="36" spans="1: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78">
        <v>283</v>
      </c>
      <c r="N36" s="78">
        <v>3.2240000000000002</v>
      </c>
      <c r="O36" s="29">
        <v>283</v>
      </c>
      <c r="P36" s="91">
        <v>1.44</v>
      </c>
      <c r="Q36" s="5"/>
    </row>
    <row r="37" spans="1: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78">
        <v>282</v>
      </c>
      <c r="N37" s="78">
        <v>3.2330000000000001</v>
      </c>
      <c r="O37" s="29">
        <v>282</v>
      </c>
      <c r="P37" s="91">
        <v>1.444</v>
      </c>
      <c r="Q37" s="5"/>
    </row>
    <row r="38" spans="1: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78">
        <v>281</v>
      </c>
      <c r="N38" s="78">
        <v>3.2410000000000001</v>
      </c>
      <c r="O38" s="29">
        <v>281</v>
      </c>
      <c r="P38" s="91">
        <v>1.448</v>
      </c>
      <c r="Q38" s="5"/>
    </row>
    <row r="39" spans="1:35">
      <c r="A39" s="5" t="s">
        <v>146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78">
        <v>280</v>
      </c>
      <c r="N39" s="78">
        <v>3.25</v>
      </c>
      <c r="O39" s="29">
        <v>280</v>
      </c>
      <c r="P39" s="92">
        <v>1.452</v>
      </c>
      <c r="Q39" s="5"/>
    </row>
    <row r="40" spans="1: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35" ht="18.75">
      <c r="A41" s="66" t="s">
        <v>100</v>
      </c>
      <c r="B41" s="52" t="s">
        <v>75</v>
      </c>
      <c r="C41" s="52" t="s">
        <v>28</v>
      </c>
      <c r="D41" s="52" t="s">
        <v>29</v>
      </c>
      <c r="E41" s="68" t="s">
        <v>99</v>
      </c>
      <c r="F41" s="52" t="s">
        <v>98</v>
      </c>
      <c r="G41" s="52" t="s">
        <v>97</v>
      </c>
      <c r="H41" s="52" t="s">
        <v>30</v>
      </c>
      <c r="I41" s="52" t="s">
        <v>127</v>
      </c>
      <c r="J41" s="67" t="s">
        <v>16</v>
      </c>
      <c r="K41" s="52" t="s">
        <v>128</v>
      </c>
      <c r="L41" s="52"/>
      <c r="M41" s="67" t="s">
        <v>96</v>
      </c>
      <c r="N41" s="67" t="s">
        <v>95</v>
      </c>
      <c r="O41" s="67" t="s">
        <v>94</v>
      </c>
      <c r="P41" s="52" t="s">
        <v>31</v>
      </c>
      <c r="Q41" s="53" t="s">
        <v>20</v>
      </c>
      <c r="R41" s="53" t="s">
        <v>17</v>
      </c>
      <c r="S41" s="53" t="s">
        <v>18</v>
      </c>
      <c r="T41" s="53" t="s">
        <v>19</v>
      </c>
      <c r="U41" s="83" t="s">
        <v>129</v>
      </c>
      <c r="V41" s="67" t="s">
        <v>93</v>
      </c>
      <c r="W41" s="52" t="s">
        <v>38</v>
      </c>
      <c r="X41" s="67" t="s">
        <v>92</v>
      </c>
      <c r="Y41" s="52" t="s">
        <v>32</v>
      </c>
      <c r="Z41" s="67" t="s">
        <v>91</v>
      </c>
      <c r="AA41" s="67" t="s">
        <v>12</v>
      </c>
      <c r="AB41" s="52" t="s">
        <v>33</v>
      </c>
      <c r="AC41" s="67" t="s">
        <v>13</v>
      </c>
      <c r="AD41" s="54" t="s">
        <v>90</v>
      </c>
    </row>
    <row r="42" spans="1:35">
      <c r="A42" s="7"/>
      <c r="C42" s="7"/>
      <c r="E42" s="25"/>
      <c r="F42" s="56"/>
      <c r="J42" s="19"/>
      <c r="K42" s="44"/>
      <c r="L42" s="44"/>
      <c r="M42" s="19">
        <f t="shared" ref="M42:M60" si="0">1+J42/$G$8</f>
        <v>1</v>
      </c>
      <c r="N42" s="20">
        <f t="shared" ref="N42:N60" si="1">SQRT(1-1/M42^2)</f>
        <v>0</v>
      </c>
      <c r="O42" s="21">
        <f t="shared" ref="O42:O60" si="2">M42*N42*$G$8</f>
        <v>0</v>
      </c>
      <c r="P42" s="1" t="e">
        <f t="shared" ref="P42:P60" si="3">SQRT(((N42^2+(1/(N42^2*M42^4)))*K42^2)+(((N42^2*J42^2)/($G$8^2))+(M42^2*N42^2)+(J42^2/(N42^2*M42^4*$G$8^2)))*$H$8^2)</f>
        <v>#DIV/0!</v>
      </c>
      <c r="Q42" s="1">
        <f t="shared" ref="Q42:Q60" si="4">(9.39235E-22*EXP((-0.0105371)*J42))*($E$12)</f>
        <v>4.6961750000000003E-4</v>
      </c>
      <c r="R42" s="39">
        <f t="shared" ref="R42:R60" si="5">J42-Q42</f>
        <v>-4.6961750000000003E-4</v>
      </c>
      <c r="S42" s="1">
        <f t="shared" ref="S42:S60" si="6">(0.00448023*EXP((-0.0106618)*R42))*($E$11)</f>
        <v>8960504864847561</v>
      </c>
      <c r="T42" s="1">
        <f t="shared" ref="T42:T60" si="7">Q42+S42</f>
        <v>8960504864847561</v>
      </c>
      <c r="U42" s="1">
        <f t="shared" ref="U42:U60" si="8">SQRT((($J$9^2*I42^2)+($G$6^2*$H$6^2))/($J$9^2-$G$6^2))</f>
        <v>4.2773523658093067E-6</v>
      </c>
      <c r="V42" s="22">
        <f t="shared" ref="V42:V60" si="9">SQRT($G$8^2+O42^2)+T42</f>
        <v>8960504864853164</v>
      </c>
      <c r="W42" s="1" t="e">
        <f>SQRT(((($G$8^2*$H$8^2)+(O42^2*P42^2))/($G$8^2+O42^2))+(0.1*T42)^2)</f>
        <v>#DIV/0!</v>
      </c>
      <c r="X42" s="21">
        <f t="shared" ref="X42:X60" si="10">SQRT(V42^2-$G$8^2)</f>
        <v>8960504864853164</v>
      </c>
      <c r="Y42" s="6" t="e">
        <f>SQRT(((V42^2*W42^2)+($G$8^2*$H$8^2))/(V42^2-$G$8^2))</f>
        <v>#DIV/0!</v>
      </c>
      <c r="Z42" s="23">
        <f t="shared" ref="Z42:Z60" si="11">$G$6^2+$G$7^2+$G$8^2+2*$G$7*($J$9-V42)-2*$J$9*V42+2*$J$11*X42*$B$12</f>
        <v>-4.3925449949789808E+20</v>
      </c>
      <c r="AA42" s="63" t="e">
        <f t="shared" ref="AA42:AA60" si="12">SQRT(Z42)-$G$9</f>
        <v>#NUM!</v>
      </c>
      <c r="AB42" s="84" t="e">
        <f t="shared" ref="AB42:AB60" si="13">SQRT(((1/Z42)*(($G$6*$H$6)^2+(($G$7+$J$9-V42)*$H$7)^2+($G$8*$H$8)^2+(($G$7-V42)*I42)^2+(($G$7+$J$9)*W42)^2+(X42*U42*$B$12)^2+($J$11*Y42*$B$12)^2))+$H$9^2)*1000</f>
        <v>#DIV/0!</v>
      </c>
      <c r="AC42" s="65">
        <v>7.3488699999999998</v>
      </c>
      <c r="AD42" s="34" t="e">
        <f t="shared" ref="AD42:AD59" si="14">(AA42-AC42)*1000</f>
        <v>#NUM!</v>
      </c>
      <c r="AI42" s="62"/>
    </row>
    <row r="43" spans="1:35">
      <c r="A43" s="7"/>
      <c r="C43" s="7"/>
      <c r="E43" s="25"/>
      <c r="F43" s="56"/>
      <c r="J43" s="19"/>
      <c r="K43" s="44"/>
      <c r="L43" s="44"/>
      <c r="M43" s="19">
        <f t="shared" si="0"/>
        <v>1</v>
      </c>
      <c r="N43" s="20">
        <f t="shared" si="1"/>
        <v>0</v>
      </c>
      <c r="O43" s="21">
        <f t="shared" si="2"/>
        <v>0</v>
      </c>
      <c r="P43" s="1" t="e">
        <f t="shared" si="3"/>
        <v>#DIV/0!</v>
      </c>
      <c r="Q43" s="1">
        <f t="shared" si="4"/>
        <v>4.6961750000000003E-4</v>
      </c>
      <c r="R43" s="39">
        <f t="shared" si="5"/>
        <v>-4.6961750000000003E-4</v>
      </c>
      <c r="S43" s="1">
        <f t="shared" si="6"/>
        <v>8960504864847561</v>
      </c>
      <c r="T43" s="1">
        <f t="shared" si="7"/>
        <v>8960504864847561</v>
      </c>
      <c r="U43" s="1">
        <f t="shared" si="8"/>
        <v>4.2773523658093067E-6</v>
      </c>
      <c r="V43" s="22">
        <f t="shared" si="9"/>
        <v>8960504864853164</v>
      </c>
      <c r="W43" s="1" t="e">
        <f t="shared" ref="W43:W60" si="15">SQRT(((($G$8^2*$H$8^2)+(O43^2*P43^2))/($G$8^2+O43^2))+(0.1*T43)^2)</f>
        <v>#DIV/0!</v>
      </c>
      <c r="X43" s="21">
        <f t="shared" si="10"/>
        <v>8960504864853164</v>
      </c>
      <c r="Y43" s="6" t="e">
        <f t="shared" ref="Y43:Y60" si="16">SQRT(((V43^2*W43^2)+($G$8^2*$H$8^2))/(V43^2-$G$8^2))</f>
        <v>#DIV/0!</v>
      </c>
      <c r="Z43" s="23">
        <f t="shared" si="11"/>
        <v>-4.3925449949789808E+20</v>
      </c>
      <c r="AA43" s="63" t="e">
        <f t="shared" si="12"/>
        <v>#NUM!</v>
      </c>
      <c r="AB43" s="84" t="e">
        <f t="shared" si="13"/>
        <v>#DIV/0!</v>
      </c>
      <c r="AC43" s="33">
        <v>7.4279999999999999</v>
      </c>
      <c r="AD43" s="34" t="e">
        <f t="shared" si="14"/>
        <v>#NUM!</v>
      </c>
      <c r="AI43" s="62"/>
    </row>
    <row r="44" spans="1:35">
      <c r="A44" s="7"/>
      <c r="C44" s="7"/>
      <c r="E44" s="25"/>
      <c r="F44" s="56"/>
      <c r="J44" s="19"/>
      <c r="K44" s="44"/>
      <c r="L44" s="44"/>
      <c r="M44" s="19">
        <f t="shared" si="0"/>
        <v>1</v>
      </c>
      <c r="N44" s="20">
        <f t="shared" si="1"/>
        <v>0</v>
      </c>
      <c r="O44" s="21">
        <f t="shared" si="2"/>
        <v>0</v>
      </c>
      <c r="P44" s="1" t="e">
        <f t="shared" si="3"/>
        <v>#DIV/0!</v>
      </c>
      <c r="Q44" s="1">
        <f t="shared" si="4"/>
        <v>4.6961750000000003E-4</v>
      </c>
      <c r="R44" s="39">
        <f t="shared" si="5"/>
        <v>-4.6961750000000003E-4</v>
      </c>
      <c r="S44" s="1">
        <f t="shared" si="6"/>
        <v>8960504864847561</v>
      </c>
      <c r="T44" s="1">
        <f t="shared" si="7"/>
        <v>8960504864847561</v>
      </c>
      <c r="U44" s="1">
        <f t="shared" si="8"/>
        <v>4.2773523658093067E-6</v>
      </c>
      <c r="V44" s="22">
        <f t="shared" si="9"/>
        <v>8960504864853164</v>
      </c>
      <c r="W44" s="1" t="e">
        <f t="shared" si="15"/>
        <v>#DIV/0!</v>
      </c>
      <c r="X44" s="21">
        <f t="shared" si="10"/>
        <v>8960504864853164</v>
      </c>
      <c r="Y44" s="6" t="e">
        <f t="shared" si="16"/>
        <v>#DIV/0!</v>
      </c>
      <c r="Z44" s="23">
        <f t="shared" si="11"/>
        <v>-4.3925449949789808E+20</v>
      </c>
      <c r="AA44" s="63" t="e">
        <f t="shared" si="12"/>
        <v>#NUM!</v>
      </c>
      <c r="AB44" s="84" t="e">
        <f t="shared" si="13"/>
        <v>#DIV/0!</v>
      </c>
      <c r="AC44" s="28">
        <v>7.6769999999999996</v>
      </c>
      <c r="AD44" s="34" t="e">
        <f t="shared" si="14"/>
        <v>#NUM!</v>
      </c>
      <c r="AI44" s="62"/>
    </row>
    <row r="45" spans="1:35">
      <c r="A45" s="7"/>
      <c r="C45" s="7"/>
      <c r="E45" s="25"/>
      <c r="F45" s="56"/>
      <c r="J45" s="19"/>
      <c r="K45" s="44"/>
      <c r="L45" s="44"/>
      <c r="M45" s="19">
        <f t="shared" si="0"/>
        <v>1</v>
      </c>
      <c r="N45" s="20">
        <f t="shared" si="1"/>
        <v>0</v>
      </c>
      <c r="O45" s="21">
        <f t="shared" si="2"/>
        <v>0</v>
      </c>
      <c r="P45" s="1" t="e">
        <f t="shared" si="3"/>
        <v>#DIV/0!</v>
      </c>
      <c r="Q45" s="1">
        <f t="shared" si="4"/>
        <v>4.6961750000000003E-4</v>
      </c>
      <c r="R45" s="39">
        <f t="shared" si="5"/>
        <v>-4.6961750000000003E-4</v>
      </c>
      <c r="S45" s="1">
        <f t="shared" si="6"/>
        <v>8960504864847561</v>
      </c>
      <c r="T45" s="1">
        <f t="shared" si="7"/>
        <v>8960504864847561</v>
      </c>
      <c r="U45" s="1">
        <f t="shared" si="8"/>
        <v>4.2773523658093067E-6</v>
      </c>
      <c r="V45" s="22">
        <f t="shared" si="9"/>
        <v>8960504864853164</v>
      </c>
      <c r="W45" s="1" t="e">
        <f t="shared" si="15"/>
        <v>#DIV/0!</v>
      </c>
      <c r="X45" s="21">
        <f t="shared" si="10"/>
        <v>8960504864853164</v>
      </c>
      <c r="Y45" s="6" t="e">
        <f t="shared" si="16"/>
        <v>#DIV/0!</v>
      </c>
      <c r="Z45" s="23">
        <f t="shared" si="11"/>
        <v>-4.3925449949789808E+20</v>
      </c>
      <c r="AA45" s="63" t="e">
        <f t="shared" si="12"/>
        <v>#NUM!</v>
      </c>
      <c r="AB45" s="84" t="e">
        <f t="shared" si="13"/>
        <v>#DIV/0!</v>
      </c>
      <c r="AC45" s="33">
        <v>7.84</v>
      </c>
      <c r="AD45" s="34" t="e">
        <f t="shared" si="14"/>
        <v>#NUM!</v>
      </c>
      <c r="AI45" s="62"/>
    </row>
    <row r="46" spans="1:35">
      <c r="A46" s="7"/>
      <c r="C46" s="7"/>
      <c r="E46" s="25"/>
      <c r="F46" s="56"/>
      <c r="J46" s="19"/>
      <c r="K46" s="44"/>
      <c r="L46" s="44"/>
      <c r="M46" s="19">
        <f t="shared" si="0"/>
        <v>1</v>
      </c>
      <c r="N46" s="20">
        <f t="shared" si="1"/>
        <v>0</v>
      </c>
      <c r="O46" s="21">
        <f t="shared" si="2"/>
        <v>0</v>
      </c>
      <c r="P46" s="1" t="e">
        <f t="shared" si="3"/>
        <v>#DIV/0!</v>
      </c>
      <c r="Q46" s="1">
        <f t="shared" si="4"/>
        <v>4.6961750000000003E-4</v>
      </c>
      <c r="R46" s="39">
        <f t="shared" si="5"/>
        <v>-4.6961750000000003E-4</v>
      </c>
      <c r="S46" s="1">
        <f t="shared" si="6"/>
        <v>8960504864847561</v>
      </c>
      <c r="T46" s="1">
        <f t="shared" si="7"/>
        <v>8960504864847561</v>
      </c>
      <c r="U46" s="1">
        <f t="shared" si="8"/>
        <v>4.2773523658093067E-6</v>
      </c>
      <c r="V46" s="22">
        <f t="shared" si="9"/>
        <v>8960504864853164</v>
      </c>
      <c r="W46" s="1" t="e">
        <f t="shared" si="15"/>
        <v>#DIV/0!</v>
      </c>
      <c r="X46" s="21">
        <f t="shared" si="10"/>
        <v>8960504864853164</v>
      </c>
      <c r="Y46" s="6" t="e">
        <f t="shared" si="16"/>
        <v>#DIV/0!</v>
      </c>
      <c r="Z46" s="23">
        <f t="shared" si="11"/>
        <v>-4.3925449949789808E+20</v>
      </c>
      <c r="AA46" s="63" t="e">
        <f t="shared" si="12"/>
        <v>#NUM!</v>
      </c>
      <c r="AB46" s="84" t="e">
        <f t="shared" si="13"/>
        <v>#DIV/0!</v>
      </c>
      <c r="AC46" s="27">
        <v>8.0329999999999995</v>
      </c>
      <c r="AD46" s="34" t="e">
        <f t="shared" si="14"/>
        <v>#NUM!</v>
      </c>
      <c r="AI46" s="62"/>
    </row>
    <row r="47" spans="1:35">
      <c r="A47" s="7"/>
      <c r="C47" s="7"/>
      <c r="E47" s="25"/>
      <c r="F47" s="56"/>
      <c r="J47" s="19"/>
      <c r="K47" s="44"/>
      <c r="L47" s="44"/>
      <c r="M47" s="19">
        <f t="shared" si="0"/>
        <v>1</v>
      </c>
      <c r="N47" s="20">
        <f t="shared" si="1"/>
        <v>0</v>
      </c>
      <c r="O47" s="21">
        <f t="shared" si="2"/>
        <v>0</v>
      </c>
      <c r="P47" s="1" t="e">
        <f t="shared" si="3"/>
        <v>#DIV/0!</v>
      </c>
      <c r="Q47" s="1">
        <f t="shared" si="4"/>
        <v>4.6961750000000003E-4</v>
      </c>
      <c r="R47" s="39">
        <f t="shared" si="5"/>
        <v>-4.6961750000000003E-4</v>
      </c>
      <c r="S47" s="1">
        <f t="shared" si="6"/>
        <v>8960504864847561</v>
      </c>
      <c r="T47" s="1">
        <f t="shared" si="7"/>
        <v>8960504864847561</v>
      </c>
      <c r="U47" s="1">
        <f t="shared" si="8"/>
        <v>4.2773523658093067E-6</v>
      </c>
      <c r="V47" s="22">
        <f t="shared" si="9"/>
        <v>8960504864853164</v>
      </c>
      <c r="W47" s="1" t="e">
        <f t="shared" si="15"/>
        <v>#DIV/0!</v>
      </c>
      <c r="X47" s="21">
        <f t="shared" si="10"/>
        <v>8960504864853164</v>
      </c>
      <c r="Y47" s="6" t="e">
        <f t="shared" si="16"/>
        <v>#DIV/0!</v>
      </c>
      <c r="Z47" s="23">
        <f t="shared" si="11"/>
        <v>-4.3925449949789808E+20</v>
      </c>
      <c r="AA47" s="64" t="e">
        <f t="shared" si="12"/>
        <v>#NUM!</v>
      </c>
      <c r="AB47" s="84" t="e">
        <f t="shared" si="13"/>
        <v>#DIV/0!</v>
      </c>
      <c r="AC47" s="28">
        <v>8.2010000000000005</v>
      </c>
      <c r="AD47" s="34" t="e">
        <f t="shared" si="14"/>
        <v>#NUM!</v>
      </c>
      <c r="AI47" s="62"/>
    </row>
    <row r="48" spans="1:35">
      <c r="A48" s="7"/>
      <c r="C48" s="7"/>
      <c r="E48" s="25"/>
      <c r="F48" s="56"/>
      <c r="J48" s="19"/>
      <c r="K48" s="44"/>
      <c r="L48" s="44"/>
      <c r="M48" s="19">
        <f t="shared" si="0"/>
        <v>1</v>
      </c>
      <c r="N48" s="20">
        <f t="shared" si="1"/>
        <v>0</v>
      </c>
      <c r="O48" s="21">
        <f t="shared" si="2"/>
        <v>0</v>
      </c>
      <c r="P48" s="1" t="e">
        <f t="shared" si="3"/>
        <v>#DIV/0!</v>
      </c>
      <c r="Q48" s="1">
        <f t="shared" si="4"/>
        <v>4.6961750000000003E-4</v>
      </c>
      <c r="R48" s="39">
        <f t="shared" si="5"/>
        <v>-4.6961750000000003E-4</v>
      </c>
      <c r="S48" s="1">
        <f t="shared" si="6"/>
        <v>8960504864847561</v>
      </c>
      <c r="T48" s="1">
        <f t="shared" si="7"/>
        <v>8960504864847561</v>
      </c>
      <c r="U48" s="1">
        <f t="shared" si="8"/>
        <v>4.2773523658093067E-6</v>
      </c>
      <c r="V48" s="22">
        <f t="shared" si="9"/>
        <v>8960504864853164</v>
      </c>
      <c r="W48" s="1" t="e">
        <f t="shared" si="15"/>
        <v>#DIV/0!</v>
      </c>
      <c r="X48" s="21">
        <f t="shared" si="10"/>
        <v>8960504864853164</v>
      </c>
      <c r="Y48" s="6" t="e">
        <f t="shared" si="16"/>
        <v>#DIV/0!</v>
      </c>
      <c r="Z48" s="23">
        <f t="shared" si="11"/>
        <v>-4.3925449949789808E+20</v>
      </c>
      <c r="AA48" s="64" t="e">
        <f t="shared" si="12"/>
        <v>#NUM!</v>
      </c>
      <c r="AB48" s="84" t="e">
        <f t="shared" si="13"/>
        <v>#DIV/0!</v>
      </c>
      <c r="AC48" s="28">
        <v>8.5037000000000003</v>
      </c>
      <c r="AD48" s="34" t="e">
        <f t="shared" si="14"/>
        <v>#NUM!</v>
      </c>
      <c r="AI48" s="62"/>
    </row>
    <row r="49" spans="1:35">
      <c r="A49" s="7"/>
      <c r="C49" s="7"/>
      <c r="E49" s="25"/>
      <c r="F49" s="56"/>
      <c r="J49" s="19"/>
      <c r="K49" s="44"/>
      <c r="L49" s="44"/>
      <c r="M49" s="19">
        <f t="shared" si="0"/>
        <v>1</v>
      </c>
      <c r="N49" s="20">
        <f t="shared" si="1"/>
        <v>0</v>
      </c>
      <c r="O49" s="21">
        <f t="shared" si="2"/>
        <v>0</v>
      </c>
      <c r="P49" s="1" t="e">
        <f t="shared" si="3"/>
        <v>#DIV/0!</v>
      </c>
      <c r="Q49" s="1">
        <f t="shared" si="4"/>
        <v>4.6961750000000003E-4</v>
      </c>
      <c r="R49" s="39">
        <f t="shared" si="5"/>
        <v>-4.6961750000000003E-4</v>
      </c>
      <c r="S49" s="1">
        <f t="shared" si="6"/>
        <v>8960504864847561</v>
      </c>
      <c r="T49" s="1">
        <f t="shared" si="7"/>
        <v>8960504864847561</v>
      </c>
      <c r="U49" s="1">
        <f t="shared" si="8"/>
        <v>4.2773523658093067E-6</v>
      </c>
      <c r="V49" s="22">
        <f t="shared" si="9"/>
        <v>8960504864853164</v>
      </c>
      <c r="W49" s="1" t="e">
        <f t="shared" si="15"/>
        <v>#DIV/0!</v>
      </c>
      <c r="X49" s="21">
        <f t="shared" si="10"/>
        <v>8960504864853164</v>
      </c>
      <c r="Y49" s="6" t="e">
        <f t="shared" si="16"/>
        <v>#DIV/0!</v>
      </c>
      <c r="Z49" s="23">
        <f t="shared" si="11"/>
        <v>-4.3925449949789808E+20</v>
      </c>
      <c r="AA49" s="64" t="e">
        <f t="shared" si="12"/>
        <v>#NUM!</v>
      </c>
      <c r="AB49" s="84" t="e">
        <f t="shared" si="13"/>
        <v>#DIV/0!</v>
      </c>
      <c r="AC49" s="28">
        <v>8.625</v>
      </c>
      <c r="AD49" s="34" t="e">
        <f t="shared" si="14"/>
        <v>#NUM!</v>
      </c>
      <c r="AE49" s="1" t="s">
        <v>76</v>
      </c>
      <c r="AI49" s="62"/>
    </row>
    <row r="50" spans="1:35">
      <c r="A50" s="7"/>
      <c r="C50" s="7"/>
      <c r="E50" s="25"/>
      <c r="F50" s="56"/>
      <c r="J50" s="19"/>
      <c r="K50" s="44"/>
      <c r="L50" s="44"/>
      <c r="M50" s="19">
        <f t="shared" si="0"/>
        <v>1</v>
      </c>
      <c r="N50" s="20">
        <f t="shared" si="1"/>
        <v>0</v>
      </c>
      <c r="O50" s="21">
        <f t="shared" si="2"/>
        <v>0</v>
      </c>
      <c r="P50" s="1" t="e">
        <f t="shared" si="3"/>
        <v>#DIV/0!</v>
      </c>
      <c r="Q50" s="1">
        <f t="shared" si="4"/>
        <v>4.6961750000000003E-4</v>
      </c>
      <c r="R50" s="39">
        <f t="shared" si="5"/>
        <v>-4.6961750000000003E-4</v>
      </c>
      <c r="S50" s="1">
        <f t="shared" si="6"/>
        <v>8960504864847561</v>
      </c>
      <c r="T50" s="1">
        <f t="shared" si="7"/>
        <v>8960504864847561</v>
      </c>
      <c r="U50" s="1">
        <f t="shared" si="8"/>
        <v>4.2773523658093067E-6</v>
      </c>
      <c r="V50" s="22">
        <f t="shared" si="9"/>
        <v>8960504864853164</v>
      </c>
      <c r="W50" s="1" t="e">
        <f t="shared" si="15"/>
        <v>#DIV/0!</v>
      </c>
      <c r="X50" s="21">
        <f t="shared" si="10"/>
        <v>8960504864853164</v>
      </c>
      <c r="Y50" s="6" t="e">
        <f t="shared" si="16"/>
        <v>#DIV/0!</v>
      </c>
      <c r="Z50" s="23">
        <f t="shared" si="11"/>
        <v>-4.3925449949789808E+20</v>
      </c>
      <c r="AA50" s="64" t="e">
        <f t="shared" si="12"/>
        <v>#NUM!</v>
      </c>
      <c r="AB50" s="84" t="e">
        <f t="shared" si="13"/>
        <v>#DIV/0!</v>
      </c>
      <c r="AC50" s="27">
        <v>8.93</v>
      </c>
      <c r="AD50" s="34" t="e">
        <f t="shared" si="14"/>
        <v>#NUM!</v>
      </c>
      <c r="AI50" s="62"/>
    </row>
    <row r="51" spans="1:35">
      <c r="A51" s="7"/>
      <c r="C51" s="7"/>
      <c r="E51" s="25"/>
      <c r="F51" s="56"/>
      <c r="J51" s="19"/>
      <c r="K51" s="44"/>
      <c r="L51" s="44"/>
      <c r="M51" s="19">
        <f t="shared" si="0"/>
        <v>1</v>
      </c>
      <c r="N51" s="20">
        <f t="shared" si="1"/>
        <v>0</v>
      </c>
      <c r="O51" s="21">
        <f t="shared" si="2"/>
        <v>0</v>
      </c>
      <c r="P51" s="1" t="e">
        <f t="shared" si="3"/>
        <v>#DIV/0!</v>
      </c>
      <c r="Q51" s="1">
        <f t="shared" si="4"/>
        <v>4.6961750000000003E-4</v>
      </c>
      <c r="R51" s="39">
        <f t="shared" si="5"/>
        <v>-4.6961750000000003E-4</v>
      </c>
      <c r="S51" s="1">
        <f t="shared" si="6"/>
        <v>8960504864847561</v>
      </c>
      <c r="T51" s="1">
        <f t="shared" si="7"/>
        <v>8960504864847561</v>
      </c>
      <c r="U51" s="1">
        <f t="shared" si="8"/>
        <v>4.2773523658093067E-6</v>
      </c>
      <c r="V51" s="22">
        <f t="shared" si="9"/>
        <v>8960504864853164</v>
      </c>
      <c r="W51" s="1" t="e">
        <f t="shared" si="15"/>
        <v>#DIV/0!</v>
      </c>
      <c r="X51" s="21">
        <f t="shared" si="10"/>
        <v>8960504864853164</v>
      </c>
      <c r="Y51" s="6" t="e">
        <f t="shared" si="16"/>
        <v>#DIV/0!</v>
      </c>
      <c r="Z51" s="23">
        <f t="shared" si="11"/>
        <v>-4.3925449949789808E+20</v>
      </c>
      <c r="AA51" s="64" t="e">
        <f t="shared" si="12"/>
        <v>#NUM!</v>
      </c>
      <c r="AB51" s="84" t="e">
        <f t="shared" si="13"/>
        <v>#DIV/0!</v>
      </c>
      <c r="AC51" s="27">
        <v>9.3829999999999991</v>
      </c>
      <c r="AD51" s="34" t="e">
        <f t="shared" si="14"/>
        <v>#NUM!</v>
      </c>
      <c r="AI51" s="62"/>
    </row>
    <row r="52" spans="1:35">
      <c r="A52" s="7"/>
      <c r="C52" s="7"/>
      <c r="E52" s="25"/>
      <c r="F52" s="56"/>
      <c r="J52" s="19"/>
      <c r="K52" s="44"/>
      <c r="L52" s="44"/>
      <c r="M52" s="19">
        <f t="shared" si="0"/>
        <v>1</v>
      </c>
      <c r="N52" s="20">
        <f t="shared" si="1"/>
        <v>0</v>
      </c>
      <c r="O52" s="21">
        <f t="shared" si="2"/>
        <v>0</v>
      </c>
      <c r="P52" s="1" t="e">
        <f t="shared" si="3"/>
        <v>#DIV/0!</v>
      </c>
      <c r="Q52" s="1">
        <f t="shared" si="4"/>
        <v>4.6961750000000003E-4</v>
      </c>
      <c r="R52" s="39">
        <f t="shared" si="5"/>
        <v>-4.6961750000000003E-4</v>
      </c>
      <c r="S52" s="1">
        <f t="shared" si="6"/>
        <v>8960504864847561</v>
      </c>
      <c r="T52" s="1">
        <f t="shared" si="7"/>
        <v>8960504864847561</v>
      </c>
      <c r="U52" s="1">
        <f t="shared" si="8"/>
        <v>4.2773523658093067E-6</v>
      </c>
      <c r="V52" s="22">
        <f t="shared" si="9"/>
        <v>8960504864853164</v>
      </c>
      <c r="W52" s="1" t="e">
        <f t="shared" si="15"/>
        <v>#DIV/0!</v>
      </c>
      <c r="X52" s="21">
        <f t="shared" si="10"/>
        <v>8960504864853164</v>
      </c>
      <c r="Y52" s="6" t="e">
        <f t="shared" si="16"/>
        <v>#DIV/0!</v>
      </c>
      <c r="Z52" s="23">
        <f t="shared" si="11"/>
        <v>-4.3925449949789808E+20</v>
      </c>
      <c r="AA52" s="64" t="e">
        <f t="shared" si="12"/>
        <v>#NUM!</v>
      </c>
      <c r="AB52" s="84" t="e">
        <f t="shared" si="13"/>
        <v>#DIV/0!</v>
      </c>
      <c r="AC52" s="28">
        <v>9.5790000000000006</v>
      </c>
      <c r="AD52" s="34" t="e">
        <f t="shared" si="14"/>
        <v>#NUM!</v>
      </c>
      <c r="AI52" s="62"/>
    </row>
    <row r="53" spans="1:35">
      <c r="A53" s="7"/>
      <c r="C53" s="7"/>
      <c r="E53" s="25"/>
      <c r="F53" s="56"/>
      <c r="J53" s="19"/>
      <c r="K53" s="44"/>
      <c r="L53" s="44"/>
      <c r="M53" s="19">
        <f t="shared" si="0"/>
        <v>1</v>
      </c>
      <c r="N53" s="20">
        <f t="shared" si="1"/>
        <v>0</v>
      </c>
      <c r="O53" s="21">
        <f t="shared" si="2"/>
        <v>0</v>
      </c>
      <c r="P53" s="1" t="e">
        <f t="shared" si="3"/>
        <v>#DIV/0!</v>
      </c>
      <c r="Q53" s="1">
        <f t="shared" si="4"/>
        <v>4.6961750000000003E-4</v>
      </c>
      <c r="R53" s="39">
        <f t="shared" si="5"/>
        <v>-4.6961750000000003E-4</v>
      </c>
      <c r="S53" s="1">
        <f t="shared" si="6"/>
        <v>8960504864847561</v>
      </c>
      <c r="T53" s="1">
        <f t="shared" si="7"/>
        <v>8960504864847561</v>
      </c>
      <c r="U53" s="1">
        <f t="shared" si="8"/>
        <v>4.2773523658093067E-6</v>
      </c>
      <c r="V53" s="22">
        <f t="shared" si="9"/>
        <v>8960504864853164</v>
      </c>
      <c r="W53" s="1" t="e">
        <f t="shared" si="15"/>
        <v>#DIV/0!</v>
      </c>
      <c r="X53" s="21">
        <f t="shared" si="10"/>
        <v>8960504864853164</v>
      </c>
      <c r="Y53" s="6" t="e">
        <f t="shared" si="16"/>
        <v>#DIV/0!</v>
      </c>
      <c r="Z53" s="23">
        <f t="shared" si="11"/>
        <v>-4.3925449949789808E+20</v>
      </c>
      <c r="AA53" s="64" t="e">
        <f t="shared" si="12"/>
        <v>#NUM!</v>
      </c>
      <c r="AB53" s="84" t="e">
        <f t="shared" si="13"/>
        <v>#DIV/0!</v>
      </c>
      <c r="AC53" s="28">
        <v>9.8140000000000001</v>
      </c>
      <c r="AD53" s="34" t="e">
        <f t="shared" si="14"/>
        <v>#NUM!</v>
      </c>
      <c r="AI53" s="62"/>
    </row>
    <row r="54" spans="1:35">
      <c r="A54" s="7"/>
      <c r="C54" s="7"/>
      <c r="E54" s="25"/>
      <c r="F54" s="56"/>
      <c r="J54" s="19"/>
      <c r="K54" s="44"/>
      <c r="L54" s="44"/>
      <c r="M54" s="19">
        <f t="shared" si="0"/>
        <v>1</v>
      </c>
      <c r="N54" s="20">
        <f t="shared" si="1"/>
        <v>0</v>
      </c>
      <c r="O54" s="21">
        <f t="shared" si="2"/>
        <v>0</v>
      </c>
      <c r="P54" s="1" t="e">
        <f t="shared" si="3"/>
        <v>#DIV/0!</v>
      </c>
      <c r="Q54" s="1">
        <f t="shared" si="4"/>
        <v>4.6961750000000003E-4</v>
      </c>
      <c r="R54" s="39">
        <f t="shared" si="5"/>
        <v>-4.6961750000000003E-4</v>
      </c>
      <c r="S54" s="1">
        <f t="shared" si="6"/>
        <v>8960504864847561</v>
      </c>
      <c r="T54" s="1">
        <f t="shared" si="7"/>
        <v>8960504864847561</v>
      </c>
      <c r="U54" s="1">
        <f t="shared" si="8"/>
        <v>4.2773523658093067E-6</v>
      </c>
      <c r="V54" s="22">
        <f t="shared" si="9"/>
        <v>8960504864853164</v>
      </c>
      <c r="W54" s="1" t="e">
        <f t="shared" si="15"/>
        <v>#DIV/0!</v>
      </c>
      <c r="X54" s="21">
        <f t="shared" si="10"/>
        <v>8960504864853164</v>
      </c>
      <c r="Y54" s="6" t="e">
        <f t="shared" si="16"/>
        <v>#DIV/0!</v>
      </c>
      <c r="Z54" s="23">
        <f t="shared" si="11"/>
        <v>-4.3925449949789808E+20</v>
      </c>
      <c r="AA54" s="64" t="e">
        <f t="shared" si="12"/>
        <v>#NUM!</v>
      </c>
      <c r="AB54" s="84" t="e">
        <f t="shared" si="13"/>
        <v>#DIV/0!</v>
      </c>
      <c r="AC54" s="28">
        <v>9.9890000000000008</v>
      </c>
      <c r="AD54" s="34" t="e">
        <f t="shared" si="14"/>
        <v>#NUM!</v>
      </c>
      <c r="AI54" s="62"/>
    </row>
    <row r="55" spans="1:35">
      <c r="A55" s="7"/>
      <c r="C55" s="7"/>
      <c r="E55" s="25"/>
      <c r="F55" s="56"/>
      <c r="J55" s="19"/>
      <c r="K55" s="44"/>
      <c r="L55" s="44"/>
      <c r="M55" s="19">
        <f t="shared" si="0"/>
        <v>1</v>
      </c>
      <c r="N55" s="20">
        <f t="shared" si="1"/>
        <v>0</v>
      </c>
      <c r="O55" s="21">
        <f t="shared" si="2"/>
        <v>0</v>
      </c>
      <c r="P55" s="1" t="e">
        <f t="shared" si="3"/>
        <v>#DIV/0!</v>
      </c>
      <c r="Q55" s="1">
        <f t="shared" si="4"/>
        <v>4.6961750000000003E-4</v>
      </c>
      <c r="R55" s="39">
        <f t="shared" si="5"/>
        <v>-4.6961750000000003E-4</v>
      </c>
      <c r="S55" s="1">
        <f t="shared" si="6"/>
        <v>8960504864847561</v>
      </c>
      <c r="T55" s="1">
        <f t="shared" si="7"/>
        <v>8960504864847561</v>
      </c>
      <c r="U55" s="1">
        <f t="shared" si="8"/>
        <v>4.2773523658093067E-6</v>
      </c>
      <c r="V55" s="22">
        <f t="shared" si="9"/>
        <v>8960504864853164</v>
      </c>
      <c r="W55" s="1" t="e">
        <f t="shared" si="15"/>
        <v>#DIV/0!</v>
      </c>
      <c r="X55" s="21">
        <f t="shared" si="10"/>
        <v>8960504864853164</v>
      </c>
      <c r="Y55" s="6" t="e">
        <f t="shared" si="16"/>
        <v>#DIV/0!</v>
      </c>
      <c r="Z55" s="23">
        <f t="shared" si="11"/>
        <v>-4.3925449949789808E+20</v>
      </c>
      <c r="AA55" s="64" t="e">
        <f t="shared" si="12"/>
        <v>#NUM!</v>
      </c>
      <c r="AB55" s="84" t="e">
        <f t="shared" si="13"/>
        <v>#DIV/0!</v>
      </c>
      <c r="AC55" s="28">
        <v>10.340999999999999</v>
      </c>
      <c r="AD55" s="34" t="e">
        <f t="shared" si="14"/>
        <v>#NUM!</v>
      </c>
      <c r="AI55" s="62"/>
    </row>
    <row r="56" spans="1:35">
      <c r="A56" s="7"/>
      <c r="C56" s="7"/>
      <c r="E56" s="25"/>
      <c r="F56" s="56"/>
      <c r="J56" s="19"/>
      <c r="K56" s="44"/>
      <c r="L56" s="44"/>
      <c r="M56" s="19">
        <f t="shared" si="0"/>
        <v>1</v>
      </c>
      <c r="N56" s="20">
        <f t="shared" si="1"/>
        <v>0</v>
      </c>
      <c r="O56" s="21">
        <f t="shared" si="2"/>
        <v>0</v>
      </c>
      <c r="P56" s="1" t="e">
        <f t="shared" si="3"/>
        <v>#DIV/0!</v>
      </c>
      <c r="Q56" s="1">
        <f t="shared" si="4"/>
        <v>4.6961750000000003E-4</v>
      </c>
      <c r="R56" s="39">
        <f t="shared" si="5"/>
        <v>-4.6961750000000003E-4</v>
      </c>
      <c r="S56" s="1">
        <f t="shared" si="6"/>
        <v>8960504864847561</v>
      </c>
      <c r="T56" s="1">
        <f t="shared" si="7"/>
        <v>8960504864847561</v>
      </c>
      <c r="U56" s="1">
        <f t="shared" si="8"/>
        <v>4.2773523658093067E-6</v>
      </c>
      <c r="V56" s="22">
        <f t="shared" si="9"/>
        <v>8960504864853164</v>
      </c>
      <c r="W56" s="1" t="e">
        <f t="shared" si="15"/>
        <v>#DIV/0!</v>
      </c>
      <c r="X56" s="21">
        <f t="shared" si="10"/>
        <v>8960504864853164</v>
      </c>
      <c r="Y56" s="6" t="e">
        <f t="shared" si="16"/>
        <v>#DIV/0!</v>
      </c>
      <c r="Z56" s="23">
        <f t="shared" si="11"/>
        <v>-4.3925449949789808E+20</v>
      </c>
      <c r="AA56" s="64" t="e">
        <f t="shared" si="12"/>
        <v>#NUM!</v>
      </c>
      <c r="AB56" s="84" t="e">
        <f t="shared" si="13"/>
        <v>#DIV/0!</v>
      </c>
      <c r="AC56" s="28">
        <v>10.726000000000001</v>
      </c>
      <c r="AD56" s="34" t="e">
        <f t="shared" si="14"/>
        <v>#NUM!</v>
      </c>
      <c r="AI56" s="62"/>
    </row>
    <row r="57" spans="1:35">
      <c r="A57" s="7"/>
      <c r="C57" s="7"/>
      <c r="E57" s="25"/>
      <c r="F57" s="56"/>
      <c r="J57" s="19"/>
      <c r="K57" s="44"/>
      <c r="L57" s="44"/>
      <c r="M57" s="19">
        <f t="shared" si="0"/>
        <v>1</v>
      </c>
      <c r="N57" s="20">
        <f t="shared" si="1"/>
        <v>0</v>
      </c>
      <c r="O57" s="21">
        <f t="shared" si="2"/>
        <v>0</v>
      </c>
      <c r="P57" s="1" t="e">
        <f t="shared" si="3"/>
        <v>#DIV/0!</v>
      </c>
      <c r="Q57" s="1">
        <f t="shared" si="4"/>
        <v>4.6961750000000003E-4</v>
      </c>
      <c r="R57" s="39">
        <f t="shared" si="5"/>
        <v>-4.6961750000000003E-4</v>
      </c>
      <c r="S57" s="1">
        <f t="shared" si="6"/>
        <v>8960504864847561</v>
      </c>
      <c r="T57" s="1">
        <f t="shared" si="7"/>
        <v>8960504864847561</v>
      </c>
      <c r="U57" s="1">
        <f t="shared" si="8"/>
        <v>4.2773523658093067E-6</v>
      </c>
      <c r="V57" s="22">
        <f t="shared" si="9"/>
        <v>8960504864853164</v>
      </c>
      <c r="W57" s="1" t="e">
        <f t="shared" si="15"/>
        <v>#DIV/0!</v>
      </c>
      <c r="X57" s="21">
        <f t="shared" si="10"/>
        <v>8960504864853164</v>
      </c>
      <c r="Y57" s="6" t="e">
        <f t="shared" si="16"/>
        <v>#DIV/0!</v>
      </c>
      <c r="Z57" s="23">
        <f t="shared" si="11"/>
        <v>-4.3925449949789808E+20</v>
      </c>
      <c r="AA57" s="64" t="e">
        <f t="shared" si="12"/>
        <v>#NUM!</v>
      </c>
      <c r="AB57" s="84" t="e">
        <f t="shared" si="13"/>
        <v>#DIV/0!</v>
      </c>
      <c r="AC57" s="19">
        <v>10.881</v>
      </c>
      <c r="AD57" s="40" t="e">
        <f t="shared" si="14"/>
        <v>#NUM!</v>
      </c>
      <c r="AI57" s="62"/>
    </row>
    <row r="58" spans="1:35">
      <c r="A58" s="7"/>
      <c r="C58" s="7"/>
      <c r="E58" s="25"/>
      <c r="F58" s="56"/>
      <c r="J58" s="19"/>
      <c r="K58" s="44"/>
      <c r="L58" s="44"/>
      <c r="M58" s="19">
        <f t="shared" si="0"/>
        <v>1</v>
      </c>
      <c r="N58" s="20">
        <f t="shared" si="1"/>
        <v>0</v>
      </c>
      <c r="O58" s="21">
        <f t="shared" si="2"/>
        <v>0</v>
      </c>
      <c r="P58" s="1" t="e">
        <f t="shared" si="3"/>
        <v>#DIV/0!</v>
      </c>
      <c r="Q58" s="1">
        <f t="shared" si="4"/>
        <v>4.6961750000000003E-4</v>
      </c>
      <c r="R58" s="39">
        <f t="shared" si="5"/>
        <v>-4.6961750000000003E-4</v>
      </c>
      <c r="S58" s="1">
        <f t="shared" si="6"/>
        <v>8960504864847561</v>
      </c>
      <c r="T58" s="1">
        <f t="shared" si="7"/>
        <v>8960504864847561</v>
      </c>
      <c r="U58" s="1">
        <f t="shared" si="8"/>
        <v>4.2773523658093067E-6</v>
      </c>
      <c r="V58" s="22">
        <f t="shared" si="9"/>
        <v>8960504864853164</v>
      </c>
      <c r="W58" s="1" t="e">
        <f t="shared" si="15"/>
        <v>#DIV/0!</v>
      </c>
      <c r="X58" s="21">
        <f t="shared" si="10"/>
        <v>8960504864853164</v>
      </c>
      <c r="Y58" s="6" t="e">
        <f t="shared" si="16"/>
        <v>#DIV/0!</v>
      </c>
      <c r="Z58" s="23">
        <f t="shared" si="11"/>
        <v>-4.3925449949789808E+20</v>
      </c>
      <c r="AA58" s="64" t="e">
        <f t="shared" si="12"/>
        <v>#NUM!</v>
      </c>
      <c r="AB58" s="84" t="e">
        <f t="shared" si="13"/>
        <v>#DIV/0!</v>
      </c>
      <c r="AC58" s="19">
        <v>10.945</v>
      </c>
      <c r="AD58" s="40" t="e">
        <f t="shared" si="14"/>
        <v>#NUM!</v>
      </c>
      <c r="AI58" s="62"/>
    </row>
    <row r="59" spans="1:35">
      <c r="A59" s="7"/>
      <c r="C59" s="7"/>
      <c r="E59" s="25"/>
      <c r="F59" s="56"/>
      <c r="J59" s="19"/>
      <c r="K59" s="44"/>
      <c r="L59" s="44"/>
      <c r="M59" s="19">
        <f t="shared" si="0"/>
        <v>1</v>
      </c>
      <c r="N59" s="20">
        <f t="shared" si="1"/>
        <v>0</v>
      </c>
      <c r="O59" s="21">
        <f t="shared" si="2"/>
        <v>0</v>
      </c>
      <c r="P59" s="1" t="e">
        <f t="shared" si="3"/>
        <v>#DIV/0!</v>
      </c>
      <c r="Q59" s="1">
        <f t="shared" si="4"/>
        <v>4.6961750000000003E-4</v>
      </c>
      <c r="R59" s="39">
        <f t="shared" si="5"/>
        <v>-4.6961750000000003E-4</v>
      </c>
      <c r="S59" s="1">
        <f t="shared" si="6"/>
        <v>8960504864847561</v>
      </c>
      <c r="T59" s="1">
        <f t="shared" si="7"/>
        <v>8960504864847561</v>
      </c>
      <c r="U59" s="1">
        <f t="shared" si="8"/>
        <v>4.2773523658093067E-6</v>
      </c>
      <c r="V59" s="22">
        <f t="shared" si="9"/>
        <v>8960504864853164</v>
      </c>
      <c r="W59" s="1" t="e">
        <f t="shared" si="15"/>
        <v>#DIV/0!</v>
      </c>
      <c r="X59" s="21">
        <f t="shared" si="10"/>
        <v>8960504864853164</v>
      </c>
      <c r="Y59" s="6" t="e">
        <f t="shared" si="16"/>
        <v>#DIV/0!</v>
      </c>
      <c r="Z59" s="23">
        <f t="shared" si="11"/>
        <v>-4.3925449949789808E+20</v>
      </c>
      <c r="AA59" s="64" t="e">
        <f t="shared" si="12"/>
        <v>#NUM!</v>
      </c>
      <c r="AB59" s="84" t="e">
        <f t="shared" si="13"/>
        <v>#DIV/0!</v>
      </c>
      <c r="AC59" s="19">
        <v>11.169</v>
      </c>
      <c r="AD59" s="40" t="e">
        <f t="shared" si="14"/>
        <v>#NUM!</v>
      </c>
      <c r="AI59" s="62"/>
    </row>
    <row r="60" spans="1:35">
      <c r="A60" s="7"/>
      <c r="C60" s="7"/>
      <c r="E60" s="25"/>
      <c r="F60" s="56"/>
      <c r="J60" s="19"/>
      <c r="K60" s="44"/>
      <c r="L60" s="44"/>
      <c r="M60" s="19">
        <f t="shared" si="0"/>
        <v>1</v>
      </c>
      <c r="N60" s="20">
        <f t="shared" si="1"/>
        <v>0</v>
      </c>
      <c r="O60" s="21">
        <f t="shared" si="2"/>
        <v>0</v>
      </c>
      <c r="P60" s="1" t="e">
        <f t="shared" si="3"/>
        <v>#DIV/0!</v>
      </c>
      <c r="Q60" s="1">
        <f t="shared" si="4"/>
        <v>4.6961750000000003E-4</v>
      </c>
      <c r="R60" s="39">
        <f t="shared" si="5"/>
        <v>-4.6961750000000003E-4</v>
      </c>
      <c r="S60" s="1">
        <f t="shared" si="6"/>
        <v>8960504864847561</v>
      </c>
      <c r="T60" s="1">
        <f t="shared" si="7"/>
        <v>8960504864847561</v>
      </c>
      <c r="U60" s="1">
        <f t="shared" si="8"/>
        <v>4.2773523658093067E-6</v>
      </c>
      <c r="V60" s="22">
        <f t="shared" si="9"/>
        <v>8960504864853164</v>
      </c>
      <c r="W60" s="1" t="e">
        <f t="shared" si="15"/>
        <v>#DIV/0!</v>
      </c>
      <c r="X60" s="21">
        <f t="shared" si="10"/>
        <v>8960504864853164</v>
      </c>
      <c r="Y60" s="6" t="e">
        <f t="shared" si="16"/>
        <v>#DIV/0!</v>
      </c>
      <c r="Z60" s="23">
        <f t="shared" si="11"/>
        <v>-4.3925449949789808E+20</v>
      </c>
      <c r="AA60" s="64" t="e">
        <f t="shared" si="12"/>
        <v>#NUM!</v>
      </c>
      <c r="AB60" s="84" t="e">
        <f t="shared" si="13"/>
        <v>#DIV/0!</v>
      </c>
      <c r="AC60" s="19">
        <v>11.311</v>
      </c>
      <c r="AD60" s="40" t="e">
        <f>(AA60-AC60)*1000</f>
        <v>#NUM!</v>
      </c>
      <c r="AI60" s="62"/>
    </row>
    <row r="62" spans="1:35">
      <c r="A62" s="118" t="s">
        <v>141</v>
      </c>
      <c r="B62" s="119"/>
      <c r="C62" s="119"/>
      <c r="D62" s="120"/>
      <c r="E62" s="5"/>
      <c r="AI62" s="7"/>
    </row>
    <row r="63" spans="1:35" ht="15">
      <c r="A63" s="1" t="s">
        <v>139</v>
      </c>
      <c r="B63" s="77" t="s">
        <v>89</v>
      </c>
      <c r="C63" s="74" t="s">
        <v>16</v>
      </c>
      <c r="D63" s="76" t="s">
        <v>88</v>
      </c>
      <c r="E63" s="75" t="s">
        <v>142</v>
      </c>
      <c r="F63" s="75" t="s">
        <v>143</v>
      </c>
      <c r="G63" s="75"/>
      <c r="H63" s="75" t="s">
        <v>19</v>
      </c>
      <c r="I63" s="75"/>
      <c r="J63" s="74" t="s">
        <v>87</v>
      </c>
      <c r="K63" s="74" t="s">
        <v>83</v>
      </c>
      <c r="L63" s="73" t="s">
        <v>84</v>
      </c>
      <c r="M63" s="104"/>
      <c r="N63" s="73" t="s">
        <v>85</v>
      </c>
      <c r="O63" s="38" t="s">
        <v>86</v>
      </c>
      <c r="P63" s="72" t="s">
        <v>14</v>
      </c>
      <c r="Q63" s="71" t="s">
        <v>75</v>
      </c>
    </row>
    <row r="64" spans="1:35">
      <c r="A64" s="1">
        <v>4</v>
      </c>
      <c r="B64" s="86">
        <v>0</v>
      </c>
      <c r="C64" s="7">
        <v>307.9645498676586</v>
      </c>
      <c r="D64" s="7">
        <f>C64+0.000018</f>
        <v>307.96456786765862</v>
      </c>
      <c r="E64" s="90">
        <f>1.345*2/1000</f>
        <v>2.6900000000000001E-3</v>
      </c>
      <c r="F64" s="90">
        <f>3.016*0.5/1000</f>
        <v>1.508E-3</v>
      </c>
      <c r="H64" s="93">
        <f>E64+F64</f>
        <v>4.1980000000000003E-3</v>
      </c>
      <c r="J64" s="94">
        <f>C64-H64</f>
        <v>307.96035186765863</v>
      </c>
      <c r="K64" s="90">
        <f>D64-H64</f>
        <v>307.96036986765864</v>
      </c>
      <c r="L64" s="106">
        <f>$B$7*$G$8/($B$5*$B$9*$B$6)*SQRT((J64/$G$8+1)^2-1)</f>
        <v>2.0937253726718885</v>
      </c>
      <c r="M64" s="105"/>
      <c r="N64" s="70">
        <f>$B$7*$G$8/($B$5*$B$9*$B$6)*SQRT((K64/$G$8+1)^2-1)</f>
        <v>2.0937254354966188</v>
      </c>
      <c r="O64" s="90">
        <f>N64-L64</f>
        <v>6.2824730306942911E-8</v>
      </c>
      <c r="P64" s="1">
        <v>-355.09500000000003</v>
      </c>
      <c r="Q64" s="44">
        <v>5.2838099999999999E-3</v>
      </c>
      <c r="AI64" s="7"/>
    </row>
    <row r="65" spans="1:35">
      <c r="B65" s="86">
        <v>2.4293999999999998</v>
      </c>
      <c r="C65" s="7">
        <v>305.5332059903277</v>
      </c>
      <c r="D65" s="7">
        <f>C65+0.0013+0.000018</f>
        <v>305.53452399032773</v>
      </c>
      <c r="E65" s="90">
        <f xml:space="preserve"> 1.354*2/1000</f>
        <v>2.7080000000000003E-3</v>
      </c>
      <c r="F65" s="90">
        <f xml:space="preserve">  3.035*0.5/1000</f>
        <v>1.5175E-3</v>
      </c>
      <c r="H65" s="93">
        <f t="shared" ref="H65:H93" si="17">E65+F65</f>
        <v>4.2255000000000001E-3</v>
      </c>
      <c r="J65" s="94">
        <f t="shared" ref="J65:J93" si="18">C65-H65</f>
        <v>305.52898049032768</v>
      </c>
      <c r="K65" s="90">
        <f t="shared" ref="K65:K93" si="19">D65-H65</f>
        <v>305.53029849032771</v>
      </c>
      <c r="L65" s="106">
        <f t="shared" ref="L65:L93" si="20">$B$7*$G$8/($B$5*$B$9*$B$6)*SQRT((J65/$G$8+1)^2-1)</f>
        <v>2.0852237323728504</v>
      </c>
      <c r="M65" s="105"/>
      <c r="N65" s="70">
        <f t="shared" ref="N65:N93" si="21">$B$7*$G$8/($B$5*$B$9*$B$6)*SQRT((K65/$G$8+1)^2-1)</f>
        <v>2.0852283493899706</v>
      </c>
      <c r="O65" s="90">
        <f t="shared" ref="O65:O93" si="22">N65-L65</f>
        <v>4.6170171201787014E-6</v>
      </c>
      <c r="P65" s="1">
        <v>-259.49</v>
      </c>
      <c r="Q65" s="44">
        <v>1.6854999999999998E-2</v>
      </c>
      <c r="AI65" s="7"/>
    </row>
    <row r="66" spans="1:35">
      <c r="A66" s="1">
        <v>5</v>
      </c>
      <c r="B66" s="86">
        <v>0</v>
      </c>
      <c r="C66" s="7">
        <v>307.38589597734511</v>
      </c>
      <c r="D66" s="7">
        <f>C66+0.000018</f>
        <v>307.38591397734513</v>
      </c>
      <c r="E66" s="90">
        <f xml:space="preserve">  1.347*2/1000</f>
        <v>2.6939999999999998E-3</v>
      </c>
      <c r="F66" s="90">
        <f xml:space="preserve"> 3.021*0.5/1000</f>
        <v>1.5104999999999999E-3</v>
      </c>
      <c r="H66" s="93">
        <f t="shared" si="17"/>
        <v>4.2044999999999999E-3</v>
      </c>
      <c r="J66" s="94">
        <f t="shared" si="18"/>
        <v>307.3816914773451</v>
      </c>
      <c r="K66" s="90">
        <f t="shared" si="19"/>
        <v>307.38170947734511</v>
      </c>
      <c r="L66" s="106">
        <f t="shared" si="20"/>
        <v>2.0917048197442454</v>
      </c>
      <c r="M66" s="105"/>
      <c r="N66" s="70">
        <f t="shared" si="21"/>
        <v>2.0917048826235058</v>
      </c>
      <c r="O66" s="90">
        <f t="shared" si="22"/>
        <v>6.287926046510961E-8</v>
      </c>
      <c r="P66" s="1">
        <v>-329.666</v>
      </c>
      <c r="Q66" s="44">
        <v>1.0670900000000001E-2</v>
      </c>
    </row>
    <row r="67" spans="1:35">
      <c r="B67" s="86">
        <v>2.4293999999999998</v>
      </c>
      <c r="C67" s="7">
        <v>304.95541417501391</v>
      </c>
      <c r="D67" s="7">
        <f>C67+0.0013+0.000018</f>
        <v>304.95673217501394</v>
      </c>
      <c r="E67" s="90">
        <f>1.356*2/1000</f>
        <v>2.712E-3</v>
      </c>
      <c r="F67" s="90">
        <f xml:space="preserve">  3.039*0.5/1000</f>
        <v>1.5195E-3</v>
      </c>
      <c r="H67" s="93">
        <f t="shared" si="17"/>
        <v>4.2315E-3</v>
      </c>
      <c r="J67" s="94">
        <f t="shared" si="18"/>
        <v>304.95118267501391</v>
      </c>
      <c r="K67" s="90">
        <f t="shared" si="19"/>
        <v>304.95250067501394</v>
      </c>
      <c r="L67" s="106">
        <f t="shared" si="20"/>
        <v>2.083198792705987</v>
      </c>
      <c r="M67" s="105"/>
      <c r="N67" s="70">
        <f t="shared" si="21"/>
        <v>2.0832034137590618</v>
      </c>
      <c r="O67" s="90">
        <f t="shared" si="22"/>
        <v>4.6210530748602707E-6</v>
      </c>
      <c r="P67" s="1">
        <v>-237.136</v>
      </c>
      <c r="Q67" s="44">
        <v>2.7503799999999998E-2</v>
      </c>
    </row>
    <row r="68" spans="1:35">
      <c r="A68" s="1">
        <v>6</v>
      </c>
      <c r="B68" s="86">
        <v>0</v>
      </c>
      <c r="C68" s="32">
        <v>306.68004859153604</v>
      </c>
      <c r="D68" s="7">
        <f>C68+0.000018</f>
        <v>306.68006659153605</v>
      </c>
      <c r="E68" s="90">
        <f>1.35*2/1000</f>
        <v>2.7000000000000001E-3</v>
      </c>
      <c r="F68" s="90">
        <f>3.026*0.5/1000</f>
        <v>1.5129999999999998E-3</v>
      </c>
      <c r="H68" s="93">
        <f t="shared" si="17"/>
        <v>4.2129999999999997E-3</v>
      </c>
      <c r="J68" s="94">
        <f t="shared" si="18"/>
        <v>306.67583559153604</v>
      </c>
      <c r="K68" s="90">
        <f t="shared" si="19"/>
        <v>306.67585359153605</v>
      </c>
      <c r="L68" s="106">
        <f t="shared" si="20"/>
        <v>2.0892377511560896</v>
      </c>
      <c r="M68" s="105"/>
      <c r="N68" s="70">
        <f t="shared" si="21"/>
        <v>2.0892378141020838</v>
      </c>
      <c r="O68" s="90">
        <f t="shared" si="22"/>
        <v>6.2945994194762989E-8</v>
      </c>
      <c r="P68" s="1">
        <v>-305.05700000000002</v>
      </c>
      <c r="Q68" s="44">
        <v>1.1065500000000001E-2</v>
      </c>
    </row>
    <row r="69" spans="1:35">
      <c r="B69" s="86">
        <v>2.4293999999999998</v>
      </c>
      <c r="C69" s="32">
        <v>304.25062143231349</v>
      </c>
      <c r="D69" s="7">
        <f>C69+0.0013+0.000018</f>
        <v>304.25193943231352</v>
      </c>
      <c r="E69" s="90">
        <f>1.358*2/1000</f>
        <v>2.7160000000000001E-3</v>
      </c>
      <c r="F69" s="90">
        <f xml:space="preserve"> 3.044*0.5/1000</f>
        <v>1.5219999999999999E-3</v>
      </c>
      <c r="H69" s="93">
        <f t="shared" si="17"/>
        <v>4.2380000000000004E-3</v>
      </c>
      <c r="J69" s="94">
        <f t="shared" si="18"/>
        <v>304.24638343231351</v>
      </c>
      <c r="K69" s="90">
        <f t="shared" si="19"/>
        <v>304.24770143231353</v>
      </c>
      <c r="L69" s="106">
        <f t="shared" si="20"/>
        <v>2.0807263667262728</v>
      </c>
      <c r="M69" s="105"/>
      <c r="N69" s="70">
        <f t="shared" si="21"/>
        <v>2.0807309927183835</v>
      </c>
      <c r="O69" s="90">
        <f t="shared" si="22"/>
        <v>4.6259921107072444E-6</v>
      </c>
      <c r="P69" s="1">
        <v>-209.578</v>
      </c>
      <c r="Q69" s="44">
        <v>4.3967399999999997E-2</v>
      </c>
    </row>
    <row r="70" spans="1:35">
      <c r="A70" s="1">
        <v>7</v>
      </c>
      <c r="B70" s="86">
        <v>0</v>
      </c>
      <c r="C70" s="7">
        <v>305.84784192845029</v>
      </c>
      <c r="D70" s="7">
        <f>C70+0.000018</f>
        <v>305.8478599284503</v>
      </c>
      <c r="E70" s="90">
        <f xml:space="preserve">   1.353*2/1000</f>
        <v>2.7060000000000001E-3</v>
      </c>
      <c r="F70" s="90">
        <f xml:space="preserve">  3.032*0.5/1000</f>
        <v>1.516E-3</v>
      </c>
      <c r="H70" s="93">
        <f t="shared" si="17"/>
        <v>4.2220000000000001E-3</v>
      </c>
      <c r="J70" s="94">
        <f t="shared" si="18"/>
        <v>305.84361992845027</v>
      </c>
      <c r="K70" s="90">
        <f t="shared" si="19"/>
        <v>305.84363792845028</v>
      </c>
      <c r="L70" s="106">
        <f t="shared" si="20"/>
        <v>2.0863256686779637</v>
      </c>
      <c r="M70" s="105"/>
      <c r="N70" s="70">
        <f t="shared" si="21"/>
        <v>2.08632573170294</v>
      </c>
      <c r="O70" s="90">
        <f t="shared" si="22"/>
        <v>6.3024976348913242E-8</v>
      </c>
      <c r="P70" s="96">
        <v>-272.59399999999999</v>
      </c>
      <c r="Q70" s="44">
        <v>9.4783599999999999E-3</v>
      </c>
      <c r="R70" s="96">
        <v>-272.60000000000002</v>
      </c>
    </row>
    <row r="71" spans="1:35">
      <c r="B71" s="86">
        <v>2.4293999999999998</v>
      </c>
      <c r="C71" s="32">
        <v>303.41966258007091</v>
      </c>
      <c r="D71" s="7">
        <f>C71+0.0013+0.000018</f>
        <v>303.42098058007093</v>
      </c>
      <c r="E71" s="90">
        <f>1.361*2/1000</f>
        <v>2.722E-3</v>
      </c>
      <c r="F71" s="90">
        <f>3.05*0.5/1000</f>
        <v>1.5249999999999999E-3</v>
      </c>
      <c r="H71" s="93">
        <f t="shared" si="17"/>
        <v>4.2469999999999999E-3</v>
      </c>
      <c r="J71" s="94">
        <f t="shared" si="18"/>
        <v>303.41541558007088</v>
      </c>
      <c r="K71" s="90">
        <f t="shared" si="19"/>
        <v>303.41673358007091</v>
      </c>
      <c r="L71" s="106">
        <f t="shared" si="20"/>
        <v>2.077807943557469</v>
      </c>
      <c r="M71" s="105"/>
      <c r="N71" s="70">
        <f t="shared" si="21"/>
        <v>2.07781257539544</v>
      </c>
      <c r="O71" s="90">
        <f t="shared" si="22"/>
        <v>4.6318379709475721E-6</v>
      </c>
      <c r="P71" s="96">
        <v>-177.297</v>
      </c>
      <c r="Q71" s="44">
        <v>3.2901399999999997E-2</v>
      </c>
      <c r="R71" s="96">
        <v>-177.3</v>
      </c>
    </row>
    <row r="72" spans="1:35">
      <c r="A72" s="1">
        <v>8</v>
      </c>
      <c r="B72" s="86">
        <v>0</v>
      </c>
      <c r="C72" s="7">
        <v>304.89025867640481</v>
      </c>
      <c r="D72" s="7">
        <f>C72+0.000018</f>
        <v>304.89027667640482</v>
      </c>
      <c r="E72" s="90">
        <f xml:space="preserve"> 1.356*2/1000</f>
        <v>2.712E-3</v>
      </c>
      <c r="F72" s="90">
        <f>3.039*0.5/1000</f>
        <v>1.5195E-3</v>
      </c>
      <c r="H72" s="93">
        <f t="shared" si="17"/>
        <v>4.2315E-3</v>
      </c>
      <c r="J72" s="94">
        <f t="shared" si="18"/>
        <v>304.88602717640481</v>
      </c>
      <c r="K72" s="90">
        <f t="shared" si="19"/>
        <v>304.88604517640482</v>
      </c>
      <c r="L72" s="106">
        <f t="shared" si="20"/>
        <v>2.0829703388612772</v>
      </c>
      <c r="M72" s="105"/>
      <c r="N72" s="70">
        <f t="shared" si="21"/>
        <v>2.082970401977545</v>
      </c>
      <c r="O72" s="90">
        <f t="shared" si="22"/>
        <v>6.3116267767782119E-8</v>
      </c>
      <c r="P72" s="96">
        <v>-239.54900000000001</v>
      </c>
      <c r="Q72" s="44">
        <v>1.3389099999999999E-2</v>
      </c>
      <c r="R72" s="96">
        <v>-239.5</v>
      </c>
    </row>
    <row r="73" spans="1:35">
      <c r="B73" s="86">
        <v>2.4293999999999998</v>
      </c>
      <c r="C73" s="32">
        <v>302.46352101714245</v>
      </c>
      <c r="D73" s="7">
        <f>C73+0.0013+0.000018</f>
        <v>302.46483901714248</v>
      </c>
      <c r="E73" s="90">
        <f>1.364*2/1000</f>
        <v>2.7280000000000004E-3</v>
      </c>
      <c r="F73" s="90">
        <f xml:space="preserve"> 3.057*0.5/1000</f>
        <v>1.5284999999999999E-3</v>
      </c>
      <c r="H73" s="93">
        <f t="shared" si="17"/>
        <v>4.2564999999999999E-3</v>
      </c>
      <c r="J73" s="94">
        <f t="shared" si="18"/>
        <v>302.45926451714246</v>
      </c>
      <c r="K73" s="90">
        <f t="shared" si="19"/>
        <v>302.46058251714248</v>
      </c>
      <c r="L73" s="106">
        <f t="shared" si="20"/>
        <v>2.074445296332438</v>
      </c>
      <c r="M73" s="105"/>
      <c r="N73" s="70">
        <f t="shared" si="21"/>
        <v>2.074449934927511</v>
      </c>
      <c r="O73" s="90">
        <f t="shared" si="22"/>
        <v>4.6385950729366243E-6</v>
      </c>
      <c r="P73" s="96">
        <v>-145.05500000000001</v>
      </c>
      <c r="Q73" s="44">
        <v>2.6109199999999999E-2</v>
      </c>
      <c r="R73" s="96">
        <v>-145</v>
      </c>
    </row>
    <row r="74" spans="1:35">
      <c r="A74" s="1">
        <v>9</v>
      </c>
      <c r="B74" s="86">
        <v>0</v>
      </c>
      <c r="C74" s="7">
        <v>303.80842840141094</v>
      </c>
      <c r="D74" s="7">
        <f>C74+0.000018</f>
        <v>303.80844640141095</v>
      </c>
      <c r="E74" s="90">
        <f>1.359*2/1000</f>
        <v>2.7179999999999999E-3</v>
      </c>
      <c r="F74" s="90">
        <f>3.047*0.5/1000</f>
        <v>1.5235000000000001E-3</v>
      </c>
      <c r="H74" s="93">
        <f t="shared" si="17"/>
        <v>4.2415000000000005E-3</v>
      </c>
      <c r="J74" s="94">
        <f t="shared" si="18"/>
        <v>303.80418690141096</v>
      </c>
      <c r="K74" s="90">
        <f t="shared" si="19"/>
        <v>303.80420490141097</v>
      </c>
      <c r="L74" s="106">
        <f t="shared" si="20"/>
        <v>2.0791737972417601</v>
      </c>
      <c r="M74" s="105"/>
      <c r="N74" s="70">
        <f t="shared" si="21"/>
        <v>2.0791738604617009</v>
      </c>
      <c r="O74" s="90">
        <f t="shared" si="22"/>
        <v>6.3219940837910826E-8</v>
      </c>
      <c r="P74" s="96">
        <v>-197.43</v>
      </c>
      <c r="Q74" s="44">
        <v>1.65346E-2</v>
      </c>
      <c r="R74" s="96">
        <v>-197.4</v>
      </c>
    </row>
    <row r="75" spans="1:35">
      <c r="B75" s="86">
        <v>2.4293999999999998</v>
      </c>
      <c r="C75" s="7">
        <v>301.38332713189806</v>
      </c>
      <c r="D75" s="7">
        <f>C75+0.0013+0.000018</f>
        <v>301.38464513189808</v>
      </c>
      <c r="E75" s="90">
        <f>1.368*2/1000</f>
        <v>2.7360000000000002E-3</v>
      </c>
      <c r="F75" s="90">
        <f xml:space="preserve">  3.066*0.5/1000</f>
        <v>1.5329999999999999E-3</v>
      </c>
      <c r="H75" s="93">
        <f t="shared" si="17"/>
        <v>4.2690000000000002E-3</v>
      </c>
      <c r="J75" s="94">
        <f t="shared" si="18"/>
        <v>301.37905813189803</v>
      </c>
      <c r="K75" s="90">
        <f t="shared" si="19"/>
        <v>301.38037613189806</v>
      </c>
      <c r="L75" s="106">
        <f t="shared" si="20"/>
        <v>2.0706404513125443</v>
      </c>
      <c r="M75" s="105"/>
      <c r="N75" s="70">
        <f t="shared" si="21"/>
        <v>2.0706450975810857</v>
      </c>
      <c r="O75" s="90">
        <f t="shared" si="22"/>
        <v>4.6462685414638827E-6</v>
      </c>
      <c r="P75" s="96">
        <v>-102.687</v>
      </c>
      <c r="Q75" s="44">
        <v>2.59502E-2</v>
      </c>
      <c r="R75" s="96">
        <v>-102.7</v>
      </c>
    </row>
    <row r="76" spans="1:35">
      <c r="A76" s="1">
        <v>10</v>
      </c>
      <c r="B76" s="86">
        <v>0</v>
      </c>
      <c r="C76" s="7">
        <v>302.60362571783725</v>
      </c>
      <c r="D76" s="7">
        <f>C76+0.000018</f>
        <v>302.60364371783726</v>
      </c>
      <c r="E76" s="90">
        <f xml:space="preserve"> 1.364*2/1000</f>
        <v>2.7280000000000004E-3</v>
      </c>
      <c r="F76" s="90">
        <f>3.056*0.5/1000</f>
        <v>1.5280000000000001E-3</v>
      </c>
      <c r="H76" s="93">
        <f t="shared" si="17"/>
        <v>4.2560000000000002E-3</v>
      </c>
      <c r="J76" s="94">
        <f t="shared" si="18"/>
        <v>302.59936971783725</v>
      </c>
      <c r="K76" s="90">
        <f t="shared" si="19"/>
        <v>302.59938771783726</v>
      </c>
      <c r="L76" s="106">
        <f t="shared" si="20"/>
        <v>2.0749383330812776</v>
      </c>
      <c r="M76" s="105"/>
      <c r="N76" s="70">
        <f t="shared" si="21"/>
        <v>2.0749383964173451</v>
      </c>
      <c r="O76" s="90">
        <f t="shared" si="22"/>
        <v>6.3336067501751359E-8</v>
      </c>
      <c r="P76" s="96">
        <v>-153.416</v>
      </c>
      <c r="Q76" s="44">
        <v>2.0310600000000002E-2</v>
      </c>
      <c r="R76" s="96">
        <v>-153.4</v>
      </c>
    </row>
    <row r="77" spans="1:35">
      <c r="B77" s="86">
        <v>2.4293999999999998</v>
      </c>
      <c r="C77" s="7">
        <v>300.18035647392918</v>
      </c>
      <c r="D77" s="7">
        <f>C77+0.0013+0.000018</f>
        <v>300.18167447392921</v>
      </c>
      <c r="E77" s="90">
        <f>1.372*2/1000</f>
        <v>2.7440000000000003E-3</v>
      </c>
      <c r="F77" s="90">
        <f>3.075*0.5/1000</f>
        <v>1.5375E-3</v>
      </c>
      <c r="H77" s="93">
        <f t="shared" si="17"/>
        <v>4.2815000000000006E-3</v>
      </c>
      <c r="J77" s="94">
        <f t="shared" si="18"/>
        <v>300.17607497392919</v>
      </c>
      <c r="K77" s="90">
        <f t="shared" si="19"/>
        <v>300.17739297392922</v>
      </c>
      <c r="L77" s="106">
        <f t="shared" si="20"/>
        <v>2.0663957219045597</v>
      </c>
      <c r="M77" s="105"/>
      <c r="N77" s="70">
        <f t="shared" si="21"/>
        <v>2.0664003767687258</v>
      </c>
      <c r="O77" s="90">
        <f t="shared" si="22"/>
        <v>4.654864166120376E-6</v>
      </c>
      <c r="P77" s="96">
        <v>-58.633600000000001</v>
      </c>
      <c r="Q77" s="44">
        <v>4.4526999999999997E-2</v>
      </c>
      <c r="R77" s="96">
        <v>-58.61</v>
      </c>
    </row>
    <row r="78" spans="1:35">
      <c r="A78" s="1">
        <v>11</v>
      </c>
      <c r="B78" s="86">
        <v>0</v>
      </c>
      <c r="C78" s="7">
        <v>301.27726822556122</v>
      </c>
      <c r="D78" s="7">
        <f>C78+0.000018</f>
        <v>301.27728622556123</v>
      </c>
      <c r="E78" s="90">
        <f xml:space="preserve"> 1.368*2/1000</f>
        <v>2.7360000000000002E-3</v>
      </c>
      <c r="F78" s="90">
        <f xml:space="preserve"> 3.066*0.5/1000</f>
        <v>1.5329999999999999E-3</v>
      </c>
      <c r="H78" s="93">
        <f t="shared" si="17"/>
        <v>4.2690000000000002E-3</v>
      </c>
      <c r="J78" s="94">
        <f t="shared" si="18"/>
        <v>301.27299922556119</v>
      </c>
      <c r="K78" s="90">
        <f t="shared" si="19"/>
        <v>301.2730172255612</v>
      </c>
      <c r="L78" s="106">
        <f t="shared" si="20"/>
        <v>2.0702665372542981</v>
      </c>
      <c r="M78" s="105"/>
      <c r="N78" s="70">
        <f t="shared" si="21"/>
        <v>2.0702666007190329</v>
      </c>
      <c r="O78" s="90">
        <f t="shared" si="22"/>
        <v>6.3464734800788847E-8</v>
      </c>
      <c r="P78" s="96">
        <v>-105.238</v>
      </c>
      <c r="Q78" s="44">
        <v>2.2548599999999999E-2</v>
      </c>
      <c r="R78" s="96">
        <v>-105.2</v>
      </c>
    </row>
    <row r="79" spans="1:35">
      <c r="B79" s="86">
        <v>2.4293999999999998</v>
      </c>
      <c r="C79" s="7">
        <v>298.85602769235044</v>
      </c>
      <c r="D79" s="7">
        <f>C79+0.0013+0.000018</f>
        <v>298.85734569235046</v>
      </c>
      <c r="E79" s="90">
        <f xml:space="preserve"> 1.377*2/1000</f>
        <v>2.7539999999999999E-3</v>
      </c>
      <c r="F79" s="90">
        <f xml:space="preserve">  3.086*0.5/1000</f>
        <v>1.5429999999999999E-3</v>
      </c>
      <c r="H79" s="93">
        <f t="shared" si="17"/>
        <v>4.2969999999999996E-3</v>
      </c>
      <c r="J79" s="94">
        <f t="shared" si="18"/>
        <v>298.85173069235043</v>
      </c>
      <c r="K79" s="90">
        <f t="shared" si="19"/>
        <v>298.85304869235046</v>
      </c>
      <c r="L79" s="106">
        <f t="shared" si="20"/>
        <v>2.0617136668292089</v>
      </c>
      <c r="M79" s="105"/>
      <c r="N79" s="70">
        <f t="shared" si="21"/>
        <v>2.061718331217675</v>
      </c>
      <c r="O79" s="90">
        <f t="shared" si="22"/>
        <v>4.6643884661357049E-6</v>
      </c>
      <c r="P79" s="96">
        <v>-10.7555</v>
      </c>
      <c r="Q79" s="44">
        <v>4.8357299999999999E-2</v>
      </c>
      <c r="R79" s="96">
        <v>-10.66</v>
      </c>
    </row>
    <row r="80" spans="1:35">
      <c r="A80" s="1">
        <v>12</v>
      </c>
      <c r="B80" s="86">
        <v>0</v>
      </c>
      <c r="C80" s="7">
        <v>299.83091421740761</v>
      </c>
      <c r="D80" s="7">
        <f>C80+0.000018</f>
        <v>299.83093221740762</v>
      </c>
      <c r="E80" s="90">
        <f>1.373*2/1000</f>
        <v>2.7460000000000002E-3</v>
      </c>
      <c r="F80" s="90">
        <f>3.077*0.5/1000</f>
        <v>1.5384999999999999E-3</v>
      </c>
      <c r="H80" s="93">
        <f t="shared" si="17"/>
        <v>4.2845000000000001E-3</v>
      </c>
      <c r="J80" s="94">
        <f t="shared" si="18"/>
        <v>299.82662971740763</v>
      </c>
      <c r="K80" s="90">
        <f t="shared" si="19"/>
        <v>299.82664771740764</v>
      </c>
      <c r="L80" s="106">
        <f t="shared" si="20"/>
        <v>2.0651612304616904</v>
      </c>
      <c r="M80" s="105"/>
      <c r="N80" s="70">
        <f t="shared" si="21"/>
        <v>2.0651612940677326</v>
      </c>
      <c r="O80" s="90">
        <f t="shared" si="22"/>
        <v>6.3606042211006297E-8</v>
      </c>
      <c r="P80" s="96">
        <v>-52.8523</v>
      </c>
      <c r="Q80" s="44">
        <v>3.5684599999999997E-2</v>
      </c>
      <c r="R80" s="96">
        <v>-52.84</v>
      </c>
    </row>
    <row r="81" spans="1:18">
      <c r="B81" s="86">
        <v>2.4293999999999998</v>
      </c>
      <c r="C81" s="7">
        <v>297.41190024447417</v>
      </c>
      <c r="D81" s="7">
        <f>C81+0.0013+0.000018</f>
        <v>297.41321824447419</v>
      </c>
      <c r="E81" s="90">
        <f xml:space="preserve"> 1.383*2/1000</f>
        <v>2.7660000000000002E-3</v>
      </c>
      <c r="F81" s="90">
        <f xml:space="preserve">  3.098*0.5/1000</f>
        <v>1.549E-3</v>
      </c>
      <c r="H81" s="93">
        <f t="shared" si="17"/>
        <v>4.3150000000000003E-3</v>
      </c>
      <c r="J81" s="94">
        <f t="shared" si="18"/>
        <v>297.40758524447415</v>
      </c>
      <c r="K81" s="90">
        <f t="shared" si="19"/>
        <v>297.40890324447417</v>
      </c>
      <c r="L81" s="106">
        <f t="shared" si="20"/>
        <v>2.0565971221428687</v>
      </c>
      <c r="M81" s="105"/>
      <c r="N81" s="70">
        <f t="shared" si="21"/>
        <v>2.0566017969915249</v>
      </c>
      <c r="O81" s="90">
        <f t="shared" si="22"/>
        <v>4.6748486561831726E-6</v>
      </c>
      <c r="P81" s="96">
        <v>42.759900000000002</v>
      </c>
      <c r="Q81" s="44">
        <v>7.0877300000000004E-2</v>
      </c>
      <c r="R81" s="96">
        <v>42.85</v>
      </c>
    </row>
    <row r="82" spans="1:18">
      <c r="A82" s="1">
        <v>13</v>
      </c>
      <c r="B82" s="86">
        <v>0</v>
      </c>
      <c r="C82" s="7">
        <v>298.2662601610977</v>
      </c>
      <c r="D82" s="7">
        <f>C82+0.000018</f>
        <v>298.26627816109772</v>
      </c>
      <c r="E82" s="90">
        <f xml:space="preserve">  1.379*2/1000</f>
        <v>2.758E-3</v>
      </c>
      <c r="F82" s="90">
        <f xml:space="preserve">  3.091*0.5/1000</f>
        <v>1.5455E-3</v>
      </c>
      <c r="H82" s="93">
        <f>E82+F82</f>
        <v>4.3035E-3</v>
      </c>
      <c r="J82" s="94">
        <f t="shared" si="18"/>
        <v>298.26195666109771</v>
      </c>
      <c r="K82" s="90">
        <f t="shared" si="19"/>
        <v>298.26197466109772</v>
      </c>
      <c r="L82" s="106">
        <f t="shared" si="20"/>
        <v>2.0596255072750353</v>
      </c>
      <c r="M82" s="105"/>
      <c r="N82" s="70">
        <f t="shared" si="21"/>
        <v>2.0596255710351277</v>
      </c>
      <c r="O82" s="90">
        <f t="shared" si="22"/>
        <v>6.3760092317011186E-8</v>
      </c>
      <c r="P82" s="98">
        <v>8.8188899999999997</v>
      </c>
      <c r="Q82" s="44">
        <v>3.0622699999999999E-2</v>
      </c>
      <c r="R82" s="96">
        <v>8.8190000000000008</v>
      </c>
    </row>
    <row r="83" spans="1:18">
      <c r="B83" s="86">
        <v>2.4293999999999998</v>
      </c>
      <c r="C83" s="1">
        <v>295.84967187911246</v>
      </c>
      <c r="D83" s="7">
        <f>C83+0.0013+0.000018</f>
        <v>295.85098987911249</v>
      </c>
      <c r="E83" s="90">
        <f>1.389*2/1000</f>
        <v>2.7780000000000001E-3</v>
      </c>
      <c r="F83" s="90">
        <f>3.112*0.5/1000</f>
        <v>1.5560000000000001E-3</v>
      </c>
      <c r="H83" s="93">
        <f t="shared" si="17"/>
        <v>4.3340000000000002E-3</v>
      </c>
      <c r="J83" s="94">
        <f t="shared" si="18"/>
        <v>295.84533787911249</v>
      </c>
      <c r="K83" s="90">
        <f t="shared" si="19"/>
        <v>295.84665587911252</v>
      </c>
      <c r="L83" s="106">
        <f t="shared" si="20"/>
        <v>2.0510491908821957</v>
      </c>
      <c r="N83" s="70">
        <f t="shared" si="21"/>
        <v>2.0510538771348346</v>
      </c>
      <c r="O83" s="90">
        <f t="shared" si="22"/>
        <v>4.6862526388302683E-6</v>
      </c>
      <c r="P83" s="97">
        <v>103.801</v>
      </c>
      <c r="Q83" s="44">
        <v>5.2995899999999999E-2</v>
      </c>
      <c r="R83" s="96">
        <v>103.8</v>
      </c>
    </row>
    <row r="84" spans="1:18">
      <c r="A84" s="1">
        <v>14</v>
      </c>
      <c r="B84" s="86">
        <v>0</v>
      </c>
      <c r="C84" s="7">
        <v>296.58513796031224</v>
      </c>
      <c r="D84" s="7">
        <f>C84+0.000018</f>
        <v>296.58515596031225</v>
      </c>
      <c r="E84" s="90">
        <f xml:space="preserve"> 1.396*2/1000</f>
        <v>2.7919999999999998E-3</v>
      </c>
      <c r="F84" s="90">
        <f>3.106*0.5/1000</f>
        <v>1.5529999999999999E-3</v>
      </c>
      <c r="H84" s="93">
        <f t="shared" si="17"/>
        <v>4.3449999999999999E-3</v>
      </c>
      <c r="J84" s="94">
        <f t="shared" si="18"/>
        <v>296.58079296031224</v>
      </c>
      <c r="K84" s="90">
        <f t="shared" si="19"/>
        <v>296.58081096031225</v>
      </c>
      <c r="L84" s="106">
        <f t="shared" si="20"/>
        <v>2.0536626599089525</v>
      </c>
      <c r="N84" s="70">
        <f t="shared" si="21"/>
        <v>2.0536627238359566</v>
      </c>
      <c r="O84" s="90">
        <f t="shared" si="22"/>
        <v>6.3927004134711751E-8</v>
      </c>
      <c r="P84" s="96">
        <v>71.353399999999993</v>
      </c>
      <c r="Q84" s="44">
        <v>3.3728899999999999E-2</v>
      </c>
      <c r="R84" s="96">
        <v>71.349999999999994</v>
      </c>
    </row>
    <row r="85" spans="1:18">
      <c r="B85" s="86">
        <v>2.4293999999999998</v>
      </c>
      <c r="C85" s="1">
        <v>294.17117589904666</v>
      </c>
      <c r="D85" s="7">
        <f>C85+0.0013+0.000018</f>
        <v>294.17249389904669</v>
      </c>
      <c r="E85" s="90">
        <f xml:space="preserve"> 1.396*2/1000</f>
        <v>2.7919999999999998E-3</v>
      </c>
      <c r="F85" s="90">
        <f xml:space="preserve"> 3.127*0.5/1000</f>
        <v>1.5634999999999998E-3</v>
      </c>
      <c r="H85" s="93">
        <f t="shared" si="17"/>
        <v>4.3555E-3</v>
      </c>
      <c r="J85" s="94">
        <f t="shared" si="18"/>
        <v>294.16682039904668</v>
      </c>
      <c r="K85" s="90">
        <f t="shared" si="19"/>
        <v>294.16813839904671</v>
      </c>
      <c r="L85" s="106">
        <f t="shared" si="20"/>
        <v>2.0450732271227294</v>
      </c>
      <c r="N85" s="70">
        <f t="shared" si="21"/>
        <v>2.0450779257318081</v>
      </c>
      <c r="O85" s="90">
        <f t="shared" si="22"/>
        <v>4.6986090787015655E-6</v>
      </c>
      <c r="P85" s="96">
        <v>165.03700000000001</v>
      </c>
      <c r="Q85" s="44">
        <v>5.4917000000000001E-2</v>
      </c>
      <c r="R85" s="96">
        <v>165</v>
      </c>
    </row>
    <row r="86" spans="1:18">
      <c r="A86" s="1">
        <v>15</v>
      </c>
      <c r="B86" s="86">
        <v>0</v>
      </c>
      <c r="C86" s="1">
        <v>294.7895119998413</v>
      </c>
      <c r="D86" s="7">
        <f>C86+0.000018</f>
        <v>294.78952999984131</v>
      </c>
      <c r="E86" s="90">
        <f xml:space="preserve"> 1.393*2/1000</f>
        <v>2.7859999999999998E-3</v>
      </c>
      <c r="F86" s="90">
        <f>3.121*0.5/1000</f>
        <v>1.5605E-3</v>
      </c>
      <c r="H86" s="93">
        <f t="shared" si="17"/>
        <v>4.3464999999999997E-3</v>
      </c>
      <c r="J86" s="94">
        <f t="shared" si="18"/>
        <v>294.7851654998413</v>
      </c>
      <c r="K86" s="90">
        <f t="shared" si="19"/>
        <v>294.78518349984131</v>
      </c>
      <c r="L86" s="106">
        <f t="shared" si="20"/>
        <v>2.0472765297922764</v>
      </c>
      <c r="N86" s="70">
        <f t="shared" si="21"/>
        <v>2.0472765938991664</v>
      </c>
      <c r="O86" s="90">
        <f t="shared" si="22"/>
        <v>6.4106890018678087E-8</v>
      </c>
      <c r="P86" s="96">
        <v>137.435</v>
      </c>
      <c r="Q86" s="44">
        <v>4.3046599999999997E-2</v>
      </c>
      <c r="R86" s="96">
        <v>137.4</v>
      </c>
    </row>
    <row r="87" spans="1:18">
      <c r="B87" s="86">
        <v>2.4293999999999998</v>
      </c>
      <c r="C87" s="1">
        <v>292.37837820765617</v>
      </c>
      <c r="D87" s="7">
        <f>C87+0.0013+0.000018</f>
        <v>292.3796962076562</v>
      </c>
      <c r="E87" s="90">
        <f xml:space="preserve"> 1.4031*2/1000</f>
        <v>2.8062E-3</v>
      </c>
      <c r="F87" s="90">
        <f xml:space="preserve"> 3.142*0.5/1000</f>
        <v>1.5709999999999999E-3</v>
      </c>
      <c r="H87" s="93">
        <f t="shared" si="17"/>
        <v>4.3771999999999995E-3</v>
      </c>
      <c r="J87" s="94">
        <f t="shared" si="18"/>
        <v>292.37400100765615</v>
      </c>
      <c r="K87" s="90">
        <f t="shared" si="19"/>
        <v>292.37531900765617</v>
      </c>
      <c r="L87" s="106">
        <f t="shared" si="20"/>
        <v>2.0386728582854063</v>
      </c>
      <c r="N87" s="70">
        <f t="shared" si="21"/>
        <v>2.0386775702127178</v>
      </c>
      <c r="O87" s="90">
        <f t="shared" si="22"/>
        <v>4.7119273114404336E-6</v>
      </c>
      <c r="P87" s="96">
        <v>230.869</v>
      </c>
      <c r="Q87" s="44">
        <v>6.2146E-2</v>
      </c>
      <c r="R87" s="96">
        <v>231</v>
      </c>
    </row>
    <row r="88" spans="1:18">
      <c r="A88" s="1">
        <v>16</v>
      </c>
      <c r="B88" s="86">
        <v>0</v>
      </c>
      <c r="C88" s="1">
        <v>292.88147598016224</v>
      </c>
      <c r="D88" s="7">
        <f>C88+0.000018</f>
        <v>292.88149398016225</v>
      </c>
      <c r="E88" s="90">
        <f xml:space="preserve"> 1.401*2/1000</f>
        <v>2.8020000000000002E-3</v>
      </c>
      <c r="F88" s="90">
        <f xml:space="preserve">  3.138*0.5/1000</f>
        <v>1.5689999999999999E-3</v>
      </c>
      <c r="H88" s="93">
        <f t="shared" si="17"/>
        <v>4.3709999999999999E-3</v>
      </c>
      <c r="J88" s="94">
        <f t="shared" si="18"/>
        <v>292.87710498016224</v>
      </c>
      <c r="K88" s="90">
        <f t="shared" si="19"/>
        <v>292.87712298016226</v>
      </c>
      <c r="L88" s="106">
        <f t="shared" si="20"/>
        <v>2.0404707703296823</v>
      </c>
      <c r="N88" s="70">
        <f t="shared" si="21"/>
        <v>2.0404708346295863</v>
      </c>
      <c r="O88" s="90">
        <f t="shared" si="22"/>
        <v>6.4299904067866009E-8</v>
      </c>
      <c r="P88" s="96">
        <v>207.49100000000001</v>
      </c>
      <c r="Q88" s="44">
        <v>4.1111200000000001E-2</v>
      </c>
      <c r="R88" s="96">
        <v>207.5</v>
      </c>
    </row>
    <row r="89" spans="1:18">
      <c r="B89" s="86">
        <v>2.4293999999999998</v>
      </c>
      <c r="C89" s="1">
        <v>290.47337414500578</v>
      </c>
      <c r="D89" s="7">
        <f>C89+0.0013+0.000018</f>
        <v>290.4746921450058</v>
      </c>
      <c r="E89" s="90">
        <f xml:space="preserve"> 1.41*2/1000</f>
        <v>2.82E-3</v>
      </c>
      <c r="F89" s="90">
        <f xml:space="preserve"> 3.159*0.5/1000</f>
        <v>1.5795E-3</v>
      </c>
      <c r="H89" s="93">
        <f t="shared" si="17"/>
        <v>4.3994999999999998E-3</v>
      </c>
      <c r="J89" s="94">
        <f t="shared" si="18"/>
        <v>290.4689746450058</v>
      </c>
      <c r="K89" s="90">
        <f t="shared" si="19"/>
        <v>290.47029264500583</v>
      </c>
      <c r="L89" s="106">
        <f t="shared" si="20"/>
        <v>2.0318519600328333</v>
      </c>
      <c r="N89" s="70">
        <f t="shared" si="21"/>
        <v>2.0318566862502809</v>
      </c>
      <c r="O89" s="90">
        <f t="shared" si="22"/>
        <v>4.7262174476259133E-6</v>
      </c>
      <c r="P89" s="96">
        <v>300.48099999999999</v>
      </c>
      <c r="Q89" s="44">
        <v>6.3292699999999993E-2</v>
      </c>
      <c r="R89" s="96">
        <v>300.7</v>
      </c>
    </row>
    <row r="90" spans="1:18">
      <c r="A90" s="1">
        <v>17</v>
      </c>
      <c r="B90" s="86">
        <v>0</v>
      </c>
      <c r="C90" s="1">
        <v>290.86324954709505</v>
      </c>
      <c r="D90" s="7">
        <f>C90+0.000018</f>
        <v>290.86326754709506</v>
      </c>
      <c r="E90" s="90">
        <f xml:space="preserve">  1.409*2/1000</f>
        <v>2.8180000000000002E-3</v>
      </c>
      <c r="F90" s="90">
        <f xml:space="preserve">  3.155*0.5/1000</f>
        <v>1.5774999999999999E-3</v>
      </c>
      <c r="H90" s="93">
        <f t="shared" si="17"/>
        <v>4.3955000000000001E-3</v>
      </c>
      <c r="J90" s="94">
        <f t="shared" si="18"/>
        <v>290.85885404709506</v>
      </c>
      <c r="K90" s="90">
        <f t="shared" si="19"/>
        <v>290.85887204709508</v>
      </c>
      <c r="L90" s="106">
        <f t="shared" si="20"/>
        <v>2.0332495959714181</v>
      </c>
      <c r="N90" s="70">
        <f t="shared" si="21"/>
        <v>2.0332496604776011</v>
      </c>
      <c r="O90" s="90">
        <f t="shared" si="22"/>
        <v>6.4506183061752154E-8</v>
      </c>
      <c r="P90" s="96">
        <v>280.589</v>
      </c>
      <c r="Q90" s="44">
        <v>6.6929299999999997E-2</v>
      </c>
      <c r="R90" s="96">
        <v>280.60000000000002</v>
      </c>
    </row>
    <row r="91" spans="1:18">
      <c r="B91" s="86">
        <v>2.4293999999999998</v>
      </c>
      <c r="C91" s="1">
        <v>288.45838511905066</v>
      </c>
      <c r="D91" s="7">
        <f>C91+0.0013+0.000018</f>
        <v>288.45970311905069</v>
      </c>
      <c r="E91" s="90">
        <f xml:space="preserve"> 1.418*2/1000</f>
        <v>2.836E-3</v>
      </c>
      <c r="F91" s="90">
        <f xml:space="preserve"> 3.176*0.5/1000</f>
        <v>1.588E-3</v>
      </c>
      <c r="H91" s="93">
        <f t="shared" si="17"/>
        <v>4.424E-3</v>
      </c>
      <c r="J91" s="94">
        <f t="shared" si="18"/>
        <v>288.45396111905069</v>
      </c>
      <c r="K91" s="90">
        <f t="shared" si="19"/>
        <v>288.45527911905072</v>
      </c>
      <c r="L91" s="106">
        <f t="shared" si="20"/>
        <v>2.0246146594132637</v>
      </c>
      <c r="N91" s="70">
        <f t="shared" si="21"/>
        <v>2.0246194009035858</v>
      </c>
      <c r="O91" s="90">
        <f t="shared" si="22"/>
        <v>4.7414903221465465E-6</v>
      </c>
      <c r="P91" s="96">
        <v>373.23099999999999</v>
      </c>
      <c r="Q91" s="44">
        <v>8.1414399999999998E-2</v>
      </c>
      <c r="R91" s="96">
        <v>373.3</v>
      </c>
    </row>
    <row r="92" spans="1:18">
      <c r="A92" s="1">
        <v>18</v>
      </c>
      <c r="B92" s="86">
        <v>0</v>
      </c>
      <c r="C92" s="1">
        <v>288.73717472253651</v>
      </c>
      <c r="D92" s="7">
        <f>C92+0.000018</f>
        <v>288.73719272253652</v>
      </c>
      <c r="E92" s="90">
        <f xml:space="preserve"> 1.417*2/1000</f>
        <v>2.8340000000000001E-3</v>
      </c>
      <c r="F92" s="90">
        <f xml:space="preserve"> 3.174*0.5/1000</f>
        <v>1.5869999999999999E-3</v>
      </c>
      <c r="H92" s="93">
        <f t="shared" si="17"/>
        <v>4.4209999999999996E-3</v>
      </c>
      <c r="J92" s="94">
        <f t="shared" si="18"/>
        <v>288.73275372253653</v>
      </c>
      <c r="K92" s="90">
        <f t="shared" si="19"/>
        <v>288.73277172253654</v>
      </c>
      <c r="L92" s="106">
        <f t="shared" si="20"/>
        <v>2.0256173891816185</v>
      </c>
      <c r="N92" s="70">
        <f t="shared" si="21"/>
        <v>2.0256174539074934</v>
      </c>
      <c r="O92" s="90">
        <f t="shared" si="22"/>
        <v>6.4725874882043399E-8</v>
      </c>
      <c r="P92" s="1">
        <v>363.10300000000001</v>
      </c>
      <c r="Q92" s="44">
        <v>6.8102399999999993E-2</v>
      </c>
      <c r="R92" s="96">
        <v>363.1</v>
      </c>
    </row>
    <row r="93" spans="1:18">
      <c r="B93" s="86">
        <v>2.4293999999999998</v>
      </c>
      <c r="C93" s="1">
        <v>286.33575503791548</v>
      </c>
      <c r="D93" s="7">
        <f>C93+0.0013+0.000018</f>
        <v>286.3370730379155</v>
      </c>
      <c r="E93" s="90">
        <f xml:space="preserve">  1.427*2/1000</f>
        <v>2.8540000000000002E-3</v>
      </c>
      <c r="F93" s="90">
        <f xml:space="preserve">  3.195*0.5/1000</f>
        <v>1.5975E-3</v>
      </c>
      <c r="H93" s="93">
        <f t="shared" si="17"/>
        <v>4.4515000000000006E-3</v>
      </c>
      <c r="J93" s="94">
        <f t="shared" si="18"/>
        <v>286.33130353791546</v>
      </c>
      <c r="K93" s="90">
        <f t="shared" si="19"/>
        <v>286.33262153791549</v>
      </c>
      <c r="L93" s="106">
        <f t="shared" si="20"/>
        <v>2.0169653397721534</v>
      </c>
      <c r="N93" s="70">
        <f t="shared" si="21"/>
        <v>2.0169700975296911</v>
      </c>
      <c r="O93" s="90">
        <f t="shared" si="22"/>
        <v>4.757757537721119E-6</v>
      </c>
      <c r="P93" s="1">
        <v>452.70499999999998</v>
      </c>
      <c r="Q93" s="44">
        <v>8.9870900000000004E-2</v>
      </c>
      <c r="R93" s="96">
        <v>453</v>
      </c>
    </row>
  </sheetData>
  <mergeCells count="11">
    <mergeCell ref="M4:P4"/>
    <mergeCell ref="D10:E10"/>
    <mergeCell ref="F10:G10"/>
    <mergeCell ref="I12:K12"/>
    <mergeCell ref="A62:D62"/>
    <mergeCell ref="A4:C4"/>
    <mergeCell ref="D4:G4"/>
    <mergeCell ref="I4:L4"/>
    <mergeCell ref="I6:L6"/>
    <mergeCell ref="I8:L8"/>
    <mergeCell ref="I10:L10"/>
  </mergeCells>
  <phoneticPr fontId="1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L98"/>
  <sheetViews>
    <sheetView topLeftCell="A28" workbookViewId="0">
      <selection activeCell="B25" sqref="B25:G55"/>
    </sheetView>
  </sheetViews>
  <sheetFormatPr defaultRowHeight="13.5"/>
  <cols>
    <col min="1" max="1" width="9" style="1"/>
    <col min="2" max="2" width="15.625" customWidth="1"/>
    <col min="3" max="3" width="15.625" style="1" customWidth="1"/>
    <col min="4" max="4" width="18.25" customWidth="1"/>
    <col min="5" max="5" width="18.25" style="1" customWidth="1"/>
    <col min="6" max="6" width="16" customWidth="1"/>
  </cols>
  <sheetData>
    <row r="5" spans="2:12"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2:12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2:12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2:1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2:1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2:1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2:1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38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38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38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38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38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38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38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38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38">
      <c r="B25" s="7" t="s">
        <v>84</v>
      </c>
      <c r="C25" s="7"/>
      <c r="D25" s="72" t="s">
        <v>14</v>
      </c>
      <c r="E25" s="107"/>
      <c r="F25" s="7" t="s">
        <v>86</v>
      </c>
      <c r="G25" s="7" t="s">
        <v>75</v>
      </c>
      <c r="H25" s="7"/>
      <c r="I25" s="7"/>
      <c r="J25" s="7"/>
      <c r="K25" s="7"/>
      <c r="L25" s="7"/>
    </row>
    <row r="26" spans="1:38">
      <c r="A26" s="1">
        <v>4</v>
      </c>
      <c r="B26" s="103">
        <v>2.0937253726718885</v>
      </c>
      <c r="C26" s="103"/>
      <c r="D26" s="100">
        <v>-355.09500000000003</v>
      </c>
      <c r="E26" s="100"/>
      <c r="F26" s="69">
        <v>6.2824730306942911E-8</v>
      </c>
      <c r="G26" s="99">
        <v>5.2838099999999999E-3</v>
      </c>
      <c r="H26" s="7"/>
      <c r="I26" s="7"/>
      <c r="J26" s="7"/>
      <c r="K26" s="7"/>
      <c r="L26" s="7"/>
    </row>
    <row r="27" spans="1:38">
      <c r="A27" s="1">
        <v>4</v>
      </c>
      <c r="B27" s="103">
        <v>2.0852237323728504</v>
      </c>
      <c r="C27" s="103"/>
      <c r="D27" s="100">
        <v>-259.49</v>
      </c>
      <c r="E27" s="100"/>
      <c r="F27" s="69">
        <v>4.6170171201787014E-6</v>
      </c>
      <c r="G27" s="99">
        <v>1.6854999999999998E-2</v>
      </c>
      <c r="H27" s="7"/>
      <c r="I27" s="7"/>
      <c r="J27" s="7"/>
      <c r="K27" s="7"/>
      <c r="L27" s="7"/>
    </row>
    <row r="28" spans="1:38">
      <c r="A28" s="1">
        <v>5</v>
      </c>
      <c r="B28" s="103">
        <v>2.0917048197442454</v>
      </c>
      <c r="C28" s="103"/>
      <c r="D28" s="100">
        <v>-329.666</v>
      </c>
      <c r="E28" s="100"/>
      <c r="F28" s="69">
        <v>6.287926046510961E-8</v>
      </c>
      <c r="G28" s="99">
        <v>1.0670900000000001E-2</v>
      </c>
      <c r="H28" s="7"/>
      <c r="I28" s="7"/>
      <c r="J28" s="7"/>
      <c r="K28" s="7"/>
      <c r="L28" s="7"/>
    </row>
    <row r="29" spans="1:38">
      <c r="A29" s="1">
        <v>5</v>
      </c>
      <c r="B29" s="103">
        <v>2.083198792705987</v>
      </c>
      <c r="C29" s="103"/>
      <c r="D29" s="100">
        <v>-237.136</v>
      </c>
      <c r="E29" s="100"/>
      <c r="F29" s="69">
        <v>4.6210530748602707E-6</v>
      </c>
      <c r="G29" s="99">
        <v>2.7503799999999998E-2</v>
      </c>
      <c r="H29" s="7"/>
      <c r="I29" s="7"/>
      <c r="J29" s="7"/>
      <c r="K29" s="7"/>
      <c r="L29" s="7"/>
    </row>
    <row r="30" spans="1:38">
      <c r="A30" s="1">
        <v>6</v>
      </c>
      <c r="B30" s="103">
        <v>2.0892377511560896</v>
      </c>
      <c r="C30" s="103"/>
      <c r="D30" s="100">
        <v>-305.05700000000002</v>
      </c>
      <c r="E30" s="100"/>
      <c r="F30" s="69">
        <v>6.2945994194762989E-8</v>
      </c>
      <c r="G30" s="99">
        <v>1.1065500000000001E-2</v>
      </c>
      <c r="H30" s="7"/>
      <c r="I30" s="7"/>
      <c r="J30" s="7"/>
      <c r="K30" s="7"/>
      <c r="L30" s="7"/>
    </row>
    <row r="31" spans="1:38">
      <c r="A31" s="1">
        <v>6</v>
      </c>
      <c r="B31" s="103">
        <v>2.0807263667262728</v>
      </c>
      <c r="C31" s="103"/>
      <c r="D31" s="100">
        <v>-209.578</v>
      </c>
      <c r="E31" s="100"/>
      <c r="F31" s="69">
        <v>4.6259921107072444E-6</v>
      </c>
      <c r="G31" s="99">
        <v>4.3967399999999997E-2</v>
      </c>
      <c r="H31" s="7"/>
      <c r="I31" s="7">
        <v>2.0937253726718885</v>
      </c>
      <c r="J31" s="7">
        <v>2.0852237323728504</v>
      </c>
      <c r="K31" s="7">
        <v>2.0917048197442454</v>
      </c>
      <c r="L31" s="7">
        <v>2.083198792705987</v>
      </c>
      <c r="M31" s="7">
        <v>2.0892377511560896</v>
      </c>
      <c r="N31" s="7">
        <v>2.0807263667262728</v>
      </c>
      <c r="O31" s="7">
        <v>2.0863256686779637</v>
      </c>
      <c r="P31" s="7">
        <v>2.077807943557469</v>
      </c>
      <c r="Q31" s="7">
        <v>2.0829703388612772</v>
      </c>
      <c r="R31" s="7">
        <v>2.074445296332438</v>
      </c>
      <c r="S31" s="7">
        <v>2.0791737972417601</v>
      </c>
      <c r="T31" s="1">
        <v>2.0706404513125443</v>
      </c>
      <c r="U31" s="1">
        <v>2.0749383330812776</v>
      </c>
      <c r="V31" s="1">
        <v>2.0663957219045597</v>
      </c>
      <c r="W31" s="1">
        <v>2.0702665372542981</v>
      </c>
      <c r="X31" s="1">
        <v>2.0617136668292089</v>
      </c>
      <c r="Y31" s="1">
        <v>2.0651612304616904</v>
      </c>
      <c r="Z31" s="1">
        <v>2.0565971221428687</v>
      </c>
      <c r="AA31" s="1">
        <v>2.0596255072750353</v>
      </c>
      <c r="AB31" s="1">
        <v>2.0510491908821957</v>
      </c>
      <c r="AC31" s="1">
        <v>2.0536626599089525</v>
      </c>
      <c r="AD31" s="1">
        <v>2.0450732271227294</v>
      </c>
      <c r="AE31" s="1">
        <v>2.0472765297922764</v>
      </c>
      <c r="AF31" s="1">
        <v>2.0386728582854063</v>
      </c>
      <c r="AG31" s="1">
        <v>2.0404707703296823</v>
      </c>
      <c r="AH31" s="1">
        <v>2.0318519600328333</v>
      </c>
      <c r="AI31" s="1">
        <v>2.0332495959714181</v>
      </c>
      <c r="AJ31" s="1">
        <v>2.0246146594132637</v>
      </c>
      <c r="AK31" s="1">
        <v>2.0256173891816185</v>
      </c>
      <c r="AL31" s="1">
        <v>2.0169653397721534</v>
      </c>
    </row>
    <row r="32" spans="1:38">
      <c r="A32" s="1">
        <v>7</v>
      </c>
      <c r="B32" s="103">
        <v>2.0863256686779637</v>
      </c>
      <c r="C32" s="103"/>
      <c r="D32" s="101">
        <v>-272.59399999999999</v>
      </c>
      <c r="E32" s="101"/>
      <c r="F32" s="69">
        <v>6.3024976348913242E-8</v>
      </c>
      <c r="G32" s="99">
        <v>9.4783599999999999E-3</v>
      </c>
      <c r="H32" s="7"/>
      <c r="I32" s="7"/>
      <c r="J32" s="7"/>
      <c r="K32" s="7"/>
      <c r="L32" s="7"/>
    </row>
    <row r="33" spans="1:38">
      <c r="A33" s="1">
        <v>7</v>
      </c>
      <c r="B33" s="103">
        <v>2.077807943557469</v>
      </c>
      <c r="C33" s="103"/>
      <c r="D33" s="101">
        <v>-177.297</v>
      </c>
      <c r="E33" s="101"/>
      <c r="F33" s="69">
        <v>4.6318379709475721E-6</v>
      </c>
      <c r="G33" s="99">
        <v>3.2901399999999997E-2</v>
      </c>
      <c r="H33" s="7"/>
      <c r="I33" s="7"/>
      <c r="J33" s="7"/>
      <c r="K33" s="7"/>
      <c r="L33" s="7"/>
    </row>
    <row r="34" spans="1:38">
      <c r="A34" s="1">
        <v>8</v>
      </c>
      <c r="B34" s="103">
        <v>2.0829703388612772</v>
      </c>
      <c r="C34" s="103"/>
      <c r="D34" s="101">
        <v>-239.54900000000001</v>
      </c>
      <c r="E34" s="101"/>
      <c r="F34" s="69">
        <v>6.3116267767782119E-8</v>
      </c>
      <c r="G34" s="99">
        <v>1.3389099999999999E-2</v>
      </c>
      <c r="H34" s="7"/>
      <c r="I34" s="103">
        <v>2.0937253726718885</v>
      </c>
      <c r="J34" s="103">
        <v>2.0852237323728504</v>
      </c>
      <c r="K34" s="103">
        <v>2.0917048197442454</v>
      </c>
      <c r="L34" s="103">
        <v>2.083198792705987</v>
      </c>
      <c r="M34" s="103">
        <v>2.0892377511560896</v>
      </c>
      <c r="N34" s="103">
        <v>2.0807263667262728</v>
      </c>
      <c r="O34" s="103">
        <v>2.0863256686779637</v>
      </c>
      <c r="P34" s="103">
        <v>2.077807943557469</v>
      </c>
      <c r="Q34" s="103">
        <v>2.0829703388612772</v>
      </c>
      <c r="R34" s="103">
        <v>2.074445296332438</v>
      </c>
      <c r="S34" s="103">
        <v>2.0791737972417601</v>
      </c>
      <c r="T34" s="103">
        <v>2.0706404513125443</v>
      </c>
      <c r="U34" s="103">
        <v>2.0749383330812776</v>
      </c>
      <c r="V34" s="103">
        <v>2.0663957219045597</v>
      </c>
      <c r="W34" s="103">
        <v>2.0702665372542981</v>
      </c>
      <c r="X34" s="103">
        <v>2.0617136668292089</v>
      </c>
      <c r="Y34" s="103">
        <v>2.0651612304616904</v>
      </c>
      <c r="Z34" s="103">
        <v>2.0565971221428687</v>
      </c>
      <c r="AA34" s="103">
        <v>2.0596255072750353</v>
      </c>
      <c r="AB34" s="103">
        <v>2.0510491908821957</v>
      </c>
      <c r="AC34" s="103">
        <v>2.0536626599089525</v>
      </c>
      <c r="AD34" s="103">
        <v>2.0450732271227294</v>
      </c>
      <c r="AE34" s="103">
        <v>2.0472765297922764</v>
      </c>
      <c r="AF34" s="103">
        <v>2.0386728582854063</v>
      </c>
      <c r="AG34" s="103">
        <v>2.0404707703296823</v>
      </c>
      <c r="AH34" s="103">
        <v>2.0318519600328333</v>
      </c>
      <c r="AI34" s="103">
        <v>2.0332495959714181</v>
      </c>
      <c r="AJ34" s="103">
        <v>2.0246146594132637</v>
      </c>
      <c r="AK34" s="103">
        <v>2.0256173891816185</v>
      </c>
      <c r="AL34" s="103">
        <v>2.0169653397721534</v>
      </c>
    </row>
    <row r="35" spans="1:38">
      <c r="A35" s="1">
        <v>8</v>
      </c>
      <c r="B35" s="103">
        <v>2.074445296332438</v>
      </c>
      <c r="C35" s="103"/>
      <c r="D35" s="101">
        <v>-145.05500000000001</v>
      </c>
      <c r="E35" s="101"/>
      <c r="F35" s="69">
        <v>4.6385950729366243E-6</v>
      </c>
      <c r="G35" s="99">
        <v>2.6109199999999999E-2</v>
      </c>
      <c r="H35" s="7"/>
      <c r="I35" s="100">
        <v>-355.09500000000003</v>
      </c>
      <c r="J35" s="100">
        <v>-259.49</v>
      </c>
      <c r="K35" s="100">
        <v>-329.666</v>
      </c>
      <c r="L35" s="100">
        <v>-237.136</v>
      </c>
      <c r="M35" s="100">
        <v>-305.05700000000002</v>
      </c>
      <c r="N35" s="100">
        <v>-209.578</v>
      </c>
      <c r="O35" s="101">
        <v>-272.59399999999999</v>
      </c>
      <c r="P35" s="101">
        <v>-177.297</v>
      </c>
      <c r="Q35" s="101">
        <v>-239.54900000000001</v>
      </c>
      <c r="R35" s="101">
        <v>-145.05500000000001</v>
      </c>
      <c r="S35" s="101">
        <v>-197.43</v>
      </c>
      <c r="T35" s="101">
        <v>-102.687</v>
      </c>
      <c r="U35" s="101">
        <v>-153.416</v>
      </c>
      <c r="V35" s="101">
        <v>-58.633600000000001</v>
      </c>
      <c r="W35" s="101">
        <v>-105.238</v>
      </c>
      <c r="X35" s="101">
        <v>-10.7555</v>
      </c>
      <c r="Y35" s="101">
        <v>-52.8523</v>
      </c>
      <c r="Z35" s="101">
        <v>42.759900000000002</v>
      </c>
      <c r="AA35" s="102">
        <v>8.8188899999999997</v>
      </c>
      <c r="AB35" s="101">
        <v>103.801</v>
      </c>
      <c r="AC35" s="101">
        <v>71.353399999999993</v>
      </c>
      <c r="AD35" s="101">
        <v>165.03700000000001</v>
      </c>
      <c r="AE35" s="101">
        <v>137.435</v>
      </c>
      <c r="AF35" s="101">
        <v>230.869</v>
      </c>
      <c r="AG35" s="101">
        <v>207.49100000000001</v>
      </c>
      <c r="AH35" s="101">
        <v>300.48099999999999</v>
      </c>
      <c r="AI35" s="101">
        <v>280.589</v>
      </c>
      <c r="AJ35" s="101">
        <v>373.23099999999999</v>
      </c>
      <c r="AK35" s="100">
        <v>363.10300000000001</v>
      </c>
      <c r="AL35" s="100">
        <v>452.70499999999998</v>
      </c>
    </row>
    <row r="36" spans="1:38">
      <c r="A36" s="1">
        <v>9</v>
      </c>
      <c r="B36" s="103">
        <v>2.0791737972417601</v>
      </c>
      <c r="C36" s="103"/>
      <c r="D36" s="101">
        <v>-197.43</v>
      </c>
      <c r="E36" s="101"/>
      <c r="F36" s="69">
        <v>6.3219940837910826E-8</v>
      </c>
      <c r="G36" s="99">
        <v>1.65346E-2</v>
      </c>
      <c r="H36" s="7"/>
      <c r="I36" s="7"/>
      <c r="J36" s="7"/>
      <c r="K36" s="7"/>
      <c r="L36" s="7"/>
    </row>
    <row r="37" spans="1:38">
      <c r="A37" s="1">
        <v>9</v>
      </c>
      <c r="B37" s="103">
        <v>2.0706404513125443</v>
      </c>
      <c r="C37" s="103"/>
      <c r="D37" s="101">
        <v>-102.687</v>
      </c>
      <c r="E37" s="101"/>
      <c r="F37" s="69">
        <v>4.6462685414638827E-6</v>
      </c>
      <c r="G37" s="99">
        <v>2.59502E-2</v>
      </c>
      <c r="I37" s="69">
        <v>6.2824730306942911E-8</v>
      </c>
      <c r="J37" s="69">
        <v>4.6170171201787014E-6</v>
      </c>
      <c r="K37" s="69">
        <v>6.287926046510961E-8</v>
      </c>
      <c r="L37" s="69">
        <v>4.6210530748602707E-6</v>
      </c>
      <c r="M37" s="69">
        <v>6.2945994194762989E-8</v>
      </c>
      <c r="N37" s="69">
        <v>4.6259921107072444E-6</v>
      </c>
      <c r="O37" s="69">
        <v>6.3024976348913242E-8</v>
      </c>
      <c r="P37" s="69">
        <v>4.6318379709475721E-6</v>
      </c>
      <c r="Q37" s="69">
        <v>6.3116267767782119E-8</v>
      </c>
      <c r="R37" s="69">
        <v>4.6385950729366243E-6</v>
      </c>
      <c r="S37" s="69">
        <v>6.3219940837910826E-8</v>
      </c>
      <c r="T37" s="69">
        <v>4.6462685414638827E-6</v>
      </c>
      <c r="U37" s="69">
        <v>6.3336067501751359E-8</v>
      </c>
      <c r="V37" s="69">
        <v>4.654864166120376E-6</v>
      </c>
      <c r="W37" s="69">
        <v>6.3464734800788847E-8</v>
      </c>
      <c r="X37" s="69">
        <v>4.6643884661357049E-6</v>
      </c>
      <c r="Y37" s="69">
        <v>6.3606042211006297E-8</v>
      </c>
      <c r="Z37" s="69">
        <v>4.6748486561831726E-6</v>
      </c>
      <c r="AA37" s="69">
        <v>6.3760092317011186E-8</v>
      </c>
      <c r="AB37" s="69">
        <v>4.6862526388302683E-6</v>
      </c>
      <c r="AC37" s="69">
        <v>6.3927004134711751E-8</v>
      </c>
      <c r="AD37" s="69">
        <v>4.6986090787015655E-6</v>
      </c>
      <c r="AE37" s="69">
        <v>6.4106890018678087E-8</v>
      </c>
      <c r="AF37" s="69">
        <v>4.7119273114404336E-6</v>
      </c>
      <c r="AG37" s="69">
        <v>6.4299904067866009E-8</v>
      </c>
      <c r="AH37" s="69">
        <v>4.7262174476259133E-6</v>
      </c>
      <c r="AI37" s="69">
        <v>6.4506183061752154E-8</v>
      </c>
      <c r="AJ37" s="69">
        <v>4.7414903221465465E-6</v>
      </c>
      <c r="AK37" s="69">
        <v>6.4725874882043399E-8</v>
      </c>
      <c r="AL37" s="69">
        <v>4.757757537721119E-6</v>
      </c>
    </row>
    <row r="38" spans="1:38">
      <c r="A38" s="1">
        <v>10</v>
      </c>
      <c r="B38" s="103">
        <v>2.0749383330812776</v>
      </c>
      <c r="C38" s="103"/>
      <c r="D38" s="101">
        <v>-153.416</v>
      </c>
      <c r="E38" s="101"/>
      <c r="F38" s="69">
        <v>6.3336067501751359E-8</v>
      </c>
      <c r="G38" s="99">
        <v>2.0310600000000002E-2</v>
      </c>
      <c r="I38" s="99">
        <v>5.2838099999999999E-3</v>
      </c>
      <c r="J38" s="99">
        <v>1.6854999999999998E-2</v>
      </c>
      <c r="K38" s="99">
        <v>1.0670900000000001E-2</v>
      </c>
      <c r="L38" s="99">
        <v>2.7503799999999998E-2</v>
      </c>
      <c r="M38" s="99">
        <v>1.1065500000000001E-2</v>
      </c>
      <c r="N38" s="99">
        <v>4.3967399999999997E-2</v>
      </c>
      <c r="O38" s="99">
        <v>9.4783599999999999E-3</v>
      </c>
      <c r="P38" s="99">
        <v>3.2901399999999997E-2</v>
      </c>
      <c r="Q38" s="99">
        <v>1.3389099999999999E-2</v>
      </c>
      <c r="R38" s="99">
        <v>2.6109199999999999E-2</v>
      </c>
      <c r="S38" s="99">
        <v>1.65346E-2</v>
      </c>
      <c r="T38" s="99">
        <v>2.59502E-2</v>
      </c>
      <c r="U38" s="99">
        <v>2.0310600000000002E-2</v>
      </c>
      <c r="V38" s="99">
        <v>4.4526999999999997E-2</v>
      </c>
      <c r="W38" s="99">
        <v>2.2548599999999999E-2</v>
      </c>
      <c r="X38" s="99">
        <v>4.8357299999999999E-2</v>
      </c>
      <c r="Y38" s="99">
        <v>3.5684599999999997E-2</v>
      </c>
      <c r="Z38" s="99">
        <v>7.0877300000000004E-2</v>
      </c>
      <c r="AA38" s="99">
        <v>3.0622699999999999E-2</v>
      </c>
      <c r="AB38" s="99">
        <v>5.2995899999999999E-2</v>
      </c>
      <c r="AC38" s="99">
        <v>3.3728899999999999E-2</v>
      </c>
      <c r="AD38" s="99">
        <v>5.4917000000000001E-2</v>
      </c>
      <c r="AE38" s="99">
        <v>4.3046599999999997E-2</v>
      </c>
      <c r="AF38" s="99">
        <v>6.2146E-2</v>
      </c>
      <c r="AG38" s="99">
        <v>4.1111200000000001E-2</v>
      </c>
      <c r="AH38" s="99">
        <v>6.3292699999999993E-2</v>
      </c>
      <c r="AI38" s="99">
        <v>6.6929299999999997E-2</v>
      </c>
      <c r="AJ38" s="99">
        <v>8.1414399999999998E-2</v>
      </c>
      <c r="AK38" s="99">
        <v>6.8102399999999993E-2</v>
      </c>
      <c r="AL38" s="99">
        <v>8.9870900000000004E-2</v>
      </c>
    </row>
    <row r="39" spans="1:38">
      <c r="A39" s="1">
        <v>10</v>
      </c>
      <c r="B39" s="103">
        <v>2.0663957219045597</v>
      </c>
      <c r="C39" s="103"/>
      <c r="D39" s="101">
        <v>-58.633600000000001</v>
      </c>
      <c r="E39" s="101"/>
      <c r="F39" s="69">
        <v>4.654864166120376E-6</v>
      </c>
      <c r="G39" s="99">
        <v>4.4526999999999997E-2</v>
      </c>
    </row>
    <row r="40" spans="1:38">
      <c r="A40" s="1">
        <v>11</v>
      </c>
      <c r="B40" s="103">
        <v>2.0702665372542981</v>
      </c>
      <c r="C40" s="103"/>
      <c r="D40" s="101">
        <v>-105.238</v>
      </c>
      <c r="E40" s="101"/>
      <c r="F40" s="69">
        <v>6.3464734800788847E-8</v>
      </c>
      <c r="G40" s="99">
        <v>2.2548599999999999E-2</v>
      </c>
    </row>
    <row r="41" spans="1:38">
      <c r="A41" s="1">
        <v>11</v>
      </c>
      <c r="B41" s="103">
        <v>2.0617136668292089</v>
      </c>
      <c r="C41" s="103"/>
      <c r="D41" s="101">
        <v>-10.7555</v>
      </c>
      <c r="E41" s="101"/>
      <c r="F41" s="69">
        <v>4.6643884661357049E-6</v>
      </c>
      <c r="G41" s="99">
        <v>4.8357299999999999E-2</v>
      </c>
    </row>
    <row r="42" spans="1:38">
      <c r="A42" s="1">
        <v>12</v>
      </c>
      <c r="B42" s="103">
        <v>2.0651612304616904</v>
      </c>
      <c r="C42" s="103"/>
      <c r="D42" s="101">
        <v>-52.8523</v>
      </c>
      <c r="E42" s="101"/>
      <c r="F42" s="69">
        <v>6.3606042211006297E-8</v>
      </c>
      <c r="G42" s="99">
        <v>3.5684599999999997E-2</v>
      </c>
    </row>
    <row r="43" spans="1:38">
      <c r="A43" s="1">
        <v>12</v>
      </c>
      <c r="B43" s="103">
        <v>2.0565971221428687</v>
      </c>
      <c r="C43" s="103"/>
      <c r="D43" s="101">
        <v>42.759900000000002</v>
      </c>
      <c r="E43" s="101"/>
      <c r="F43" s="69">
        <v>4.6748486561831726E-6</v>
      </c>
      <c r="G43" s="99">
        <v>7.0877300000000004E-2</v>
      </c>
    </row>
    <row r="44" spans="1:38">
      <c r="A44" s="1">
        <v>13</v>
      </c>
      <c r="B44" s="103">
        <v>2.0596255072750353</v>
      </c>
      <c r="C44" s="103"/>
      <c r="D44" s="102">
        <v>8.8188899999999997</v>
      </c>
      <c r="E44" s="102"/>
      <c r="F44" s="69">
        <v>6.3760092317011186E-8</v>
      </c>
      <c r="G44" s="99">
        <v>3.0622699999999999E-2</v>
      </c>
    </row>
    <row r="45" spans="1:38">
      <c r="A45" s="1">
        <v>13</v>
      </c>
      <c r="B45" s="103">
        <v>2.0510491908821957</v>
      </c>
      <c r="C45" s="103"/>
      <c r="D45" s="101">
        <v>103.801</v>
      </c>
      <c r="E45" s="101"/>
      <c r="F45" s="69">
        <v>4.6862526388302683E-6</v>
      </c>
      <c r="G45" s="99">
        <v>5.2995899999999999E-2</v>
      </c>
    </row>
    <row r="46" spans="1:38">
      <c r="A46" s="1">
        <v>14</v>
      </c>
      <c r="B46" s="103">
        <v>2.0536626599089525</v>
      </c>
      <c r="C46" s="103"/>
      <c r="D46" s="101">
        <v>71.353399999999993</v>
      </c>
      <c r="E46" s="101"/>
      <c r="F46" s="69">
        <v>6.3927004134711751E-8</v>
      </c>
      <c r="G46" s="99">
        <v>3.3728899999999999E-2</v>
      </c>
    </row>
    <row r="47" spans="1:38">
      <c r="A47" s="1">
        <v>14</v>
      </c>
      <c r="B47" s="103">
        <v>2.0450732271227294</v>
      </c>
      <c r="C47" s="103"/>
      <c r="D47" s="101">
        <v>165.03700000000001</v>
      </c>
      <c r="E47" s="101"/>
      <c r="F47" s="69">
        <v>4.6986090787015655E-6</v>
      </c>
      <c r="G47" s="99">
        <v>5.4917000000000001E-2</v>
      </c>
    </row>
    <row r="48" spans="1:38">
      <c r="A48" s="1">
        <v>15</v>
      </c>
      <c r="B48" s="103">
        <v>2.0472765297922764</v>
      </c>
      <c r="C48" s="103"/>
      <c r="D48" s="101">
        <v>137.435</v>
      </c>
      <c r="E48" s="101"/>
      <c r="F48" s="69">
        <v>6.4106890018678087E-8</v>
      </c>
      <c r="G48" s="99">
        <v>4.3046599999999997E-2</v>
      </c>
    </row>
    <row r="49" spans="1:7">
      <c r="A49" s="1">
        <v>15</v>
      </c>
      <c r="B49" s="103">
        <v>2.0386728582854063</v>
      </c>
      <c r="C49" s="103"/>
      <c r="D49" s="101">
        <v>230.869</v>
      </c>
      <c r="E49" s="101"/>
      <c r="F49" s="69">
        <v>4.7119273114404336E-6</v>
      </c>
      <c r="G49" s="99">
        <v>6.2146E-2</v>
      </c>
    </row>
    <row r="50" spans="1:7">
      <c r="A50" s="1">
        <v>16</v>
      </c>
      <c r="B50" s="103">
        <v>2.0404707703296823</v>
      </c>
      <c r="C50" s="103"/>
      <c r="D50" s="101">
        <v>207.49100000000001</v>
      </c>
      <c r="E50" s="101"/>
      <c r="F50" s="69">
        <v>6.4299904067866009E-8</v>
      </c>
      <c r="G50" s="99">
        <v>4.1111200000000001E-2</v>
      </c>
    </row>
    <row r="51" spans="1:7">
      <c r="A51" s="1">
        <v>16</v>
      </c>
      <c r="B51" s="103">
        <v>2.0318519600328333</v>
      </c>
      <c r="C51" s="103"/>
      <c r="D51" s="101">
        <v>300.48099999999999</v>
      </c>
      <c r="E51" s="101"/>
      <c r="F51" s="69">
        <v>4.7262174476259133E-6</v>
      </c>
      <c r="G51" s="99">
        <v>6.3292699999999993E-2</v>
      </c>
    </row>
    <row r="52" spans="1:7">
      <c r="A52" s="1">
        <v>17</v>
      </c>
      <c r="B52" s="103">
        <v>2.0332495959714181</v>
      </c>
      <c r="C52" s="103"/>
      <c r="D52" s="101">
        <v>280.589</v>
      </c>
      <c r="E52" s="101"/>
      <c r="F52" s="69">
        <v>6.4506183061752154E-8</v>
      </c>
      <c r="G52" s="99">
        <v>6.6929299999999997E-2</v>
      </c>
    </row>
    <row r="53" spans="1:7">
      <c r="A53" s="1">
        <v>17</v>
      </c>
      <c r="B53" s="103">
        <v>2.0246146594132637</v>
      </c>
      <c r="C53" s="103"/>
      <c r="D53" s="101">
        <v>373.23099999999999</v>
      </c>
      <c r="E53" s="101"/>
      <c r="F53" s="69">
        <v>4.7414903221465465E-6</v>
      </c>
      <c r="G53" s="99">
        <v>8.1414399999999998E-2</v>
      </c>
    </row>
    <row r="54" spans="1:7">
      <c r="A54" s="1">
        <v>18</v>
      </c>
      <c r="B54" s="103">
        <v>2.0256173891816185</v>
      </c>
      <c r="C54" s="103"/>
      <c r="D54" s="100">
        <v>363.10300000000001</v>
      </c>
      <c r="E54" s="100"/>
      <c r="F54" s="69">
        <v>6.4725874882043399E-8</v>
      </c>
      <c r="G54" s="99">
        <v>6.8102399999999993E-2</v>
      </c>
    </row>
    <row r="55" spans="1:7">
      <c r="A55" s="1">
        <v>18</v>
      </c>
      <c r="B55" s="103">
        <v>2.0169653397721534</v>
      </c>
      <c r="C55" s="103"/>
      <c r="D55" s="100">
        <v>452.70499999999998</v>
      </c>
      <c r="E55" s="100"/>
      <c r="F55" s="69">
        <v>4.757757537721119E-6</v>
      </c>
      <c r="G55" s="99">
        <v>8.9870900000000004E-2</v>
      </c>
    </row>
    <row r="67" spans="1:7">
      <c r="B67" s="7" t="s">
        <v>84</v>
      </c>
      <c r="C67" s="7"/>
      <c r="D67" s="72" t="s">
        <v>14</v>
      </c>
      <c r="E67" s="107"/>
      <c r="F67" s="7" t="s">
        <v>86</v>
      </c>
      <c r="G67" s="7" t="s">
        <v>75</v>
      </c>
    </row>
    <row r="68" spans="1:7">
      <c r="A68" s="1">
        <v>4</v>
      </c>
      <c r="B68" s="103">
        <v>2.0937253726718885</v>
      </c>
      <c r="C68" s="103"/>
      <c r="D68" s="100">
        <v>-355.09500000000003</v>
      </c>
      <c r="E68" s="100"/>
      <c r="F68" s="69">
        <v>6.2824730306942911E-8</v>
      </c>
      <c r="G68" s="99">
        <v>5.2838099999999999E-3</v>
      </c>
    </row>
    <row r="69" spans="1:7">
      <c r="B69" s="103">
        <v>2.0852237323728504</v>
      </c>
      <c r="C69" s="103"/>
      <c r="D69" s="100">
        <v>-259.49</v>
      </c>
      <c r="E69" s="100"/>
      <c r="F69" s="69">
        <v>4.6170171201787014E-6</v>
      </c>
      <c r="G69" s="99">
        <v>1.6854999999999998E-2</v>
      </c>
    </row>
    <row r="70" spans="1:7">
      <c r="A70" s="1">
        <v>5</v>
      </c>
      <c r="B70" s="103">
        <v>2.0917048197442454</v>
      </c>
      <c r="C70" s="103"/>
      <c r="D70" s="100">
        <v>-329.666</v>
      </c>
      <c r="E70" s="100"/>
      <c r="F70" s="69">
        <v>6.287926046510961E-8</v>
      </c>
      <c r="G70" s="99">
        <v>1.0670900000000001E-2</v>
      </c>
    </row>
    <row r="71" spans="1:7">
      <c r="B71" s="103">
        <v>2.083198792705987</v>
      </c>
      <c r="C71" s="103"/>
      <c r="D71" s="100">
        <v>-237.136</v>
      </c>
      <c r="E71" s="100"/>
      <c r="F71" s="69">
        <v>4.6210530748602707E-6</v>
      </c>
      <c r="G71" s="99">
        <v>2.7503799999999998E-2</v>
      </c>
    </row>
    <row r="72" spans="1:7">
      <c r="A72" s="1">
        <v>6</v>
      </c>
      <c r="B72" s="103">
        <v>2.0892377511560896</v>
      </c>
      <c r="C72" s="103"/>
      <c r="D72" s="100">
        <v>-305.05700000000002</v>
      </c>
      <c r="E72" s="100"/>
      <c r="F72" s="69">
        <v>6.2945994194762989E-8</v>
      </c>
      <c r="G72" s="99">
        <v>1.1065500000000001E-2</v>
      </c>
    </row>
    <row r="73" spans="1:7">
      <c r="B73" s="103">
        <v>2.0807263667262728</v>
      </c>
      <c r="C73" s="103"/>
      <c r="D73" s="100">
        <v>-209.578</v>
      </c>
      <c r="E73" s="100"/>
      <c r="F73" s="69">
        <v>4.6259921107072444E-6</v>
      </c>
      <c r="G73" s="99">
        <v>4.3967399999999997E-2</v>
      </c>
    </row>
    <row r="74" spans="1:7">
      <c r="A74" s="1">
        <v>7</v>
      </c>
      <c r="B74" s="103">
        <v>2.0863256686779637</v>
      </c>
      <c r="C74" s="103"/>
      <c r="D74" s="101">
        <v>-272.59399999999999</v>
      </c>
      <c r="E74" s="101"/>
      <c r="F74" s="69">
        <v>6.3024976348913242E-8</v>
      </c>
      <c r="G74" s="99">
        <v>9.4783599999999999E-3</v>
      </c>
    </row>
    <row r="75" spans="1:7">
      <c r="B75" s="103">
        <v>2.077807943557469</v>
      </c>
      <c r="C75" s="103"/>
      <c r="D75" s="101">
        <v>-177.297</v>
      </c>
      <c r="E75" s="101"/>
      <c r="F75" s="69">
        <v>4.6318379709475721E-6</v>
      </c>
      <c r="G75" s="99">
        <v>3.2901399999999997E-2</v>
      </c>
    </row>
    <row r="76" spans="1:7">
      <c r="A76" s="1">
        <v>8</v>
      </c>
      <c r="B76" s="103">
        <v>2.0829703388612772</v>
      </c>
      <c r="C76" s="103"/>
      <c r="D76" s="101">
        <v>-239.54900000000001</v>
      </c>
      <c r="E76" s="101"/>
      <c r="F76" s="69">
        <v>6.3116267767782119E-8</v>
      </c>
      <c r="G76" s="99">
        <v>1.3389099999999999E-2</v>
      </c>
    </row>
    <row r="77" spans="1:7">
      <c r="B77" s="103">
        <v>2.074445296332438</v>
      </c>
      <c r="C77" s="103"/>
      <c r="D77" s="101">
        <v>-145.05500000000001</v>
      </c>
      <c r="E77" s="101"/>
      <c r="F77" s="69">
        <v>4.6385950729366243E-6</v>
      </c>
      <c r="G77" s="99">
        <v>2.6109199999999999E-2</v>
      </c>
    </row>
    <row r="78" spans="1:7">
      <c r="A78" s="1">
        <v>9</v>
      </c>
      <c r="B78" s="103">
        <v>2.0791737972417601</v>
      </c>
      <c r="C78" s="103"/>
      <c r="D78" s="101">
        <v>-197.43</v>
      </c>
      <c r="E78" s="101"/>
      <c r="F78" s="69">
        <v>6.3219940837910826E-8</v>
      </c>
      <c r="G78" s="99">
        <v>1.65346E-2</v>
      </c>
    </row>
    <row r="79" spans="1:7">
      <c r="B79" s="103">
        <v>2.0706404513125443</v>
      </c>
      <c r="C79" s="103"/>
      <c r="D79" s="101">
        <v>-102.687</v>
      </c>
      <c r="E79" s="101"/>
      <c r="F79" s="69">
        <v>4.6462685414638827E-6</v>
      </c>
      <c r="G79" s="99">
        <v>2.59502E-2</v>
      </c>
    </row>
    <row r="80" spans="1:7">
      <c r="A80" s="1">
        <v>10</v>
      </c>
      <c r="B80" s="103">
        <v>2.0749383330812776</v>
      </c>
      <c r="C80" s="103"/>
      <c r="D80" s="101">
        <v>-153.416</v>
      </c>
      <c r="E80" s="101"/>
      <c r="F80" s="69">
        <v>6.3336067501751359E-8</v>
      </c>
      <c r="G80" s="99">
        <v>2.0310600000000002E-2</v>
      </c>
    </row>
    <row r="81" spans="1:7">
      <c r="B81" s="103">
        <v>2.0663957219045597</v>
      </c>
      <c r="C81" s="103"/>
      <c r="D81" s="101">
        <v>-58.633600000000001</v>
      </c>
      <c r="E81" s="101"/>
      <c r="F81" s="69">
        <v>4.654864166120376E-6</v>
      </c>
      <c r="G81" s="99">
        <v>4.4526999999999997E-2</v>
      </c>
    </row>
    <row r="82" spans="1:7">
      <c r="A82" s="1">
        <v>11</v>
      </c>
      <c r="B82" s="103">
        <v>2.0702665372542981</v>
      </c>
      <c r="C82" s="103"/>
      <c r="D82" s="101">
        <v>-105.238</v>
      </c>
      <c r="E82" s="101"/>
      <c r="F82" s="69">
        <v>6.3464734800788847E-8</v>
      </c>
      <c r="G82" s="99">
        <v>2.2548599999999999E-2</v>
      </c>
    </row>
    <row r="83" spans="1:7">
      <c r="B83" s="103">
        <v>2.0617136668292089</v>
      </c>
      <c r="C83" s="103"/>
      <c r="D83" s="101">
        <v>-10.7555</v>
      </c>
      <c r="E83" s="101"/>
      <c r="F83" s="69">
        <v>4.6643884661357049E-6</v>
      </c>
      <c r="G83" s="99">
        <v>4.8357299999999999E-2</v>
      </c>
    </row>
    <row r="84" spans="1:7">
      <c r="A84" s="1">
        <v>12</v>
      </c>
      <c r="B84" s="103">
        <v>2.0651612304616904</v>
      </c>
      <c r="C84" s="103"/>
      <c r="D84" s="101">
        <v>-52.8523</v>
      </c>
      <c r="E84" s="101"/>
      <c r="F84" s="69">
        <v>6.3606042211006297E-8</v>
      </c>
      <c r="G84" s="99">
        <v>3.5684599999999997E-2</v>
      </c>
    </row>
    <row r="85" spans="1:7">
      <c r="B85" s="103">
        <v>2.0565971221428687</v>
      </c>
      <c r="C85" s="103"/>
      <c r="D85" s="101">
        <v>42.759900000000002</v>
      </c>
      <c r="E85" s="101"/>
      <c r="F85" s="69">
        <v>4.6748486561831726E-6</v>
      </c>
      <c r="G85" s="99">
        <v>7.0877300000000004E-2</v>
      </c>
    </row>
    <row r="86" spans="1:7">
      <c r="A86" s="1">
        <v>13</v>
      </c>
      <c r="B86" s="103">
        <v>2.0596255072750353</v>
      </c>
      <c r="C86" s="103"/>
      <c r="D86" s="102">
        <v>8.8188899999999997</v>
      </c>
      <c r="E86" s="102"/>
      <c r="F86" s="69">
        <v>6.3760092317011186E-8</v>
      </c>
      <c r="G86" s="99">
        <v>3.0622699999999999E-2</v>
      </c>
    </row>
    <row r="87" spans="1:7">
      <c r="B87" s="103">
        <v>2.0510491908821957</v>
      </c>
      <c r="C87" s="103"/>
      <c r="D87" s="101">
        <v>103.801</v>
      </c>
      <c r="E87" s="101"/>
      <c r="F87" s="69">
        <v>4.6862526388302683E-6</v>
      </c>
      <c r="G87" s="99">
        <v>5.2995899999999999E-2</v>
      </c>
    </row>
    <row r="88" spans="1:7">
      <c r="A88" s="1">
        <v>14</v>
      </c>
      <c r="B88" s="103">
        <v>2.0536626599089525</v>
      </c>
      <c r="C88" s="103"/>
      <c r="D88" s="101">
        <v>71.353399999999993</v>
      </c>
      <c r="E88" s="101"/>
      <c r="F88" s="69">
        <v>6.3927004134711751E-8</v>
      </c>
      <c r="G88" s="99">
        <v>3.3728899999999999E-2</v>
      </c>
    </row>
    <row r="89" spans="1:7">
      <c r="B89" s="103">
        <v>2.0450732271227294</v>
      </c>
      <c r="C89" s="103"/>
      <c r="D89" s="101">
        <v>165.03700000000001</v>
      </c>
      <c r="E89" s="101"/>
      <c r="F89" s="69">
        <v>4.6986090787015655E-6</v>
      </c>
      <c r="G89" s="99">
        <v>5.4917000000000001E-2</v>
      </c>
    </row>
    <row r="90" spans="1:7">
      <c r="A90" s="1">
        <v>15</v>
      </c>
      <c r="B90" s="103">
        <v>2.0472765297922764</v>
      </c>
      <c r="C90" s="103"/>
      <c r="D90" s="101">
        <v>137.435</v>
      </c>
      <c r="E90" s="101"/>
      <c r="F90" s="69">
        <v>6.4106890018678087E-8</v>
      </c>
      <c r="G90" s="99">
        <v>4.3046599999999997E-2</v>
      </c>
    </row>
    <row r="91" spans="1:7">
      <c r="B91" s="103">
        <v>2.0386728582854063</v>
      </c>
      <c r="C91" s="103"/>
      <c r="D91" s="101">
        <v>230.869</v>
      </c>
      <c r="E91" s="101"/>
      <c r="F91" s="69">
        <v>4.7119273114404336E-6</v>
      </c>
      <c r="G91" s="99">
        <v>6.2146E-2</v>
      </c>
    </row>
    <row r="92" spans="1:7">
      <c r="B92" s="103">
        <v>2.0404707703296823</v>
      </c>
      <c r="C92" s="103"/>
      <c r="D92" s="101">
        <v>207.49100000000001</v>
      </c>
      <c r="E92" s="101"/>
      <c r="F92" s="69">
        <v>6.4299904067866009E-8</v>
      </c>
      <c r="G92" s="99">
        <v>4.1111200000000001E-2</v>
      </c>
    </row>
    <row r="93" spans="1:7">
      <c r="B93" s="103">
        <v>2.0318519600328333</v>
      </c>
      <c r="C93" s="103"/>
      <c r="D93" s="101">
        <v>300.48099999999999</v>
      </c>
      <c r="E93" s="101"/>
      <c r="F93" s="69">
        <v>4.7262174476259133E-6</v>
      </c>
      <c r="G93" s="99">
        <v>6.3292699999999993E-2</v>
      </c>
    </row>
    <row r="94" spans="1:7">
      <c r="B94" s="103">
        <v>2.0332495959714181</v>
      </c>
      <c r="C94" s="103"/>
      <c r="D94" s="101">
        <v>280.589</v>
      </c>
      <c r="E94" s="101"/>
      <c r="F94" s="69">
        <v>6.4506183061752154E-8</v>
      </c>
      <c r="G94" s="99">
        <v>6.6929299999999997E-2</v>
      </c>
    </row>
    <row r="95" spans="1:7">
      <c r="B95" s="103">
        <v>2.0246146594132637</v>
      </c>
      <c r="C95" s="103"/>
      <c r="D95" s="101">
        <v>373.23099999999999</v>
      </c>
      <c r="E95" s="101"/>
      <c r="F95" s="69">
        <v>4.7414903221465465E-6</v>
      </c>
      <c r="G95" s="99">
        <v>8.1414399999999998E-2</v>
      </c>
    </row>
    <row r="96" spans="1:7">
      <c r="B96" s="103">
        <v>2.0256173891816185</v>
      </c>
      <c r="C96" s="103"/>
      <c r="D96" s="100">
        <v>363.10300000000001</v>
      </c>
      <c r="E96" s="100"/>
      <c r="F96" s="69">
        <v>6.4725874882043399E-8</v>
      </c>
      <c r="G96" s="99">
        <v>6.8102399999999993E-2</v>
      </c>
    </row>
    <row r="97" spans="2:7">
      <c r="B97" s="103">
        <v>2.0169653397721534</v>
      </c>
      <c r="C97" s="103"/>
      <c r="D97" s="100">
        <v>452.70499999999998</v>
      </c>
      <c r="E97" s="100"/>
      <c r="F97" s="69">
        <v>4.757757537721119E-6</v>
      </c>
      <c r="G97" s="99">
        <v>8.9870900000000004E-2</v>
      </c>
    </row>
    <row r="98" spans="2:7">
      <c r="B98" s="1"/>
      <c r="D98" s="1"/>
      <c r="F98" s="1"/>
      <c r="G98" s="1"/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2" activePane="bottomLeft" state="frozen"/>
      <selection pane="bottomLeft" activeCell="C35" sqref="C35"/>
    </sheetView>
  </sheetViews>
  <sheetFormatPr defaultRowHeight="13.5"/>
  <cols>
    <col min="2" max="2" width="14.5" customWidth="1"/>
    <col min="3" max="3" width="19" customWidth="1"/>
    <col min="5" max="5" width="18.875" customWidth="1"/>
  </cols>
  <sheetData>
    <row r="1" spans="1:6">
      <c r="A1" s="7" t="s">
        <v>84</v>
      </c>
      <c r="B1" s="7"/>
      <c r="C1" s="72" t="s">
        <v>14</v>
      </c>
      <c r="D1" s="107"/>
      <c r="E1" s="7" t="s">
        <v>86</v>
      </c>
      <c r="F1" s="7" t="s">
        <v>75</v>
      </c>
    </row>
    <row r="2" spans="1:6">
      <c r="A2" s="103">
        <v>2.0169653397721534</v>
      </c>
      <c r="B2" s="103"/>
      <c r="C2" s="100">
        <v>452.70499999999998</v>
      </c>
      <c r="D2" s="100"/>
      <c r="E2" s="69">
        <v>4.757757537721119E-6</v>
      </c>
      <c r="F2" s="99">
        <v>8.9870900000000004E-2</v>
      </c>
    </row>
    <row r="3" spans="1:6">
      <c r="A3" s="103">
        <v>2.0246146594132637</v>
      </c>
      <c r="B3" s="103"/>
      <c r="C3" s="101">
        <v>373.23099999999999</v>
      </c>
      <c r="D3" s="101"/>
      <c r="E3" s="69">
        <v>4.7414903221465465E-6</v>
      </c>
      <c r="F3" s="99">
        <v>8.1414399999999998E-2</v>
      </c>
    </row>
    <row r="4" spans="1:6">
      <c r="A4" s="103">
        <v>2.0256173891816185</v>
      </c>
      <c r="B4" s="103"/>
      <c r="C4" s="100">
        <v>363.10300000000001</v>
      </c>
      <c r="D4" s="100"/>
      <c r="E4" s="69">
        <v>6.4725874882043399E-8</v>
      </c>
      <c r="F4" s="99">
        <v>6.8102399999999993E-2</v>
      </c>
    </row>
    <row r="5" spans="1:6">
      <c r="A5" s="103">
        <v>2.0318519600328333</v>
      </c>
      <c r="B5" s="103"/>
      <c r="C5" s="101">
        <v>300.48099999999999</v>
      </c>
      <c r="D5" s="101"/>
      <c r="E5" s="69">
        <v>4.7262174476259133E-6</v>
      </c>
      <c r="F5" s="99">
        <v>6.3292699999999993E-2</v>
      </c>
    </row>
    <row r="6" spans="1:6">
      <c r="A6" s="103">
        <v>2.0332495959714181</v>
      </c>
      <c r="B6" s="103"/>
      <c r="C6" s="101">
        <v>280.589</v>
      </c>
      <c r="D6" s="101"/>
      <c r="E6" s="69">
        <v>6.4506183061752154E-8</v>
      </c>
      <c r="F6" s="99">
        <v>6.6929299999999997E-2</v>
      </c>
    </row>
    <row r="7" spans="1:6">
      <c r="A7" s="103">
        <v>2.0386728582854063</v>
      </c>
      <c r="B7" s="103"/>
      <c r="C7" s="101">
        <v>230.869</v>
      </c>
      <c r="D7" s="101"/>
      <c r="E7" s="69">
        <v>4.7119273114404336E-6</v>
      </c>
      <c r="F7" s="99">
        <v>6.2146E-2</v>
      </c>
    </row>
    <row r="8" spans="1:6">
      <c r="A8" s="103">
        <v>2.0404707703296823</v>
      </c>
      <c r="B8" s="103"/>
      <c r="C8" s="101">
        <v>207.49100000000001</v>
      </c>
      <c r="D8" s="101"/>
      <c r="E8" s="69">
        <v>6.4299904067866009E-8</v>
      </c>
      <c r="F8" s="99">
        <v>4.1111200000000001E-2</v>
      </c>
    </row>
    <row r="9" spans="1:6">
      <c r="A9" s="103">
        <v>2.0450732271227294</v>
      </c>
      <c r="B9" s="103"/>
      <c r="C9" s="101">
        <v>165.03700000000001</v>
      </c>
      <c r="D9" s="101"/>
      <c r="E9" s="69">
        <v>4.6986090787015655E-6</v>
      </c>
      <c r="F9" s="99">
        <v>5.4917000000000001E-2</v>
      </c>
    </row>
    <row r="10" spans="1:6">
      <c r="A10" s="103">
        <v>2.0472765297922764</v>
      </c>
      <c r="B10" s="103"/>
      <c r="C10" s="101">
        <v>137.435</v>
      </c>
      <c r="D10" s="101"/>
      <c r="E10" s="69">
        <v>6.4106890018678087E-8</v>
      </c>
      <c r="F10" s="99">
        <v>4.3046599999999997E-2</v>
      </c>
    </row>
    <row r="11" spans="1:6">
      <c r="A11" s="103">
        <v>2.0510491908821957</v>
      </c>
      <c r="B11" s="103"/>
      <c r="C11" s="101">
        <v>103.801</v>
      </c>
      <c r="D11" s="101"/>
      <c r="E11" s="69">
        <v>4.6862526388302683E-6</v>
      </c>
      <c r="F11" s="99">
        <v>5.2995899999999999E-2</v>
      </c>
    </row>
    <row r="12" spans="1:6">
      <c r="A12" s="103">
        <v>2.0536626599089525</v>
      </c>
      <c r="B12" s="103"/>
      <c r="C12" s="101">
        <v>71.353399999999993</v>
      </c>
      <c r="D12" s="101"/>
      <c r="E12" s="69">
        <v>6.3927004134711751E-8</v>
      </c>
      <c r="F12" s="99">
        <v>3.3728899999999999E-2</v>
      </c>
    </row>
    <row r="13" spans="1:6">
      <c r="A13" s="103">
        <v>2.0565971221428687</v>
      </c>
      <c r="B13" s="103"/>
      <c r="C13" s="101">
        <v>42.759900000000002</v>
      </c>
      <c r="D13" s="101"/>
      <c r="E13" s="69">
        <v>4.6748486561831726E-6</v>
      </c>
      <c r="F13" s="99">
        <v>7.0877300000000004E-2</v>
      </c>
    </row>
    <row r="14" spans="1:6">
      <c r="A14" s="103">
        <v>2.0596255072750353</v>
      </c>
      <c r="B14" s="103"/>
      <c r="C14" s="102">
        <v>8.8188899999999997</v>
      </c>
      <c r="D14" s="102"/>
      <c r="E14" s="69">
        <v>6.3760092317011186E-8</v>
      </c>
      <c r="F14" s="99">
        <v>3.0622699999999999E-2</v>
      </c>
    </row>
    <row r="15" spans="1:6">
      <c r="A15" s="103">
        <v>2.0617136668292089</v>
      </c>
      <c r="B15" s="103"/>
      <c r="C15" s="101">
        <v>-10.7555</v>
      </c>
      <c r="D15" s="101"/>
      <c r="E15" s="69">
        <v>4.6643884661357049E-6</v>
      </c>
      <c r="F15" s="99">
        <v>4.8357299999999999E-2</v>
      </c>
    </row>
    <row r="16" spans="1:6">
      <c r="A16" s="103">
        <v>2.0651612304616904</v>
      </c>
      <c r="B16" s="103"/>
      <c r="C16" s="101">
        <v>-52.8523</v>
      </c>
      <c r="D16" s="101"/>
      <c r="E16" s="69">
        <v>6.3606042211006297E-8</v>
      </c>
      <c r="F16" s="99">
        <v>3.5684599999999997E-2</v>
      </c>
    </row>
    <row r="17" spans="1:6">
      <c r="A17" s="103">
        <v>2.0663957219045597</v>
      </c>
      <c r="B17" s="103"/>
      <c r="C17" s="101">
        <v>-58.633600000000001</v>
      </c>
      <c r="D17" s="101"/>
      <c r="E17" s="69">
        <v>4.654864166120376E-6</v>
      </c>
      <c r="F17" s="99">
        <v>4.4526999999999997E-2</v>
      </c>
    </row>
    <row r="18" spans="1:6">
      <c r="A18" s="103">
        <v>2.0702665372542981</v>
      </c>
      <c r="B18" s="103"/>
      <c r="C18" s="101">
        <v>-105.238</v>
      </c>
      <c r="D18" s="101"/>
      <c r="E18" s="69">
        <v>6.3464734800788847E-8</v>
      </c>
      <c r="F18" s="99">
        <v>2.2548599999999999E-2</v>
      </c>
    </row>
    <row r="19" spans="1:6">
      <c r="A19" s="103">
        <v>2.0706404513125443</v>
      </c>
      <c r="B19" s="103"/>
      <c r="C19" s="101">
        <v>-102.687</v>
      </c>
      <c r="D19" s="101"/>
      <c r="E19" s="69">
        <v>4.6462685414638827E-6</v>
      </c>
      <c r="F19" s="99">
        <v>2.59502E-2</v>
      </c>
    </row>
    <row r="20" spans="1:6">
      <c r="A20" s="103">
        <v>2.074445296332438</v>
      </c>
      <c r="B20" s="103"/>
      <c r="C20" s="101">
        <v>-145.05500000000001</v>
      </c>
      <c r="D20" s="101"/>
      <c r="E20" s="69">
        <v>4.6385950729366243E-6</v>
      </c>
      <c r="F20" s="99">
        <v>2.6109199999999999E-2</v>
      </c>
    </row>
    <row r="21" spans="1:6">
      <c r="A21" s="103">
        <v>2.0749383330812776</v>
      </c>
      <c r="B21" s="103"/>
      <c r="C21" s="101">
        <v>-153.416</v>
      </c>
      <c r="D21" s="101"/>
      <c r="E21" s="69">
        <v>6.3336067501751359E-8</v>
      </c>
      <c r="F21" s="99">
        <v>2.0310600000000002E-2</v>
      </c>
    </row>
    <row r="22" spans="1:6">
      <c r="A22" s="103">
        <v>2.077807943557469</v>
      </c>
      <c r="B22" s="103"/>
      <c r="C22" s="101">
        <v>-177.297</v>
      </c>
      <c r="D22" s="101"/>
      <c r="E22" s="69">
        <v>4.6318379709475721E-6</v>
      </c>
      <c r="F22" s="99">
        <v>3.2901399999999997E-2</v>
      </c>
    </row>
    <row r="23" spans="1:6">
      <c r="A23" s="103">
        <v>2.0791737972417601</v>
      </c>
      <c r="B23" s="103"/>
      <c r="C23" s="101">
        <v>-197.43</v>
      </c>
      <c r="D23" s="101"/>
      <c r="E23" s="69">
        <v>6.3219940837910826E-8</v>
      </c>
      <c r="F23" s="99">
        <v>1.65346E-2</v>
      </c>
    </row>
    <row r="24" spans="1:6">
      <c r="A24" s="103">
        <v>2.0807263667262728</v>
      </c>
      <c r="B24" s="103"/>
      <c r="C24" s="100">
        <v>-209.578</v>
      </c>
      <c r="D24" s="100"/>
      <c r="E24" s="69">
        <v>4.6259921107072444E-6</v>
      </c>
      <c r="F24" s="99">
        <v>4.3967399999999997E-2</v>
      </c>
    </row>
    <row r="25" spans="1:6">
      <c r="A25" s="103">
        <v>2.0829703388612772</v>
      </c>
      <c r="B25" s="103"/>
      <c r="C25" s="101">
        <v>-239.54900000000001</v>
      </c>
      <c r="D25" s="101"/>
      <c r="E25" s="69">
        <v>6.3116267767782119E-8</v>
      </c>
      <c r="F25" s="99">
        <v>1.3389099999999999E-2</v>
      </c>
    </row>
    <row r="26" spans="1:6">
      <c r="A26" s="103">
        <v>2.083198792705987</v>
      </c>
      <c r="B26" s="103"/>
      <c r="C26" s="100">
        <v>-237.136</v>
      </c>
      <c r="D26" s="100"/>
      <c r="E26" s="69">
        <v>4.6210530748602707E-6</v>
      </c>
      <c r="F26" s="99">
        <v>2.7503799999999998E-2</v>
      </c>
    </row>
    <row r="27" spans="1:6">
      <c r="A27" s="103">
        <v>2.0852237323728504</v>
      </c>
      <c r="B27" s="103"/>
      <c r="C27" s="100">
        <v>-259.49</v>
      </c>
      <c r="D27" s="100"/>
      <c r="E27" s="69">
        <v>4.6170171201787014E-6</v>
      </c>
      <c r="F27" s="99">
        <v>1.6854999999999998E-2</v>
      </c>
    </row>
    <row r="28" spans="1:6">
      <c r="A28" s="103">
        <v>2.0863256686779637</v>
      </c>
      <c r="B28" s="103"/>
      <c r="C28" s="101">
        <v>-272.59399999999999</v>
      </c>
      <c r="D28" s="101"/>
      <c r="E28" s="69">
        <v>6.3024976348913242E-8</v>
      </c>
      <c r="F28" s="99">
        <v>9.4783599999999999E-3</v>
      </c>
    </row>
    <row r="29" spans="1:6">
      <c r="A29" s="103">
        <v>2.0892377511560896</v>
      </c>
      <c r="B29" s="103"/>
      <c r="C29" s="100">
        <v>-305.05700000000002</v>
      </c>
      <c r="D29" s="100"/>
      <c r="E29" s="69">
        <v>6.2945994194762989E-8</v>
      </c>
      <c r="F29" s="99">
        <v>1.1065500000000001E-2</v>
      </c>
    </row>
    <row r="30" spans="1:6">
      <c r="A30" s="103">
        <v>2.0917048197442454</v>
      </c>
      <c r="B30" s="103"/>
      <c r="C30" s="100">
        <v>-329.666</v>
      </c>
      <c r="D30" s="100"/>
      <c r="E30" s="69">
        <v>6.287926046510961E-8</v>
      </c>
      <c r="F30" s="99">
        <v>1.0670900000000001E-2</v>
      </c>
    </row>
    <row r="31" spans="1:6">
      <c r="A31" s="103">
        <v>2.0937253726718885</v>
      </c>
      <c r="B31" s="103"/>
      <c r="C31" s="100">
        <v>-355.09500000000003</v>
      </c>
      <c r="D31" s="100"/>
      <c r="E31" s="69">
        <v>6.2824730306942911E-8</v>
      </c>
      <c r="F31" s="99">
        <v>5.2838099999999999E-3</v>
      </c>
    </row>
  </sheetData>
  <autoFilter ref="A1:F31">
    <sortState ref="A2:F31">
      <sortCondition ref="A1:A31"/>
    </sortState>
  </autoFilter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S1" workbookViewId="0">
      <pane ySplit="1" topLeftCell="A2" activePane="bottomLeft" state="frozen"/>
      <selection pane="bottomLeft" activeCell="I3" sqref="I3:AF9"/>
    </sheetView>
  </sheetViews>
  <sheetFormatPr defaultRowHeight="13.5"/>
  <cols>
    <col min="4" max="4" width="13.375" customWidth="1"/>
    <col min="6" max="6" width="15" customWidth="1"/>
  </cols>
  <sheetData>
    <row r="1" spans="1:32">
      <c r="A1" t="s">
        <v>148</v>
      </c>
      <c r="B1" s="7" t="s">
        <v>84</v>
      </c>
      <c r="C1" s="7"/>
      <c r="D1" s="72" t="s">
        <v>14</v>
      </c>
      <c r="E1" s="107"/>
      <c r="F1" s="7" t="s">
        <v>86</v>
      </c>
      <c r="G1" s="7" t="s">
        <v>75</v>
      </c>
    </row>
    <row r="2" spans="1:32">
      <c r="A2" s="1">
        <v>18</v>
      </c>
      <c r="B2" s="103">
        <v>2.0169653397721534</v>
      </c>
      <c r="C2" s="103"/>
      <c r="D2" s="100">
        <v>452.70499999999998</v>
      </c>
      <c r="E2" s="100"/>
      <c r="F2" s="69">
        <v>4.757757537721119E-6</v>
      </c>
      <c r="G2" s="99">
        <v>8.9870900000000004E-2</v>
      </c>
    </row>
    <row r="3" spans="1:32">
      <c r="A3" s="1">
        <v>17</v>
      </c>
      <c r="B3" s="103">
        <v>2.0246146594132637</v>
      </c>
      <c r="C3" s="103"/>
      <c r="D3" s="101">
        <v>373.23099999999999</v>
      </c>
      <c r="E3" s="101"/>
      <c r="F3" s="69">
        <v>4.7414903221465465E-6</v>
      </c>
      <c r="G3" s="99">
        <v>8.1414399999999998E-2</v>
      </c>
      <c r="I3" s="103">
        <v>2.0169653397721534</v>
      </c>
      <c r="J3" s="103">
        <v>2.0246146594132637</v>
      </c>
      <c r="K3" s="103">
        <v>2.0256173891816185</v>
      </c>
      <c r="L3" s="103">
        <v>2.0318519600328333</v>
      </c>
      <c r="M3" s="103">
        <v>2.0332495959714181</v>
      </c>
      <c r="N3" s="103">
        <v>2.0386728582854063</v>
      </c>
      <c r="O3" s="103">
        <v>2.0404707703296823</v>
      </c>
      <c r="P3" s="103">
        <v>2.0450732271227294</v>
      </c>
      <c r="Q3" s="103">
        <v>2.0472765297922764</v>
      </c>
      <c r="R3" s="103">
        <v>2.0510491908821957</v>
      </c>
      <c r="S3" s="103">
        <v>2.0536626599089525</v>
      </c>
      <c r="T3" s="103">
        <v>2.0565971221428687</v>
      </c>
      <c r="U3" s="103">
        <v>2.0596255072750353</v>
      </c>
      <c r="V3" s="103">
        <v>2.0617136668292089</v>
      </c>
      <c r="W3" s="103">
        <v>2.0651612304616904</v>
      </c>
      <c r="X3" s="103">
        <v>2.0663957219045597</v>
      </c>
      <c r="Y3" s="103">
        <v>2.0702665372542981</v>
      </c>
      <c r="Z3" s="103">
        <v>2.0706404513125443</v>
      </c>
      <c r="AA3" s="103">
        <v>2.074445296332438</v>
      </c>
      <c r="AB3" s="103">
        <v>2.0749383330812776</v>
      </c>
      <c r="AC3" s="103">
        <v>2.077807943557469</v>
      </c>
      <c r="AD3" s="103">
        <v>2.0791737972417601</v>
      </c>
      <c r="AE3" s="103">
        <v>2.0829703388612772</v>
      </c>
      <c r="AF3" s="103">
        <v>2.0863256686779637</v>
      </c>
    </row>
    <row r="4" spans="1:32">
      <c r="A4" s="1">
        <v>18</v>
      </c>
      <c r="B4" s="103">
        <v>2.0256173891816185</v>
      </c>
      <c r="C4" s="103"/>
      <c r="D4" s="100">
        <v>363.10300000000001</v>
      </c>
      <c r="E4" s="100"/>
      <c r="F4" s="69">
        <v>6.4725874882043399E-8</v>
      </c>
      <c r="G4" s="99">
        <v>6.8102399999999993E-2</v>
      </c>
    </row>
    <row r="5" spans="1:32">
      <c r="A5" s="1">
        <v>16</v>
      </c>
      <c r="B5" s="103">
        <v>2.0318519600328333</v>
      </c>
      <c r="C5" s="103"/>
      <c r="D5" s="101">
        <v>300.48099999999999</v>
      </c>
      <c r="E5" s="101"/>
      <c r="F5" s="69">
        <v>4.7262174476259133E-6</v>
      </c>
      <c r="G5" s="99">
        <v>6.3292699999999993E-2</v>
      </c>
      <c r="I5" s="100">
        <v>452.70499999999998</v>
      </c>
      <c r="J5" s="101">
        <v>373.23099999999999</v>
      </c>
      <c r="K5" s="100">
        <v>363.10300000000001</v>
      </c>
      <c r="L5" s="101">
        <v>300.48099999999999</v>
      </c>
      <c r="M5" s="101">
        <v>280.589</v>
      </c>
      <c r="N5" s="101">
        <v>230.869</v>
      </c>
      <c r="O5" s="101">
        <v>207.49100000000001</v>
      </c>
      <c r="P5" s="101">
        <v>165.03700000000001</v>
      </c>
      <c r="Q5" s="101">
        <v>137.435</v>
      </c>
      <c r="R5" s="101">
        <v>103.801</v>
      </c>
      <c r="S5" s="101">
        <v>71.353399999999993</v>
      </c>
      <c r="T5" s="101">
        <v>42.759900000000002</v>
      </c>
      <c r="U5" s="102">
        <v>8.8188899999999997</v>
      </c>
      <c r="V5" s="101">
        <v>-10.7555</v>
      </c>
      <c r="W5" s="101">
        <v>-52.8523</v>
      </c>
      <c r="X5" s="101">
        <v>-58.633600000000001</v>
      </c>
      <c r="Y5" s="101">
        <v>-105.238</v>
      </c>
      <c r="Z5" s="101">
        <v>-102.687</v>
      </c>
      <c r="AA5" s="101">
        <v>-145.05500000000001</v>
      </c>
      <c r="AB5" s="101">
        <v>-153.416</v>
      </c>
      <c r="AC5" s="101">
        <v>-177.297</v>
      </c>
      <c r="AD5" s="101">
        <v>-197.43</v>
      </c>
      <c r="AE5" s="101">
        <v>-239.54900000000001</v>
      </c>
      <c r="AF5" s="101">
        <v>-272.59399999999999</v>
      </c>
    </row>
    <row r="6" spans="1:32">
      <c r="A6" s="1">
        <v>17</v>
      </c>
      <c r="B6" s="103">
        <v>2.0332495959714181</v>
      </c>
      <c r="C6" s="103"/>
      <c r="D6" s="101">
        <v>280.589</v>
      </c>
      <c r="E6" s="101"/>
      <c r="F6" s="69">
        <v>6.4506183061752154E-8</v>
      </c>
      <c r="G6" s="99">
        <v>6.6929299999999997E-2</v>
      </c>
    </row>
    <row r="7" spans="1:32">
      <c r="A7" s="1">
        <v>15</v>
      </c>
      <c r="B7" s="103">
        <v>2.0386728582854063</v>
      </c>
      <c r="C7" s="103"/>
      <c r="D7" s="101">
        <v>230.869</v>
      </c>
      <c r="E7" s="101"/>
      <c r="F7" s="69">
        <v>4.7119273114404336E-6</v>
      </c>
      <c r="G7" s="99">
        <v>6.2146E-2</v>
      </c>
      <c r="I7" s="69">
        <v>4.757757537721119E-6</v>
      </c>
      <c r="J7" s="69">
        <v>4.7414903221465465E-6</v>
      </c>
      <c r="K7" s="69">
        <v>6.4725874882043399E-8</v>
      </c>
      <c r="L7" s="69">
        <v>4.7262174476259133E-6</v>
      </c>
      <c r="M7" s="69">
        <v>6.4506183061752154E-8</v>
      </c>
      <c r="N7" s="69">
        <v>4.7119273114404336E-6</v>
      </c>
      <c r="O7" s="69">
        <v>6.4299904067866009E-8</v>
      </c>
      <c r="P7" s="69">
        <v>4.6986090787015655E-6</v>
      </c>
      <c r="Q7" s="69">
        <v>6.4106890018678087E-8</v>
      </c>
      <c r="R7" s="69">
        <v>4.6862526388302683E-6</v>
      </c>
      <c r="S7" s="69">
        <v>6.3927004134711751E-8</v>
      </c>
      <c r="T7" s="69">
        <v>4.6748486561831726E-6</v>
      </c>
      <c r="U7" s="69">
        <v>6.3760092317011186E-8</v>
      </c>
      <c r="V7" s="69">
        <v>4.6643884661357049E-6</v>
      </c>
      <c r="W7" s="69">
        <v>6.3606042211006297E-8</v>
      </c>
      <c r="X7" s="69">
        <v>4.654864166120376E-6</v>
      </c>
      <c r="Y7" s="69">
        <v>6.3464734800788847E-8</v>
      </c>
      <c r="Z7" s="69">
        <v>4.6462685414638827E-6</v>
      </c>
      <c r="AA7" s="69">
        <v>4.6385950729366243E-6</v>
      </c>
      <c r="AB7" s="69">
        <v>6.3336067501751359E-8</v>
      </c>
      <c r="AC7" s="69">
        <v>4.6318379709475721E-6</v>
      </c>
      <c r="AD7" s="69">
        <v>6.3219940837910826E-8</v>
      </c>
      <c r="AE7" s="69">
        <v>6.3116267767782119E-8</v>
      </c>
      <c r="AF7" s="69">
        <v>6.3024976348913242E-8</v>
      </c>
    </row>
    <row r="8" spans="1:32">
      <c r="A8" s="1">
        <v>16</v>
      </c>
      <c r="B8" s="103">
        <v>2.0404707703296823</v>
      </c>
      <c r="C8" s="103"/>
      <c r="D8" s="101">
        <v>207.49100000000001</v>
      </c>
      <c r="E8" s="101"/>
      <c r="F8" s="69">
        <v>6.4299904067866009E-8</v>
      </c>
      <c r="G8" s="99">
        <v>4.1111200000000001E-2</v>
      </c>
    </row>
    <row r="9" spans="1:32">
      <c r="A9" s="1">
        <v>14</v>
      </c>
      <c r="B9" s="103">
        <v>2.0450732271227294</v>
      </c>
      <c r="C9" s="103"/>
      <c r="D9" s="101">
        <v>165.03700000000001</v>
      </c>
      <c r="E9" s="101"/>
      <c r="F9" s="69">
        <v>4.6986090787015655E-6</v>
      </c>
      <c r="G9" s="99">
        <v>5.4917000000000001E-2</v>
      </c>
      <c r="I9" s="99">
        <v>8.9870900000000004E-2</v>
      </c>
      <c r="J9" s="99">
        <v>8.1414399999999998E-2</v>
      </c>
      <c r="K9" s="99">
        <v>6.8102399999999993E-2</v>
      </c>
      <c r="L9" s="99">
        <v>6.3292699999999993E-2</v>
      </c>
      <c r="M9" s="99">
        <v>6.6929299999999997E-2</v>
      </c>
      <c r="N9" s="99">
        <v>6.2146E-2</v>
      </c>
      <c r="O9" s="99">
        <v>4.1111200000000001E-2</v>
      </c>
      <c r="P9" s="99">
        <v>5.4917000000000001E-2</v>
      </c>
      <c r="Q9" s="99">
        <v>4.3046599999999997E-2</v>
      </c>
      <c r="R9" s="99">
        <v>5.2995899999999999E-2</v>
      </c>
      <c r="S9" s="99">
        <v>3.3728899999999999E-2</v>
      </c>
      <c r="T9" s="99">
        <v>7.0877300000000004E-2</v>
      </c>
      <c r="U9" s="99">
        <v>3.0622699999999999E-2</v>
      </c>
      <c r="V9" s="99">
        <v>4.8357299999999999E-2</v>
      </c>
      <c r="W9" s="99">
        <v>3.5684599999999997E-2</v>
      </c>
      <c r="X9" s="99">
        <v>4.4526999999999997E-2</v>
      </c>
      <c r="Y9" s="99">
        <v>2.2548599999999999E-2</v>
      </c>
      <c r="Z9" s="99">
        <v>2.59502E-2</v>
      </c>
      <c r="AA9" s="99">
        <v>2.6109199999999999E-2</v>
      </c>
      <c r="AB9" s="99">
        <v>2.0310600000000002E-2</v>
      </c>
      <c r="AC9" s="99">
        <v>3.2901399999999997E-2</v>
      </c>
      <c r="AD9" s="99">
        <v>1.65346E-2</v>
      </c>
      <c r="AE9" s="99">
        <v>1.3389099999999999E-2</v>
      </c>
      <c r="AF9" s="99">
        <v>9.4783599999999999E-3</v>
      </c>
    </row>
    <row r="10" spans="1:32">
      <c r="A10" s="1">
        <v>15</v>
      </c>
      <c r="B10" s="103">
        <v>2.0472765297922764</v>
      </c>
      <c r="C10" s="103"/>
      <c r="D10" s="101">
        <v>137.435</v>
      </c>
      <c r="E10" s="101"/>
      <c r="F10" s="69">
        <v>6.4106890018678087E-8</v>
      </c>
      <c r="G10" s="99">
        <v>4.3046599999999997E-2</v>
      </c>
    </row>
    <row r="11" spans="1:32">
      <c r="A11" s="1">
        <v>13</v>
      </c>
      <c r="B11" s="103">
        <v>2.0510491908821957</v>
      </c>
      <c r="C11" s="103"/>
      <c r="D11" s="101">
        <v>103.801</v>
      </c>
      <c r="E11" s="101"/>
      <c r="F11" s="69">
        <v>4.6862526388302683E-6</v>
      </c>
      <c r="G11" s="99">
        <v>5.2995899999999999E-2</v>
      </c>
    </row>
    <row r="12" spans="1:32">
      <c r="A12" s="1">
        <v>14</v>
      </c>
      <c r="B12" s="103">
        <v>2.0536626599089525</v>
      </c>
      <c r="C12" s="103"/>
      <c r="D12" s="101">
        <v>71.353399999999993</v>
      </c>
      <c r="E12" s="101"/>
      <c r="F12" s="69">
        <v>6.3927004134711751E-8</v>
      </c>
      <c r="G12" s="99">
        <v>3.3728899999999999E-2</v>
      </c>
    </row>
    <row r="13" spans="1:32">
      <c r="A13" s="1">
        <v>12</v>
      </c>
      <c r="B13" s="103">
        <v>2.0565971221428687</v>
      </c>
      <c r="C13" s="103"/>
      <c r="D13" s="101">
        <v>42.759900000000002</v>
      </c>
      <c r="E13" s="101"/>
      <c r="F13" s="69">
        <v>4.6748486561831726E-6</v>
      </c>
      <c r="G13" s="99">
        <v>7.0877300000000004E-2</v>
      </c>
    </row>
    <row r="14" spans="1:32">
      <c r="A14" s="1">
        <v>13</v>
      </c>
      <c r="B14" s="103">
        <v>2.0596255072750353</v>
      </c>
      <c r="C14" s="103"/>
      <c r="D14" s="102">
        <v>8.8188899999999997</v>
      </c>
      <c r="E14" s="102"/>
      <c r="F14" s="69">
        <v>6.3760092317011186E-8</v>
      </c>
      <c r="G14" s="99">
        <v>3.0622699999999999E-2</v>
      </c>
    </row>
    <row r="15" spans="1:32">
      <c r="A15" s="1">
        <v>11</v>
      </c>
      <c r="B15" s="103">
        <v>2.0617136668292089</v>
      </c>
      <c r="C15" s="103"/>
      <c r="D15" s="101">
        <v>-10.7555</v>
      </c>
      <c r="E15" s="101"/>
      <c r="F15" s="69">
        <v>4.6643884661357049E-6</v>
      </c>
      <c r="G15" s="99">
        <v>4.8357299999999999E-2</v>
      </c>
    </row>
    <row r="16" spans="1:32">
      <c r="A16" s="1">
        <v>12</v>
      </c>
      <c r="B16" s="103">
        <v>2.0651612304616904</v>
      </c>
      <c r="C16" s="103"/>
      <c r="D16" s="101">
        <v>-52.8523</v>
      </c>
      <c r="E16" s="101"/>
      <c r="F16" s="69">
        <v>6.3606042211006297E-8</v>
      </c>
      <c r="G16" s="99">
        <v>3.5684599999999997E-2</v>
      </c>
    </row>
    <row r="17" spans="1:7">
      <c r="A17" s="1">
        <v>10</v>
      </c>
      <c r="B17" s="103">
        <v>2.0663957219045597</v>
      </c>
      <c r="C17" s="103"/>
      <c r="D17" s="101">
        <v>-58.633600000000001</v>
      </c>
      <c r="E17" s="101"/>
      <c r="F17" s="69">
        <v>4.654864166120376E-6</v>
      </c>
      <c r="G17" s="99">
        <v>4.4526999999999997E-2</v>
      </c>
    </row>
    <row r="18" spans="1:7">
      <c r="A18" s="1">
        <v>11</v>
      </c>
      <c r="B18" s="103">
        <v>2.0702665372542981</v>
      </c>
      <c r="C18" s="103"/>
      <c r="D18" s="101">
        <v>-105.238</v>
      </c>
      <c r="E18" s="101"/>
      <c r="F18" s="69">
        <v>6.3464734800788847E-8</v>
      </c>
      <c r="G18" s="99">
        <v>2.2548599999999999E-2</v>
      </c>
    </row>
    <row r="19" spans="1:7">
      <c r="A19" s="1">
        <v>9</v>
      </c>
      <c r="B19" s="103">
        <v>2.0706404513125443</v>
      </c>
      <c r="C19" s="103"/>
      <c r="D19" s="101">
        <v>-102.687</v>
      </c>
      <c r="E19" s="101"/>
      <c r="F19" s="69">
        <v>4.6462685414638827E-6</v>
      </c>
      <c r="G19" s="99">
        <v>2.59502E-2</v>
      </c>
    </row>
    <row r="20" spans="1:7">
      <c r="A20" s="1">
        <v>8</v>
      </c>
      <c r="B20" s="103">
        <v>2.074445296332438</v>
      </c>
      <c r="C20" s="103"/>
      <c r="D20" s="101">
        <v>-145.05500000000001</v>
      </c>
      <c r="E20" s="101"/>
      <c r="F20" s="69">
        <v>4.6385950729366243E-6</v>
      </c>
      <c r="G20" s="99">
        <v>2.6109199999999999E-2</v>
      </c>
    </row>
    <row r="21" spans="1:7">
      <c r="A21" s="1">
        <v>10</v>
      </c>
      <c r="B21" s="103">
        <v>2.0749383330812776</v>
      </c>
      <c r="C21" s="103"/>
      <c r="D21" s="101">
        <v>-153.416</v>
      </c>
      <c r="E21" s="101"/>
      <c r="F21" s="69">
        <v>6.3336067501751359E-8</v>
      </c>
      <c r="G21" s="99">
        <v>2.0310600000000002E-2</v>
      </c>
    </row>
    <row r="22" spans="1:7">
      <c r="A22" s="1">
        <v>7</v>
      </c>
      <c r="B22" s="103">
        <v>2.077807943557469</v>
      </c>
      <c r="C22" s="103"/>
      <c r="D22" s="101">
        <v>-177.297</v>
      </c>
      <c r="E22" s="101"/>
      <c r="F22" s="69">
        <v>4.6318379709475721E-6</v>
      </c>
      <c r="G22" s="99">
        <v>3.2901399999999997E-2</v>
      </c>
    </row>
    <row r="23" spans="1:7">
      <c r="A23" s="1">
        <v>9</v>
      </c>
      <c r="B23" s="103">
        <v>2.0791737972417601</v>
      </c>
      <c r="C23" s="103"/>
      <c r="D23" s="101">
        <v>-197.43</v>
      </c>
      <c r="E23" s="101"/>
      <c r="F23" s="69">
        <v>6.3219940837910826E-8</v>
      </c>
      <c r="G23" s="99">
        <v>1.65346E-2</v>
      </c>
    </row>
    <row r="24" spans="1:7">
      <c r="A24" s="1">
        <v>8</v>
      </c>
      <c r="B24" s="103">
        <v>2.0829703388612772</v>
      </c>
      <c r="C24" s="103"/>
      <c r="D24" s="101">
        <v>-239.54900000000001</v>
      </c>
      <c r="E24" s="101"/>
      <c r="F24" s="69">
        <v>6.3116267767782119E-8</v>
      </c>
      <c r="G24" s="99">
        <v>1.3389099999999999E-2</v>
      </c>
    </row>
    <row r="25" spans="1:7">
      <c r="A25" s="1">
        <v>7</v>
      </c>
      <c r="B25" s="103">
        <v>2.0863256686779637</v>
      </c>
      <c r="C25" s="103"/>
      <c r="D25" s="101">
        <v>-272.59399999999999</v>
      </c>
      <c r="E25" s="101"/>
      <c r="F25" s="69">
        <v>6.3024976348913242E-8</v>
      </c>
      <c r="G25" s="99">
        <v>9.4783599999999999E-3</v>
      </c>
    </row>
  </sheetData>
  <autoFilter ref="A1:G25">
    <sortState ref="A2:G25">
      <sortCondition ref="B1:B25"/>
    </sortState>
  </autoFilter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Sheet9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lastPrinted>2013-03-04T22:06:44Z</cp:lastPrinted>
  <dcterms:created xsi:type="dcterms:W3CDTF">2012-07-25T13:56:06Z</dcterms:created>
  <dcterms:modified xsi:type="dcterms:W3CDTF">2015-03-12T18:50:41Z</dcterms:modified>
</cp:coreProperties>
</file>