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ilver/Documents/project_lynch_gyn/data/"/>
    </mc:Choice>
  </mc:AlternateContent>
  <xr:revisionPtr revIDLastSave="0" documentId="13_ncr:1_{315C4B75-E0E8-3346-8150-F75B756E7749}" xr6:coauthVersionLast="45" xr6:coauthVersionMax="45" xr10:uidLastSave="{00000000-0000-0000-0000-000000000000}"/>
  <bookViews>
    <workbookView xWindow="0" yWindow="480" windowWidth="28800" windowHeight="16260" activeTab="6" xr2:uid="{00000000-000D-0000-FFFF-FFFF00000000}"/>
  </bookViews>
  <sheets>
    <sheet name="performance_chars" sheetId="1" r:id="rId1"/>
    <sheet name="perf_chars_oc" sheetId="7" r:id="rId2"/>
    <sheet name="perf_chars_ec" sheetId="8" r:id="rId3"/>
    <sheet name="lifetable" sheetId="6" r:id="rId4"/>
    <sheet name="costs_scratch" sheetId="3" r:id="rId5"/>
    <sheet name="costs" sheetId="27" r:id="rId6"/>
    <sheet name="owsa_dict" sheetId="28" r:id="rId7"/>
    <sheet name="cost_table_raw" sheetId="25" r:id="rId8"/>
    <sheet name="util_table_raw" sheetId="13" r:id="rId9"/>
    <sheet name="util refs" sheetId="24" r:id="rId10"/>
    <sheet name="util_table_raw_low" sheetId="19" r:id="rId11"/>
    <sheet name="util_table_raw_up" sheetId="20" r:id="rId12"/>
    <sheet name="surgical_complications" sheetId="21" r:id="rId13"/>
    <sheet name="surgical_mortality" sheetId="11" r:id="rId14"/>
    <sheet name="stage_dists_scratch" sheetId="4" r:id="rId15"/>
    <sheet name="params" sheetId="18" r:id="rId16"/>
    <sheet name="params_PSA" sheetId="23" r:id="rId17"/>
    <sheet name="refs" sheetId="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8" l="1"/>
  <c r="C4" i="28" s="1"/>
  <c r="C5" i="28" s="1"/>
  <c r="C6" i="28" s="1"/>
  <c r="C7" i="28" s="1"/>
  <c r="C8" i="28" s="1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B85" i="4" l="1"/>
  <c r="B84" i="4"/>
  <c r="D85" i="4"/>
  <c r="D86" i="4" s="1"/>
  <c r="F47" i="4" l="1"/>
  <c r="F50" i="4" s="1"/>
  <c r="B63" i="4"/>
  <c r="B64" i="4"/>
  <c r="F55" i="4"/>
  <c r="F54" i="4"/>
  <c r="F53" i="4"/>
  <c r="B57" i="4"/>
  <c r="B56" i="4"/>
  <c r="B55" i="4"/>
  <c r="B54" i="4"/>
  <c r="B53" i="4"/>
  <c r="B49" i="4"/>
  <c r="B48" i="4"/>
  <c r="B47" i="4"/>
  <c r="H27" i="4"/>
  <c r="F24" i="4"/>
  <c r="F25" i="4"/>
  <c r="F26" i="4"/>
  <c r="F27" i="4" l="1"/>
  <c r="B66" i="4"/>
  <c r="B28" i="4"/>
  <c r="B26" i="4"/>
  <c r="B22" i="4"/>
  <c r="B21" i="4"/>
  <c r="B20" i="4"/>
  <c r="B19" i="4"/>
  <c r="B13" i="4"/>
  <c r="B14" i="4" s="1"/>
  <c r="B6" i="4"/>
  <c r="B23" i="4" l="1"/>
  <c r="B29" i="4"/>
  <c r="B27" i="4"/>
  <c r="C46" i="3"/>
  <c r="C47" i="3"/>
  <c r="C48" i="3"/>
  <c r="C45" i="3"/>
  <c r="B9" i="3"/>
  <c r="C49" i="3" l="1"/>
  <c r="D24" i="3"/>
  <c r="N21" i="3" s="1"/>
  <c r="D25" i="3"/>
  <c r="N23" i="3" s="1"/>
  <c r="D26" i="3"/>
  <c r="N24" i="3" s="1"/>
  <c r="D27" i="3"/>
  <c r="D28" i="3"/>
  <c r="D29" i="3"/>
  <c r="N25" i="3" s="1"/>
  <c r="D30" i="3"/>
  <c r="D31" i="3"/>
  <c r="D23" i="3"/>
  <c r="N20" i="3" s="1"/>
  <c r="D15" i="3"/>
  <c r="N15" i="3" s="1"/>
  <c r="D16" i="3"/>
  <c r="N17" i="3" s="1"/>
  <c r="D17" i="3"/>
  <c r="N18" i="3" s="1"/>
  <c r="D18" i="3"/>
  <c r="D19" i="3"/>
  <c r="D20" i="3"/>
  <c r="N19" i="3" s="1"/>
  <c r="D21" i="3"/>
  <c r="D22" i="3"/>
  <c r="D14" i="3"/>
  <c r="N14" i="3" s="1"/>
  <c r="D3" i="3"/>
  <c r="D32" i="3"/>
  <c r="N13" i="3" s="1"/>
  <c r="D12" i="3"/>
  <c r="N11" i="3" s="1"/>
  <c r="D13" i="3"/>
  <c r="N12" i="3" s="1"/>
  <c r="L3" i="3"/>
  <c r="K3" i="3"/>
  <c r="D4" i="3"/>
  <c r="D5" i="3"/>
  <c r="D6" i="3"/>
  <c r="D7" i="3"/>
  <c r="D8" i="3"/>
  <c r="D11" i="3"/>
  <c r="B10" i="3"/>
  <c r="D10" i="3" s="1"/>
  <c r="N10" i="3" s="1"/>
  <c r="D9" i="3"/>
  <c r="N9" i="3" s="1"/>
  <c r="B49" i="3"/>
  <c r="D48" i="3"/>
  <c r="D47" i="3"/>
  <c r="D46" i="3"/>
  <c r="D45" i="3"/>
  <c r="F5" i="21"/>
  <c r="F6" i="21" s="1"/>
  <c r="C4" i="21"/>
  <c r="C5" i="21" s="1"/>
  <c r="C6" i="21" s="1"/>
  <c r="N22" i="3" l="1"/>
  <c r="N16" i="3"/>
  <c r="D33" i="3"/>
  <c r="M3" i="3" s="1"/>
  <c r="B21" i="23" l="1"/>
  <c r="B21" i="18"/>
  <c r="E21" i="18" l="1"/>
  <c r="I8" i="18" l="1"/>
  <c r="I31" i="21" l="1"/>
  <c r="F31" i="21"/>
  <c r="B31" i="21"/>
  <c r="F35" i="21" l="1"/>
  <c r="F36" i="21" s="1"/>
  <c r="E16" i="18" l="1"/>
  <c r="E8" i="18"/>
  <c r="C8" i="18" s="1"/>
  <c r="E7" i="18"/>
  <c r="D7" i="18" s="1"/>
  <c r="E6" i="18"/>
  <c r="E5" i="18"/>
  <c r="E20" i="18"/>
  <c r="C20" i="18" s="1"/>
  <c r="E19" i="18"/>
  <c r="E18" i="18"/>
  <c r="C18" i="18" s="1"/>
  <c r="E17" i="18"/>
  <c r="E4" i="18"/>
  <c r="E9" i="18"/>
  <c r="C9" i="18" s="1"/>
  <c r="E10" i="18"/>
  <c r="D10" i="18" s="1"/>
  <c r="E11" i="18"/>
  <c r="D11" i="18" s="1"/>
  <c r="E12" i="18"/>
  <c r="C12" i="18" s="1"/>
  <c r="E13" i="18"/>
  <c r="C13" i="18" s="1"/>
  <c r="E14" i="18"/>
  <c r="C14" i="18" s="1"/>
  <c r="E3" i="18"/>
  <c r="E2" i="18"/>
  <c r="C2" i="18" s="1"/>
  <c r="E15" i="18"/>
  <c r="C5" i="18"/>
  <c r="B38" i="21"/>
  <c r="E31" i="21"/>
  <c r="A31" i="21"/>
  <c r="F30" i="21"/>
  <c r="E30" i="21"/>
  <c r="A30" i="21"/>
  <c r="H28" i="21"/>
  <c r="I30" i="21" s="1"/>
  <c r="I32" i="21" s="1"/>
  <c r="E28" i="21"/>
  <c r="A27" i="21"/>
  <c r="A26" i="21"/>
  <c r="B28" i="21" s="1"/>
  <c r="C21" i="21"/>
  <c r="C17" i="21"/>
  <c r="E19" i="21"/>
  <c r="E18" i="21"/>
  <c r="D16" i="21"/>
  <c r="D15" i="21"/>
  <c r="D14" i="21"/>
  <c r="E16" i="21"/>
  <c r="E15" i="21"/>
  <c r="E14" i="21"/>
  <c r="C16" i="21"/>
  <c r="C15" i="21"/>
  <c r="C14" i="21"/>
  <c r="C8" i="11"/>
  <c r="C7" i="11"/>
  <c r="C6" i="11"/>
  <c r="C5" i="11"/>
  <c r="C4" i="11"/>
  <c r="C3" i="11"/>
  <c r="B8" i="11"/>
  <c r="B7" i="11"/>
  <c r="B6" i="11"/>
  <c r="B5" i="11"/>
  <c r="B4" i="11"/>
  <c r="B3" i="11"/>
  <c r="B2" i="11"/>
  <c r="B32" i="21" l="1"/>
  <c r="C20" i="21"/>
  <c r="F32" i="21"/>
  <c r="C38" i="21" s="1"/>
  <c r="C7" i="18"/>
  <c r="G35" i="21"/>
  <c r="C37" i="21"/>
  <c r="D2" i="18"/>
  <c r="D18" i="18"/>
  <c r="C10" i="18"/>
  <c r="C11" i="18"/>
  <c r="D14" i="18"/>
  <c r="G36" i="21" l="1"/>
  <c r="C39" i="21"/>
  <c r="C40" i="21" s="1"/>
  <c r="G37" i="21"/>
  <c r="G38" i="21" s="1"/>
</calcChain>
</file>

<file path=xl/sharedStrings.xml><?xml version="1.0" encoding="utf-8"?>
<sst xmlns="http://schemas.openxmlformats.org/spreadsheetml/2006/main" count="835" uniqueCount="432">
  <si>
    <t>char</t>
  </si>
  <si>
    <t>performance</t>
  </si>
  <si>
    <t>refs</t>
  </si>
  <si>
    <t>sensitivity_ovarian_screen</t>
  </si>
  <si>
    <t>2, 3</t>
  </si>
  <si>
    <t>sensitivity = true positive, specificity = true negative</t>
  </si>
  <si>
    <t>specificity_ovarian_screen</t>
  </si>
  <si>
    <t>sensitivity_TVUS</t>
  </si>
  <si>
    <t>specificity_TVUS</t>
  </si>
  <si>
    <t>sensitivity_endo_bx</t>
  </si>
  <si>
    <t>specificity_endo_bx</t>
  </si>
  <si>
    <t>sensitivity_DC</t>
  </si>
  <si>
    <t>specificity_DC</t>
  </si>
  <si>
    <t>perf</t>
  </si>
  <si>
    <t>low_bound</t>
  </si>
  <si>
    <t>upper_bound</t>
  </si>
  <si>
    <t>ref</t>
  </si>
  <si>
    <t>sens_tvus_ca125_old</t>
  </si>
  <si>
    <t>spec_tvus_ca125_old</t>
  </si>
  <si>
    <t>sens_jacobs</t>
  </si>
  <si>
    <t>6 includes CA-125 and TVUS</t>
  </si>
  <si>
    <t>spec_jacobs</t>
  </si>
  <si>
    <t>sens_tvs</t>
  </si>
  <si>
    <t>7 is only TV sonography</t>
  </si>
  <si>
    <t>spec_tvs</t>
  </si>
  <si>
    <t>sens_tvus_ca125</t>
  </si>
  <si>
    <t>ref = 1 for range of values</t>
  </si>
  <si>
    <t>spec_tvus_ca125</t>
  </si>
  <si>
    <t>sens_endo_bx</t>
  </si>
  <si>
    <t>spec_endo_bx</t>
  </si>
  <si>
    <t>age</t>
  </si>
  <si>
    <t>p_death</t>
  </si>
  <si>
    <t>param</t>
  </si>
  <si>
    <t>cost</t>
  </si>
  <si>
    <t>c_first_gyn_exam</t>
  </si>
  <si>
    <t>c_gyn_exam</t>
  </si>
  <si>
    <t>c_CA_125</t>
  </si>
  <si>
    <t>c_TVUS</t>
  </si>
  <si>
    <t>c_endo_bx</t>
  </si>
  <si>
    <t>c_HSBO</t>
  </si>
  <si>
    <t>c_endo_bx_path</t>
  </si>
  <si>
    <t>c_total_surv_init</t>
  </si>
  <si>
    <t>c_total_surv</t>
  </si>
  <si>
    <t>c_HSBO_path</t>
  </si>
  <si>
    <t>max_age</t>
  </si>
  <si>
    <t>healthy</t>
  </si>
  <si>
    <t>init HSBO</t>
  </si>
  <si>
    <t>init hysterectomy</t>
  </si>
  <si>
    <t>HSBO</t>
  </si>
  <si>
    <t>hysterectomy</t>
  </si>
  <si>
    <t>gyn surveillance</t>
  </si>
  <si>
    <t>undetected OC</t>
  </si>
  <si>
    <t>undetected EC</t>
  </si>
  <si>
    <t>OC stage I</t>
  </si>
  <si>
    <t>OC stage II</t>
  </si>
  <si>
    <t>OC stage III</t>
  </si>
  <si>
    <t>OC stage IV</t>
  </si>
  <si>
    <t>EC stage I</t>
  </si>
  <si>
    <t>EC stage II</t>
  </si>
  <si>
    <t>EC stage III</t>
  </si>
  <si>
    <t>EC stage IV</t>
  </si>
  <si>
    <t>OC death</t>
  </si>
  <si>
    <t>EC death</t>
  </si>
  <si>
    <t>AC death</t>
  </si>
  <si>
    <t>AC death OC</t>
  </si>
  <si>
    <t>AC death EC</t>
  </si>
  <si>
    <t>HSBO death comps</t>
  </si>
  <si>
    <t>AC death HSBO</t>
  </si>
  <si>
    <t>AC death hysterectomy</t>
  </si>
  <si>
    <t>hysterectomy death comps</t>
  </si>
  <si>
    <t>comp_rate</t>
  </si>
  <si>
    <t>comp_duration</t>
  </si>
  <si>
    <t>comp_disutility</t>
  </si>
  <si>
    <t>up_bound</t>
  </si>
  <si>
    <t>comp_disutility calculated as 0.5 * duration in state + disutil of recovery</t>
  </si>
  <si>
    <t>1 month</t>
  </si>
  <si>
    <t>3 months</t>
  </si>
  <si>
    <t>12 months</t>
  </si>
  <si>
    <t>oc</t>
  </si>
  <si>
    <t>ec</t>
  </si>
  <si>
    <t>value</t>
  </si>
  <si>
    <t>surgical mortality</t>
  </si>
  <si>
    <t>risk oc tubal ligation</t>
  </si>
  <si>
    <t>risk ac death oc surg</t>
  </si>
  <si>
    <t>sens endo surv</t>
  </si>
  <si>
    <t>spec endo surv</t>
  </si>
  <si>
    <t>sens oc surv</t>
  </si>
  <si>
    <t>spec oc surv</t>
  </si>
  <si>
    <t>oc stage dist nat hist</t>
  </si>
  <si>
    <t>ec stage dist nat hist</t>
  </si>
  <si>
    <t>oc stage dist intervention</t>
  </si>
  <si>
    <t>ec stage dist intervention</t>
  </si>
  <si>
    <t>Kwon, J. S., Sun, C. C., Peterson, S. K., White, K. G., Daniels, M. S., Boyd‐Rogers, S. G., &amp; Lu, K. H. (2008). Cost‐effectiveness analysis of prevention strategies for gynecologic cancers in Lynch syndrome. Cancer, 113(2), 326–335. https://doi.org/10.1002/cncr.23554</t>
  </si>
  <si>
    <t>Yang, K. Y., Caughey, A. B., Little, S. E., Cheung, M. K., &amp; Chen, L.-M. (2011). A cost-effectiveness analysis of prophylactic surgery versus gynecologic surveillance for women from hereditary non-polyposis colorectal cancer (HNPCC) Families. Familial Cancer, 10(3), 535–543. https://doi.org/10.1007/s10689-011-9444-z</t>
  </si>
  <si>
    <t>Chen, L., Yang, K. Y., Little, S. E., Cheung, M. K., &amp; Caughey, A. B. (2007). Gynecologic cancer prevention in Lynch syndrome/hereditary nonpolyposis colorectal cancer families. Obstetrics and Gynecology, 110(1), 18–25. https://doi.org/10.1097/01.AOG.0000267500.27329.85</t>
  </si>
  <si>
    <t>Sun, C. C., Meyer, L. A., Daniels, M. S., Bodurka, D. C., Nebgen, D. R., Burton-Chase, A. M., … Peterson, S. K. (2019). Women’s preferences for cancer risk management strategies in Lynch syndrome. Gynecologic Oncology, 152(3), 514–521. https://doi.org/10.1016/j.ygyno.2018.11.027</t>
  </si>
  <si>
    <t>Fryback, D. G., Dunham, N. C., Palta, M., Hanmer, J., Buechner, J., Cherepanov, D., … Kind, P. (2007). U.S. Norms for Six Generic Health-Related Quality-of-Life Indexes from the National Health Measurement Study. Medical Care, 45(12), 1162–1170. https://doi.org/10.1097/MLR.0b013e31814848f1</t>
  </si>
  <si>
    <t>Jacobs, I., Davies, A. P., Bridges, J., Stabile, I., Fay, T., Lower, A., … Oram, D. (1993). Prevalence screening for ovarian cancer in postmenopausal women by CA 125 measurement and ultrasonography. BMJ : British Medical Journal, 306(6884), 1030–1034.</t>
  </si>
  <si>
    <t>van Nagell, J. R., DePriest, P. D., Reedy, M. B., Gallion, H. H., Ueland, F. R., Pavlik, E. J., &amp; Kryscio, R. J. (2000). The Efficacy of Transvaginal Sonographic Screening in Asymptomatic Women at Risk for Ovarian Cancer. Gynecologic Oncology, 77(3), 350–356. https://doi.org/10.1006/gyno.2000.5816</t>
  </si>
  <si>
    <r>
      <t xml:space="preserve">Partridge, E. E., Greenlee, R. T., Riley, T. L., Commins, J., Ragard, L., Xu, J.-L., … Fouad, M. N. (2013). Assessing the Risk of Ovarian Malignancy in Asymptomatic Women With Abnormal CA 125 and Transvaginal Ultrasound in the Prostate, Lung, Colorectal, and Ovarian Screening Trial. </t>
    </r>
    <r>
      <rPr>
        <i/>
        <sz val="11"/>
        <color theme="1"/>
        <rFont val="Calibri"/>
        <family val="2"/>
        <scheme val="minor"/>
      </rPr>
      <t>Obstetrics and Gynecology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121</t>
    </r>
    <r>
      <rPr>
        <sz val="11"/>
        <color theme="1"/>
        <rFont val="Calibri"/>
        <family val="2"/>
        <scheme val="minor"/>
      </rPr>
      <t>(1), 25–31.</t>
    </r>
  </si>
  <si>
    <t>Christiansen, U. J., Kruse, A. R., Olesen, P. G., Lauszus, F. F., Kesmodel, U. S., &amp; Forman, A. (2019). Outpatient versus inpatient total laparoscopic hysterectomy: A randomized controlled trial. Acta Obstetricia Et Gynecologica Scandinavica. https://doi.org/10.1111/aogs.13670</t>
  </si>
  <si>
    <t>Swenson, C., Kamdar, N., Levy, H., Campbell, D., &amp; Morgan, D. (2017). Insurance Type and Major Complications After Hysterectomy. Female Pelvic Medicine &amp; Reconstructive Surgery, 23(1), 39–43. https://doi.org/10.1097/SPV.0000000000000325</t>
  </si>
  <si>
    <t>Parker, W. H. (2010). Bilateral Oophorectomy versus Ovarian Conservation: Effects on Long-term Women’s Health. Journal of Minimally Invasive Gynecology, 17(2), 161–166. https://doi.org/10.1016/j.jmig.2009.12.016</t>
  </si>
  <si>
    <t>Parker, W. H., Broder, M. S., Chang, E., Feskanich, D., Farquhar, C., Liu, Z., … Manson, J. E. (2009). Ovarian Conservation at the Time of Hysterectomy and Long-Term Health Outcomes in the Nurses’ Health Study. Obstetrics and Gynecology, 113(5), 1027–1037. https://doi.org/10.1097/AOG.0b013e3181a11c64</t>
  </si>
  <si>
    <t>Daly, M. B., Dresher, C. W., Yates, M. S., Jeter, J. M., Karlan, B. Y., Alberts, D. S., &amp; Lu, K. H. (2015). Salpingectomy as a Means to Reduce Ovarian Cancer Risk. Cancer Prevention Research (Philadelphia, Pa.), 8(5), 342–348. https://doi.org/10.1158/1940-6207.CAPR-14-0293</t>
  </si>
  <si>
    <t>Cibula, D., Widschwendter, M., Májek, O., &amp; Dusek, L. (2011). Tubal ligation and the risk of ovarian cancer: Review and meta-analysis. Human Reproduction Update, 17(1), 55–67. https://doi.org/10.1093/humupd/dmq030</t>
  </si>
  <si>
    <t>Lan, A., &amp; Yang, G. (2019). Clinicopathological parameters and survival of invasive epithelial ovarian cancer by histotype and disease stage. Future Oncology (London, England), 15(17), 2029–2039. https://doi.org/10.2217/fon-2018-0886</t>
  </si>
  <si>
    <t>Bhattacharya, S., Middleton, L. J., Tsourapas, A., Lee, A. J., Champaneria, R., Daniels, J. P., … Zupi, E. (2011). Hysterectomy, endometrial ablation and Mirena® for heavy menstrual bleeding: A systematic review of clinical effectiveness and cost-effectiveness analysis. Health Technology Assessment (Winchester, England), 15(19), iii–xvi, 1–252. https://doi.org/10.3310/hta15190</t>
  </si>
  <si>
    <t>Louie, M., Spencer, J., Wheeler, S., Ellis, V., Toubia, T., Schiff, L. D., … Moulder, J. K. (2017). Comparison of the levonorgestrel-releasing intrauterine system, hysterectomy, and endometrial ablation for heavy menstrual bleeding in a decision analysis model. International Journal of Gynecology &amp; Obstetrics, 139(2), 121–129. https://doi.org/10.1002/ijgo.12293</t>
  </si>
  <si>
    <t>0 for first post-op week, .74 for rest of month = 0.56 for first post-op month</t>
  </si>
  <si>
    <t>assume no comps:</t>
  </si>
  <si>
    <t>NO COMPLICATIONS FIRST MONTH:</t>
  </si>
  <si>
    <t>COMPLICATIONS FIRST MONTH:</t>
  </si>
  <si>
    <t>FIRST YEAR:</t>
  </si>
  <si>
    <t>FIRST YEAR COMPS:</t>
  </si>
  <si>
    <t>complication rates</t>
  </si>
  <si>
    <t>18, 19</t>
  </si>
  <si>
    <t>Roberts TE, Tsourapas A, Middleton LJ, et al. Hysterectomy, endometrial ablation, and levonorgestrel releasing intrauterine system (Mirena) for treatment of heavy menstrual bleeding: cost effectiveness analysis. BMJ. 2011;342:d2202. doi:10.1136/bmj.d2202</t>
  </si>
  <si>
    <t xml:space="preserve">INIT HSBO: </t>
  </si>
  <si>
    <t>BASELINE UTILITY:</t>
  </si>
  <si>
    <t>COMPLICATION RATE:</t>
  </si>
  <si>
    <t>convalescence</t>
  </si>
  <si>
    <t>multiplier</t>
  </si>
  <si>
    <t>formatted_param</t>
  </si>
  <si>
    <t>Surgical Mortality</t>
  </si>
  <si>
    <t>OC Risk Reduction Hyst-BS</t>
  </si>
  <si>
    <t>EC Survey Sensitivity</t>
  </si>
  <si>
    <t>EC Survey Specificity</t>
  </si>
  <si>
    <t>OC Survey Sensitivity</t>
  </si>
  <si>
    <t>OC Survey Specificity</t>
  </si>
  <si>
    <t>Prob Early-Stage OC Nat. Hist.</t>
  </si>
  <si>
    <t>Prob Early-Stage EC Nat. Hist.</t>
  </si>
  <si>
    <t>Prob Early-Stage OC Intervention</t>
  </si>
  <si>
    <t>Prob Early-Stage EC Intervention</t>
  </si>
  <si>
    <t>oc lifetime risk</t>
  </si>
  <si>
    <t>ec lifetime risk</t>
  </si>
  <si>
    <t>OC Risk</t>
  </si>
  <si>
    <t>EC Risk</t>
  </si>
  <si>
    <t>AC Risk Increase Hyst-BSO</t>
  </si>
  <si>
    <t>dist_type</t>
  </si>
  <si>
    <t>beta</t>
  </si>
  <si>
    <t>normal</t>
  </si>
  <si>
    <t>fn_rate = 0.09</t>
  </si>
  <si>
    <t>fp_rate= 0.02</t>
  </si>
  <si>
    <t>fn_rate = 0.4</t>
  </si>
  <si>
    <t>fp_rate =</t>
  </si>
  <si>
    <t>Fryback et al., 2007</t>
  </si>
  <si>
    <t>convalescence, DU of complications: Bhattacharya et al., 2011 &amp; Roberts et al., 2011</t>
  </si>
  <si>
    <t>frequency of complications: Bhattacharya et al., 2011 &amp; Roberts et al., 2011</t>
  </si>
  <si>
    <t>see surgical_complications sheet for calculations</t>
  </si>
  <si>
    <t>Grann et al., 2009</t>
  </si>
  <si>
    <t>Assumed (1/3 of one day)</t>
  </si>
  <si>
    <t>Assumed no disutility based on Kwon et al., 2013 decision analysis in BRCA. For hyst w/o salp-ooph: Hurskainen et al., 2004; Roberts et al., 2011; Bhattacharya et al., 2011</t>
  </si>
  <si>
    <t>Wright et al., 2013</t>
  </si>
  <si>
    <t>Cibula et al., 2011</t>
  </si>
  <si>
    <t>Kwon et al., 2008</t>
  </si>
  <si>
    <t>Partridge et al., 2013</t>
  </si>
  <si>
    <t>Dominguez-Valentin et al 2020; ten Broeke et al 2015</t>
  </si>
  <si>
    <t>surgical complications</t>
  </si>
  <si>
    <t>Prob Surgical Comps</t>
  </si>
  <si>
    <t>Sandberg, E. M., Twijnstra, A. R. H., Driessen, S. R. C., &amp; Jansen, F. W. (2017). Total Laparoscopic Hysterectomy Versus Vaginal Hysterectomy: A Systematic Review and Meta-Analysis. Journal of Minimally Invasive Gynecology, 24(2), 206-217.e22. https://doi.org/10.1016/j.jmig.2016.10.020</t>
  </si>
  <si>
    <t>Sandberg et al., 2017, up bound is RCTs only; low bound from Roberts et al 2011</t>
  </si>
  <si>
    <t>surgical comps</t>
  </si>
  <si>
    <t>init OC stage I</t>
  </si>
  <si>
    <t>init OC stage II</t>
  </si>
  <si>
    <t>init OC stage III</t>
  </si>
  <si>
    <t>init OC stage IV</t>
  </si>
  <si>
    <t>init EC stage I</t>
  </si>
  <si>
    <t>init EC stage II</t>
  </si>
  <si>
    <t>init EC stage III</t>
  </si>
  <si>
    <t>init EC stage IV</t>
  </si>
  <si>
    <t>operation</t>
  </si>
  <si>
    <t>First month: no complications</t>
  </si>
  <si>
    <t>First month: yes complications</t>
  </si>
  <si>
    <t>source</t>
  </si>
  <si>
    <t>cost (2010)</t>
  </si>
  <si>
    <t>Yang et al 2011</t>
  </si>
  <si>
    <t>c_total_HSBO</t>
  </si>
  <si>
    <t>Havrilesky, L. J., Moss, H. A., Chino, J., Myers, E. R., &amp; Kauff, N. D. (2017). Mortality reduction and cost-effectiveness of performing hysterectomy at the time of risk-reducing salpingo-oophorectomy for prophylaxis against serous/serous-like uterine cancers in BRCA1 mutation carriers. Gynecologic Oncology, 145(3), 549–554. https://doi.org/10.1016/j.ygyno.2017.03.025</t>
  </si>
  <si>
    <t>COMPLICATIONS</t>
  </si>
  <si>
    <t>UTI</t>
  </si>
  <si>
    <t>infection</t>
  </si>
  <si>
    <t>vaginal cuff infection</t>
  </si>
  <si>
    <t>frequency</t>
  </si>
  <si>
    <t>average cost</t>
  </si>
  <si>
    <t>Havilresky et al., 2017</t>
  </si>
  <si>
    <t>venous thromboembolism</t>
  </si>
  <si>
    <t>c_complications</t>
  </si>
  <si>
    <t>c_total_HSBO_comps</t>
  </si>
  <si>
    <t>Dottino, J., Hasselblad, V., Secord, A., Myers, E., Chino, J., &amp; Havrilesky, L. (2016). Levonorgestrel Intrauterine Device as an Endometrial Cancer Prevention Strategy in Obese Women: A Cost-Effectiveness Analysis. Obstetrics &amp; Gynecology, 128(4), 747–753. https://doi.org/10.1097/AOG.0000000000001616</t>
  </si>
  <si>
    <t>Havilresky et al., 2017 (see below)</t>
  </si>
  <si>
    <t>used directly?</t>
  </si>
  <si>
    <t>year of cost</t>
  </si>
  <si>
    <t>cost (2019) calculated according to medical care CPI with https://www.halfhill.com/inflation_js.html</t>
  </si>
  <si>
    <t>c_total_RRSO</t>
  </si>
  <si>
    <t>Yabroff, K. R., Lamont, E. B., Mariotto, A., Warren, J. L., Topor, M., Meekins, A., &amp; Brown, M. L. (2008). Cost of Care for Elderly Cancer Patients in the United States. JNCI: Journal of the National Cancer Institute, 100(9), 630–641. https://doi.org/10.1093/jnci/djn103</t>
  </si>
  <si>
    <t>Yabroff et al., 2008</t>
  </si>
  <si>
    <t>init_surveillance</t>
  </si>
  <si>
    <t>surveillance</t>
  </si>
  <si>
    <t>oophorectomy</t>
  </si>
  <si>
    <t>surgical_comps</t>
  </si>
  <si>
    <t>init surveillance</t>
  </si>
  <si>
    <t>init EC local</t>
  </si>
  <si>
    <t>cont EC local</t>
  </si>
  <si>
    <t>end EC local</t>
  </si>
  <si>
    <t>init EC regional</t>
  </si>
  <si>
    <t>cont EC regional</t>
  </si>
  <si>
    <t>end EC regional</t>
  </si>
  <si>
    <t>init EC distant</t>
  </si>
  <si>
    <t>cont EC distant</t>
  </si>
  <si>
    <t>end EC distant</t>
  </si>
  <si>
    <t>init OC local</t>
  </si>
  <si>
    <t>cont OC local</t>
  </si>
  <si>
    <t>end OC local</t>
  </si>
  <si>
    <t>init OC regional</t>
  </si>
  <si>
    <t>cont OC regional</t>
  </si>
  <si>
    <t>end OC regional</t>
  </si>
  <si>
    <t>init OC distant</t>
  </si>
  <si>
    <t>cont OC distant</t>
  </si>
  <si>
    <t>end OC distant</t>
  </si>
  <si>
    <t>range</t>
  </si>
  <si>
    <t>12980-14313</t>
  </si>
  <si>
    <t>23223-27479</t>
  </si>
  <si>
    <t>36563-48435</t>
  </si>
  <si>
    <t>810-1023</t>
  </si>
  <si>
    <t>23769-25532</t>
  </si>
  <si>
    <t>CUMULATIVE INFLATION</t>
  </si>
  <si>
    <t>From year</t>
  </si>
  <si>
    <t>26191-34385</t>
  </si>
  <si>
    <t>35278-48501</t>
  </si>
  <si>
    <t>55535-60842</t>
  </si>
  <si>
    <t>3536-4248</t>
  </si>
  <si>
    <t>48405-51902</t>
  </si>
  <si>
    <t>Note: continuing care assumed same for all stages (because stage-spec data unavailable)</t>
  </si>
  <si>
    <t>Note: end of life care assumed same for all stages (because would require many new health states)</t>
  </si>
  <si>
    <t>init_EC_stage_I</t>
  </si>
  <si>
    <t>init_EC_stage_II</t>
  </si>
  <si>
    <t>init_EC_stage_III</t>
  </si>
  <si>
    <t>init_EC_stage_IV</t>
  </si>
  <si>
    <t>cont_EC</t>
  </si>
  <si>
    <t>end_EC</t>
  </si>
  <si>
    <t>init_OC_stage_II</t>
  </si>
  <si>
    <t>init_OC_stage_I</t>
  </si>
  <si>
    <t>init_OC_stage_III</t>
  </si>
  <si>
    <t>init_OC_stage_IV</t>
  </si>
  <si>
    <t>cont_OC</t>
  </si>
  <si>
    <t>end_OC</t>
  </si>
  <si>
    <t>new EC death</t>
  </si>
  <si>
    <t>new OC death</t>
  </si>
  <si>
    <t>end EC</t>
  </si>
  <si>
    <t>end OC</t>
  </si>
  <si>
    <t>alpha</t>
  </si>
  <si>
    <t>5977-9976</t>
  </si>
  <si>
    <t>4010-7326</t>
  </si>
  <si>
    <t>formatted param</t>
  </si>
  <si>
    <t>cost end OC</t>
  </si>
  <si>
    <t>cost end EC</t>
  </si>
  <si>
    <t>cost HSBO</t>
  </si>
  <si>
    <t>cost surgical comps</t>
  </si>
  <si>
    <t>cost oophorectomy</t>
  </si>
  <si>
    <t>cost init surveillance</t>
  </si>
  <si>
    <t>cost surveillance</t>
  </si>
  <si>
    <t>Cost FY Surveillance</t>
  </si>
  <si>
    <t>Cost End of Life OC</t>
  </si>
  <si>
    <t>Cost End of Life EC</t>
  </si>
  <si>
    <t>Cost Hyst (+/- BSO)</t>
  </si>
  <si>
    <t>Cost Surgical Comps</t>
  </si>
  <si>
    <t>Cost Surveillance</t>
  </si>
  <si>
    <t>OC Lifetime Risk</t>
  </si>
  <si>
    <t>EC Lifetime Risk</t>
  </si>
  <si>
    <t>U Early Menopause</t>
  </si>
  <si>
    <t>Prob Early-Stage EC Nat Hist</t>
  </si>
  <si>
    <t>param type</t>
  </si>
  <si>
    <t>probability</t>
  </si>
  <si>
    <t>utility</t>
  </si>
  <si>
    <t>Prob Early-Stage OC Nat Hist</t>
  </si>
  <si>
    <t>DU Surgical Complications</t>
  </si>
  <si>
    <t>Prob Complications</t>
  </si>
  <si>
    <t>DU Initial Hyst</t>
  </si>
  <si>
    <t>DU Initial Hyst-BSO</t>
  </si>
  <si>
    <t>gamma_shape</t>
  </si>
  <si>
    <t>gamma_scale</t>
  </si>
  <si>
    <t>population</t>
  </si>
  <si>
    <t>Lai, T., Kessel, B., Ahn, H. J., &amp; Terada, K. Y. (2016). Ovarian cancer screening in menopausal females with a family history of breast or ovarian cancer. Journal of Gynecologic Oncology, 27(4). https://doi.org/10.3802/jgo.2016.27.e41</t>
  </si>
  <si>
    <t>Ref.</t>
  </si>
  <si>
    <t>Data from ref.</t>
  </si>
  <si>
    <t>OC distribution without screening</t>
  </si>
  <si>
    <t>Note: from PLCO trial, restricted to those with FH of OC</t>
  </si>
  <si>
    <t>Stage I or II</t>
  </si>
  <si>
    <t>Stage IIIC or IV</t>
  </si>
  <si>
    <t>sum</t>
  </si>
  <si>
    <t>remainder</t>
  </si>
  <si>
    <t>OC distribution with screening</t>
  </si>
  <si>
    <t>CALCULATIONS</t>
  </si>
  <si>
    <t>Without screening</t>
  </si>
  <si>
    <t>stage I</t>
  </si>
  <si>
    <t>stage II</t>
  </si>
  <si>
    <t>SEER data</t>
  </si>
  <si>
    <t>https://seer.cancer.gov/csr/1975_2016/results_merged/sect_21_ovary.pdf</t>
  </si>
  <si>
    <t>Localized</t>
  </si>
  <si>
    <t>regional</t>
  </si>
  <si>
    <t>distant</t>
  </si>
  <si>
    <t>stage III</t>
  </si>
  <si>
    <t>stage IV</t>
  </si>
  <si>
    <t>With screening</t>
  </si>
  <si>
    <t>Assumption: stage I is half of the stage I/II dxs, stage II is half of stage I/II dxs + half of remainder</t>
  </si>
  <si>
    <t>Assumption: stage III is half of the stage IIIC/IV dxs, stage IV is half of stage IIIC/IV dxs + half of remainder</t>
  </si>
  <si>
    <t>All ages</t>
  </si>
  <si>
    <t>Age &lt; 65</t>
  </si>
  <si>
    <t>unknown</t>
  </si>
  <si>
    <t>Age 65+</t>
  </si>
  <si>
    <t>assume 2% of unknown go to regional and distant, 1% to local</t>
  </si>
  <si>
    <t>USE ALL FOR NO SCREEN</t>
  </si>
  <si>
    <t>Based on screen/no screen numbers to the left:</t>
  </si>
  <si>
    <t>OVARIAN</t>
  </si>
  <si>
    <t>ENDOMETRIAL</t>
  </si>
  <si>
    <t>https://seer.cancer.gov/csr/1975_2016/results_merged/sect_07_corpus_uteri.pdf</t>
  </si>
  <si>
    <t>localized</t>
  </si>
  <si>
    <t>https://www.nejm.org/doi/10.1056/NEJMoa052627?url_ver=Z39.88-2003&amp;rfr_id=ori:rid:crossref.org&amp;rfr_dat=cr_pub%20%200www.ncbi.nlm.nih.gov</t>
  </si>
  <si>
    <t>Schmeler et al 2006 LS no surgery (no intervention), cited by Kwon et al 2008</t>
  </si>
  <si>
    <t>Renkonen-Sinisalo et al 2006 LS EC surveillance (cited by Kwon et al 2008)</t>
  </si>
  <si>
    <t>https://onlinelibrary.wiley.com/doi/full/10.1002/ijc.22446</t>
  </si>
  <si>
    <t>Yes surveillance</t>
  </si>
  <si>
    <t>No surveillance</t>
  </si>
  <si>
    <t>(4 IIIA, 7 IIIC)</t>
  </si>
  <si>
    <t>(27 IA, 32 IB, 8 IC)</t>
  </si>
  <si>
    <t>(1 IIA, 1 IIB)</t>
  </si>
  <si>
    <t>(2 IVB)</t>
  </si>
  <si>
    <t>local</t>
  </si>
  <si>
    <t>OC: Direct from SEER</t>
  </si>
  <si>
    <t>EC: NH/no intervention from SEER age &lt; 65 (unknown % divided between local and regional)</t>
  </si>
  <si>
    <t>approximation to historic SEER stages</t>
  </si>
  <si>
    <t>https://www.sciencedirect.com/science/article/pii/S0090825815300780?via%3Dihub#bb0095</t>
  </si>
  <si>
    <t>Study of swedish women (2016)</t>
  </si>
  <si>
    <t>found 11% of 45 women in surveillance had EC, all stage I or II</t>
  </si>
  <si>
    <t>EC: Intervention (from Renkonen-Sinisalo et al)</t>
  </si>
  <si>
    <t>.73, .19, .08</t>
  </si>
  <si>
    <t>SEER</t>
  </si>
  <si>
    <t>.86, .13, .01</t>
  </si>
  <si>
    <t>Renkonen-Sinisalo et al., 2007; Kwon et al., 2008</t>
  </si>
  <si>
    <t>SEER (all ages)</t>
  </si>
  <si>
    <t>.16, .23, .61</t>
  </si>
  <si>
    <t>local oc surv</t>
  </si>
  <si>
    <t>regional oc surv</t>
  </si>
  <si>
    <t>Regional OC Survival</t>
  </si>
  <si>
    <t>Local OC Survival</t>
  </si>
  <si>
    <t>distant oc surv</t>
  </si>
  <si>
    <t>Distant OC Survival</t>
  </si>
  <si>
    <t>local ec surv</t>
  </si>
  <si>
    <t>Local EC Survival</t>
  </si>
  <si>
    <t>regional ec surv</t>
  </si>
  <si>
    <t>Regional EC Survival</t>
  </si>
  <si>
    <t>distant ec surv</t>
  </si>
  <si>
    <t>Distant EC Survival</t>
  </si>
  <si>
    <t>OC local</t>
  </si>
  <si>
    <t>OC regional</t>
  </si>
  <si>
    <t>OC distant</t>
  </si>
  <si>
    <t>EC local</t>
  </si>
  <si>
    <t>EC regional</t>
  </si>
  <si>
    <t>EC distant</t>
  </si>
  <si>
    <t>cost init OC distant</t>
  </si>
  <si>
    <t>Cost FY Distant OC</t>
  </si>
  <si>
    <t>cost init OC regional</t>
  </si>
  <si>
    <t>Cost FY Regional OC</t>
  </si>
  <si>
    <t>cost init EC distant</t>
  </si>
  <si>
    <t>Cost FY Distant EC</t>
  </si>
  <si>
    <t>cost init OC local</t>
  </si>
  <si>
    <t>Cost FY Local OC</t>
  </si>
  <si>
    <t>cost init EC regional</t>
  </si>
  <si>
    <t>Cost FY Regional EC</t>
  </si>
  <si>
    <t>cost init EC local</t>
  </si>
  <si>
    <t>Cost FY Local EC</t>
  </si>
  <si>
    <t>cost OC local</t>
  </si>
  <si>
    <t>Cost Local OC</t>
  </si>
  <si>
    <t>Cost Regional OC</t>
  </si>
  <si>
    <t>cost OC regional</t>
  </si>
  <si>
    <t>cost OC distant</t>
  </si>
  <si>
    <t>Cost Distant OC</t>
  </si>
  <si>
    <t>cost EC local</t>
  </si>
  <si>
    <t>Cost Local EC</t>
  </si>
  <si>
    <t>cost EC regional</t>
  </si>
  <si>
    <t>Cost Regional EC</t>
  </si>
  <si>
    <t>cost EC distant</t>
  </si>
  <si>
    <t>Cost Distant EC</t>
  </si>
  <si>
    <t>U FY Local EC</t>
  </si>
  <si>
    <t>U FY Regional EC</t>
  </si>
  <si>
    <t>U FY Distant EC</t>
  </si>
  <si>
    <t>U Local EC</t>
  </si>
  <si>
    <t>U Regional EC</t>
  </si>
  <si>
    <t>U Distant EC</t>
  </si>
  <si>
    <t>U FY Local OC</t>
  </si>
  <si>
    <t>U FY Regional OC</t>
  </si>
  <si>
    <t>U FY Distant OC</t>
  </si>
  <si>
    <t>U Local OC</t>
  </si>
  <si>
    <t>U Regional OC</t>
  </si>
  <si>
    <t>U Distant OC</t>
  </si>
  <si>
    <t>Kwon et al 2008</t>
  </si>
  <si>
    <t>Kwon et al 2008--with prophylactic surgery</t>
  </si>
  <si>
    <t>USE KWON ET AL 2008 FOR SURGERY</t>
  </si>
  <si>
    <t>.8, .05, .15</t>
  </si>
  <si>
    <t>BC</t>
  </si>
  <si>
    <t>0.576, 0.3604, 0.0636</t>
  </si>
  <si>
    <t>0.864, 0.1156, 0.024</t>
  </si>
  <si>
    <t>0.6, 0.16, 0.24</t>
  </si>
  <si>
    <t>0.72, 0.252, 0.028</t>
  </si>
  <si>
    <t>0.98, 0.018, 0.002</t>
  </si>
  <si>
    <t>0.2, 0.32, 0.48</t>
  </si>
  <si>
    <t>.08, .18, .74</t>
  </si>
  <si>
    <t>0.85, 0.04, 0.11</t>
  </si>
  <si>
    <t>Cost Ooph</t>
  </si>
  <si>
    <t>RR for OC Post-Ooph</t>
  </si>
  <si>
    <t>RR for AC Death Post-Ooph</t>
  </si>
  <si>
    <t>bigger better</t>
  </si>
  <si>
    <t>U hysterectomy</t>
  </si>
  <si>
    <t>U HSBO</t>
  </si>
  <si>
    <t>U init EC local</t>
  </si>
  <si>
    <t>U init EC regional</t>
  </si>
  <si>
    <t>U init EC distant</t>
  </si>
  <si>
    <t>U EC local</t>
  </si>
  <si>
    <t>U EC regional</t>
  </si>
  <si>
    <t>U EC distant</t>
  </si>
  <si>
    <t>U init OC local</t>
  </si>
  <si>
    <t>U init OC regional</t>
  </si>
  <si>
    <t>U init OC distant</t>
  </si>
  <si>
    <t>U OC local</t>
  </si>
  <si>
    <t>U OC regional</t>
  </si>
  <si>
    <t>U surgical comps</t>
  </si>
  <si>
    <t>U init hysterectomy</t>
  </si>
  <si>
    <t>U init HSBO</t>
  </si>
  <si>
    <t>U OC distant</t>
  </si>
  <si>
    <t>order</t>
  </si>
  <si>
    <t>U Hysterectomy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</si>
</sst>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3" fillId="0" borderId="0" xfId="1"/>
    <xf numFmtId="0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jm.org/doi/10.1056/NEJMoa052627?url_ver=Z39.88-2003&amp;rfr_id=ori:rid:crossref.org&amp;rfr_dat=cr_pub%20%200www.ncbi.nlm.nih.gov" TargetMode="External"/><Relationship Id="rId2" Type="http://schemas.openxmlformats.org/officeDocument/2006/relationships/hyperlink" Target="https://seer.cancer.gov/csr/1975_2016/results_merged/sect_07_corpus_uteri.pdf" TargetMode="External"/><Relationship Id="rId1" Type="http://schemas.openxmlformats.org/officeDocument/2006/relationships/hyperlink" Target="https://seer.cancer.gov/csr/1975_2016/results_merged/sect_21_ovary.pdf" TargetMode="External"/><Relationship Id="rId5" Type="http://schemas.openxmlformats.org/officeDocument/2006/relationships/hyperlink" Target="https://www.sciencedirect.com/science/article/pii/S0090825815300780?via%3Dihub" TargetMode="External"/><Relationship Id="rId4" Type="http://schemas.openxmlformats.org/officeDocument/2006/relationships/hyperlink" Target="https://onlinelibrary.wiley.com/doi/full/10.1002/ijc.2244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5.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>
        <v>0.83399999999999996</v>
      </c>
      <c r="C2" t="s">
        <v>4</v>
      </c>
      <c r="D2" t="s">
        <v>5</v>
      </c>
    </row>
    <row r="3" spans="1:4" x14ac:dyDescent="0.2">
      <c r="A3" t="s">
        <v>6</v>
      </c>
      <c r="B3">
        <v>0.97499999999999998</v>
      </c>
      <c r="C3" t="s">
        <v>4</v>
      </c>
    </row>
    <row r="4" spans="1:4" x14ac:dyDescent="0.2">
      <c r="A4" t="s">
        <v>7</v>
      </c>
      <c r="B4">
        <v>0.17</v>
      </c>
      <c r="C4" t="s">
        <v>4</v>
      </c>
    </row>
    <row r="5" spans="1:4" x14ac:dyDescent="0.2">
      <c r="A5" t="s">
        <v>8</v>
      </c>
      <c r="B5">
        <v>0.97699999999999998</v>
      </c>
      <c r="C5" t="s">
        <v>4</v>
      </c>
    </row>
    <row r="6" spans="1:4" x14ac:dyDescent="0.2">
      <c r="A6" t="s">
        <v>9</v>
      </c>
      <c r="B6">
        <v>0.94</v>
      </c>
      <c r="C6" t="s">
        <v>4</v>
      </c>
    </row>
    <row r="7" spans="1:4" x14ac:dyDescent="0.2">
      <c r="A7" t="s">
        <v>10</v>
      </c>
      <c r="B7">
        <v>0.996</v>
      </c>
      <c r="C7" t="s">
        <v>4</v>
      </c>
    </row>
    <row r="8" spans="1:4" x14ac:dyDescent="0.2">
      <c r="A8" t="s">
        <v>11</v>
      </c>
      <c r="B8">
        <v>0.99</v>
      </c>
      <c r="C8" t="s">
        <v>4</v>
      </c>
    </row>
    <row r="9" spans="1:4" x14ac:dyDescent="0.2">
      <c r="A9" t="s">
        <v>12</v>
      </c>
      <c r="B9">
        <v>0.99</v>
      </c>
      <c r="C9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"/>
  <sheetViews>
    <sheetView topLeftCell="E1" workbookViewId="0">
      <selection activeCell="O11" sqref="O11"/>
    </sheetView>
  </sheetViews>
  <sheetFormatPr baseColWidth="10" defaultColWidth="8.83203125" defaultRowHeight="15" x14ac:dyDescent="0.2"/>
  <sheetData>
    <row r="1" spans="2:17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spans="2:17" x14ac:dyDescent="0.2">
      <c r="B2" t="s">
        <v>146</v>
      </c>
      <c r="C2" t="s">
        <v>147</v>
      </c>
      <c r="D2" t="s">
        <v>147</v>
      </c>
      <c r="E2" t="s">
        <v>150</v>
      </c>
      <c r="F2" t="s">
        <v>152</v>
      </c>
      <c r="G2" t="s">
        <v>151</v>
      </c>
      <c r="H2" t="s">
        <v>151</v>
      </c>
      <c r="I2" t="s">
        <v>151</v>
      </c>
      <c r="J2" t="s">
        <v>396</v>
      </c>
      <c r="K2" t="s">
        <v>396</v>
      </c>
      <c r="L2" t="s">
        <v>396</v>
      </c>
      <c r="M2" t="s">
        <v>396</v>
      </c>
      <c r="N2" t="s">
        <v>396</v>
      </c>
      <c r="O2" t="s">
        <v>396</v>
      </c>
      <c r="P2" t="s">
        <v>396</v>
      </c>
      <c r="Q2" t="s">
        <v>396</v>
      </c>
    </row>
    <row r="3" spans="2:17" x14ac:dyDescent="0.2">
      <c r="C3" t="s">
        <v>148</v>
      </c>
      <c r="D3" t="s">
        <v>148</v>
      </c>
    </row>
    <row r="4" spans="2:17" x14ac:dyDescent="0.2">
      <c r="C4" t="s">
        <v>149</v>
      </c>
      <c r="D4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8"/>
  <sheetViews>
    <sheetView workbookViewId="0">
      <selection activeCell="P1" sqref="P1:P1048576"/>
    </sheetView>
  </sheetViews>
  <sheetFormatPr baseColWidth="10" defaultColWidth="8.83203125" defaultRowHeight="15" x14ac:dyDescent="0.2"/>
  <cols>
    <col min="18" max="18" width="13.83203125" customWidth="1"/>
    <col min="19" max="19" width="16.5" customWidth="1"/>
  </cols>
  <sheetData>
    <row r="1" spans="1:31" x14ac:dyDescent="0.2">
      <c r="A1" t="s">
        <v>44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69</v>
      </c>
      <c r="AD1" t="s">
        <v>67</v>
      </c>
      <c r="AE1" t="s">
        <v>68</v>
      </c>
    </row>
    <row r="2" spans="1:31" x14ac:dyDescent="0.2">
      <c r="A2">
        <v>35</v>
      </c>
      <c r="B2">
        <v>1</v>
      </c>
      <c r="C2">
        <v>1.4999999999999999E-2</v>
      </c>
      <c r="D2">
        <v>1.4999999999999999E-2</v>
      </c>
      <c r="E2">
        <v>3.3000000000000002E-2</v>
      </c>
      <c r="F2">
        <v>0.86</v>
      </c>
      <c r="G2">
        <v>0.95</v>
      </c>
      <c r="H2">
        <v>2.9999999999999997E-4</v>
      </c>
      <c r="I2">
        <v>2.9999999999999997E-4</v>
      </c>
      <c r="J2">
        <v>2.9999999999999997E-4</v>
      </c>
      <c r="K2">
        <v>0.65</v>
      </c>
      <c r="L2">
        <v>0.65</v>
      </c>
      <c r="M2">
        <v>0.49</v>
      </c>
      <c r="N2">
        <v>0.65</v>
      </c>
      <c r="O2">
        <v>0.65</v>
      </c>
      <c r="P2">
        <v>0.49</v>
      </c>
      <c r="Q2">
        <v>0.73</v>
      </c>
      <c r="R2">
        <v>0.73</v>
      </c>
      <c r="S2">
        <v>0.49</v>
      </c>
      <c r="T2">
        <v>0.73</v>
      </c>
      <c r="U2">
        <v>0.73</v>
      </c>
      <c r="V2">
        <v>0.49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45</v>
      </c>
      <c r="B3">
        <v>0.89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50</v>
      </c>
      <c r="B4">
        <v>0.87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55</v>
      </c>
      <c r="B5">
        <v>0.87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65</v>
      </c>
      <c r="B6">
        <v>0.84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75</v>
      </c>
      <c r="B7">
        <v>0.84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90</v>
      </c>
      <c r="B8">
        <v>0.82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8"/>
  <sheetViews>
    <sheetView workbookViewId="0">
      <selection activeCell="P17" sqref="P17"/>
    </sheetView>
  </sheetViews>
  <sheetFormatPr baseColWidth="10" defaultColWidth="8.83203125" defaultRowHeight="15" x14ac:dyDescent="0.2"/>
  <sheetData>
    <row r="1" spans="1:31" x14ac:dyDescent="0.2">
      <c r="A1" t="s">
        <v>44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69</v>
      </c>
      <c r="AD1" t="s">
        <v>67</v>
      </c>
      <c r="AE1" t="s">
        <v>68</v>
      </c>
    </row>
    <row r="2" spans="1:31" x14ac:dyDescent="0.2">
      <c r="A2">
        <v>35</v>
      </c>
      <c r="B2">
        <v>1</v>
      </c>
      <c r="C2">
        <v>3.5000000000000003E-2</v>
      </c>
      <c r="D2">
        <v>3.5000000000000003E-2</v>
      </c>
      <c r="E2">
        <v>5.2999999999999999E-2</v>
      </c>
      <c r="F2">
        <v>0.95</v>
      </c>
      <c r="G2">
        <v>1</v>
      </c>
      <c r="H2">
        <v>1E-3</v>
      </c>
      <c r="I2">
        <v>1E-3</v>
      </c>
      <c r="J2">
        <v>1E-3</v>
      </c>
      <c r="K2">
        <v>0.85</v>
      </c>
      <c r="L2">
        <v>0.85</v>
      </c>
      <c r="M2">
        <v>0.69</v>
      </c>
      <c r="N2">
        <v>0.85</v>
      </c>
      <c r="O2">
        <v>0.85</v>
      </c>
      <c r="P2">
        <v>0.69</v>
      </c>
      <c r="Q2">
        <v>0.89</v>
      </c>
      <c r="R2">
        <v>0.89</v>
      </c>
      <c r="S2">
        <v>0.69</v>
      </c>
      <c r="T2">
        <v>0.89</v>
      </c>
      <c r="U2">
        <v>0.89</v>
      </c>
      <c r="V2">
        <v>0.69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45</v>
      </c>
      <c r="B3">
        <v>0.89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50</v>
      </c>
      <c r="B4">
        <v>0.87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55</v>
      </c>
      <c r="B5">
        <v>0.87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65</v>
      </c>
      <c r="B6">
        <v>0.84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75</v>
      </c>
      <c r="B7">
        <v>0.84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90</v>
      </c>
      <c r="B8">
        <v>0.82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40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4.5" customWidth="1"/>
    <col min="2" max="2" width="15.6640625" customWidth="1"/>
    <col min="5" max="5" width="29.6640625" customWidth="1"/>
    <col min="12" max="12" width="23.33203125" customWidth="1"/>
  </cols>
  <sheetData>
    <row r="2" spans="1:7" x14ac:dyDescent="0.2">
      <c r="A2" t="s">
        <v>121</v>
      </c>
      <c r="B2">
        <v>0.74</v>
      </c>
      <c r="C2">
        <v>0.75</v>
      </c>
    </row>
    <row r="3" spans="1:7" x14ac:dyDescent="0.2">
      <c r="A3" t="s">
        <v>171</v>
      </c>
      <c r="B3">
        <v>0.56000000000000005</v>
      </c>
      <c r="C3">
        <v>0.25</v>
      </c>
    </row>
    <row r="4" spans="1:7" x14ac:dyDescent="0.2">
      <c r="A4" t="s">
        <v>172</v>
      </c>
      <c r="C4">
        <f>SUMPRODUCT(B2:B3,C2:C3)/SUM(C2:C3)</f>
        <v>0.69499999999999995</v>
      </c>
      <c r="E4" t="s">
        <v>173</v>
      </c>
      <c r="F4">
        <v>0.49</v>
      </c>
    </row>
    <row r="5" spans="1:7" x14ac:dyDescent="0.2">
      <c r="C5">
        <f>1-C4</f>
        <v>0.30500000000000005</v>
      </c>
      <c r="F5">
        <f>1-F4</f>
        <v>0.51</v>
      </c>
    </row>
    <row r="6" spans="1:7" x14ac:dyDescent="0.2">
      <c r="C6">
        <f>C5/12</f>
        <v>2.5416666666666671E-2</v>
      </c>
      <c r="F6">
        <f>F5/12</f>
        <v>4.2500000000000003E-2</v>
      </c>
    </row>
    <row r="13" spans="1:7" x14ac:dyDescent="0.2">
      <c r="A13" t="s">
        <v>70</v>
      </c>
      <c r="B13" t="s">
        <v>71</v>
      </c>
      <c r="C13" t="s">
        <v>72</v>
      </c>
      <c r="D13" t="s">
        <v>14</v>
      </c>
      <c r="E13" t="s">
        <v>73</v>
      </c>
      <c r="F13" t="s">
        <v>16</v>
      </c>
      <c r="G13" t="s">
        <v>74</v>
      </c>
    </row>
    <row r="14" spans="1:7" x14ac:dyDescent="0.2">
      <c r="A14">
        <v>0.215</v>
      </c>
      <c r="B14" t="s">
        <v>75</v>
      </c>
      <c r="C14">
        <f>0.215*0.5*(1/12) +0.08</f>
        <v>8.8958333333333334E-2</v>
      </c>
      <c r="D14">
        <f>0.115*0.5*(1/12) +0.00274</f>
        <v>7.5316666666666657E-3</v>
      </c>
      <c r="E14">
        <f>0.225*0.5*(1/12) +0.1</f>
        <v>0.109375</v>
      </c>
      <c r="F14">
        <v>18</v>
      </c>
    </row>
    <row r="15" spans="1:7" x14ac:dyDescent="0.2">
      <c r="A15">
        <v>1.0800000000000001E-2</v>
      </c>
      <c r="B15" t="s">
        <v>76</v>
      </c>
      <c r="C15">
        <f>0.0108 * 0.5 *(3/12)+0.08</f>
        <v>8.1350000000000006E-2</v>
      </c>
      <c r="D15">
        <f>0.01 * 0.5 *(3/12)+0.00274</f>
        <v>3.9899999999999996E-3</v>
      </c>
      <c r="E15">
        <f>0.0208 * 0.5 *(3/12)+0.1</f>
        <v>0.10260000000000001</v>
      </c>
      <c r="F15">
        <v>18</v>
      </c>
    </row>
    <row r="16" spans="1:7" x14ac:dyDescent="0.2">
      <c r="A16">
        <v>8.1799999999999998E-2</v>
      </c>
      <c r="B16" t="s">
        <v>77</v>
      </c>
      <c r="C16">
        <f>0.0818*0.5 +0.08</f>
        <v>0.12090000000000001</v>
      </c>
      <c r="D16">
        <f>0.0718*0.5 +0.00274</f>
        <v>3.8640000000000001E-2</v>
      </c>
      <c r="E16">
        <f>0.0918*0.5 +0.1</f>
        <v>0.1459</v>
      </c>
      <c r="F16">
        <v>18</v>
      </c>
    </row>
    <row r="17" spans="1:13" x14ac:dyDescent="0.2">
      <c r="A17">
        <v>1</v>
      </c>
      <c r="B17" t="s">
        <v>76</v>
      </c>
      <c r="C17">
        <f>0.02/3</f>
        <v>6.6666666666666671E-3</v>
      </c>
    </row>
    <row r="18" spans="1:13" x14ac:dyDescent="0.2">
      <c r="E18">
        <f>0.87-0.79</f>
        <v>7.999999999999996E-2</v>
      </c>
    </row>
    <row r="19" spans="1:13" x14ac:dyDescent="0.2">
      <c r="E19">
        <f>0.08*(3/12)</f>
        <v>0.02</v>
      </c>
    </row>
    <row r="20" spans="1:13" x14ac:dyDescent="0.2">
      <c r="C20">
        <f>SUMPRODUCT(A14:A16,C14:C16)/SUM(A14:A16)</f>
        <v>9.7185441048981372E-2</v>
      </c>
    </row>
    <row r="21" spans="1:13" x14ac:dyDescent="0.2">
      <c r="C21">
        <f>0.09718+0.01</f>
        <v>0.10718</v>
      </c>
    </row>
    <row r="25" spans="1:13" x14ac:dyDescent="0.2">
      <c r="A25" t="s">
        <v>109</v>
      </c>
      <c r="F25">
        <v>19</v>
      </c>
      <c r="J25">
        <v>19</v>
      </c>
    </row>
    <row r="26" spans="1:13" x14ac:dyDescent="0.2">
      <c r="A26">
        <f>1/12</f>
        <v>8.3333333333333329E-2</v>
      </c>
      <c r="B26">
        <v>0.56000000000000005</v>
      </c>
      <c r="E26">
        <v>0.25</v>
      </c>
      <c r="F26">
        <v>0</v>
      </c>
      <c r="H26">
        <v>0.25</v>
      </c>
      <c r="I26">
        <v>0</v>
      </c>
      <c r="L26" t="s">
        <v>119</v>
      </c>
      <c r="M26">
        <v>0.86</v>
      </c>
    </row>
    <row r="27" spans="1:13" x14ac:dyDescent="0.2">
      <c r="A27">
        <f>1-0.083333</f>
        <v>0.91666700000000001</v>
      </c>
      <c r="B27">
        <v>0.9</v>
      </c>
      <c r="E27">
        <v>0.75</v>
      </c>
      <c r="F27">
        <v>0.74</v>
      </c>
      <c r="H27">
        <v>0.75</v>
      </c>
      <c r="I27">
        <v>0.49</v>
      </c>
      <c r="L27" t="s">
        <v>120</v>
      </c>
      <c r="M27">
        <v>3.5000000000000003E-2</v>
      </c>
    </row>
    <row r="28" spans="1:13" x14ac:dyDescent="0.2">
      <c r="A28" t="s">
        <v>110</v>
      </c>
      <c r="B28">
        <f>SUMPRODUCT(A26:A27,B26:B27)/SUM(A26:A27)</f>
        <v>0.87166667611110793</v>
      </c>
      <c r="D28" t="s">
        <v>111</v>
      </c>
      <c r="E28">
        <f>SUMPRODUCT(E26:E27,F26:F27)/SUM(E26:E27)</f>
        <v>0.55499999999999994</v>
      </c>
      <c r="G28" t="s">
        <v>112</v>
      </c>
      <c r="H28">
        <f>SUMPRODUCT(H26:H27,I26:I27)/SUM(H26:H27)</f>
        <v>0.36749999999999999</v>
      </c>
    </row>
    <row r="30" spans="1:13" x14ac:dyDescent="0.2">
      <c r="A30">
        <f>1/12</f>
        <v>8.3333333333333329E-2</v>
      </c>
      <c r="B30">
        <v>0.49</v>
      </c>
      <c r="E30">
        <f>1/12</f>
        <v>8.3333333333333329E-2</v>
      </c>
      <c r="F30">
        <f>0.555</f>
        <v>0.55500000000000005</v>
      </c>
      <c r="H30">
        <v>0.25</v>
      </c>
      <c r="I30">
        <f>H28</f>
        <v>0.36749999999999999</v>
      </c>
    </row>
    <row r="31" spans="1:13" x14ac:dyDescent="0.2">
      <c r="A31">
        <f>1-0.083333</f>
        <v>0.91666700000000001</v>
      </c>
      <c r="B31">
        <f>B27</f>
        <v>0.9</v>
      </c>
      <c r="C31">
        <v>19</v>
      </c>
      <c r="E31">
        <f>1-0.083333</f>
        <v>0.91666700000000001</v>
      </c>
      <c r="F31">
        <f>B27</f>
        <v>0.9</v>
      </c>
      <c r="H31">
        <v>0.75</v>
      </c>
      <c r="I31">
        <f>B27</f>
        <v>0.9</v>
      </c>
    </row>
    <row r="32" spans="1:13" x14ac:dyDescent="0.2">
      <c r="B32">
        <f>SUMPRODUCT(A30:A31,B30:B31)/SUM(A30:A31)</f>
        <v>0.86583334472221851</v>
      </c>
      <c r="D32" t="s">
        <v>113</v>
      </c>
      <c r="F32">
        <f>SUMPRODUCT(E30:E31,F30:F31)/SUM(E30:E31)</f>
        <v>0.8712500095833301</v>
      </c>
      <c r="G32" t="s">
        <v>114</v>
      </c>
      <c r="I32">
        <f>SUMPRODUCT(H30:H31,I30:I31)/SUM(H30:H31)</f>
        <v>0.76687500000000008</v>
      </c>
    </row>
    <row r="34" spans="1:7" x14ac:dyDescent="0.2">
      <c r="A34" t="s">
        <v>115</v>
      </c>
    </row>
    <row r="35" spans="1:7" x14ac:dyDescent="0.2">
      <c r="A35">
        <v>3.5000000000000003E-2</v>
      </c>
      <c r="B35">
        <v>1.0800000000000001E-2</v>
      </c>
      <c r="C35">
        <v>8.1799999999999998E-2</v>
      </c>
      <c r="D35" t="s">
        <v>116</v>
      </c>
      <c r="F35">
        <f>M27</f>
        <v>3.5000000000000003E-2</v>
      </c>
      <c r="G35">
        <f>I32</f>
        <v>0.76687500000000008</v>
      </c>
    </row>
    <row r="36" spans="1:7" x14ac:dyDescent="0.2">
      <c r="F36">
        <f>1-F35</f>
        <v>0.96499999999999997</v>
      </c>
      <c r="G36">
        <f>F32</f>
        <v>0.8712500095833301</v>
      </c>
    </row>
    <row r="37" spans="1:7" x14ac:dyDescent="0.2">
      <c r="B37">
        <v>3.5000000000000003E-2</v>
      </c>
      <c r="C37">
        <f>I32</f>
        <v>0.76687500000000008</v>
      </c>
      <c r="G37">
        <f>SUMPRODUCT(F35:F36,G35:G36)/SUM(F35:F36)</f>
        <v>0.86759688424791359</v>
      </c>
    </row>
    <row r="38" spans="1:7" x14ac:dyDescent="0.2">
      <c r="B38">
        <f>1-0.035</f>
        <v>0.96499999999999997</v>
      </c>
      <c r="C38">
        <f>F32</f>
        <v>0.8712500095833301</v>
      </c>
      <c r="G38">
        <f>0.86-G37</f>
        <v>-7.5968842479136045E-3</v>
      </c>
    </row>
    <row r="39" spans="1:7" x14ac:dyDescent="0.2">
      <c r="B39" t="s">
        <v>118</v>
      </c>
      <c r="C39">
        <f>SUMPRODUCT(B37:B38,C37:C38)/SUM(B37:B38)</f>
        <v>0.86759688424791359</v>
      </c>
    </row>
    <row r="40" spans="1:7" x14ac:dyDescent="0.2">
      <c r="C40">
        <f>B27-C39</f>
        <v>3.2403115752086431E-2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workbookViewId="0">
      <selection activeCell="K36" sqref="K36"/>
    </sheetView>
  </sheetViews>
  <sheetFormatPr baseColWidth="10" defaultColWidth="8.83203125" defaultRowHeight="15" x14ac:dyDescent="0.2"/>
  <sheetData>
    <row r="1" spans="1:4" x14ac:dyDescent="0.2">
      <c r="A1" t="s">
        <v>30</v>
      </c>
      <c r="B1" t="s">
        <v>78</v>
      </c>
      <c r="C1" t="s">
        <v>79</v>
      </c>
      <c r="D1" t="s">
        <v>16</v>
      </c>
    </row>
    <row r="2" spans="1:4" x14ac:dyDescent="0.2">
      <c r="A2">
        <v>29</v>
      </c>
      <c r="B2">
        <f>0.52/100</f>
        <v>5.1999999999999998E-3</v>
      </c>
      <c r="C2">
        <v>0</v>
      </c>
      <c r="D2">
        <v>2</v>
      </c>
    </row>
    <row r="3" spans="1:4" x14ac:dyDescent="0.2">
      <c r="A3">
        <v>39</v>
      </c>
      <c r="B3">
        <f>1.01/100</f>
        <v>1.01E-2</v>
      </c>
      <c r="C3">
        <f>0.58/100</f>
        <v>5.7999999999999996E-3</v>
      </c>
      <c r="D3">
        <v>2</v>
      </c>
    </row>
    <row r="4" spans="1:4" x14ac:dyDescent="0.2">
      <c r="A4">
        <v>49</v>
      </c>
      <c r="B4">
        <f>1.24/100</f>
        <v>1.24E-2</v>
      </c>
      <c r="C4">
        <f>0.16/100</f>
        <v>1.6000000000000001E-3</v>
      </c>
      <c r="D4">
        <v>2</v>
      </c>
    </row>
    <row r="5" spans="1:4" x14ac:dyDescent="0.2">
      <c r="A5">
        <v>59</v>
      </c>
      <c r="B5">
        <f>1.62/100</f>
        <v>1.6200000000000003E-2</v>
      </c>
      <c r="C5">
        <f>0.34/100</f>
        <v>3.4000000000000002E-3</v>
      </c>
      <c r="D5">
        <v>2</v>
      </c>
    </row>
    <row r="6" spans="1:4" x14ac:dyDescent="0.2">
      <c r="A6">
        <v>69</v>
      </c>
      <c r="B6">
        <f>3.13/100</f>
        <v>3.1300000000000001E-2</v>
      </c>
      <c r="C6">
        <f>0.64/100</f>
        <v>6.4000000000000003E-3</v>
      </c>
      <c r="D6">
        <v>2</v>
      </c>
    </row>
    <row r="7" spans="1:4" x14ac:dyDescent="0.2">
      <c r="A7">
        <v>79</v>
      </c>
      <c r="B7">
        <f>6.65/100</f>
        <v>6.6500000000000004E-2</v>
      </c>
      <c r="C7">
        <f>1.1/100</f>
        <v>1.1000000000000001E-2</v>
      </c>
      <c r="D7">
        <v>2</v>
      </c>
    </row>
    <row r="8" spans="1:4" x14ac:dyDescent="0.2">
      <c r="A8">
        <v>80</v>
      </c>
      <c r="B8">
        <f>14.52/100</f>
        <v>0.1452</v>
      </c>
      <c r="C8">
        <f>1.97/100</f>
        <v>1.9699999999999999E-2</v>
      </c>
      <c r="D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86"/>
  <sheetViews>
    <sheetView topLeftCell="A55" workbookViewId="0">
      <selection activeCell="D79" sqref="D79"/>
    </sheetView>
  </sheetViews>
  <sheetFormatPr baseColWidth="10" defaultColWidth="8.83203125" defaultRowHeight="15" x14ac:dyDescent="0.2"/>
  <cols>
    <col min="1" max="1" width="20" customWidth="1"/>
    <col min="2" max="2" width="17.5" customWidth="1"/>
    <col min="3" max="3" width="14.5" customWidth="1"/>
    <col min="4" max="4" width="15.6640625" customWidth="1"/>
    <col min="5" max="5" width="25.6640625" customWidth="1"/>
    <col min="6" max="6" width="29.6640625" customWidth="1"/>
    <col min="8" max="8" width="33.5" customWidth="1"/>
  </cols>
  <sheetData>
    <row r="1" spans="1:10" x14ac:dyDescent="0.2">
      <c r="A1" t="s">
        <v>314</v>
      </c>
    </row>
    <row r="2" spans="1:10" x14ac:dyDescent="0.2">
      <c r="A2" t="s">
        <v>285</v>
      </c>
      <c r="E2" t="s">
        <v>284</v>
      </c>
      <c r="F2" t="s">
        <v>287</v>
      </c>
    </row>
    <row r="3" spans="1:10" x14ac:dyDescent="0.2">
      <c r="A3" t="s">
        <v>286</v>
      </c>
      <c r="C3" t="s">
        <v>283</v>
      </c>
      <c r="E3" t="s">
        <v>283</v>
      </c>
    </row>
    <row r="4" spans="1:10" x14ac:dyDescent="0.2">
      <c r="A4" t="s">
        <v>288</v>
      </c>
      <c r="B4">
        <v>0.17</v>
      </c>
      <c r="E4" t="s">
        <v>305</v>
      </c>
    </row>
    <row r="5" spans="1:10" x14ac:dyDescent="0.2">
      <c r="A5" t="s">
        <v>289</v>
      </c>
      <c r="B5">
        <v>0.75</v>
      </c>
      <c r="E5" t="s">
        <v>306</v>
      </c>
    </row>
    <row r="6" spans="1:10" x14ac:dyDescent="0.2">
      <c r="A6" t="s">
        <v>290</v>
      </c>
      <c r="B6">
        <f>B5+B4</f>
        <v>0.92</v>
      </c>
    </row>
    <row r="7" spans="1:10" x14ac:dyDescent="0.2">
      <c r="A7" t="s">
        <v>291</v>
      </c>
      <c r="B7">
        <v>0.08</v>
      </c>
    </row>
    <row r="9" spans="1:10" x14ac:dyDescent="0.2">
      <c r="E9" t="s">
        <v>297</v>
      </c>
      <c r="F9" s="7" t="s">
        <v>298</v>
      </c>
    </row>
    <row r="10" spans="1:10" x14ac:dyDescent="0.2">
      <c r="A10" t="s">
        <v>292</v>
      </c>
      <c r="C10" t="s">
        <v>283</v>
      </c>
      <c r="E10" t="s">
        <v>307</v>
      </c>
      <c r="H10" t="s">
        <v>308</v>
      </c>
      <c r="J10" t="s">
        <v>310</v>
      </c>
    </row>
    <row r="11" spans="1:10" x14ac:dyDescent="0.2">
      <c r="A11" t="s">
        <v>288</v>
      </c>
      <c r="B11">
        <v>0.28999999999999998</v>
      </c>
      <c r="E11" t="s">
        <v>299</v>
      </c>
      <c r="F11">
        <v>0.15</v>
      </c>
      <c r="H11">
        <v>0.2</v>
      </c>
      <c r="J11">
        <v>7.0000000000000007E-2</v>
      </c>
    </row>
    <row r="12" spans="1:10" x14ac:dyDescent="0.2">
      <c r="A12" t="s">
        <v>289</v>
      </c>
      <c r="B12">
        <v>0.52</v>
      </c>
      <c r="E12" t="s">
        <v>300</v>
      </c>
      <c r="F12">
        <v>0.21</v>
      </c>
      <c r="H12">
        <v>0.25</v>
      </c>
      <c r="J12">
        <v>0.15</v>
      </c>
    </row>
    <row r="13" spans="1:10" x14ac:dyDescent="0.2">
      <c r="A13" t="s">
        <v>290</v>
      </c>
      <c r="B13">
        <f>SUM(B11:B12)</f>
        <v>0.81</v>
      </c>
      <c r="E13" t="s">
        <v>301</v>
      </c>
      <c r="F13">
        <v>0.59</v>
      </c>
      <c r="H13">
        <v>0.51</v>
      </c>
      <c r="J13">
        <v>0.69</v>
      </c>
    </row>
    <row r="14" spans="1:10" x14ac:dyDescent="0.2">
      <c r="A14" t="s">
        <v>291</v>
      </c>
      <c r="B14">
        <f>1-B13</f>
        <v>0.18999999999999995</v>
      </c>
      <c r="E14" t="s">
        <v>309</v>
      </c>
      <c r="F14">
        <v>0.06</v>
      </c>
      <c r="H14">
        <v>0.03</v>
      </c>
      <c r="J14">
        <v>0.09</v>
      </c>
    </row>
    <row r="15" spans="1:10" x14ac:dyDescent="0.2">
      <c r="E15" t="s">
        <v>397</v>
      </c>
    </row>
    <row r="16" spans="1:10" x14ac:dyDescent="0.2">
      <c r="E16" t="s">
        <v>295</v>
      </c>
      <c r="F16">
        <v>0.8</v>
      </c>
    </row>
    <row r="17" spans="1:8" x14ac:dyDescent="0.2">
      <c r="A17" t="s">
        <v>293</v>
      </c>
      <c r="E17" t="s">
        <v>296</v>
      </c>
      <c r="F17">
        <v>0.05</v>
      </c>
    </row>
    <row r="18" spans="1:8" x14ac:dyDescent="0.2">
      <c r="A18" t="s">
        <v>294</v>
      </c>
      <c r="E18" t="s">
        <v>302</v>
      </c>
      <c r="F18">
        <v>0.15</v>
      </c>
    </row>
    <row r="19" spans="1:8" x14ac:dyDescent="0.2">
      <c r="A19" t="s">
        <v>295</v>
      </c>
      <c r="B19">
        <f>B4/2</f>
        <v>8.5000000000000006E-2</v>
      </c>
      <c r="E19" t="s">
        <v>303</v>
      </c>
      <c r="F19">
        <v>0</v>
      </c>
    </row>
    <row r="20" spans="1:8" x14ac:dyDescent="0.2">
      <c r="A20" t="s">
        <v>296</v>
      </c>
      <c r="B20">
        <f>(B4/2)+(B7/2)</f>
        <v>0.125</v>
      </c>
    </row>
    <row r="21" spans="1:8" x14ac:dyDescent="0.2">
      <c r="A21" t="s">
        <v>302</v>
      </c>
      <c r="B21">
        <f>(B5/2)</f>
        <v>0.375</v>
      </c>
      <c r="E21" s="9" t="s">
        <v>329</v>
      </c>
      <c r="F21" s="9"/>
      <c r="G21" s="9"/>
      <c r="H21" s="9"/>
    </row>
    <row r="22" spans="1:8" x14ac:dyDescent="0.2">
      <c r="A22" t="s">
        <v>303</v>
      </c>
      <c r="B22">
        <f>B5/2 + B7/2</f>
        <v>0.41499999999999998</v>
      </c>
      <c r="E22" s="9" t="s">
        <v>313</v>
      </c>
      <c r="F22" s="9" t="s">
        <v>312</v>
      </c>
      <c r="G22" s="9"/>
      <c r="H22" s="9" t="s">
        <v>398</v>
      </c>
    </row>
    <row r="23" spans="1:8" x14ac:dyDescent="0.2">
      <c r="B23">
        <f>SUM(B19:B22)</f>
        <v>1</v>
      </c>
      <c r="E23" s="9" t="s">
        <v>311</v>
      </c>
      <c r="F23" s="9"/>
      <c r="G23" s="9"/>
      <c r="H23" s="9"/>
    </row>
    <row r="24" spans="1:8" x14ac:dyDescent="0.2">
      <c r="E24" s="9" t="s">
        <v>299</v>
      </c>
      <c r="F24" s="9">
        <f>0.15+(0.01)</f>
        <v>0.16</v>
      </c>
      <c r="G24" s="9"/>
      <c r="H24" s="9">
        <v>0.8</v>
      </c>
    </row>
    <row r="25" spans="1:8" x14ac:dyDescent="0.2">
      <c r="A25" t="s">
        <v>304</v>
      </c>
      <c r="E25" s="9" t="s">
        <v>300</v>
      </c>
      <c r="F25" s="9">
        <f>0.21+(0.06/3)</f>
        <v>0.22999999999999998</v>
      </c>
      <c r="G25" s="9"/>
      <c r="H25" s="9">
        <v>0.05</v>
      </c>
    </row>
    <row r="26" spans="1:8" x14ac:dyDescent="0.2">
      <c r="A26" t="s">
        <v>295</v>
      </c>
      <c r="B26">
        <f>B11/2</f>
        <v>0.14499999999999999</v>
      </c>
      <c r="E26" s="9" t="s">
        <v>301</v>
      </c>
      <c r="F26" s="9">
        <f>0.59+(0.06/3)</f>
        <v>0.61</v>
      </c>
      <c r="G26" s="9"/>
      <c r="H26" s="9">
        <v>0.15</v>
      </c>
    </row>
    <row r="27" spans="1:8" x14ac:dyDescent="0.2">
      <c r="A27" t="s">
        <v>296</v>
      </c>
      <c r="B27">
        <f>B11/2+B14/2</f>
        <v>0.23999999999999996</v>
      </c>
      <c r="E27" s="9"/>
      <c r="F27" s="9">
        <f>SUM(F24:F26)</f>
        <v>1</v>
      </c>
      <c r="G27" s="9"/>
      <c r="H27" s="9">
        <f>SUM(H24:H26)</f>
        <v>1</v>
      </c>
    </row>
    <row r="28" spans="1:8" x14ac:dyDescent="0.2">
      <c r="A28" t="s">
        <v>302</v>
      </c>
      <c r="B28">
        <f>B12/2</f>
        <v>0.26</v>
      </c>
    </row>
    <row r="29" spans="1:8" x14ac:dyDescent="0.2">
      <c r="A29" t="s">
        <v>303</v>
      </c>
      <c r="B29">
        <f>B12/2+B14/2</f>
        <v>0.35499999999999998</v>
      </c>
    </row>
    <row r="31" spans="1:8" x14ac:dyDescent="0.2">
      <c r="A31" t="s">
        <v>315</v>
      </c>
    </row>
    <row r="32" spans="1:8" x14ac:dyDescent="0.2">
      <c r="A32" t="s">
        <v>297</v>
      </c>
      <c r="B32" s="7" t="s">
        <v>316</v>
      </c>
    </row>
    <row r="33" spans="1:6" x14ac:dyDescent="0.2">
      <c r="A33" t="s">
        <v>307</v>
      </c>
      <c r="D33" t="s">
        <v>308</v>
      </c>
    </row>
    <row r="34" spans="1:6" x14ac:dyDescent="0.2">
      <c r="A34" t="s">
        <v>299</v>
      </c>
      <c r="B34">
        <v>0.67</v>
      </c>
      <c r="D34">
        <v>0.71</v>
      </c>
    </row>
    <row r="35" spans="1:6" x14ac:dyDescent="0.2">
      <c r="A35" t="s">
        <v>300</v>
      </c>
      <c r="B35">
        <v>0.21</v>
      </c>
      <c r="D35">
        <v>0.17</v>
      </c>
    </row>
    <row r="36" spans="1:6" x14ac:dyDescent="0.2">
      <c r="A36" t="s">
        <v>301</v>
      </c>
      <c r="B36">
        <v>0.09</v>
      </c>
      <c r="D36">
        <v>0.08</v>
      </c>
    </row>
    <row r="37" spans="1:6" x14ac:dyDescent="0.2">
      <c r="A37" t="s">
        <v>309</v>
      </c>
      <c r="B37">
        <v>0.03</v>
      </c>
      <c r="D37">
        <v>0.04</v>
      </c>
    </row>
    <row r="39" spans="1:6" x14ac:dyDescent="0.2">
      <c r="A39" t="s">
        <v>319</v>
      </c>
      <c r="B39" s="7" t="s">
        <v>318</v>
      </c>
    </row>
    <row r="40" spans="1:6" x14ac:dyDescent="0.2">
      <c r="A40" t="s">
        <v>295</v>
      </c>
      <c r="B40" s="8">
        <v>0.7</v>
      </c>
    </row>
    <row r="41" spans="1:6" x14ac:dyDescent="0.2">
      <c r="A41" t="s">
        <v>296</v>
      </c>
      <c r="B41" s="8">
        <v>0.06</v>
      </c>
    </row>
    <row r="42" spans="1:6" x14ac:dyDescent="0.2">
      <c r="A42" t="s">
        <v>302</v>
      </c>
      <c r="B42" s="8">
        <v>0.09</v>
      </c>
    </row>
    <row r="43" spans="1:6" x14ac:dyDescent="0.2">
      <c r="A43" t="s">
        <v>303</v>
      </c>
      <c r="B43" s="8">
        <v>0</v>
      </c>
    </row>
    <row r="45" spans="1:6" x14ac:dyDescent="0.2">
      <c r="A45" t="s">
        <v>320</v>
      </c>
      <c r="B45" s="7" t="s">
        <v>321</v>
      </c>
    </row>
    <row r="46" spans="1:6" x14ac:dyDescent="0.2">
      <c r="A46" t="s">
        <v>322</v>
      </c>
      <c r="E46" t="s">
        <v>331</v>
      </c>
    </row>
    <row r="47" spans="1:6" x14ac:dyDescent="0.2">
      <c r="A47" t="s">
        <v>295</v>
      </c>
      <c r="B47">
        <f>12/14</f>
        <v>0.8571428571428571</v>
      </c>
      <c r="E47" t="s">
        <v>328</v>
      </c>
      <c r="F47">
        <f>0.86</f>
        <v>0.86</v>
      </c>
    </row>
    <row r="48" spans="1:6" x14ac:dyDescent="0.2">
      <c r="A48" t="s">
        <v>296</v>
      </c>
      <c r="B48">
        <f>1/14</f>
        <v>7.1428571428571425E-2</v>
      </c>
      <c r="E48" t="s">
        <v>300</v>
      </c>
      <c r="F48">
        <v>0.13</v>
      </c>
    </row>
    <row r="49" spans="1:6" x14ac:dyDescent="0.2">
      <c r="A49" t="s">
        <v>302</v>
      </c>
      <c r="B49">
        <f>1/14</f>
        <v>7.1428571428571425E-2</v>
      </c>
      <c r="E49" t="s">
        <v>301</v>
      </c>
      <c r="F49">
        <v>0.01</v>
      </c>
    </row>
    <row r="50" spans="1:6" x14ac:dyDescent="0.2">
      <c r="A50" t="s">
        <v>303</v>
      </c>
      <c r="B50">
        <v>0</v>
      </c>
      <c r="F50">
        <f>SUM(F47:F49)</f>
        <v>1</v>
      </c>
    </row>
    <row r="52" spans="1:6" x14ac:dyDescent="0.2">
      <c r="A52" t="s">
        <v>323</v>
      </c>
      <c r="E52" t="s">
        <v>331</v>
      </c>
    </row>
    <row r="53" spans="1:6" x14ac:dyDescent="0.2">
      <c r="A53" t="s">
        <v>295</v>
      </c>
      <c r="B53">
        <f>(17+32+8)/83</f>
        <v>0.68674698795180722</v>
      </c>
      <c r="C53" t="s">
        <v>325</v>
      </c>
      <c r="E53" t="s">
        <v>328</v>
      </c>
      <c r="F53">
        <f>(17+32+8)/83</f>
        <v>0.68674698795180722</v>
      </c>
    </row>
    <row r="54" spans="1:6" x14ac:dyDescent="0.2">
      <c r="A54" t="s">
        <v>296</v>
      </c>
      <c r="B54">
        <f>2/83</f>
        <v>2.4096385542168676E-2</v>
      </c>
      <c r="C54" t="s">
        <v>326</v>
      </c>
      <c r="E54" t="s">
        <v>300</v>
      </c>
      <c r="F54">
        <f>(1+1+4)/83</f>
        <v>7.2289156626506021E-2</v>
      </c>
    </row>
    <row r="55" spans="1:6" x14ac:dyDescent="0.2">
      <c r="A55" t="s">
        <v>302</v>
      </c>
      <c r="B55">
        <f>11/83</f>
        <v>0.13253012048192772</v>
      </c>
      <c r="C55" t="s">
        <v>324</v>
      </c>
      <c r="E55" t="s">
        <v>301</v>
      </c>
      <c r="F55">
        <f>(7+2)/83</f>
        <v>0.10843373493975904</v>
      </c>
    </row>
    <row r="56" spans="1:6" x14ac:dyDescent="0.2">
      <c r="A56" t="s">
        <v>303</v>
      </c>
      <c r="B56">
        <f>2/83</f>
        <v>2.4096385542168676E-2</v>
      </c>
      <c r="C56" t="s">
        <v>327</v>
      </c>
    </row>
    <row r="57" spans="1:6" x14ac:dyDescent="0.2">
      <c r="A57" t="s">
        <v>309</v>
      </c>
      <c r="B57">
        <f>1/83</f>
        <v>1.2048192771084338E-2</v>
      </c>
    </row>
    <row r="62" spans="1:6" x14ac:dyDescent="0.2">
      <c r="A62" s="9" t="s">
        <v>330</v>
      </c>
      <c r="B62" s="9"/>
    </row>
    <row r="63" spans="1:6" x14ac:dyDescent="0.2">
      <c r="A63" s="9" t="s">
        <v>317</v>
      </c>
      <c r="B63" s="9">
        <f>0.71+0.02</f>
        <v>0.73</v>
      </c>
    </row>
    <row r="64" spans="1:6" x14ac:dyDescent="0.2">
      <c r="A64" s="9" t="s">
        <v>300</v>
      </c>
      <c r="B64" s="9">
        <f>0.17+0.02</f>
        <v>0.19</v>
      </c>
    </row>
    <row r="65" spans="1:4" x14ac:dyDescent="0.2">
      <c r="A65" s="9" t="s">
        <v>301</v>
      </c>
      <c r="B65" s="9">
        <v>0.08</v>
      </c>
    </row>
    <row r="66" spans="1:4" x14ac:dyDescent="0.2">
      <c r="B66">
        <f>SUM(B63:B65)</f>
        <v>0.99999999999999989</v>
      </c>
    </row>
    <row r="68" spans="1:4" x14ac:dyDescent="0.2">
      <c r="A68" t="s">
        <v>333</v>
      </c>
      <c r="B68" s="7" t="s">
        <v>332</v>
      </c>
    </row>
    <row r="69" spans="1:4" x14ac:dyDescent="0.2">
      <c r="A69" t="s">
        <v>334</v>
      </c>
    </row>
    <row r="71" spans="1:4" x14ac:dyDescent="0.2">
      <c r="A71" s="9" t="s">
        <v>335</v>
      </c>
      <c r="B71" s="9"/>
    </row>
    <row r="72" spans="1:4" x14ac:dyDescent="0.2">
      <c r="A72" s="9" t="s">
        <v>328</v>
      </c>
      <c r="B72" s="9">
        <v>0.86</v>
      </c>
    </row>
    <row r="73" spans="1:4" x14ac:dyDescent="0.2">
      <c r="A73" s="9" t="s">
        <v>300</v>
      </c>
      <c r="B73" s="9">
        <v>0.13</v>
      </c>
    </row>
    <row r="74" spans="1:4" x14ac:dyDescent="0.2">
      <c r="A74" s="9" t="s">
        <v>301</v>
      </c>
      <c r="B74" s="9">
        <v>0.01</v>
      </c>
    </row>
    <row r="75" spans="1:4" x14ac:dyDescent="0.2">
      <c r="B75" t="s">
        <v>400</v>
      </c>
      <c r="C75" t="s">
        <v>14</v>
      </c>
      <c r="D75" t="s">
        <v>73</v>
      </c>
    </row>
    <row r="76" spans="1:4" x14ac:dyDescent="0.2">
      <c r="A76" t="s">
        <v>88</v>
      </c>
      <c r="B76" t="s">
        <v>341</v>
      </c>
      <c r="C76" t="s">
        <v>407</v>
      </c>
      <c r="D76" t="s">
        <v>406</v>
      </c>
    </row>
    <row r="77" spans="1:4" x14ac:dyDescent="0.2">
      <c r="A77" t="s">
        <v>89</v>
      </c>
      <c r="B77" t="s">
        <v>336</v>
      </c>
      <c r="C77" t="s">
        <v>401</v>
      </c>
      <c r="D77" t="s">
        <v>402</v>
      </c>
    </row>
    <row r="78" spans="1:4" x14ac:dyDescent="0.2">
      <c r="A78" t="s">
        <v>90</v>
      </c>
      <c r="B78" t="s">
        <v>399</v>
      </c>
      <c r="C78" t="s">
        <v>403</v>
      </c>
      <c r="D78" t="s">
        <v>408</v>
      </c>
    </row>
    <row r="79" spans="1:4" x14ac:dyDescent="0.2">
      <c r="A79" t="s">
        <v>91</v>
      </c>
      <c r="B79" t="s">
        <v>338</v>
      </c>
      <c r="C79" t="s">
        <v>404</v>
      </c>
      <c r="D79" t="s">
        <v>405</v>
      </c>
    </row>
    <row r="83" spans="2:4" x14ac:dyDescent="0.2">
      <c r="C83">
        <v>0.08</v>
      </c>
    </row>
    <row r="84" spans="2:4" x14ac:dyDescent="0.2">
      <c r="B84">
        <f>0.2/0.92</f>
        <v>0.21739130434782608</v>
      </c>
      <c r="C84">
        <v>0.2</v>
      </c>
    </row>
    <row r="85" spans="2:4" x14ac:dyDescent="0.2">
      <c r="B85">
        <f>0.22*0.92</f>
        <v>0.2024</v>
      </c>
      <c r="C85">
        <v>0.72</v>
      </c>
      <c r="D85">
        <f>SUM(C83,C85)</f>
        <v>0.79999999999999993</v>
      </c>
    </row>
    <row r="86" spans="2:4" x14ac:dyDescent="0.2">
      <c r="D86">
        <f>1-D85</f>
        <v>0.20000000000000007</v>
      </c>
    </row>
  </sheetData>
  <hyperlinks>
    <hyperlink ref="F9" r:id="rId1" xr:uid="{00000000-0004-0000-0E00-000000000000}"/>
    <hyperlink ref="B32" r:id="rId2" xr:uid="{00000000-0004-0000-0E00-000001000000}"/>
    <hyperlink ref="B39" r:id="rId3" xr:uid="{00000000-0004-0000-0E00-000002000000}"/>
    <hyperlink ref="B45" r:id="rId4" xr:uid="{00000000-0004-0000-0E00-000003000000}"/>
    <hyperlink ref="B68" r:id="rId5" location="bb0095" display="https://www.sciencedirect.com/science/article/pii/S0090825815300780?via%3Dihub - bb0095" xr:uid="{00000000-0004-0000-0E00-000004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8"/>
  <sheetViews>
    <sheetView workbookViewId="0">
      <selection activeCell="G23" sqref="G23"/>
    </sheetView>
  </sheetViews>
  <sheetFormatPr baseColWidth="10" defaultColWidth="8.83203125" defaultRowHeight="15" x14ac:dyDescent="0.2"/>
  <cols>
    <col min="1" max="1" width="21.83203125" customWidth="1"/>
    <col min="2" max="2" width="15.6640625" customWidth="1"/>
    <col min="3" max="3" width="9.5" bestFit="1" customWidth="1"/>
  </cols>
  <sheetData>
    <row r="1" spans="1:9" x14ac:dyDescent="0.2">
      <c r="A1" t="s">
        <v>32</v>
      </c>
      <c r="B1" t="s">
        <v>80</v>
      </c>
      <c r="C1" t="s">
        <v>14</v>
      </c>
      <c r="D1" t="s">
        <v>73</v>
      </c>
      <c r="E1" t="s">
        <v>122</v>
      </c>
      <c r="F1" t="s">
        <v>123</v>
      </c>
    </row>
    <row r="2" spans="1:9" x14ac:dyDescent="0.2">
      <c r="A2" t="s">
        <v>81</v>
      </c>
      <c r="B2">
        <v>1.6999999999999999E-3</v>
      </c>
      <c r="C2">
        <f>B2-E2</f>
        <v>1.3599999999999999E-3</v>
      </c>
      <c r="D2">
        <f>B2+E2</f>
        <v>2.0400000000000001E-3</v>
      </c>
      <c r="E2">
        <f>0.2*B2</f>
        <v>3.4000000000000002E-4</v>
      </c>
      <c r="F2" t="s">
        <v>124</v>
      </c>
      <c r="G2" t="s">
        <v>153</v>
      </c>
    </row>
    <row r="3" spans="1:9" x14ac:dyDescent="0.2">
      <c r="A3" t="s">
        <v>82</v>
      </c>
      <c r="B3">
        <v>0.66</v>
      </c>
      <c r="C3">
        <v>0.51</v>
      </c>
      <c r="D3">
        <v>1</v>
      </c>
      <c r="E3">
        <f>0.2*B3</f>
        <v>0.13200000000000001</v>
      </c>
      <c r="F3" t="s">
        <v>125</v>
      </c>
      <c r="G3" t="s">
        <v>154</v>
      </c>
    </row>
    <row r="4" spans="1:9" x14ac:dyDescent="0.2">
      <c r="A4" t="s">
        <v>83</v>
      </c>
      <c r="B4" s="2">
        <v>1</v>
      </c>
      <c r="C4" s="3">
        <v>1</v>
      </c>
      <c r="D4">
        <v>1.4</v>
      </c>
      <c r="E4">
        <f>0.2*B4</f>
        <v>0.2</v>
      </c>
      <c r="F4" t="s">
        <v>138</v>
      </c>
    </row>
    <row r="5" spans="1:9" x14ac:dyDescent="0.2">
      <c r="A5" t="s">
        <v>84</v>
      </c>
      <c r="B5">
        <v>0.91</v>
      </c>
      <c r="C5">
        <f>B5-E5</f>
        <v>0.81900000000000006</v>
      </c>
      <c r="D5">
        <v>0.98</v>
      </c>
      <c r="E5">
        <f>0.1*B5</f>
        <v>9.1000000000000011E-2</v>
      </c>
      <c r="F5" t="s">
        <v>126</v>
      </c>
      <c r="G5" t="s">
        <v>155</v>
      </c>
      <c r="H5" t="s">
        <v>142</v>
      </c>
    </row>
    <row r="6" spans="1:9" x14ac:dyDescent="0.2">
      <c r="A6" t="s">
        <v>85</v>
      </c>
      <c r="B6">
        <v>0.98</v>
      </c>
      <c r="C6">
        <v>0.96</v>
      </c>
      <c r="D6">
        <v>0.98</v>
      </c>
      <c r="E6">
        <f>0.1*B6</f>
        <v>9.8000000000000004E-2</v>
      </c>
      <c r="F6" t="s">
        <v>127</v>
      </c>
      <c r="G6" t="s">
        <v>155</v>
      </c>
      <c r="H6" t="s">
        <v>143</v>
      </c>
    </row>
    <row r="7" spans="1:9" x14ac:dyDescent="0.2">
      <c r="A7" t="s">
        <v>86</v>
      </c>
      <c r="B7">
        <v>0.6</v>
      </c>
      <c r="C7">
        <f t="shared" ref="C7:C14" si="0">B7-E7</f>
        <v>0.54</v>
      </c>
      <c r="D7">
        <f>B7+E7</f>
        <v>0.65999999999999992</v>
      </c>
      <c r="E7">
        <f>0.1*B7</f>
        <v>0.06</v>
      </c>
      <c r="F7" t="s">
        <v>128</v>
      </c>
      <c r="G7" t="s">
        <v>156</v>
      </c>
      <c r="H7" t="s">
        <v>144</v>
      </c>
    </row>
    <row r="8" spans="1:9" x14ac:dyDescent="0.2">
      <c r="A8" t="s">
        <v>87</v>
      </c>
      <c r="B8">
        <v>0.96199999999999997</v>
      </c>
      <c r="C8">
        <f t="shared" si="0"/>
        <v>0.8657999999999999</v>
      </c>
      <c r="D8">
        <v>0.98</v>
      </c>
      <c r="E8">
        <f>0.1*B8</f>
        <v>9.6200000000000008E-2</v>
      </c>
      <c r="F8" t="s">
        <v>129</v>
      </c>
      <c r="G8" t="s">
        <v>156</v>
      </c>
      <c r="H8" t="s">
        <v>145</v>
      </c>
      <c r="I8">
        <f>1-B8</f>
        <v>3.8000000000000034E-2</v>
      </c>
    </row>
    <row r="9" spans="1:9" x14ac:dyDescent="0.2">
      <c r="A9" t="s">
        <v>342</v>
      </c>
      <c r="B9">
        <v>0.92400000000000004</v>
      </c>
      <c r="C9">
        <f t="shared" si="0"/>
        <v>0.73920000000000008</v>
      </c>
      <c r="D9">
        <v>0.98</v>
      </c>
      <c r="E9">
        <f t="shared" ref="E9:E14" si="1">0.2*B9</f>
        <v>0.18480000000000002</v>
      </c>
      <c r="F9" t="s">
        <v>345</v>
      </c>
      <c r="G9" t="s">
        <v>337</v>
      </c>
    </row>
    <row r="10" spans="1:9" x14ac:dyDescent="0.2">
      <c r="A10" t="s">
        <v>343</v>
      </c>
      <c r="B10">
        <v>0.752</v>
      </c>
      <c r="C10">
        <f t="shared" si="0"/>
        <v>0.60160000000000002</v>
      </c>
      <c r="D10">
        <f>B10+E10</f>
        <v>0.90239999999999998</v>
      </c>
      <c r="E10">
        <f t="shared" si="1"/>
        <v>0.15040000000000001</v>
      </c>
      <c r="F10" t="s">
        <v>344</v>
      </c>
      <c r="G10" t="s">
        <v>337</v>
      </c>
    </row>
    <row r="11" spans="1:9" x14ac:dyDescent="0.2">
      <c r="A11" t="s">
        <v>346</v>
      </c>
      <c r="B11">
        <v>0.29199999999999998</v>
      </c>
      <c r="C11">
        <f t="shared" si="0"/>
        <v>0.23359999999999997</v>
      </c>
      <c r="D11">
        <f>B11+E11</f>
        <v>0.35039999999999999</v>
      </c>
      <c r="E11">
        <f t="shared" si="1"/>
        <v>5.8400000000000001E-2</v>
      </c>
      <c r="F11" t="s">
        <v>347</v>
      </c>
      <c r="G11" t="s">
        <v>337</v>
      </c>
    </row>
    <row r="12" spans="1:9" x14ac:dyDescent="0.2">
      <c r="A12" t="s">
        <v>348</v>
      </c>
      <c r="B12">
        <v>0.95</v>
      </c>
      <c r="C12">
        <f t="shared" si="0"/>
        <v>0.76</v>
      </c>
      <c r="D12" s="4">
        <v>0.98</v>
      </c>
      <c r="E12">
        <f t="shared" si="1"/>
        <v>0.19</v>
      </c>
      <c r="F12" t="s">
        <v>349</v>
      </c>
      <c r="G12" t="s">
        <v>337</v>
      </c>
    </row>
    <row r="13" spans="1:9" x14ac:dyDescent="0.2">
      <c r="A13" t="s">
        <v>350</v>
      </c>
      <c r="B13">
        <v>0.69</v>
      </c>
      <c r="C13">
        <f t="shared" si="0"/>
        <v>0.55199999999999994</v>
      </c>
      <c r="D13">
        <v>0.98</v>
      </c>
      <c r="E13">
        <f t="shared" si="1"/>
        <v>0.13799999999999998</v>
      </c>
      <c r="F13" t="s">
        <v>351</v>
      </c>
      <c r="G13" t="s">
        <v>337</v>
      </c>
    </row>
    <row r="14" spans="1:9" x14ac:dyDescent="0.2">
      <c r="A14" t="s">
        <v>352</v>
      </c>
      <c r="B14">
        <v>0.16800000000000001</v>
      </c>
      <c r="C14">
        <f t="shared" si="0"/>
        <v>0.13440000000000002</v>
      </c>
      <c r="D14">
        <f>B14+E14</f>
        <v>0.2016</v>
      </c>
      <c r="E14">
        <f t="shared" si="1"/>
        <v>3.3600000000000005E-2</v>
      </c>
      <c r="F14" t="s">
        <v>353</v>
      </c>
      <c r="G14" t="s">
        <v>337</v>
      </c>
    </row>
    <row r="15" spans="1:9" x14ac:dyDescent="0.2">
      <c r="A15" t="s">
        <v>134</v>
      </c>
      <c r="B15">
        <v>0</v>
      </c>
      <c r="C15">
        <v>-5</v>
      </c>
      <c r="D15">
        <v>5</v>
      </c>
      <c r="E15">
        <f>0.1*B15</f>
        <v>0</v>
      </c>
      <c r="F15" t="s">
        <v>136</v>
      </c>
      <c r="G15" t="s">
        <v>157</v>
      </c>
    </row>
    <row r="16" spans="1:9" x14ac:dyDescent="0.2">
      <c r="A16" t="s">
        <v>135</v>
      </c>
      <c r="B16">
        <v>0</v>
      </c>
      <c r="C16">
        <v>-5</v>
      </c>
      <c r="D16">
        <v>5</v>
      </c>
      <c r="E16">
        <f>0.1*B16</f>
        <v>0</v>
      </c>
      <c r="F16" t="s">
        <v>137</v>
      </c>
      <c r="G16" t="s">
        <v>157</v>
      </c>
    </row>
    <row r="17" spans="1:7" x14ac:dyDescent="0.2">
      <c r="A17" t="s">
        <v>88</v>
      </c>
      <c r="B17" t="s">
        <v>341</v>
      </c>
      <c r="C17">
        <v>0.08</v>
      </c>
      <c r="D17">
        <v>0.2</v>
      </c>
      <c r="E17">
        <f>0.2*0.61</f>
        <v>0.122</v>
      </c>
      <c r="F17" t="s">
        <v>130</v>
      </c>
      <c r="G17" t="s">
        <v>340</v>
      </c>
    </row>
    <row r="18" spans="1:7" x14ac:dyDescent="0.2">
      <c r="A18" t="s">
        <v>89</v>
      </c>
      <c r="B18" t="s">
        <v>336</v>
      </c>
      <c r="C18">
        <f>0.72-E18</f>
        <v>0.57599999999999996</v>
      </c>
      <c r="D18">
        <f>0.72+E18</f>
        <v>0.86399999999999999</v>
      </c>
      <c r="E18">
        <f>0.2*0.72</f>
        <v>0.14399999999999999</v>
      </c>
      <c r="F18" t="s">
        <v>131</v>
      </c>
      <c r="G18" t="s">
        <v>337</v>
      </c>
    </row>
    <row r="19" spans="1:7" x14ac:dyDescent="0.2">
      <c r="A19" t="s">
        <v>90</v>
      </c>
      <c r="B19" t="s">
        <v>399</v>
      </c>
      <c r="C19">
        <v>0.6</v>
      </c>
      <c r="D19">
        <v>0.85</v>
      </c>
      <c r="E19">
        <f>0.2*0.65</f>
        <v>0.13</v>
      </c>
      <c r="F19" t="s">
        <v>132</v>
      </c>
      <c r="G19" t="s">
        <v>155</v>
      </c>
    </row>
    <row r="20" spans="1:7" x14ac:dyDescent="0.2">
      <c r="A20" t="s">
        <v>91</v>
      </c>
      <c r="B20" t="s">
        <v>338</v>
      </c>
      <c r="C20">
        <f>0.9-E20</f>
        <v>0.72</v>
      </c>
      <c r="D20">
        <v>0.98</v>
      </c>
      <c r="E20">
        <f>0.2*0.9</f>
        <v>0.18000000000000002</v>
      </c>
      <c r="F20" t="s">
        <v>133</v>
      </c>
      <c r="G20" t="s">
        <v>339</v>
      </c>
    </row>
    <row r="21" spans="1:7" x14ac:dyDescent="0.2">
      <c r="A21" t="s">
        <v>158</v>
      </c>
      <c r="B21">
        <f>(104+89)/(2568+3855)</f>
        <v>3.0048264051066479E-2</v>
      </c>
      <c r="C21">
        <v>0.01</v>
      </c>
      <c r="D21">
        <v>4.3999999999999997E-2</v>
      </c>
      <c r="E21">
        <f>0.1*params_PSA!B21</f>
        <v>3.0048264051066483E-3</v>
      </c>
      <c r="F21" t="s">
        <v>159</v>
      </c>
      <c r="G21" t="s">
        <v>161</v>
      </c>
    </row>
    <row r="24" spans="1:7" x14ac:dyDescent="0.2">
      <c r="A24" s="9"/>
      <c r="B24" s="9"/>
      <c r="C24" s="9"/>
      <c r="D24" s="9"/>
    </row>
    <row r="25" spans="1:7" x14ac:dyDescent="0.2">
      <c r="A25" s="9"/>
      <c r="B25" s="9"/>
      <c r="C25" s="9"/>
      <c r="D25" s="9"/>
    </row>
    <row r="26" spans="1:7" x14ac:dyDescent="0.2">
      <c r="A26" s="9"/>
      <c r="B26" s="9"/>
      <c r="C26" s="9"/>
      <c r="D26" s="9"/>
    </row>
    <row r="27" spans="1:7" x14ac:dyDescent="0.2">
      <c r="A27" s="9"/>
      <c r="B27" s="9"/>
      <c r="C27" s="9"/>
      <c r="D27" s="9"/>
    </row>
    <row r="28" spans="1:7" x14ac:dyDescent="0.2">
      <c r="A28" s="9"/>
      <c r="B28" s="9"/>
      <c r="C28" s="9"/>
      <c r="D28" s="9"/>
    </row>
    <row r="29" spans="1:7" x14ac:dyDescent="0.2">
      <c r="A29" s="9"/>
      <c r="B29" s="9"/>
      <c r="C29" s="9"/>
      <c r="D29" s="9"/>
    </row>
    <row r="30" spans="1:7" x14ac:dyDescent="0.2">
      <c r="A30" s="9"/>
      <c r="B30" s="9"/>
      <c r="C30" s="9"/>
      <c r="D30" s="9"/>
    </row>
    <row r="32" spans="1:7" x14ac:dyDescent="0.2">
      <c r="B32" s="7"/>
    </row>
    <row r="35" spans="1:2" x14ac:dyDescent="0.2">
      <c r="A35" s="9"/>
      <c r="B35" s="9"/>
    </row>
    <row r="36" spans="1:2" x14ac:dyDescent="0.2">
      <c r="A36" s="9"/>
      <c r="B36" s="9"/>
    </row>
    <row r="37" spans="1:2" x14ac:dyDescent="0.2">
      <c r="A37" s="9"/>
      <c r="B37" s="9"/>
    </row>
    <row r="38" spans="1:2" x14ac:dyDescent="0.2">
      <c r="A38" s="9"/>
      <c r="B38" s="9"/>
    </row>
    <row r="68" spans="3:3" x14ac:dyDescent="0.2">
      <c r="C68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9.33203125" customWidth="1"/>
    <col min="2" max="2" width="17" customWidth="1"/>
    <col min="3" max="3" width="13.33203125" customWidth="1"/>
    <col min="4" max="7" width="14.5" customWidth="1"/>
    <col min="11" max="11" width="20.1640625" customWidth="1"/>
  </cols>
  <sheetData>
    <row r="1" spans="1:14" x14ac:dyDescent="0.2">
      <c r="A1" t="s">
        <v>32</v>
      </c>
      <c r="B1" t="s">
        <v>80</v>
      </c>
      <c r="C1" t="s">
        <v>14</v>
      </c>
      <c r="D1" t="s">
        <v>73</v>
      </c>
      <c r="E1" t="s">
        <v>251</v>
      </c>
      <c r="F1" t="s">
        <v>140</v>
      </c>
      <c r="G1" t="s">
        <v>139</v>
      </c>
      <c r="H1" t="s">
        <v>122</v>
      </c>
    </row>
    <row r="2" spans="1:14" x14ac:dyDescent="0.2">
      <c r="A2" t="s">
        <v>81</v>
      </c>
      <c r="B2">
        <v>1.6999999999999999E-3</v>
      </c>
      <c r="C2">
        <v>1.3599999999999999E-3</v>
      </c>
      <c r="D2">
        <v>2.0400000000000001E-3</v>
      </c>
      <c r="E2">
        <v>4127.8525353496398</v>
      </c>
      <c r="F2">
        <v>2424020.69767032</v>
      </c>
      <c r="G2" t="s">
        <v>140</v>
      </c>
      <c r="H2">
        <v>0.9</v>
      </c>
    </row>
    <row r="3" spans="1:14" x14ac:dyDescent="0.2">
      <c r="A3" t="s">
        <v>82</v>
      </c>
      <c r="B3">
        <v>0.66</v>
      </c>
      <c r="C3">
        <v>0.51</v>
      </c>
      <c r="D3">
        <v>1</v>
      </c>
      <c r="E3">
        <v>77.226813590449893</v>
      </c>
      <c r="F3">
        <v>39.783510031443797</v>
      </c>
      <c r="G3" t="s">
        <v>140</v>
      </c>
      <c r="H3">
        <v>0.05</v>
      </c>
    </row>
    <row r="4" spans="1:14" x14ac:dyDescent="0.2">
      <c r="A4" t="s">
        <v>83</v>
      </c>
      <c r="B4" s="5">
        <v>1</v>
      </c>
      <c r="C4" s="5">
        <v>1</v>
      </c>
      <c r="D4">
        <v>1.4</v>
      </c>
      <c r="G4" t="s">
        <v>140</v>
      </c>
      <c r="H4">
        <v>0.2</v>
      </c>
    </row>
    <row r="5" spans="1:14" x14ac:dyDescent="0.2">
      <c r="A5" t="s">
        <v>84</v>
      </c>
      <c r="B5">
        <v>0.91</v>
      </c>
      <c r="C5">
        <v>0.81900000000000006</v>
      </c>
      <c r="D5">
        <v>0.98</v>
      </c>
      <c r="E5">
        <v>77.285352010626596</v>
      </c>
      <c r="F5">
        <v>7.64360624280922</v>
      </c>
      <c r="G5" t="s">
        <v>140</v>
      </c>
      <c r="H5">
        <v>0.01</v>
      </c>
      <c r="L5" s="2"/>
      <c r="M5" s="3"/>
    </row>
    <row r="6" spans="1:14" x14ac:dyDescent="0.2">
      <c r="A6" t="s">
        <v>85</v>
      </c>
      <c r="B6">
        <v>0.96</v>
      </c>
      <c r="C6">
        <v>0.94</v>
      </c>
      <c r="D6">
        <v>0.98</v>
      </c>
      <c r="E6">
        <v>1650.390625</v>
      </c>
      <c r="F6">
        <v>68.766276041666899</v>
      </c>
      <c r="G6" t="s">
        <v>140</v>
      </c>
      <c r="H6">
        <v>1E-3</v>
      </c>
    </row>
    <row r="7" spans="1:14" x14ac:dyDescent="0.2">
      <c r="A7" t="s">
        <v>86</v>
      </c>
      <c r="B7">
        <v>0.6</v>
      </c>
      <c r="C7">
        <v>0.54</v>
      </c>
      <c r="D7">
        <v>0.65999999999999992</v>
      </c>
      <c r="E7">
        <v>136.111111111111</v>
      </c>
      <c r="F7">
        <v>90.740740740740705</v>
      </c>
      <c r="G7" t="s">
        <v>140</v>
      </c>
      <c r="H7">
        <v>0.05</v>
      </c>
    </row>
    <row r="8" spans="1:14" x14ac:dyDescent="0.2">
      <c r="A8" t="s">
        <v>87</v>
      </c>
      <c r="B8">
        <v>0.96</v>
      </c>
      <c r="C8">
        <v>0.8657999999999999</v>
      </c>
      <c r="D8">
        <v>0.98</v>
      </c>
      <c r="E8">
        <v>1650.390625</v>
      </c>
      <c r="F8">
        <v>68.766276041666899</v>
      </c>
      <c r="G8" t="s">
        <v>140</v>
      </c>
      <c r="H8">
        <v>1E-3</v>
      </c>
    </row>
    <row r="9" spans="1:14" x14ac:dyDescent="0.2">
      <c r="A9" t="s">
        <v>342</v>
      </c>
      <c r="B9">
        <v>0.92400000000000004</v>
      </c>
      <c r="C9">
        <v>0.73920000000000008</v>
      </c>
      <c r="D9">
        <v>0.98</v>
      </c>
      <c r="E9">
        <v>51.020408163265202</v>
      </c>
      <c r="F9">
        <v>4.1964837883205099</v>
      </c>
      <c r="G9" t="s">
        <v>140</v>
      </c>
      <c r="H9">
        <v>0.01</v>
      </c>
    </row>
    <row r="10" spans="1:14" x14ac:dyDescent="0.2">
      <c r="A10" t="s">
        <v>343</v>
      </c>
      <c r="B10">
        <v>0.752</v>
      </c>
      <c r="C10">
        <v>0.60160000000000002</v>
      </c>
      <c r="D10">
        <v>0.90239999999999998</v>
      </c>
      <c r="E10">
        <v>27.730307831598001</v>
      </c>
      <c r="F10">
        <v>9.1451015189312503</v>
      </c>
      <c r="G10" t="s">
        <v>140</v>
      </c>
      <c r="H10">
        <v>0.05</v>
      </c>
    </row>
    <row r="11" spans="1:14" x14ac:dyDescent="0.2">
      <c r="A11" t="s">
        <v>346</v>
      </c>
      <c r="B11">
        <v>0.29199999999999998</v>
      </c>
      <c r="C11">
        <v>0.23359999999999997</v>
      </c>
      <c r="D11">
        <v>0.35039999999999999</v>
      </c>
      <c r="E11">
        <v>162.300619253143</v>
      </c>
      <c r="F11">
        <v>393.52341928501801</v>
      </c>
      <c r="G11" t="s">
        <v>140</v>
      </c>
      <c r="H11">
        <v>0.15</v>
      </c>
    </row>
    <row r="12" spans="1:14" x14ac:dyDescent="0.2">
      <c r="A12" t="s">
        <v>348</v>
      </c>
      <c r="B12">
        <v>0.95</v>
      </c>
      <c r="C12">
        <v>0.76</v>
      </c>
      <c r="D12">
        <v>0.98</v>
      </c>
      <c r="E12">
        <v>89.7506925207758</v>
      </c>
      <c r="F12">
        <v>4.7237206589881904</v>
      </c>
      <c r="G12" t="s">
        <v>140</v>
      </c>
      <c r="H12">
        <v>5.0000000000000001E-3</v>
      </c>
    </row>
    <row r="13" spans="1:14" x14ac:dyDescent="0.2">
      <c r="A13" t="s">
        <v>350</v>
      </c>
      <c r="B13">
        <v>0.69</v>
      </c>
      <c r="C13">
        <v>0.55199999999999994</v>
      </c>
      <c r="D13" s="4">
        <v>0.98</v>
      </c>
      <c r="E13">
        <v>56.794791010291902</v>
      </c>
      <c r="F13">
        <v>25.5165003089717</v>
      </c>
      <c r="G13" t="s">
        <v>140</v>
      </c>
      <c r="H13">
        <v>0.05</v>
      </c>
      <c r="N13" s="4"/>
    </row>
    <row r="14" spans="1:14" x14ac:dyDescent="0.2">
      <c r="A14" t="s">
        <v>352</v>
      </c>
      <c r="B14">
        <v>0.16800000000000001</v>
      </c>
      <c r="C14">
        <v>0.13440000000000002</v>
      </c>
      <c r="D14">
        <v>0.2016</v>
      </c>
      <c r="E14">
        <v>111.41975308641901</v>
      </c>
      <c r="F14">
        <v>551.79306290417298</v>
      </c>
      <c r="G14" t="s">
        <v>140</v>
      </c>
      <c r="H14">
        <v>0.3</v>
      </c>
    </row>
    <row r="15" spans="1:14" x14ac:dyDescent="0.2">
      <c r="A15" t="s">
        <v>134</v>
      </c>
      <c r="B15">
        <v>0</v>
      </c>
      <c r="C15">
        <v>-5</v>
      </c>
      <c r="D15">
        <v>5</v>
      </c>
      <c r="G15" t="s">
        <v>141</v>
      </c>
      <c r="H15">
        <v>0</v>
      </c>
    </row>
    <row r="16" spans="1:14" x14ac:dyDescent="0.2">
      <c r="A16" t="s">
        <v>135</v>
      </c>
      <c r="B16">
        <v>0</v>
      </c>
      <c r="C16">
        <v>-5</v>
      </c>
      <c r="D16">
        <v>5</v>
      </c>
      <c r="G16" t="s">
        <v>141</v>
      </c>
      <c r="H16">
        <v>0</v>
      </c>
    </row>
    <row r="17" spans="1:8" x14ac:dyDescent="0.2">
      <c r="A17" t="s">
        <v>88</v>
      </c>
      <c r="B17" t="s">
        <v>341</v>
      </c>
      <c r="C17">
        <v>0.1</v>
      </c>
      <c r="D17">
        <v>0.2</v>
      </c>
      <c r="G17" t="s">
        <v>140</v>
      </c>
      <c r="H17">
        <v>5.0000000000000001E-3</v>
      </c>
    </row>
    <row r="18" spans="1:8" x14ac:dyDescent="0.2">
      <c r="A18" t="s">
        <v>89</v>
      </c>
      <c r="B18" t="s">
        <v>336</v>
      </c>
      <c r="C18">
        <v>0.57599999999999996</v>
      </c>
      <c r="D18">
        <v>0.86399999999999999</v>
      </c>
      <c r="G18" t="s">
        <v>140</v>
      </c>
      <c r="H18">
        <v>5.0000000000000001E-3</v>
      </c>
    </row>
    <row r="19" spans="1:8" x14ac:dyDescent="0.2">
      <c r="A19" t="s">
        <v>90</v>
      </c>
      <c r="B19" t="s">
        <v>399</v>
      </c>
      <c r="C19">
        <v>0.6</v>
      </c>
      <c r="D19">
        <v>0.85</v>
      </c>
      <c r="G19" t="s">
        <v>140</v>
      </c>
      <c r="H19">
        <v>6.0999999999999999E-2</v>
      </c>
    </row>
    <row r="20" spans="1:8" x14ac:dyDescent="0.2">
      <c r="A20" t="s">
        <v>91</v>
      </c>
      <c r="B20" t="s">
        <v>338</v>
      </c>
      <c r="C20">
        <v>0.72</v>
      </c>
      <c r="D20">
        <v>0.98</v>
      </c>
      <c r="G20" t="s">
        <v>140</v>
      </c>
      <c r="H20">
        <v>7.1999999999999995E-2</v>
      </c>
    </row>
    <row r="21" spans="1:8" x14ac:dyDescent="0.2">
      <c r="A21" t="s">
        <v>158</v>
      </c>
      <c r="B21">
        <f>(104+89)/(2568+3855)</f>
        <v>3.0048264051066479E-2</v>
      </c>
      <c r="C21">
        <v>0.01</v>
      </c>
      <c r="D21">
        <v>4.3999999999999997E-2</v>
      </c>
      <c r="E21">
        <v>2248.6269161588202</v>
      </c>
      <c r="F21">
        <v>72585.210816940205</v>
      </c>
      <c r="G21" t="s">
        <v>140</v>
      </c>
      <c r="H21">
        <v>0.4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3"/>
  <sheetViews>
    <sheetView topLeftCell="A17" workbookViewId="0">
      <selection activeCell="C27" sqref="C27"/>
    </sheetView>
  </sheetViews>
  <sheetFormatPr baseColWidth="10" defaultColWidth="8.83203125" defaultRowHeight="15" x14ac:dyDescent="0.2"/>
  <cols>
    <col min="2" max="2" width="56" customWidth="1"/>
  </cols>
  <sheetData>
    <row r="1" spans="1:2" ht="64" x14ac:dyDescent="0.2">
      <c r="A1">
        <v>1</v>
      </c>
      <c r="B1" s="1" t="s">
        <v>92</v>
      </c>
    </row>
    <row r="2" spans="1:2" ht="80" x14ac:dyDescent="0.2">
      <c r="A2">
        <v>2</v>
      </c>
      <c r="B2" s="1" t="s">
        <v>93</v>
      </c>
    </row>
    <row r="3" spans="1:2" ht="80" x14ac:dyDescent="0.2">
      <c r="A3">
        <v>3</v>
      </c>
      <c r="B3" s="1" t="s">
        <v>94</v>
      </c>
    </row>
    <row r="4" spans="1:2" ht="80" x14ac:dyDescent="0.2">
      <c r="A4">
        <v>4</v>
      </c>
      <c r="B4" s="1" t="s">
        <v>95</v>
      </c>
    </row>
    <row r="5" spans="1:2" ht="80" x14ac:dyDescent="0.2">
      <c r="A5">
        <v>5</v>
      </c>
      <c r="B5" s="1" t="s">
        <v>96</v>
      </c>
    </row>
    <row r="6" spans="1:2" ht="64" x14ac:dyDescent="0.2">
      <c r="A6">
        <v>6</v>
      </c>
      <c r="B6" s="1" t="s">
        <v>97</v>
      </c>
    </row>
    <row r="7" spans="1:2" ht="80" x14ac:dyDescent="0.2">
      <c r="A7">
        <v>7</v>
      </c>
      <c r="B7" s="1" t="s">
        <v>98</v>
      </c>
    </row>
    <row r="8" spans="1:2" ht="80" x14ac:dyDescent="0.2">
      <c r="A8">
        <v>8</v>
      </c>
      <c r="B8" s="1" t="s">
        <v>99</v>
      </c>
    </row>
    <row r="9" spans="1:2" ht="80" x14ac:dyDescent="0.2">
      <c r="A9">
        <v>9</v>
      </c>
      <c r="B9" s="1" t="s">
        <v>100</v>
      </c>
    </row>
    <row r="10" spans="1:2" ht="64" x14ac:dyDescent="0.2">
      <c r="A10">
        <v>10</v>
      </c>
      <c r="B10" s="1" t="s">
        <v>101</v>
      </c>
    </row>
    <row r="11" spans="1:2" ht="64" x14ac:dyDescent="0.2">
      <c r="A11">
        <v>11</v>
      </c>
      <c r="B11" s="1" t="s">
        <v>102</v>
      </c>
    </row>
    <row r="12" spans="1:2" ht="80" x14ac:dyDescent="0.2">
      <c r="A12">
        <v>12</v>
      </c>
      <c r="B12" s="1" t="s">
        <v>103</v>
      </c>
    </row>
    <row r="13" spans="1:2" ht="64" x14ac:dyDescent="0.2">
      <c r="A13">
        <v>13</v>
      </c>
      <c r="B13" s="1" t="s">
        <v>104</v>
      </c>
    </row>
    <row r="14" spans="1:2" ht="64" x14ac:dyDescent="0.2">
      <c r="A14">
        <v>14</v>
      </c>
      <c r="B14" s="1" t="s">
        <v>105</v>
      </c>
    </row>
    <row r="15" spans="1:2" ht="64" x14ac:dyDescent="0.2">
      <c r="A15">
        <v>15</v>
      </c>
      <c r="B15" s="1" t="s">
        <v>106</v>
      </c>
    </row>
    <row r="16" spans="1:2" ht="96" x14ac:dyDescent="0.2">
      <c r="A16">
        <v>16</v>
      </c>
      <c r="B16" s="1" t="s">
        <v>107</v>
      </c>
    </row>
    <row r="17" spans="1:2" ht="64" x14ac:dyDescent="0.2">
      <c r="A17">
        <v>17</v>
      </c>
      <c r="B17" s="1" t="s">
        <v>101</v>
      </c>
    </row>
    <row r="18" spans="1:2" ht="96" x14ac:dyDescent="0.2">
      <c r="A18">
        <v>18</v>
      </c>
      <c r="B18" s="1" t="s">
        <v>108</v>
      </c>
    </row>
    <row r="19" spans="1:2" ht="64" x14ac:dyDescent="0.2">
      <c r="A19">
        <v>19</v>
      </c>
      <c r="B19" s="1" t="s">
        <v>117</v>
      </c>
    </row>
    <row r="20" spans="1:2" x14ac:dyDescent="0.2">
      <c r="A20">
        <v>20</v>
      </c>
      <c r="B20" t="s">
        <v>160</v>
      </c>
    </row>
    <row r="21" spans="1:2" x14ac:dyDescent="0.2">
      <c r="A21">
        <v>21</v>
      </c>
      <c r="B21" t="s">
        <v>178</v>
      </c>
    </row>
    <row r="22" spans="1:2" x14ac:dyDescent="0.2">
      <c r="A22">
        <v>22</v>
      </c>
      <c r="B22" t="s">
        <v>189</v>
      </c>
    </row>
    <row r="23" spans="1:2" x14ac:dyDescent="0.2">
      <c r="A23">
        <v>23</v>
      </c>
      <c r="B23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A8" sqref="A8:D10"/>
    </sheetView>
  </sheetViews>
  <sheetFormatPr baseColWidth="10" defaultColWidth="8.83203125" defaultRowHeight="15" x14ac:dyDescent="0.2"/>
  <cols>
    <col min="1" max="1" width="24.5" customWidth="1"/>
  </cols>
  <sheetData>
    <row r="1" spans="1:6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6" x14ac:dyDescent="0.2">
      <c r="A2" t="s">
        <v>17</v>
      </c>
      <c r="B2">
        <v>0.5</v>
      </c>
      <c r="E2">
        <v>1</v>
      </c>
      <c r="F2" t="s">
        <v>5</v>
      </c>
    </row>
    <row r="3" spans="1:6" x14ac:dyDescent="0.2">
      <c r="A3" t="s">
        <v>18</v>
      </c>
      <c r="B3">
        <v>0.998</v>
      </c>
      <c r="E3">
        <v>1</v>
      </c>
    </row>
    <row r="4" spans="1:6" x14ac:dyDescent="0.2">
      <c r="A4" t="s">
        <v>19</v>
      </c>
      <c r="B4">
        <v>0.78600000000000003</v>
      </c>
      <c r="E4">
        <v>6</v>
      </c>
      <c r="F4" t="s">
        <v>20</v>
      </c>
    </row>
    <row r="5" spans="1:6" x14ac:dyDescent="0.2">
      <c r="A5" t="s">
        <v>21</v>
      </c>
      <c r="B5">
        <v>0.99</v>
      </c>
      <c r="E5">
        <v>6</v>
      </c>
    </row>
    <row r="6" spans="1:6" x14ac:dyDescent="0.2">
      <c r="A6" t="s">
        <v>22</v>
      </c>
      <c r="B6">
        <v>0.81</v>
      </c>
      <c r="E6">
        <v>7</v>
      </c>
      <c r="F6" t="s">
        <v>23</v>
      </c>
    </row>
    <row r="7" spans="1:6" x14ac:dyDescent="0.2">
      <c r="A7" t="s">
        <v>24</v>
      </c>
      <c r="B7">
        <v>0.98899999999999999</v>
      </c>
      <c r="E7">
        <v>7</v>
      </c>
    </row>
    <row r="8" spans="1:6" x14ac:dyDescent="0.2">
      <c r="A8" t="s">
        <v>25</v>
      </c>
      <c r="B8">
        <v>0.6</v>
      </c>
      <c r="C8">
        <v>0.4</v>
      </c>
      <c r="D8">
        <v>0.85</v>
      </c>
      <c r="E8">
        <v>8</v>
      </c>
      <c r="F8" t="s">
        <v>26</v>
      </c>
    </row>
    <row r="9" spans="1:6" x14ac:dyDescent="0.2">
      <c r="A9" t="s">
        <v>27</v>
      </c>
      <c r="B9">
        <v>0.96199999999999997</v>
      </c>
      <c r="C9">
        <v>0.9</v>
      </c>
      <c r="D9">
        <v>0.99</v>
      </c>
      <c r="E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8.6640625" customWidth="1"/>
  </cols>
  <sheetData>
    <row r="1" spans="1:6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6" x14ac:dyDescent="0.2">
      <c r="A2" t="s">
        <v>28</v>
      </c>
      <c r="B2">
        <v>0.91</v>
      </c>
      <c r="C2">
        <v>0.8</v>
      </c>
      <c r="D2">
        <v>0.95</v>
      </c>
      <c r="E2">
        <v>1</v>
      </c>
      <c r="F2" t="s">
        <v>5</v>
      </c>
    </row>
    <row r="3" spans="1:6" x14ac:dyDescent="0.2">
      <c r="A3" t="s">
        <v>29</v>
      </c>
      <c r="B3">
        <v>0.98</v>
      </c>
      <c r="C3">
        <v>0.85</v>
      </c>
      <c r="D3">
        <v>0.99</v>
      </c>
      <c r="E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30</v>
      </c>
      <c r="B1" t="s">
        <v>31</v>
      </c>
    </row>
    <row r="2" spans="1:2" x14ac:dyDescent="0.2">
      <c r="A2">
        <v>0</v>
      </c>
      <c r="B2">
        <v>5.313E-3</v>
      </c>
    </row>
    <row r="3" spans="1:2" x14ac:dyDescent="0.2">
      <c r="A3">
        <v>1</v>
      </c>
      <c r="B3">
        <v>3.4499999999999998E-4</v>
      </c>
    </row>
    <row r="4" spans="1:2" x14ac:dyDescent="0.2">
      <c r="A4">
        <v>2</v>
      </c>
      <c r="B4">
        <v>2.1800000000000001E-4</v>
      </c>
    </row>
    <row r="5" spans="1:2" x14ac:dyDescent="0.2">
      <c r="A5">
        <v>3</v>
      </c>
      <c r="B5">
        <v>1.5799999999999999E-4</v>
      </c>
    </row>
    <row r="6" spans="1:2" x14ac:dyDescent="0.2">
      <c r="A6">
        <v>4</v>
      </c>
      <c r="B6">
        <v>1.2999999999999999E-4</v>
      </c>
    </row>
    <row r="7" spans="1:2" x14ac:dyDescent="0.2">
      <c r="A7">
        <v>5</v>
      </c>
      <c r="B7">
        <v>1.21E-4</v>
      </c>
    </row>
    <row r="8" spans="1:2" x14ac:dyDescent="0.2">
      <c r="A8">
        <v>6</v>
      </c>
      <c r="B8">
        <v>1.07E-4</v>
      </c>
    </row>
    <row r="9" spans="1:2" x14ac:dyDescent="0.2">
      <c r="A9">
        <v>7</v>
      </c>
      <c r="B9">
        <v>9.7E-5</v>
      </c>
    </row>
    <row r="10" spans="1:2" x14ac:dyDescent="0.2">
      <c r="A10">
        <v>8</v>
      </c>
      <c r="B10">
        <v>8.8999999999999995E-5</v>
      </c>
    </row>
    <row r="11" spans="1:2" x14ac:dyDescent="0.2">
      <c r="A11">
        <v>9</v>
      </c>
      <c r="B11">
        <v>8.3999999999999995E-5</v>
      </c>
    </row>
    <row r="12" spans="1:2" x14ac:dyDescent="0.2">
      <c r="A12">
        <v>10</v>
      </c>
      <c r="B12">
        <v>8.2999999999999998E-5</v>
      </c>
    </row>
    <row r="13" spans="1:2" x14ac:dyDescent="0.2">
      <c r="A13">
        <v>11</v>
      </c>
      <c r="B13">
        <v>8.7999999999999998E-5</v>
      </c>
    </row>
    <row r="14" spans="1:2" x14ac:dyDescent="0.2">
      <c r="A14">
        <v>12</v>
      </c>
      <c r="B14">
        <v>1.02E-4</v>
      </c>
    </row>
    <row r="15" spans="1:2" x14ac:dyDescent="0.2">
      <c r="A15">
        <v>13</v>
      </c>
      <c r="B15">
        <v>1.25E-4</v>
      </c>
    </row>
    <row r="16" spans="1:2" x14ac:dyDescent="0.2">
      <c r="A16">
        <v>14</v>
      </c>
      <c r="B16">
        <v>1.5699999999999999E-4</v>
      </c>
    </row>
    <row r="17" spans="1:2" x14ac:dyDescent="0.2">
      <c r="A17">
        <v>15</v>
      </c>
      <c r="B17">
        <v>1.92E-4</v>
      </c>
    </row>
    <row r="18" spans="1:2" x14ac:dyDescent="0.2">
      <c r="A18">
        <v>16</v>
      </c>
      <c r="B18">
        <v>2.2900000000000001E-4</v>
      </c>
    </row>
    <row r="19" spans="1:2" x14ac:dyDescent="0.2">
      <c r="A19">
        <v>17</v>
      </c>
      <c r="B19">
        <v>2.6800000000000001E-4</v>
      </c>
    </row>
    <row r="20" spans="1:2" x14ac:dyDescent="0.2">
      <c r="A20">
        <v>18</v>
      </c>
      <c r="B20">
        <v>3.0499999999999999E-4</v>
      </c>
    </row>
    <row r="21" spans="1:2" x14ac:dyDescent="0.2">
      <c r="A21">
        <v>19</v>
      </c>
      <c r="B21">
        <v>3.4099999999999999E-4</v>
      </c>
    </row>
    <row r="22" spans="1:2" x14ac:dyDescent="0.2">
      <c r="A22">
        <v>20</v>
      </c>
      <c r="B22">
        <v>3.77E-4</v>
      </c>
    </row>
    <row r="23" spans="1:2" x14ac:dyDescent="0.2">
      <c r="A23">
        <v>21</v>
      </c>
      <c r="B23">
        <v>4.1199999999999999E-4</v>
      </c>
    </row>
    <row r="24" spans="1:2" x14ac:dyDescent="0.2">
      <c r="A24">
        <v>22</v>
      </c>
      <c r="B24">
        <v>4.4299999999999998E-4</v>
      </c>
    </row>
    <row r="25" spans="1:2" x14ac:dyDescent="0.2">
      <c r="A25">
        <v>23</v>
      </c>
      <c r="B25">
        <v>4.6999999999999999E-4</v>
      </c>
    </row>
    <row r="26" spans="1:2" x14ac:dyDescent="0.2">
      <c r="A26">
        <v>24</v>
      </c>
      <c r="B26">
        <v>4.9600000000000002E-4</v>
      </c>
    </row>
    <row r="27" spans="1:2" x14ac:dyDescent="0.2">
      <c r="A27">
        <v>25</v>
      </c>
      <c r="B27">
        <v>5.2300000000000003E-4</v>
      </c>
    </row>
    <row r="28" spans="1:2" x14ac:dyDescent="0.2">
      <c r="A28">
        <v>26</v>
      </c>
      <c r="B28">
        <v>5.5199999999999997E-4</v>
      </c>
    </row>
    <row r="29" spans="1:2" x14ac:dyDescent="0.2">
      <c r="A29">
        <v>27</v>
      </c>
      <c r="B29">
        <v>5.8200000000000005E-4</v>
      </c>
    </row>
    <row r="30" spans="1:2" x14ac:dyDescent="0.2">
      <c r="A30">
        <v>28</v>
      </c>
      <c r="B30">
        <v>6.1300000000000005E-4</v>
      </c>
    </row>
    <row r="31" spans="1:2" x14ac:dyDescent="0.2">
      <c r="A31">
        <v>29</v>
      </c>
      <c r="B31">
        <v>6.4400000000000004E-4</v>
      </c>
    </row>
    <row r="32" spans="1:2" x14ac:dyDescent="0.2">
      <c r="A32">
        <v>30</v>
      </c>
      <c r="B32">
        <v>6.78E-4</v>
      </c>
    </row>
    <row r="33" spans="1:2" x14ac:dyDescent="0.2">
      <c r="A33">
        <v>31</v>
      </c>
      <c r="B33">
        <v>7.1599999999999995E-4</v>
      </c>
    </row>
    <row r="34" spans="1:2" x14ac:dyDescent="0.2">
      <c r="A34">
        <v>32</v>
      </c>
      <c r="B34">
        <v>7.5699999999999997E-4</v>
      </c>
    </row>
    <row r="35" spans="1:2" x14ac:dyDescent="0.2">
      <c r="A35">
        <v>33</v>
      </c>
      <c r="B35">
        <v>8.0500000000000005E-4</v>
      </c>
    </row>
    <row r="36" spans="1:2" x14ac:dyDescent="0.2">
      <c r="A36">
        <v>34</v>
      </c>
      <c r="B36">
        <v>8.5999999999999998E-4</v>
      </c>
    </row>
    <row r="37" spans="1:2" x14ac:dyDescent="0.2">
      <c r="A37">
        <v>35</v>
      </c>
      <c r="B37">
        <v>9.2500000000000004E-4</v>
      </c>
    </row>
    <row r="38" spans="1:2" x14ac:dyDescent="0.2">
      <c r="A38">
        <v>36</v>
      </c>
      <c r="B38">
        <v>1E-3</v>
      </c>
    </row>
    <row r="39" spans="1:2" x14ac:dyDescent="0.2">
      <c r="A39">
        <v>37</v>
      </c>
      <c r="B39">
        <v>1.0809999999999999E-3</v>
      </c>
    </row>
    <row r="40" spans="1:2" x14ac:dyDescent="0.2">
      <c r="A40">
        <v>38</v>
      </c>
      <c r="B40">
        <v>1.165E-3</v>
      </c>
    </row>
    <row r="41" spans="1:2" x14ac:dyDescent="0.2">
      <c r="A41">
        <v>39</v>
      </c>
      <c r="B41">
        <v>1.2520000000000001E-3</v>
      </c>
    </row>
    <row r="42" spans="1:2" x14ac:dyDescent="0.2">
      <c r="A42">
        <v>40</v>
      </c>
      <c r="B42">
        <v>1.3489999999999999E-3</v>
      </c>
    </row>
    <row r="43" spans="1:2" x14ac:dyDescent="0.2">
      <c r="A43">
        <v>41</v>
      </c>
      <c r="B43">
        <v>1.4580000000000001E-3</v>
      </c>
    </row>
    <row r="44" spans="1:2" x14ac:dyDescent="0.2">
      <c r="A44">
        <v>42</v>
      </c>
      <c r="B44">
        <v>1.5740000000000001E-3</v>
      </c>
    </row>
    <row r="45" spans="1:2" x14ac:dyDescent="0.2">
      <c r="A45">
        <v>43</v>
      </c>
      <c r="B45">
        <v>1.702E-3</v>
      </c>
    </row>
    <row r="46" spans="1:2" x14ac:dyDescent="0.2">
      <c r="A46">
        <v>44</v>
      </c>
      <c r="B46">
        <v>1.8469999999999999E-3</v>
      </c>
    </row>
    <row r="47" spans="1:2" x14ac:dyDescent="0.2">
      <c r="A47">
        <v>45</v>
      </c>
      <c r="B47">
        <v>2.0019999999999999E-3</v>
      </c>
    </row>
    <row r="48" spans="1:2" x14ac:dyDescent="0.2">
      <c r="A48">
        <v>46</v>
      </c>
      <c r="B48">
        <v>2.1789999999999999E-3</v>
      </c>
    </row>
    <row r="49" spans="1:2" x14ac:dyDescent="0.2">
      <c r="A49">
        <v>47</v>
      </c>
      <c r="B49">
        <v>2.3960000000000001E-3</v>
      </c>
    </row>
    <row r="50" spans="1:2" x14ac:dyDescent="0.2">
      <c r="A50">
        <v>48</v>
      </c>
      <c r="B50">
        <v>2.653E-3</v>
      </c>
    </row>
    <row r="51" spans="1:2" x14ac:dyDescent="0.2">
      <c r="A51">
        <v>49</v>
      </c>
      <c r="B51">
        <v>2.9329999999999998E-3</v>
      </c>
    </row>
    <row r="52" spans="1:2" x14ac:dyDescent="0.2">
      <c r="A52">
        <v>50</v>
      </c>
      <c r="B52">
        <v>3.215E-3</v>
      </c>
    </row>
    <row r="53" spans="1:2" x14ac:dyDescent="0.2">
      <c r="A53">
        <v>51</v>
      </c>
      <c r="B53">
        <v>3.4940000000000001E-3</v>
      </c>
    </row>
    <row r="54" spans="1:2" x14ac:dyDescent="0.2">
      <c r="A54">
        <v>52</v>
      </c>
      <c r="B54">
        <v>3.7829999999999999E-3</v>
      </c>
    </row>
    <row r="55" spans="1:2" x14ac:dyDescent="0.2">
      <c r="A55">
        <v>53</v>
      </c>
      <c r="B55">
        <v>4.0889999999999998E-3</v>
      </c>
    </row>
    <row r="56" spans="1:2" x14ac:dyDescent="0.2">
      <c r="A56">
        <v>54</v>
      </c>
      <c r="B56">
        <v>4.4190000000000002E-3</v>
      </c>
    </row>
    <row r="57" spans="1:2" x14ac:dyDescent="0.2">
      <c r="A57">
        <v>55</v>
      </c>
      <c r="B57">
        <v>4.7739999999999996E-3</v>
      </c>
    </row>
    <row r="58" spans="1:2" x14ac:dyDescent="0.2">
      <c r="A58">
        <v>56</v>
      </c>
      <c r="B58">
        <v>5.1450000000000003E-3</v>
      </c>
    </row>
    <row r="59" spans="1:2" x14ac:dyDescent="0.2">
      <c r="A59">
        <v>57</v>
      </c>
      <c r="B59">
        <v>5.5209999999999999E-3</v>
      </c>
    </row>
    <row r="60" spans="1:2" x14ac:dyDescent="0.2">
      <c r="A60">
        <v>58</v>
      </c>
      <c r="B60">
        <v>5.8999999999999999E-3</v>
      </c>
    </row>
    <row r="61" spans="1:2" x14ac:dyDescent="0.2">
      <c r="A61">
        <v>59</v>
      </c>
      <c r="B61">
        <v>6.2919999999999998E-3</v>
      </c>
    </row>
    <row r="62" spans="1:2" x14ac:dyDescent="0.2">
      <c r="A62">
        <v>60</v>
      </c>
      <c r="B62">
        <v>6.7169999999999999E-3</v>
      </c>
    </row>
    <row r="63" spans="1:2" x14ac:dyDescent="0.2">
      <c r="A63">
        <v>61</v>
      </c>
      <c r="B63">
        <v>7.1929999999999997E-3</v>
      </c>
    </row>
    <row r="64" spans="1:2" x14ac:dyDescent="0.2">
      <c r="A64">
        <v>62</v>
      </c>
      <c r="B64">
        <v>7.7270000000000004E-3</v>
      </c>
    </row>
    <row r="65" spans="1:2" x14ac:dyDescent="0.2">
      <c r="A65">
        <v>63</v>
      </c>
      <c r="B65">
        <v>8.3280000000000003E-3</v>
      </c>
    </row>
    <row r="66" spans="1:2" x14ac:dyDescent="0.2">
      <c r="A66">
        <v>64</v>
      </c>
      <c r="B66">
        <v>8.9949999999999995E-3</v>
      </c>
    </row>
    <row r="67" spans="1:2" x14ac:dyDescent="0.2">
      <c r="A67">
        <v>65</v>
      </c>
      <c r="B67">
        <v>9.724E-3</v>
      </c>
    </row>
    <row r="68" spans="1:2" x14ac:dyDescent="0.2">
      <c r="A68">
        <v>66</v>
      </c>
      <c r="B68">
        <v>1.0529E-2</v>
      </c>
    </row>
    <row r="69" spans="1:2" x14ac:dyDescent="0.2">
      <c r="A69">
        <v>67</v>
      </c>
      <c r="B69">
        <v>1.1439E-2</v>
      </c>
    </row>
    <row r="70" spans="1:2" x14ac:dyDescent="0.2">
      <c r="A70">
        <v>68</v>
      </c>
      <c r="B70">
        <v>1.2478E-2</v>
      </c>
    </row>
    <row r="71" spans="1:2" x14ac:dyDescent="0.2">
      <c r="A71">
        <v>69</v>
      </c>
      <c r="B71">
        <v>1.3698E-2</v>
      </c>
    </row>
    <row r="72" spans="1:2" x14ac:dyDescent="0.2">
      <c r="A72">
        <v>70</v>
      </c>
      <c r="B72">
        <v>1.5139E-2</v>
      </c>
    </row>
    <row r="73" spans="1:2" x14ac:dyDescent="0.2">
      <c r="A73">
        <v>71</v>
      </c>
      <c r="B73">
        <v>1.6756E-2</v>
      </c>
    </row>
    <row r="74" spans="1:2" x14ac:dyDescent="0.2">
      <c r="A74">
        <v>72</v>
      </c>
      <c r="B74">
        <v>1.848E-2</v>
      </c>
    </row>
    <row r="75" spans="1:2" x14ac:dyDescent="0.2">
      <c r="A75">
        <v>73</v>
      </c>
      <c r="B75">
        <v>2.0353E-2</v>
      </c>
    </row>
    <row r="76" spans="1:2" x14ac:dyDescent="0.2">
      <c r="A76">
        <v>74</v>
      </c>
      <c r="B76">
        <v>2.2372E-2</v>
      </c>
    </row>
    <row r="77" spans="1:2" x14ac:dyDescent="0.2">
      <c r="A77">
        <v>75</v>
      </c>
      <c r="B77">
        <v>2.4579E-2</v>
      </c>
    </row>
    <row r="78" spans="1:2" x14ac:dyDescent="0.2">
      <c r="A78">
        <v>76</v>
      </c>
      <c r="B78">
        <v>2.7147000000000001E-2</v>
      </c>
    </row>
    <row r="79" spans="1:2" x14ac:dyDescent="0.2">
      <c r="A79">
        <v>77</v>
      </c>
      <c r="B79">
        <v>3.0089000000000001E-2</v>
      </c>
    </row>
    <row r="80" spans="1:2" x14ac:dyDescent="0.2">
      <c r="A80">
        <v>78</v>
      </c>
      <c r="B80">
        <v>3.3590000000000002E-2</v>
      </c>
    </row>
    <row r="81" spans="1:2" x14ac:dyDescent="0.2">
      <c r="A81">
        <v>79</v>
      </c>
      <c r="B81">
        <v>3.7751E-2</v>
      </c>
    </row>
    <row r="82" spans="1:2" x14ac:dyDescent="0.2">
      <c r="A82">
        <v>80</v>
      </c>
      <c r="B82">
        <v>4.2126999999999998E-2</v>
      </c>
    </row>
    <row r="83" spans="1:2" x14ac:dyDescent="0.2">
      <c r="A83">
        <v>81</v>
      </c>
      <c r="B83">
        <v>4.6904000000000001E-2</v>
      </c>
    </row>
    <row r="84" spans="1:2" x14ac:dyDescent="0.2">
      <c r="A84">
        <v>82</v>
      </c>
      <c r="B84">
        <v>5.2056999999999999E-2</v>
      </c>
    </row>
    <row r="85" spans="1:2" x14ac:dyDescent="0.2">
      <c r="A85">
        <v>83</v>
      </c>
      <c r="B85">
        <v>5.8186000000000002E-2</v>
      </c>
    </row>
    <row r="86" spans="1:2" x14ac:dyDescent="0.2">
      <c r="A86">
        <v>84</v>
      </c>
      <c r="B86">
        <v>6.5335000000000004E-2</v>
      </c>
    </row>
    <row r="87" spans="1:2" x14ac:dyDescent="0.2">
      <c r="A87">
        <v>85</v>
      </c>
      <c r="B87">
        <v>7.2706000000000007E-2</v>
      </c>
    </row>
    <row r="88" spans="1:2" x14ac:dyDescent="0.2">
      <c r="A88">
        <v>86</v>
      </c>
      <c r="B88">
        <v>8.1768999999999994E-2</v>
      </c>
    </row>
    <row r="89" spans="1:2" x14ac:dyDescent="0.2">
      <c r="A89">
        <v>87</v>
      </c>
      <c r="B89">
        <v>9.1786999999999994E-2</v>
      </c>
    </row>
    <row r="90" spans="1:2" x14ac:dyDescent="0.2">
      <c r="A90">
        <v>88</v>
      </c>
      <c r="B90">
        <v>0.10281700000000001</v>
      </c>
    </row>
    <row r="91" spans="1:2" x14ac:dyDescent="0.2">
      <c r="A91">
        <v>89</v>
      </c>
      <c r="B91">
        <v>0.114907</v>
      </c>
    </row>
    <row r="92" spans="1:2" x14ac:dyDescent="0.2">
      <c r="A92">
        <v>90</v>
      </c>
      <c r="B92">
        <v>0.12809599999999999</v>
      </c>
    </row>
    <row r="93" spans="1:2" x14ac:dyDescent="0.2">
      <c r="A93">
        <v>91</v>
      </c>
      <c r="B93">
        <v>0.14240800000000001</v>
      </c>
    </row>
    <row r="94" spans="1:2" x14ac:dyDescent="0.2">
      <c r="A94">
        <v>92</v>
      </c>
      <c r="B94">
        <v>0.15784999999999999</v>
      </c>
    </row>
    <row r="95" spans="1:2" x14ac:dyDescent="0.2">
      <c r="A95">
        <v>93</v>
      </c>
      <c r="B95">
        <v>0.17441000000000001</v>
      </c>
    </row>
    <row r="96" spans="1:2" x14ac:dyDescent="0.2">
      <c r="A96">
        <v>94</v>
      </c>
      <c r="B96">
        <v>0.192051</v>
      </c>
    </row>
    <row r="97" spans="1:2" x14ac:dyDescent="0.2">
      <c r="A97">
        <v>95</v>
      </c>
      <c r="B97">
        <v>0.21071300000000001</v>
      </c>
    </row>
    <row r="98" spans="1:2" x14ac:dyDescent="0.2">
      <c r="A98">
        <v>96</v>
      </c>
      <c r="B98">
        <v>0.23030800000000001</v>
      </c>
    </row>
    <row r="99" spans="1:2" x14ac:dyDescent="0.2">
      <c r="A99">
        <v>97</v>
      </c>
      <c r="B99">
        <v>0.250724</v>
      </c>
    </row>
    <row r="100" spans="1:2" x14ac:dyDescent="0.2">
      <c r="A100">
        <v>98</v>
      </c>
      <c r="B100">
        <v>0.27182200000000001</v>
      </c>
    </row>
    <row r="101" spans="1:2" x14ac:dyDescent="0.2">
      <c r="A101">
        <v>99</v>
      </c>
      <c r="B101">
        <v>0.29344300000000001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9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2.33203125" customWidth="1"/>
    <col min="13" max="13" width="14.6640625" customWidth="1"/>
  </cols>
  <sheetData>
    <row r="1" spans="1:34" x14ac:dyDescent="0.2">
      <c r="A1" t="s">
        <v>32</v>
      </c>
      <c r="B1" t="s">
        <v>175</v>
      </c>
      <c r="C1" t="s">
        <v>192</v>
      </c>
      <c r="D1" t="s">
        <v>193</v>
      </c>
      <c r="E1" t="s">
        <v>174</v>
      </c>
      <c r="F1" t="s">
        <v>282</v>
      </c>
      <c r="G1" t="s">
        <v>191</v>
      </c>
      <c r="H1" t="s">
        <v>220</v>
      </c>
    </row>
    <row r="2" spans="1:34" x14ac:dyDescent="0.2">
      <c r="A2" t="s">
        <v>34</v>
      </c>
      <c r="B2">
        <v>596</v>
      </c>
      <c r="C2">
        <v>2010</v>
      </c>
      <c r="D2">
        <v>764.8</v>
      </c>
      <c r="E2" t="s">
        <v>176</v>
      </c>
      <c r="G2" t="b">
        <v>0</v>
      </c>
      <c r="K2" t="s">
        <v>46</v>
      </c>
      <c r="L2" t="s">
        <v>47</v>
      </c>
      <c r="M2" t="s">
        <v>162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163</v>
      </c>
      <c r="T2" t="s">
        <v>164</v>
      </c>
      <c r="U2" t="s">
        <v>165</v>
      </c>
      <c r="V2" t="s">
        <v>166</v>
      </c>
      <c r="W2" t="s">
        <v>53</v>
      </c>
      <c r="X2" t="s">
        <v>54</v>
      </c>
      <c r="Y2" t="s">
        <v>55</v>
      </c>
      <c r="Z2" t="s">
        <v>56</v>
      </c>
      <c r="AA2" t="s">
        <v>167</v>
      </c>
      <c r="AB2" t="s">
        <v>168</v>
      </c>
      <c r="AC2" t="s">
        <v>169</v>
      </c>
      <c r="AD2" t="s">
        <v>170</v>
      </c>
      <c r="AE2" t="s">
        <v>57</v>
      </c>
      <c r="AF2" t="s">
        <v>58</v>
      </c>
      <c r="AG2" t="s">
        <v>59</v>
      </c>
      <c r="AH2" t="s">
        <v>60</v>
      </c>
    </row>
    <row r="3" spans="1:34" x14ac:dyDescent="0.2">
      <c r="A3" t="s">
        <v>35</v>
      </c>
      <c r="B3">
        <v>189</v>
      </c>
      <c r="C3">
        <v>2010</v>
      </c>
      <c r="D3">
        <f t="shared" ref="D3:D11" si="0">(0.2832*B3)+B3</f>
        <v>242.5248</v>
      </c>
      <c r="E3" t="s">
        <v>176</v>
      </c>
      <c r="G3" t="b">
        <v>0</v>
      </c>
      <c r="K3">
        <f>B12</f>
        <v>7682</v>
      </c>
      <c r="L3">
        <f>B12</f>
        <v>7682</v>
      </c>
      <c r="M3">
        <f>D33</f>
        <v>15632.0445</v>
      </c>
      <c r="N3">
        <v>0</v>
      </c>
      <c r="O3">
        <v>0</v>
      </c>
      <c r="Q3">
        <v>1218.49</v>
      </c>
      <c r="R3">
        <v>1218.49</v>
      </c>
    </row>
    <row r="4" spans="1:34" x14ac:dyDescent="0.2">
      <c r="A4" t="s">
        <v>36</v>
      </c>
      <c r="B4">
        <v>78</v>
      </c>
      <c r="C4">
        <v>2010</v>
      </c>
      <c r="D4">
        <f t="shared" si="0"/>
        <v>100.0896</v>
      </c>
      <c r="E4" t="s">
        <v>176</v>
      </c>
      <c r="G4" t="b">
        <v>0</v>
      </c>
    </row>
    <row r="5" spans="1:34" x14ac:dyDescent="0.2">
      <c r="A5" t="s">
        <v>37</v>
      </c>
      <c r="B5">
        <v>113</v>
      </c>
      <c r="C5">
        <v>2010</v>
      </c>
      <c r="D5">
        <f t="shared" si="0"/>
        <v>145.0016</v>
      </c>
      <c r="E5" t="s">
        <v>176</v>
      </c>
      <c r="G5" t="b">
        <v>0</v>
      </c>
    </row>
    <row r="6" spans="1:34" x14ac:dyDescent="0.2">
      <c r="A6" t="s">
        <v>38</v>
      </c>
      <c r="B6">
        <v>118</v>
      </c>
      <c r="C6">
        <v>2010</v>
      </c>
      <c r="D6">
        <f t="shared" si="0"/>
        <v>151.41759999999999</v>
      </c>
      <c r="E6" t="s">
        <v>176</v>
      </c>
      <c r="G6" t="b">
        <v>0</v>
      </c>
    </row>
    <row r="7" spans="1:34" x14ac:dyDescent="0.2">
      <c r="A7" t="s">
        <v>39</v>
      </c>
      <c r="B7">
        <v>12532</v>
      </c>
      <c r="C7">
        <v>2010</v>
      </c>
      <c r="D7">
        <f t="shared" si="0"/>
        <v>16081.062400000001</v>
      </c>
      <c r="E7" t="s">
        <v>176</v>
      </c>
      <c r="G7" t="b">
        <v>0</v>
      </c>
    </row>
    <row r="8" spans="1:34" x14ac:dyDescent="0.2">
      <c r="A8" t="s">
        <v>40</v>
      </c>
      <c r="B8">
        <v>532</v>
      </c>
      <c r="C8">
        <v>2010</v>
      </c>
      <c r="D8">
        <f t="shared" si="0"/>
        <v>682.66239999999993</v>
      </c>
      <c r="E8" t="s">
        <v>176</v>
      </c>
      <c r="G8" t="b">
        <v>0</v>
      </c>
      <c r="M8" t="s">
        <v>32</v>
      </c>
      <c r="N8" t="s">
        <v>33</v>
      </c>
      <c r="Q8" t="s">
        <v>226</v>
      </c>
    </row>
    <row r="9" spans="1:34" x14ac:dyDescent="0.2">
      <c r="A9" t="s">
        <v>41</v>
      </c>
      <c r="B9">
        <f>B8+SUM(B4:B6, B2)</f>
        <v>1437</v>
      </c>
      <c r="C9">
        <v>2010</v>
      </c>
      <c r="D9">
        <f t="shared" si="0"/>
        <v>1843.9584</v>
      </c>
      <c r="E9" t="s">
        <v>176</v>
      </c>
      <c r="G9" t="b">
        <v>1</v>
      </c>
      <c r="M9" t="s">
        <v>197</v>
      </c>
      <c r="N9">
        <f>D9</f>
        <v>1843.9584</v>
      </c>
      <c r="Q9" t="s">
        <v>227</v>
      </c>
    </row>
    <row r="10" spans="1:34" x14ac:dyDescent="0.2">
      <c r="A10" t="s">
        <v>42</v>
      </c>
      <c r="B10">
        <f>B8+SUM(B3:B6)</f>
        <v>1030</v>
      </c>
      <c r="C10">
        <v>2010</v>
      </c>
      <c r="D10">
        <f t="shared" si="0"/>
        <v>1321.6959999999999</v>
      </c>
      <c r="E10" t="s">
        <v>176</v>
      </c>
      <c r="G10" t="b">
        <v>1</v>
      </c>
      <c r="M10" t="s">
        <v>198</v>
      </c>
      <c r="N10">
        <f>D10</f>
        <v>1321.6959999999999</v>
      </c>
      <c r="Q10">
        <v>2008</v>
      </c>
      <c r="R10">
        <v>0.36930000000000002</v>
      </c>
    </row>
    <row r="11" spans="1:34" x14ac:dyDescent="0.2">
      <c r="A11" t="s">
        <v>43</v>
      </c>
      <c r="B11">
        <v>623</v>
      </c>
      <c r="C11">
        <v>2010</v>
      </c>
      <c r="D11">
        <f t="shared" si="0"/>
        <v>799.43360000000007</v>
      </c>
      <c r="E11" t="s">
        <v>176</v>
      </c>
      <c r="G11" t="b">
        <v>0</v>
      </c>
      <c r="M11" t="s">
        <v>48</v>
      </c>
      <c r="N11">
        <f>D12</f>
        <v>8570.0391999999993</v>
      </c>
      <c r="Q11">
        <v>2010</v>
      </c>
      <c r="R11">
        <v>0.28320000000000001</v>
      </c>
    </row>
    <row r="12" spans="1:34" x14ac:dyDescent="0.2">
      <c r="A12" t="s">
        <v>177</v>
      </c>
      <c r="B12" s="6">
        <v>7682</v>
      </c>
      <c r="C12">
        <v>2015</v>
      </c>
      <c r="D12">
        <f>(0.1156*B12)+B12</f>
        <v>8570.0391999999993</v>
      </c>
      <c r="E12" t="s">
        <v>190</v>
      </c>
      <c r="G12" t="b">
        <v>1</v>
      </c>
      <c r="H12" t="s">
        <v>252</v>
      </c>
      <c r="M12" t="s">
        <v>199</v>
      </c>
      <c r="N12">
        <f>D13</f>
        <v>5912.68</v>
      </c>
      <c r="Q12">
        <v>2015</v>
      </c>
      <c r="R12">
        <v>0.11559999999999999</v>
      </c>
    </row>
    <row r="13" spans="1:34" x14ac:dyDescent="0.2">
      <c r="A13" t="s">
        <v>194</v>
      </c>
      <c r="B13" s="6">
        <v>5300</v>
      </c>
      <c r="C13">
        <v>2015</v>
      </c>
      <c r="D13">
        <f>(0.1156*B13)+B13</f>
        <v>5912.68</v>
      </c>
      <c r="E13" t="s">
        <v>190</v>
      </c>
      <c r="G13" t="b">
        <v>1</v>
      </c>
      <c r="H13" t="s">
        <v>253</v>
      </c>
      <c r="M13" t="s">
        <v>200</v>
      </c>
      <c r="N13">
        <f>D32</f>
        <v>7950.0445</v>
      </c>
    </row>
    <row r="14" spans="1:34" x14ac:dyDescent="0.2">
      <c r="A14" t="s">
        <v>202</v>
      </c>
      <c r="B14">
        <v>13646</v>
      </c>
      <c r="C14">
        <v>2008</v>
      </c>
      <c r="D14">
        <f>(0.3693*B14)+B14</f>
        <v>18685.467799999999</v>
      </c>
      <c r="E14" t="s">
        <v>196</v>
      </c>
      <c r="H14" t="s">
        <v>221</v>
      </c>
      <c r="M14" t="s">
        <v>235</v>
      </c>
      <c r="N14">
        <f>D14</f>
        <v>18685.467799999999</v>
      </c>
    </row>
    <row r="15" spans="1:34" x14ac:dyDescent="0.2">
      <c r="A15" t="s">
        <v>205</v>
      </c>
      <c r="B15">
        <v>25351</v>
      </c>
      <c r="C15">
        <v>2008</v>
      </c>
      <c r="D15">
        <f t="shared" ref="D15:D31" si="1">(0.3693*B15)+B15</f>
        <v>34713.124300000003</v>
      </c>
      <c r="E15" t="s">
        <v>196</v>
      </c>
      <c r="H15" t="s">
        <v>222</v>
      </c>
      <c r="M15" t="s">
        <v>236</v>
      </c>
      <c r="N15">
        <f>D15</f>
        <v>34713.124300000003</v>
      </c>
    </row>
    <row r="16" spans="1:34" x14ac:dyDescent="0.2">
      <c r="A16" t="s">
        <v>208</v>
      </c>
      <c r="B16">
        <v>42499</v>
      </c>
      <c r="C16">
        <v>2008</v>
      </c>
      <c r="D16">
        <f t="shared" si="1"/>
        <v>58193.880700000002</v>
      </c>
      <c r="E16" t="s">
        <v>196</v>
      </c>
      <c r="H16" t="s">
        <v>223</v>
      </c>
      <c r="M16" t="s">
        <v>237</v>
      </c>
      <c r="N16">
        <f>D15</f>
        <v>34713.124300000003</v>
      </c>
    </row>
    <row r="17" spans="1:14" x14ac:dyDescent="0.2">
      <c r="A17" t="s">
        <v>203</v>
      </c>
      <c r="B17">
        <v>916</v>
      </c>
      <c r="C17">
        <v>2008</v>
      </c>
      <c r="D17">
        <f t="shared" si="1"/>
        <v>1254.2788</v>
      </c>
      <c r="E17" t="s">
        <v>196</v>
      </c>
      <c r="H17" t="s">
        <v>224</v>
      </c>
      <c r="M17" t="s">
        <v>238</v>
      </c>
      <c r="N17">
        <f>D16</f>
        <v>58193.880700000002</v>
      </c>
    </row>
    <row r="18" spans="1:14" x14ac:dyDescent="0.2">
      <c r="A18" t="s">
        <v>206</v>
      </c>
      <c r="B18">
        <v>916</v>
      </c>
      <c r="C18">
        <v>2008</v>
      </c>
      <c r="D18">
        <f t="shared" si="1"/>
        <v>1254.2788</v>
      </c>
      <c r="E18" t="s">
        <v>196</v>
      </c>
      <c r="H18" t="s">
        <v>224</v>
      </c>
      <c r="M18" t="s">
        <v>239</v>
      </c>
      <c r="N18">
        <f>D17</f>
        <v>1254.2788</v>
      </c>
    </row>
    <row r="19" spans="1:14" x14ac:dyDescent="0.2">
      <c r="A19" t="s">
        <v>209</v>
      </c>
      <c r="B19">
        <v>916</v>
      </c>
      <c r="C19">
        <v>2008</v>
      </c>
      <c r="D19">
        <f t="shared" si="1"/>
        <v>1254.2788</v>
      </c>
      <c r="E19" t="s">
        <v>196</v>
      </c>
      <c r="H19" t="s">
        <v>224</v>
      </c>
      <c r="M19" t="s">
        <v>240</v>
      </c>
      <c r="N19">
        <f>D20</f>
        <v>33754.614300000001</v>
      </c>
    </row>
    <row r="20" spans="1:14" x14ac:dyDescent="0.2">
      <c r="A20" t="s">
        <v>204</v>
      </c>
      <c r="B20">
        <v>24651</v>
      </c>
      <c r="C20">
        <v>2008</v>
      </c>
      <c r="D20">
        <f t="shared" si="1"/>
        <v>33754.614300000001</v>
      </c>
      <c r="E20" t="s">
        <v>196</v>
      </c>
      <c r="H20" t="s">
        <v>225</v>
      </c>
      <c r="M20" t="s">
        <v>242</v>
      </c>
      <c r="N20">
        <f>D23</f>
        <v>41473.358399999997</v>
      </c>
    </row>
    <row r="21" spans="1:14" x14ac:dyDescent="0.2">
      <c r="A21" t="s">
        <v>207</v>
      </c>
      <c r="B21">
        <v>24651</v>
      </c>
      <c r="C21">
        <v>2008</v>
      </c>
      <c r="D21">
        <f t="shared" si="1"/>
        <v>33754.614300000001</v>
      </c>
      <c r="E21" t="s">
        <v>196</v>
      </c>
      <c r="H21" t="s">
        <v>225</v>
      </c>
      <c r="M21" t="s">
        <v>241</v>
      </c>
      <c r="N21">
        <f>D24</f>
        <v>57359.976999999999</v>
      </c>
    </row>
    <row r="22" spans="1:14" x14ac:dyDescent="0.2">
      <c r="A22" t="s">
        <v>210</v>
      </c>
      <c r="B22">
        <v>24651</v>
      </c>
      <c r="C22">
        <v>2008</v>
      </c>
      <c r="D22">
        <f t="shared" si="1"/>
        <v>33754.614300000001</v>
      </c>
      <c r="E22" t="s">
        <v>196</v>
      </c>
      <c r="H22" t="s">
        <v>225</v>
      </c>
      <c r="M22" t="s">
        <v>243</v>
      </c>
      <c r="N22">
        <f>D24</f>
        <v>57359.976999999999</v>
      </c>
    </row>
    <row r="23" spans="1:14" x14ac:dyDescent="0.2">
      <c r="A23" t="s">
        <v>211</v>
      </c>
      <c r="B23">
        <v>30288</v>
      </c>
      <c r="C23">
        <v>2008</v>
      </c>
      <c r="D23">
        <f t="shared" si="1"/>
        <v>41473.358399999997</v>
      </c>
      <c r="E23" t="s">
        <v>196</v>
      </c>
      <c r="H23" t="s">
        <v>228</v>
      </c>
      <c r="M23" t="s">
        <v>244</v>
      </c>
      <c r="N23">
        <f>D25</f>
        <v>79676.828399999999</v>
      </c>
    </row>
    <row r="24" spans="1:14" x14ac:dyDescent="0.2">
      <c r="A24" t="s">
        <v>214</v>
      </c>
      <c r="B24">
        <v>41890</v>
      </c>
      <c r="C24">
        <v>2008</v>
      </c>
      <c r="D24">
        <f t="shared" si="1"/>
        <v>57359.976999999999</v>
      </c>
      <c r="E24" t="s">
        <v>196</v>
      </c>
      <c r="H24" t="s">
        <v>229</v>
      </c>
      <c r="K24" t="s">
        <v>233</v>
      </c>
      <c r="M24" t="s">
        <v>245</v>
      </c>
      <c r="N24">
        <f>D26</f>
        <v>5329.3155999999999</v>
      </c>
    </row>
    <row r="25" spans="1:14" x14ac:dyDescent="0.2">
      <c r="A25" t="s">
        <v>217</v>
      </c>
      <c r="B25">
        <v>58188</v>
      </c>
      <c r="C25">
        <v>2008</v>
      </c>
      <c r="D25">
        <f t="shared" si="1"/>
        <v>79676.828399999999</v>
      </c>
      <c r="E25" t="s">
        <v>196</v>
      </c>
      <c r="H25" t="s">
        <v>230</v>
      </c>
      <c r="M25" t="s">
        <v>246</v>
      </c>
      <c r="N25">
        <f>D29</f>
        <v>68675.872199999998</v>
      </c>
    </row>
    <row r="26" spans="1:14" x14ac:dyDescent="0.2">
      <c r="A26" t="s">
        <v>212</v>
      </c>
      <c r="B26">
        <v>3892</v>
      </c>
      <c r="C26">
        <v>2008</v>
      </c>
      <c r="D26">
        <f t="shared" si="1"/>
        <v>5329.3155999999999</v>
      </c>
      <c r="E26" t="s">
        <v>196</v>
      </c>
      <c r="H26" t="s">
        <v>231</v>
      </c>
    </row>
    <row r="27" spans="1:14" x14ac:dyDescent="0.2">
      <c r="A27" t="s">
        <v>215</v>
      </c>
      <c r="B27">
        <v>3892</v>
      </c>
      <c r="C27">
        <v>2008</v>
      </c>
      <c r="D27">
        <f t="shared" si="1"/>
        <v>5329.3155999999999</v>
      </c>
      <c r="E27" t="s">
        <v>196</v>
      </c>
      <c r="H27" t="s">
        <v>231</v>
      </c>
      <c r="K27" t="s">
        <v>234</v>
      </c>
    </row>
    <row r="28" spans="1:14" x14ac:dyDescent="0.2">
      <c r="A28" t="s">
        <v>218</v>
      </c>
      <c r="B28">
        <v>3892</v>
      </c>
      <c r="C28">
        <v>2008</v>
      </c>
      <c r="D28">
        <f t="shared" si="1"/>
        <v>5329.3155999999999</v>
      </c>
      <c r="E28" t="s">
        <v>196</v>
      </c>
      <c r="H28" t="s">
        <v>231</v>
      </c>
    </row>
    <row r="29" spans="1:14" x14ac:dyDescent="0.2">
      <c r="A29" t="s">
        <v>213</v>
      </c>
      <c r="B29">
        <v>50154</v>
      </c>
      <c r="C29">
        <v>2008</v>
      </c>
      <c r="D29">
        <f t="shared" si="1"/>
        <v>68675.872199999998</v>
      </c>
      <c r="E29" t="s">
        <v>196</v>
      </c>
      <c r="H29" t="s">
        <v>232</v>
      </c>
    </row>
    <row r="30" spans="1:14" x14ac:dyDescent="0.2">
      <c r="A30" t="s">
        <v>216</v>
      </c>
      <c r="B30">
        <v>50154</v>
      </c>
      <c r="C30">
        <v>2008</v>
      </c>
      <c r="D30">
        <f t="shared" si="1"/>
        <v>68675.872199999998</v>
      </c>
      <c r="E30" t="s">
        <v>196</v>
      </c>
      <c r="H30" t="s">
        <v>232</v>
      </c>
    </row>
    <row r="31" spans="1:14" x14ac:dyDescent="0.2">
      <c r="A31" t="s">
        <v>219</v>
      </c>
      <c r="B31">
        <v>50154</v>
      </c>
      <c r="C31">
        <v>2008</v>
      </c>
      <c r="D31">
        <f t="shared" si="1"/>
        <v>68675.872199999998</v>
      </c>
      <c r="E31" t="s">
        <v>196</v>
      </c>
      <c r="H31" t="s">
        <v>232</v>
      </c>
    </row>
    <row r="32" spans="1:14" x14ac:dyDescent="0.2">
      <c r="A32" t="s">
        <v>187</v>
      </c>
      <c r="B32">
        <v>7126.25</v>
      </c>
      <c r="C32">
        <v>2015</v>
      </c>
      <c r="D32">
        <f>(0.1156*B32)+B32</f>
        <v>7950.0445</v>
      </c>
      <c r="E32" t="s">
        <v>190</v>
      </c>
      <c r="G32" t="b">
        <v>0</v>
      </c>
    </row>
    <row r="33" spans="1:11" x14ac:dyDescent="0.2">
      <c r="A33" t="s">
        <v>188</v>
      </c>
      <c r="D33">
        <f>D32+B12</f>
        <v>15632.0445</v>
      </c>
      <c r="G33" t="b">
        <v>1</v>
      </c>
      <c r="K33" t="s">
        <v>233</v>
      </c>
    </row>
    <row r="36" spans="1:11" x14ac:dyDescent="0.2">
      <c r="K36" t="s">
        <v>234</v>
      </c>
    </row>
    <row r="44" spans="1:11" x14ac:dyDescent="0.2">
      <c r="A44" t="s">
        <v>179</v>
      </c>
      <c r="B44" t="s">
        <v>33</v>
      </c>
      <c r="D44" t="s">
        <v>183</v>
      </c>
      <c r="G44" t="s">
        <v>185</v>
      </c>
    </row>
    <row r="45" spans="1:11" x14ac:dyDescent="0.2">
      <c r="A45" t="s">
        <v>180</v>
      </c>
      <c r="B45">
        <v>5436</v>
      </c>
      <c r="C45">
        <f>B45*0.1156+B45</f>
        <v>6064.4016000000001</v>
      </c>
      <c r="D45">
        <f>5/130</f>
        <v>3.8461538461538464E-2</v>
      </c>
    </row>
    <row r="46" spans="1:11" x14ac:dyDescent="0.2">
      <c r="A46" t="s">
        <v>181</v>
      </c>
      <c r="B46">
        <v>8658</v>
      </c>
      <c r="C46">
        <f t="shared" ref="C46:C48" si="2">B46*0.1156+B46</f>
        <v>9658.8647999999994</v>
      </c>
      <c r="D46">
        <f>3/100</f>
        <v>0.03</v>
      </c>
    </row>
    <row r="47" spans="1:11" x14ac:dyDescent="0.2">
      <c r="A47" t="s">
        <v>182</v>
      </c>
      <c r="B47">
        <v>8658</v>
      </c>
      <c r="C47">
        <f t="shared" si="2"/>
        <v>9658.8647999999994</v>
      </c>
      <c r="D47">
        <f>3/139</f>
        <v>2.1582733812949641E-2</v>
      </c>
    </row>
    <row r="48" spans="1:11" x14ac:dyDescent="0.2">
      <c r="A48" t="s">
        <v>186</v>
      </c>
      <c r="B48">
        <v>5753</v>
      </c>
      <c r="C48">
        <f t="shared" si="2"/>
        <v>6418.0468000000001</v>
      </c>
      <c r="D48">
        <f>2/366</f>
        <v>5.4644808743169399E-3</v>
      </c>
    </row>
    <row r="49" spans="1:3" x14ac:dyDescent="0.2">
      <c r="A49" t="s">
        <v>184</v>
      </c>
      <c r="B49">
        <f>AVERAGE(B45:B48)</f>
        <v>7126.25</v>
      </c>
      <c r="C49">
        <f>AVERAGE(C45:C48)</f>
        <v>7950.0445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6.83203125" customWidth="1"/>
    <col min="2" max="2" width="12.33203125" customWidth="1"/>
  </cols>
  <sheetData>
    <row r="1" spans="1:6" x14ac:dyDescent="0.2">
      <c r="A1" t="s">
        <v>32</v>
      </c>
      <c r="B1" t="s">
        <v>33</v>
      </c>
      <c r="C1" t="s">
        <v>14</v>
      </c>
      <c r="D1" t="s">
        <v>73</v>
      </c>
      <c r="E1" t="s">
        <v>280</v>
      </c>
      <c r="F1" t="s">
        <v>281</v>
      </c>
    </row>
    <row r="2" spans="1:6" x14ac:dyDescent="0.2">
      <c r="A2" t="s">
        <v>201</v>
      </c>
      <c r="B2">
        <v>1843.9584</v>
      </c>
      <c r="C2">
        <v>1475.1667199999999</v>
      </c>
      <c r="D2">
        <v>2212.7500799999998</v>
      </c>
      <c r="E2">
        <v>460.9896</v>
      </c>
      <c r="F2">
        <v>4</v>
      </c>
    </row>
    <row r="3" spans="1:6" x14ac:dyDescent="0.2">
      <c r="A3" t="s">
        <v>198</v>
      </c>
      <c r="B3">
        <v>1321.6959999999999</v>
      </c>
      <c r="C3">
        <v>1057.3568</v>
      </c>
      <c r="D3">
        <v>1586.03519999999</v>
      </c>
      <c r="E3">
        <v>330.42399999999998</v>
      </c>
      <c r="F3">
        <v>4</v>
      </c>
    </row>
    <row r="4" spans="1:6" x14ac:dyDescent="0.2">
      <c r="A4" t="s">
        <v>48</v>
      </c>
      <c r="B4">
        <v>8570.0391999999993</v>
      </c>
      <c r="C4">
        <v>6667.9412000000002</v>
      </c>
      <c r="D4">
        <v>11129.2256</v>
      </c>
      <c r="E4">
        <v>2142.5097999999998</v>
      </c>
      <c r="F4">
        <v>4</v>
      </c>
    </row>
    <row r="5" spans="1:6" x14ac:dyDescent="0.2">
      <c r="A5" t="s">
        <v>199</v>
      </c>
      <c r="B5">
        <v>5912.68</v>
      </c>
      <c r="C5">
        <v>4473.5559999999996</v>
      </c>
      <c r="D5">
        <v>8172.8855999999996</v>
      </c>
      <c r="E5">
        <v>1478.17</v>
      </c>
      <c r="F5">
        <v>4</v>
      </c>
    </row>
    <row r="6" spans="1:6" x14ac:dyDescent="0.2">
      <c r="A6" t="s">
        <v>162</v>
      </c>
      <c r="B6">
        <v>7950.0445</v>
      </c>
      <c r="C6">
        <v>6360.0356000000002</v>
      </c>
      <c r="D6">
        <v>9540.0534000000007</v>
      </c>
      <c r="E6">
        <v>1987.511125</v>
      </c>
      <c r="F6">
        <v>4</v>
      </c>
    </row>
    <row r="7" spans="1:6" x14ac:dyDescent="0.2">
      <c r="A7" t="s">
        <v>202</v>
      </c>
      <c r="B7">
        <v>18685.467799999999</v>
      </c>
      <c r="C7">
        <v>17773.513999999999</v>
      </c>
      <c r="D7">
        <v>19598.7909</v>
      </c>
      <c r="E7">
        <v>4671.3669499999996</v>
      </c>
      <c r="F7">
        <v>4</v>
      </c>
    </row>
    <row r="8" spans="1:6" x14ac:dyDescent="0.2">
      <c r="A8" t="s">
        <v>205</v>
      </c>
      <c r="B8">
        <v>34713.124300000003</v>
      </c>
      <c r="C8">
        <v>31799.2539</v>
      </c>
      <c r="D8">
        <v>37626.994700000003</v>
      </c>
      <c r="E8">
        <v>8678.2810750000008</v>
      </c>
      <c r="F8">
        <v>4</v>
      </c>
    </row>
    <row r="9" spans="1:6" x14ac:dyDescent="0.2">
      <c r="A9" t="s">
        <v>208</v>
      </c>
      <c r="B9">
        <v>58193.880700000002</v>
      </c>
      <c r="C9">
        <v>50065.715900000003</v>
      </c>
      <c r="D9">
        <v>66322.045499999993</v>
      </c>
      <c r="E9">
        <v>14548.470175</v>
      </c>
      <c r="F9">
        <v>4</v>
      </c>
    </row>
    <row r="10" spans="1:6" x14ac:dyDescent="0.2">
      <c r="A10" t="s">
        <v>357</v>
      </c>
      <c r="B10">
        <v>1254.2788</v>
      </c>
      <c r="C10">
        <v>1109.133</v>
      </c>
      <c r="D10">
        <v>1400.7938999999999</v>
      </c>
      <c r="E10">
        <v>627.13940000000002</v>
      </c>
      <c r="F10">
        <v>2</v>
      </c>
    </row>
    <row r="11" spans="1:6" x14ac:dyDescent="0.2">
      <c r="A11" t="s">
        <v>358</v>
      </c>
      <c r="B11">
        <v>1254.2788</v>
      </c>
      <c r="C11">
        <v>1109.133</v>
      </c>
      <c r="D11">
        <v>1400.7938999999999</v>
      </c>
      <c r="E11">
        <v>627.13940000000002</v>
      </c>
      <c r="F11">
        <v>2</v>
      </c>
    </row>
    <row r="12" spans="1:6" x14ac:dyDescent="0.2">
      <c r="A12" t="s">
        <v>359</v>
      </c>
      <c r="B12">
        <v>1254.2788</v>
      </c>
      <c r="C12">
        <v>1109.133</v>
      </c>
      <c r="D12">
        <v>1400.7938999999999</v>
      </c>
      <c r="E12">
        <v>627.13940000000002</v>
      </c>
      <c r="F12">
        <v>2</v>
      </c>
    </row>
    <row r="13" spans="1:6" x14ac:dyDescent="0.2">
      <c r="A13" t="s">
        <v>249</v>
      </c>
      <c r="B13">
        <v>33754.614300000001</v>
      </c>
      <c r="C13">
        <v>32546.8917</v>
      </c>
      <c r="D13">
        <v>34960.967600000004</v>
      </c>
      <c r="E13">
        <v>8438.6535750000003</v>
      </c>
      <c r="F13">
        <v>4</v>
      </c>
    </row>
    <row r="14" spans="1:6" x14ac:dyDescent="0.2">
      <c r="A14" t="s">
        <v>211</v>
      </c>
      <c r="B14">
        <v>41473.358399999997</v>
      </c>
      <c r="C14">
        <v>35863.336300000003</v>
      </c>
      <c r="D14">
        <v>47083.380499999999</v>
      </c>
      <c r="E14">
        <v>10368.339599999999</v>
      </c>
      <c r="F14">
        <v>4</v>
      </c>
    </row>
    <row r="15" spans="1:6" x14ac:dyDescent="0.2">
      <c r="A15" t="s">
        <v>214</v>
      </c>
      <c r="B15">
        <v>57359.976999999999</v>
      </c>
      <c r="C15">
        <v>48306.165399999998</v>
      </c>
      <c r="D15">
        <v>66412.419299999994</v>
      </c>
      <c r="E15">
        <v>14339.99425</v>
      </c>
      <c r="F15">
        <v>4</v>
      </c>
    </row>
    <row r="16" spans="1:6" x14ac:dyDescent="0.2">
      <c r="A16" t="s">
        <v>217</v>
      </c>
      <c r="B16">
        <v>79676.828399999999</v>
      </c>
      <c r="C16">
        <v>76044.075500000006</v>
      </c>
      <c r="D16">
        <v>83310.950599999996</v>
      </c>
      <c r="E16">
        <v>19919.2071</v>
      </c>
      <c r="F16">
        <v>4</v>
      </c>
    </row>
    <row r="17" spans="1:6" x14ac:dyDescent="0.2">
      <c r="A17" t="s">
        <v>354</v>
      </c>
      <c r="B17">
        <v>5329.3155999999999</v>
      </c>
      <c r="C17">
        <v>4841.8447999999999</v>
      </c>
      <c r="D17">
        <v>5816.7864</v>
      </c>
      <c r="E17">
        <v>1332.3289</v>
      </c>
      <c r="F17">
        <v>4</v>
      </c>
    </row>
    <row r="18" spans="1:6" x14ac:dyDescent="0.2">
      <c r="A18" t="s">
        <v>355</v>
      </c>
      <c r="B18">
        <v>5329.3155999999999</v>
      </c>
      <c r="C18">
        <v>4841.8447999999999</v>
      </c>
      <c r="D18">
        <v>5816.7864</v>
      </c>
      <c r="E18">
        <v>1332.3289</v>
      </c>
      <c r="F18">
        <v>4</v>
      </c>
    </row>
    <row r="19" spans="1:6" x14ac:dyDescent="0.2">
      <c r="A19" t="s">
        <v>356</v>
      </c>
      <c r="B19">
        <v>5329.3155999999999</v>
      </c>
      <c r="C19">
        <v>4841.8447999999999</v>
      </c>
      <c r="D19">
        <v>5816.7864</v>
      </c>
      <c r="E19">
        <v>1332.3289</v>
      </c>
      <c r="F19">
        <v>4</v>
      </c>
    </row>
    <row r="20" spans="1:6" x14ac:dyDescent="0.2">
      <c r="A20" t="s">
        <v>250</v>
      </c>
      <c r="B20">
        <v>68675.872199999998</v>
      </c>
      <c r="C20">
        <v>66280.966499999995</v>
      </c>
      <c r="D20">
        <v>71069.408599999995</v>
      </c>
      <c r="E20">
        <v>17168.968049999999</v>
      </c>
      <c r="F2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3"/>
  <sheetViews>
    <sheetView tabSelected="1" topLeftCell="A18" workbookViewId="0">
      <selection activeCell="C23" sqref="C23"/>
    </sheetView>
  </sheetViews>
  <sheetFormatPr baseColWidth="10" defaultColWidth="8.83203125" defaultRowHeight="15" x14ac:dyDescent="0.2"/>
  <cols>
    <col min="1" max="1" width="38.33203125" customWidth="1"/>
    <col min="2" max="3" width="24" customWidth="1"/>
    <col min="4" max="4" width="17" customWidth="1"/>
    <col min="5" max="5" width="16" customWidth="1"/>
  </cols>
  <sheetData>
    <row r="1" spans="1:5" x14ac:dyDescent="0.2">
      <c r="A1" t="s">
        <v>32</v>
      </c>
      <c r="B1" t="s">
        <v>254</v>
      </c>
      <c r="C1" t="s">
        <v>430</v>
      </c>
      <c r="D1" t="s">
        <v>272</v>
      </c>
      <c r="E1" t="s">
        <v>412</v>
      </c>
    </row>
    <row r="2" spans="1:5" x14ac:dyDescent="0.2">
      <c r="A2" t="s">
        <v>366</v>
      </c>
      <c r="B2" t="s">
        <v>367</v>
      </c>
      <c r="C2">
        <v>0</v>
      </c>
      <c r="D2" t="s">
        <v>33</v>
      </c>
      <c r="E2" t="b">
        <v>0</v>
      </c>
    </row>
    <row r="3" spans="1:5" x14ac:dyDescent="0.2">
      <c r="A3" t="s">
        <v>362</v>
      </c>
      <c r="B3" t="s">
        <v>363</v>
      </c>
      <c r="C3">
        <f>C2+1</f>
        <v>1</v>
      </c>
      <c r="D3" t="s">
        <v>33</v>
      </c>
      <c r="E3" t="b">
        <v>0</v>
      </c>
    </row>
    <row r="4" spans="1:5" x14ac:dyDescent="0.2">
      <c r="A4" t="s">
        <v>360</v>
      </c>
      <c r="B4" t="s">
        <v>361</v>
      </c>
      <c r="C4">
        <f>C3+1</f>
        <v>2</v>
      </c>
      <c r="D4" t="s">
        <v>33</v>
      </c>
      <c r="E4" t="b">
        <v>0</v>
      </c>
    </row>
    <row r="5" spans="1:5" x14ac:dyDescent="0.2">
      <c r="A5" t="s">
        <v>372</v>
      </c>
      <c r="B5" t="s">
        <v>373</v>
      </c>
      <c r="C5">
        <f t="shared" ref="C5:C53" si="0">C4+1</f>
        <v>3</v>
      </c>
      <c r="D5" t="s">
        <v>33</v>
      </c>
      <c r="E5" t="b">
        <v>0</v>
      </c>
    </row>
    <row r="6" spans="1:5" x14ac:dyDescent="0.2">
      <c r="A6" t="s">
        <v>375</v>
      </c>
      <c r="B6" t="s">
        <v>374</v>
      </c>
      <c r="C6">
        <f t="shared" si="0"/>
        <v>4</v>
      </c>
      <c r="D6" t="s">
        <v>33</v>
      </c>
      <c r="E6" t="b">
        <v>0</v>
      </c>
    </row>
    <row r="7" spans="1:5" x14ac:dyDescent="0.2">
      <c r="A7" t="s">
        <v>376</v>
      </c>
      <c r="B7" t="s">
        <v>377</v>
      </c>
      <c r="C7">
        <f t="shared" si="0"/>
        <v>5</v>
      </c>
      <c r="D7" t="s">
        <v>33</v>
      </c>
      <c r="E7" t="b">
        <v>0</v>
      </c>
    </row>
    <row r="8" spans="1:5" x14ac:dyDescent="0.2">
      <c r="A8" t="s">
        <v>255</v>
      </c>
      <c r="B8" t="s">
        <v>263</v>
      </c>
      <c r="C8">
        <f t="shared" si="0"/>
        <v>6</v>
      </c>
      <c r="D8" t="s">
        <v>33</v>
      </c>
      <c r="E8" t="b">
        <v>0</v>
      </c>
    </row>
    <row r="9" spans="1:5" x14ac:dyDescent="0.2">
      <c r="A9" t="s">
        <v>370</v>
      </c>
      <c r="B9" t="s">
        <v>371</v>
      </c>
      <c r="C9">
        <f t="shared" si="0"/>
        <v>7</v>
      </c>
      <c r="D9" t="s">
        <v>33</v>
      </c>
      <c r="E9" t="b">
        <v>0</v>
      </c>
    </row>
    <row r="10" spans="1:5" x14ac:dyDescent="0.2">
      <c r="A10" t="s">
        <v>368</v>
      </c>
      <c r="B10" t="s">
        <v>369</v>
      </c>
      <c r="C10">
        <f t="shared" si="0"/>
        <v>8</v>
      </c>
      <c r="D10" t="s">
        <v>33</v>
      </c>
      <c r="E10" t="b">
        <v>0</v>
      </c>
    </row>
    <row r="11" spans="1:5" x14ac:dyDescent="0.2">
      <c r="A11" t="s">
        <v>364</v>
      </c>
      <c r="B11" t="s">
        <v>365</v>
      </c>
      <c r="C11">
        <f t="shared" si="0"/>
        <v>9</v>
      </c>
      <c r="D11" t="s">
        <v>33</v>
      </c>
      <c r="E11" t="b">
        <v>0</v>
      </c>
    </row>
    <row r="12" spans="1:5" x14ac:dyDescent="0.2">
      <c r="A12" t="s">
        <v>378</v>
      </c>
      <c r="B12" t="s">
        <v>379</v>
      </c>
      <c r="C12">
        <f t="shared" si="0"/>
        <v>10</v>
      </c>
      <c r="D12" t="s">
        <v>33</v>
      </c>
      <c r="E12" t="b">
        <v>0</v>
      </c>
    </row>
    <row r="13" spans="1:5" x14ac:dyDescent="0.2">
      <c r="A13" t="s">
        <v>380</v>
      </c>
      <c r="B13" t="s">
        <v>381</v>
      </c>
      <c r="C13">
        <f t="shared" si="0"/>
        <v>11</v>
      </c>
      <c r="D13" t="s">
        <v>33</v>
      </c>
      <c r="E13" t="b">
        <v>0</v>
      </c>
    </row>
    <row r="14" spans="1:5" x14ac:dyDescent="0.2">
      <c r="A14" t="s">
        <v>382</v>
      </c>
      <c r="B14" t="s">
        <v>383</v>
      </c>
      <c r="C14">
        <f t="shared" si="0"/>
        <v>12</v>
      </c>
      <c r="D14" t="s">
        <v>33</v>
      </c>
      <c r="E14" t="b">
        <v>0</v>
      </c>
    </row>
    <row r="15" spans="1:5" x14ac:dyDescent="0.2">
      <c r="A15" t="s">
        <v>256</v>
      </c>
      <c r="B15" t="s">
        <v>264</v>
      </c>
      <c r="C15">
        <f t="shared" si="0"/>
        <v>13</v>
      </c>
      <c r="D15" t="s">
        <v>33</v>
      </c>
      <c r="E15" t="b">
        <v>0</v>
      </c>
    </row>
    <row r="16" spans="1:5" x14ac:dyDescent="0.2">
      <c r="A16" t="s">
        <v>257</v>
      </c>
      <c r="B16" t="s">
        <v>265</v>
      </c>
      <c r="C16">
        <f t="shared" si="0"/>
        <v>14</v>
      </c>
      <c r="D16" t="s">
        <v>33</v>
      </c>
      <c r="E16" t="b">
        <v>0</v>
      </c>
    </row>
    <row r="17" spans="1:5" x14ac:dyDescent="0.2">
      <c r="A17" t="s">
        <v>258</v>
      </c>
      <c r="B17" t="s">
        <v>266</v>
      </c>
      <c r="C17">
        <f t="shared" si="0"/>
        <v>15</v>
      </c>
      <c r="D17" t="s">
        <v>33</v>
      </c>
      <c r="E17" t="b">
        <v>0</v>
      </c>
    </row>
    <row r="18" spans="1:5" x14ac:dyDescent="0.2">
      <c r="A18" t="s">
        <v>259</v>
      </c>
      <c r="B18" t="s">
        <v>409</v>
      </c>
      <c r="C18">
        <f t="shared" si="0"/>
        <v>16</v>
      </c>
      <c r="D18" t="s">
        <v>33</v>
      </c>
      <c r="E18" t="b">
        <v>0</v>
      </c>
    </row>
    <row r="19" spans="1:5" x14ac:dyDescent="0.2">
      <c r="A19" t="s">
        <v>260</v>
      </c>
      <c r="B19" t="s">
        <v>262</v>
      </c>
      <c r="C19">
        <f t="shared" si="0"/>
        <v>17</v>
      </c>
      <c r="D19" t="s">
        <v>33</v>
      </c>
      <c r="E19" t="b">
        <v>0</v>
      </c>
    </row>
    <row r="20" spans="1:5" x14ac:dyDescent="0.2">
      <c r="A20" t="s">
        <v>261</v>
      </c>
      <c r="B20" t="s">
        <v>267</v>
      </c>
      <c r="C20">
        <f t="shared" si="0"/>
        <v>18</v>
      </c>
      <c r="D20" t="s">
        <v>33</v>
      </c>
      <c r="E20" t="b">
        <v>0</v>
      </c>
    </row>
    <row r="21" spans="1:5" x14ac:dyDescent="0.2">
      <c r="A21" t="s">
        <v>427</v>
      </c>
      <c r="B21" t="s">
        <v>278</v>
      </c>
      <c r="C21">
        <f t="shared" si="0"/>
        <v>19</v>
      </c>
      <c r="D21" t="s">
        <v>274</v>
      </c>
      <c r="E21" t="b">
        <v>0</v>
      </c>
    </row>
    <row r="22" spans="1:5" x14ac:dyDescent="0.2">
      <c r="A22" t="s">
        <v>428</v>
      </c>
      <c r="B22" t="s">
        <v>279</v>
      </c>
      <c r="C22">
        <f t="shared" si="0"/>
        <v>20</v>
      </c>
      <c r="D22" t="s">
        <v>274</v>
      </c>
      <c r="E22" t="b">
        <v>0</v>
      </c>
    </row>
    <row r="23" spans="1:5" x14ac:dyDescent="0.2">
      <c r="A23" t="s">
        <v>413</v>
      </c>
      <c r="B23" t="s">
        <v>431</v>
      </c>
      <c r="C23">
        <f t="shared" si="0"/>
        <v>21</v>
      </c>
      <c r="D23" t="s">
        <v>274</v>
      </c>
      <c r="E23" t="b">
        <v>1</v>
      </c>
    </row>
    <row r="24" spans="1:5" x14ac:dyDescent="0.2">
      <c r="A24" t="s">
        <v>414</v>
      </c>
      <c r="B24" t="s">
        <v>270</v>
      </c>
      <c r="C24">
        <f t="shared" si="0"/>
        <v>22</v>
      </c>
      <c r="D24" t="s">
        <v>274</v>
      </c>
      <c r="E24" t="b">
        <v>1</v>
      </c>
    </row>
    <row r="25" spans="1:5" x14ac:dyDescent="0.2">
      <c r="A25" t="s">
        <v>415</v>
      </c>
      <c r="B25" t="s">
        <v>384</v>
      </c>
      <c r="C25">
        <f t="shared" si="0"/>
        <v>23</v>
      </c>
      <c r="D25" t="s">
        <v>274</v>
      </c>
      <c r="E25" t="b">
        <v>1</v>
      </c>
    </row>
    <row r="26" spans="1:5" x14ac:dyDescent="0.2">
      <c r="A26" t="s">
        <v>416</v>
      </c>
      <c r="B26" t="s">
        <v>385</v>
      </c>
      <c r="C26">
        <f t="shared" si="0"/>
        <v>24</v>
      </c>
      <c r="D26" t="s">
        <v>274</v>
      </c>
      <c r="E26" t="b">
        <v>1</v>
      </c>
    </row>
    <row r="27" spans="1:5" x14ac:dyDescent="0.2">
      <c r="A27" t="s">
        <v>417</v>
      </c>
      <c r="B27" t="s">
        <v>386</v>
      </c>
      <c r="C27">
        <f t="shared" si="0"/>
        <v>25</v>
      </c>
      <c r="D27" t="s">
        <v>274</v>
      </c>
      <c r="E27" t="b">
        <v>1</v>
      </c>
    </row>
    <row r="28" spans="1:5" x14ac:dyDescent="0.2">
      <c r="A28" t="s">
        <v>418</v>
      </c>
      <c r="B28" t="s">
        <v>387</v>
      </c>
      <c r="C28">
        <f t="shared" si="0"/>
        <v>26</v>
      </c>
      <c r="D28" t="s">
        <v>274</v>
      </c>
      <c r="E28" t="b">
        <v>1</v>
      </c>
    </row>
    <row r="29" spans="1:5" x14ac:dyDescent="0.2">
      <c r="A29" t="s">
        <v>419</v>
      </c>
      <c r="B29" t="s">
        <v>388</v>
      </c>
      <c r="C29">
        <f t="shared" si="0"/>
        <v>27</v>
      </c>
      <c r="D29" t="s">
        <v>274</v>
      </c>
      <c r="E29" t="b">
        <v>1</v>
      </c>
    </row>
    <row r="30" spans="1:5" x14ac:dyDescent="0.2">
      <c r="A30" t="s">
        <v>420</v>
      </c>
      <c r="B30" t="s">
        <v>389</v>
      </c>
      <c r="C30">
        <f t="shared" si="0"/>
        <v>28</v>
      </c>
      <c r="D30" t="s">
        <v>274</v>
      </c>
      <c r="E30" t="b">
        <v>1</v>
      </c>
    </row>
    <row r="31" spans="1:5" x14ac:dyDescent="0.2">
      <c r="A31" t="s">
        <v>421</v>
      </c>
      <c r="B31" t="s">
        <v>390</v>
      </c>
      <c r="C31">
        <f t="shared" si="0"/>
        <v>29</v>
      </c>
      <c r="D31" t="s">
        <v>274</v>
      </c>
      <c r="E31" t="b">
        <v>1</v>
      </c>
    </row>
    <row r="32" spans="1:5" x14ac:dyDescent="0.2">
      <c r="A32" t="s">
        <v>422</v>
      </c>
      <c r="B32" t="s">
        <v>391</v>
      </c>
      <c r="C32">
        <f t="shared" si="0"/>
        <v>30</v>
      </c>
      <c r="D32" t="s">
        <v>274</v>
      </c>
      <c r="E32" t="b">
        <v>1</v>
      </c>
    </row>
    <row r="33" spans="1:5" x14ac:dyDescent="0.2">
      <c r="A33" t="s">
        <v>423</v>
      </c>
      <c r="B33" t="s">
        <v>392</v>
      </c>
      <c r="C33">
        <f t="shared" si="0"/>
        <v>31</v>
      </c>
      <c r="D33" t="s">
        <v>274</v>
      </c>
      <c r="E33" t="b">
        <v>1</v>
      </c>
    </row>
    <row r="34" spans="1:5" x14ac:dyDescent="0.2">
      <c r="A34" t="s">
        <v>424</v>
      </c>
      <c r="B34" t="s">
        <v>393</v>
      </c>
      <c r="C34">
        <f t="shared" si="0"/>
        <v>32</v>
      </c>
      <c r="D34" t="s">
        <v>274</v>
      </c>
      <c r="E34" t="b">
        <v>1</v>
      </c>
    </row>
    <row r="35" spans="1:5" x14ac:dyDescent="0.2">
      <c r="A35" t="s">
        <v>425</v>
      </c>
      <c r="B35" t="s">
        <v>394</v>
      </c>
      <c r="C35">
        <f t="shared" si="0"/>
        <v>33</v>
      </c>
      <c r="D35" t="s">
        <v>274</v>
      </c>
      <c r="E35" t="b">
        <v>1</v>
      </c>
    </row>
    <row r="36" spans="1:5" x14ac:dyDescent="0.2">
      <c r="A36" t="s">
        <v>429</v>
      </c>
      <c r="B36" t="s">
        <v>395</v>
      </c>
      <c r="C36">
        <f t="shared" si="0"/>
        <v>34</v>
      </c>
      <c r="D36" t="s">
        <v>274</v>
      </c>
      <c r="E36" t="b">
        <v>1</v>
      </c>
    </row>
    <row r="37" spans="1:5" x14ac:dyDescent="0.2">
      <c r="A37" t="s">
        <v>426</v>
      </c>
      <c r="B37" t="s">
        <v>276</v>
      </c>
      <c r="C37">
        <f t="shared" si="0"/>
        <v>35</v>
      </c>
      <c r="D37" t="s">
        <v>274</v>
      </c>
      <c r="E37" t="b">
        <v>0</v>
      </c>
    </row>
    <row r="38" spans="1:5" x14ac:dyDescent="0.2">
      <c r="A38" t="s">
        <v>81</v>
      </c>
      <c r="B38" t="s">
        <v>124</v>
      </c>
      <c r="C38">
        <f t="shared" si="0"/>
        <v>36</v>
      </c>
      <c r="D38" t="s">
        <v>273</v>
      </c>
      <c r="E38" t="b">
        <v>0</v>
      </c>
    </row>
    <row r="39" spans="1:5" x14ac:dyDescent="0.2">
      <c r="A39" t="s">
        <v>134</v>
      </c>
      <c r="B39" t="s">
        <v>268</v>
      </c>
      <c r="C39">
        <f t="shared" si="0"/>
        <v>37</v>
      </c>
      <c r="D39" t="s">
        <v>273</v>
      </c>
      <c r="E39" t="b">
        <v>0</v>
      </c>
    </row>
    <row r="40" spans="1:5" x14ac:dyDescent="0.2">
      <c r="A40" t="s">
        <v>135</v>
      </c>
      <c r="B40" t="s">
        <v>269</v>
      </c>
      <c r="C40">
        <f t="shared" si="0"/>
        <v>38</v>
      </c>
      <c r="D40" t="s">
        <v>273</v>
      </c>
      <c r="E40" t="b">
        <v>0</v>
      </c>
    </row>
    <row r="41" spans="1:5" x14ac:dyDescent="0.2">
      <c r="A41" t="s">
        <v>348</v>
      </c>
      <c r="B41" t="s">
        <v>349</v>
      </c>
      <c r="C41">
        <f t="shared" si="0"/>
        <v>39</v>
      </c>
      <c r="D41" t="s">
        <v>273</v>
      </c>
      <c r="E41" t="b">
        <v>1</v>
      </c>
    </row>
    <row r="42" spans="1:5" x14ac:dyDescent="0.2">
      <c r="A42" t="s">
        <v>350</v>
      </c>
      <c r="B42" t="s">
        <v>351</v>
      </c>
      <c r="C42">
        <f t="shared" si="0"/>
        <v>40</v>
      </c>
      <c r="D42" t="s">
        <v>273</v>
      </c>
      <c r="E42" t="b">
        <v>1</v>
      </c>
    </row>
    <row r="43" spans="1:5" x14ac:dyDescent="0.2">
      <c r="A43" t="s">
        <v>352</v>
      </c>
      <c r="B43" t="s">
        <v>353</v>
      </c>
      <c r="C43">
        <f t="shared" si="0"/>
        <v>41</v>
      </c>
      <c r="D43" t="s">
        <v>273</v>
      </c>
      <c r="E43" t="b">
        <v>1</v>
      </c>
    </row>
    <row r="44" spans="1:5" x14ac:dyDescent="0.2">
      <c r="A44" t="s">
        <v>342</v>
      </c>
      <c r="B44" t="s">
        <v>345</v>
      </c>
      <c r="C44">
        <f t="shared" si="0"/>
        <v>42</v>
      </c>
      <c r="D44" t="s">
        <v>273</v>
      </c>
      <c r="E44" t="b">
        <v>1</v>
      </c>
    </row>
    <row r="45" spans="1:5" x14ac:dyDescent="0.2">
      <c r="A45" t="s">
        <v>343</v>
      </c>
      <c r="B45" t="s">
        <v>344</v>
      </c>
      <c r="C45">
        <f t="shared" si="0"/>
        <v>43</v>
      </c>
      <c r="D45" t="s">
        <v>273</v>
      </c>
      <c r="E45" t="b">
        <v>1</v>
      </c>
    </row>
    <row r="46" spans="1:5" x14ac:dyDescent="0.2">
      <c r="A46" t="s">
        <v>346</v>
      </c>
      <c r="B46" t="s">
        <v>347</v>
      </c>
      <c r="C46">
        <f t="shared" si="0"/>
        <v>44</v>
      </c>
      <c r="D46" t="s">
        <v>273</v>
      </c>
      <c r="E46" t="b">
        <v>1</v>
      </c>
    </row>
    <row r="47" spans="1:5" x14ac:dyDescent="0.2">
      <c r="A47" t="s">
        <v>83</v>
      </c>
      <c r="B47" t="s">
        <v>411</v>
      </c>
      <c r="C47">
        <f t="shared" si="0"/>
        <v>45</v>
      </c>
      <c r="D47" t="s">
        <v>273</v>
      </c>
      <c r="E47" t="b">
        <v>0</v>
      </c>
    </row>
    <row r="48" spans="1:5" x14ac:dyDescent="0.2">
      <c r="A48" t="s">
        <v>82</v>
      </c>
      <c r="B48" t="s">
        <v>410</v>
      </c>
      <c r="C48">
        <f t="shared" si="0"/>
        <v>46</v>
      </c>
      <c r="D48" t="s">
        <v>273</v>
      </c>
      <c r="E48" t="b">
        <v>0</v>
      </c>
    </row>
    <row r="49" spans="1:5" x14ac:dyDescent="0.2">
      <c r="A49" t="s">
        <v>89</v>
      </c>
      <c r="B49" t="s">
        <v>271</v>
      </c>
      <c r="C49">
        <f t="shared" si="0"/>
        <v>47</v>
      </c>
      <c r="D49" t="s">
        <v>273</v>
      </c>
      <c r="E49" t="b">
        <v>1</v>
      </c>
    </row>
    <row r="50" spans="1:5" x14ac:dyDescent="0.2">
      <c r="A50" t="s">
        <v>91</v>
      </c>
      <c r="B50" t="s">
        <v>133</v>
      </c>
      <c r="C50">
        <f t="shared" si="0"/>
        <v>48</v>
      </c>
      <c r="D50" t="s">
        <v>273</v>
      </c>
      <c r="E50" t="b">
        <v>1</v>
      </c>
    </row>
    <row r="51" spans="1:5" x14ac:dyDescent="0.2">
      <c r="A51" t="s">
        <v>90</v>
      </c>
      <c r="B51" t="s">
        <v>132</v>
      </c>
      <c r="C51">
        <f t="shared" si="0"/>
        <v>49</v>
      </c>
      <c r="D51" t="s">
        <v>273</v>
      </c>
      <c r="E51" t="b">
        <v>1</v>
      </c>
    </row>
    <row r="52" spans="1:5" x14ac:dyDescent="0.2">
      <c r="A52" t="s">
        <v>88</v>
      </c>
      <c r="B52" t="s">
        <v>275</v>
      </c>
      <c r="C52">
        <f t="shared" si="0"/>
        <v>50</v>
      </c>
      <c r="D52" t="s">
        <v>273</v>
      </c>
      <c r="E52" t="b">
        <v>1</v>
      </c>
    </row>
    <row r="53" spans="1:5" x14ac:dyDescent="0.2">
      <c r="A53" t="s">
        <v>158</v>
      </c>
      <c r="B53" t="s">
        <v>277</v>
      </c>
      <c r="C53">
        <f t="shared" si="0"/>
        <v>51</v>
      </c>
      <c r="D53" t="s">
        <v>273</v>
      </c>
      <c r="E5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2"/>
  <sheetViews>
    <sheetView workbookViewId="0">
      <selection activeCell="S7" sqref="S7"/>
    </sheetView>
  </sheetViews>
  <sheetFormatPr baseColWidth="10" defaultColWidth="8.83203125" defaultRowHeight="15" x14ac:dyDescent="0.2"/>
  <sheetData>
    <row r="1" spans="1:24" x14ac:dyDescent="0.2">
      <c r="A1" t="s">
        <v>30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247</v>
      </c>
      <c r="X1" t="s">
        <v>248</v>
      </c>
    </row>
    <row r="2" spans="1:24" x14ac:dyDescent="0.2">
      <c r="A2">
        <v>25</v>
      </c>
      <c r="B2">
        <v>0</v>
      </c>
      <c r="F2">
        <v>0</v>
      </c>
      <c r="G2">
        <v>0</v>
      </c>
    </row>
    <row r="3" spans="1:24" x14ac:dyDescent="0.2">
      <c r="A3">
        <v>26</v>
      </c>
      <c r="B3">
        <v>0</v>
      </c>
      <c r="F3">
        <v>0</v>
      </c>
      <c r="G3">
        <v>0</v>
      </c>
    </row>
    <row r="4" spans="1:24" x14ac:dyDescent="0.2">
      <c r="A4">
        <v>27</v>
      </c>
      <c r="B4">
        <v>0</v>
      </c>
      <c r="F4">
        <v>0</v>
      </c>
      <c r="G4">
        <v>0</v>
      </c>
    </row>
    <row r="5" spans="1:24" x14ac:dyDescent="0.2">
      <c r="A5">
        <v>28</v>
      </c>
      <c r="B5">
        <v>0</v>
      </c>
      <c r="F5">
        <v>0</v>
      </c>
      <c r="G5">
        <v>0</v>
      </c>
    </row>
    <row r="6" spans="1:24" x14ac:dyDescent="0.2">
      <c r="A6">
        <v>29</v>
      </c>
      <c r="B6">
        <v>0</v>
      </c>
      <c r="F6">
        <v>0</v>
      </c>
      <c r="G6">
        <v>0</v>
      </c>
    </row>
    <row r="7" spans="1:24" x14ac:dyDescent="0.2">
      <c r="A7">
        <v>30</v>
      </c>
      <c r="B7">
        <v>0</v>
      </c>
      <c r="F7">
        <v>0</v>
      </c>
      <c r="G7">
        <v>0</v>
      </c>
    </row>
    <row r="8" spans="1:24" x14ac:dyDescent="0.2">
      <c r="A8">
        <v>31</v>
      </c>
      <c r="B8">
        <v>0</v>
      </c>
      <c r="F8">
        <v>0</v>
      </c>
      <c r="G8">
        <v>0</v>
      </c>
    </row>
    <row r="9" spans="1:24" x14ac:dyDescent="0.2">
      <c r="A9">
        <v>32</v>
      </c>
      <c r="B9">
        <v>0</v>
      </c>
      <c r="F9">
        <v>0</v>
      </c>
      <c r="G9">
        <v>0</v>
      </c>
    </row>
    <row r="10" spans="1:24" x14ac:dyDescent="0.2">
      <c r="A10">
        <v>33</v>
      </c>
      <c r="B10">
        <v>0</v>
      </c>
      <c r="F10">
        <v>0</v>
      </c>
      <c r="G10">
        <v>0</v>
      </c>
    </row>
    <row r="11" spans="1:24" x14ac:dyDescent="0.2">
      <c r="A11">
        <v>34</v>
      </c>
      <c r="B11">
        <v>0</v>
      </c>
      <c r="F11">
        <v>0</v>
      </c>
      <c r="G11">
        <v>0</v>
      </c>
    </row>
    <row r="12" spans="1:24" x14ac:dyDescent="0.2">
      <c r="A12">
        <v>35</v>
      </c>
      <c r="B12">
        <v>0</v>
      </c>
      <c r="F12">
        <v>0</v>
      </c>
      <c r="G12">
        <v>0</v>
      </c>
    </row>
    <row r="13" spans="1:24" x14ac:dyDescent="0.2">
      <c r="A13">
        <v>36</v>
      </c>
      <c r="B13">
        <v>0</v>
      </c>
      <c r="F13">
        <v>0</v>
      </c>
      <c r="G13">
        <v>0</v>
      </c>
    </row>
    <row r="14" spans="1:24" x14ac:dyDescent="0.2">
      <c r="A14">
        <v>37</v>
      </c>
      <c r="B14">
        <v>0</v>
      </c>
      <c r="F14">
        <v>0</v>
      </c>
      <c r="G14">
        <v>0</v>
      </c>
    </row>
    <row r="15" spans="1:24" x14ac:dyDescent="0.2">
      <c r="A15">
        <v>38</v>
      </c>
      <c r="B15">
        <v>0</v>
      </c>
      <c r="F15">
        <v>0</v>
      </c>
      <c r="G15">
        <v>0</v>
      </c>
    </row>
    <row r="16" spans="1:24" x14ac:dyDescent="0.2">
      <c r="A16">
        <v>39</v>
      </c>
      <c r="B16">
        <v>0</v>
      </c>
      <c r="F16">
        <v>0</v>
      </c>
      <c r="G16">
        <v>0</v>
      </c>
    </row>
    <row r="17" spans="1:7" x14ac:dyDescent="0.2">
      <c r="A17">
        <v>40</v>
      </c>
      <c r="B17">
        <v>0</v>
      </c>
      <c r="F17">
        <v>0</v>
      </c>
      <c r="G17">
        <v>0</v>
      </c>
    </row>
    <row r="18" spans="1:7" x14ac:dyDescent="0.2">
      <c r="A18">
        <v>41</v>
      </c>
      <c r="B18">
        <v>0</v>
      </c>
      <c r="F18">
        <v>0</v>
      </c>
      <c r="G18">
        <v>0</v>
      </c>
    </row>
    <row r="19" spans="1:7" x14ac:dyDescent="0.2">
      <c r="A19">
        <v>42</v>
      </c>
      <c r="B19">
        <v>0</v>
      </c>
      <c r="F19">
        <v>0</v>
      </c>
      <c r="G19">
        <v>0</v>
      </c>
    </row>
    <row r="20" spans="1:7" x14ac:dyDescent="0.2">
      <c r="A20">
        <v>43</v>
      </c>
      <c r="B20">
        <v>0</v>
      </c>
      <c r="F20">
        <v>0</v>
      </c>
      <c r="G20">
        <v>0</v>
      </c>
    </row>
    <row r="21" spans="1:7" x14ac:dyDescent="0.2">
      <c r="A21">
        <v>44</v>
      </c>
      <c r="B21">
        <v>0</v>
      </c>
      <c r="F21">
        <v>0</v>
      </c>
      <c r="G21">
        <v>0</v>
      </c>
    </row>
    <row r="22" spans="1:7" x14ac:dyDescent="0.2">
      <c r="A22">
        <v>45</v>
      </c>
      <c r="B22">
        <v>0</v>
      </c>
      <c r="F22">
        <v>0</v>
      </c>
      <c r="G22">
        <v>0</v>
      </c>
    </row>
    <row r="23" spans="1:7" x14ac:dyDescent="0.2">
      <c r="A23">
        <v>46</v>
      </c>
      <c r="B23">
        <v>0</v>
      </c>
      <c r="F23">
        <v>0</v>
      </c>
      <c r="G23">
        <v>0</v>
      </c>
    </row>
    <row r="24" spans="1:7" x14ac:dyDescent="0.2">
      <c r="A24">
        <v>47</v>
      </c>
      <c r="B24">
        <v>0</v>
      </c>
      <c r="F24">
        <v>0</v>
      </c>
      <c r="G24">
        <v>0</v>
      </c>
    </row>
    <row r="25" spans="1:7" x14ac:dyDescent="0.2">
      <c r="A25">
        <v>48</v>
      </c>
      <c r="B25">
        <v>0</v>
      </c>
      <c r="F25">
        <v>0</v>
      </c>
      <c r="G25">
        <v>0</v>
      </c>
    </row>
    <row r="26" spans="1:7" x14ac:dyDescent="0.2">
      <c r="A26">
        <v>49</v>
      </c>
      <c r="B26">
        <v>0</v>
      </c>
      <c r="F26">
        <v>0</v>
      </c>
      <c r="G26">
        <v>0</v>
      </c>
    </row>
    <row r="27" spans="1:7" x14ac:dyDescent="0.2">
      <c r="A27">
        <v>50</v>
      </c>
      <c r="B27">
        <v>0</v>
      </c>
      <c r="F27">
        <v>0</v>
      </c>
      <c r="G27">
        <v>0</v>
      </c>
    </row>
    <row r="28" spans="1:7" x14ac:dyDescent="0.2">
      <c r="A28">
        <v>51</v>
      </c>
      <c r="B28">
        <v>0</v>
      </c>
      <c r="F28">
        <v>0</v>
      </c>
      <c r="G28">
        <v>0</v>
      </c>
    </row>
    <row r="29" spans="1:7" x14ac:dyDescent="0.2">
      <c r="A29">
        <v>52</v>
      </c>
      <c r="B29">
        <v>0</v>
      </c>
      <c r="F29">
        <v>0</v>
      </c>
      <c r="G29">
        <v>0</v>
      </c>
    </row>
    <row r="30" spans="1:7" x14ac:dyDescent="0.2">
      <c r="A30">
        <v>53</v>
      </c>
      <c r="B30">
        <v>0</v>
      </c>
      <c r="F30">
        <v>0</v>
      </c>
      <c r="G30">
        <v>0</v>
      </c>
    </row>
    <row r="31" spans="1:7" x14ac:dyDescent="0.2">
      <c r="A31">
        <v>54</v>
      </c>
      <c r="B31">
        <v>0</v>
      </c>
      <c r="F31">
        <v>0</v>
      </c>
      <c r="G31">
        <v>0</v>
      </c>
    </row>
    <row r="32" spans="1:7" x14ac:dyDescent="0.2">
      <c r="A32">
        <v>55</v>
      </c>
      <c r="B32">
        <v>0</v>
      </c>
      <c r="F32">
        <v>0</v>
      </c>
      <c r="G32">
        <v>0</v>
      </c>
    </row>
    <row r="33" spans="1:7" x14ac:dyDescent="0.2">
      <c r="A33">
        <v>56</v>
      </c>
      <c r="B33">
        <v>0</v>
      </c>
      <c r="F33">
        <v>0</v>
      </c>
      <c r="G33">
        <v>0</v>
      </c>
    </row>
    <row r="34" spans="1:7" x14ac:dyDescent="0.2">
      <c r="A34">
        <v>57</v>
      </c>
      <c r="B34">
        <v>0</v>
      </c>
      <c r="F34">
        <v>0</v>
      </c>
      <c r="G34">
        <v>0</v>
      </c>
    </row>
    <row r="35" spans="1:7" x14ac:dyDescent="0.2">
      <c r="A35">
        <v>58</v>
      </c>
      <c r="B35">
        <v>0</v>
      </c>
      <c r="F35">
        <v>0</v>
      </c>
      <c r="G35">
        <v>0</v>
      </c>
    </row>
    <row r="36" spans="1:7" x14ac:dyDescent="0.2">
      <c r="A36">
        <v>59</v>
      </c>
      <c r="B36">
        <v>0</v>
      </c>
      <c r="F36">
        <v>0</v>
      </c>
      <c r="G36">
        <v>0</v>
      </c>
    </row>
    <row r="37" spans="1:7" x14ac:dyDescent="0.2">
      <c r="A37">
        <v>60</v>
      </c>
      <c r="B37">
        <v>0</v>
      </c>
      <c r="F37">
        <v>0</v>
      </c>
      <c r="G37">
        <v>0</v>
      </c>
    </row>
    <row r="38" spans="1:7" x14ac:dyDescent="0.2">
      <c r="A38">
        <v>61</v>
      </c>
      <c r="B38">
        <v>0</v>
      </c>
      <c r="F38">
        <v>0</v>
      </c>
      <c r="G38">
        <v>0</v>
      </c>
    </row>
    <row r="39" spans="1:7" x14ac:dyDescent="0.2">
      <c r="A39">
        <v>62</v>
      </c>
      <c r="B39">
        <v>0</v>
      </c>
      <c r="F39">
        <v>0</v>
      </c>
      <c r="G39">
        <v>0</v>
      </c>
    </row>
    <row r="40" spans="1:7" x14ac:dyDescent="0.2">
      <c r="A40">
        <v>63</v>
      </c>
      <c r="B40">
        <v>0</v>
      </c>
      <c r="F40">
        <v>0</v>
      </c>
      <c r="G40">
        <v>0</v>
      </c>
    </row>
    <row r="41" spans="1:7" x14ac:dyDescent="0.2">
      <c r="A41">
        <v>64</v>
      </c>
      <c r="B41">
        <v>0</v>
      </c>
      <c r="F41">
        <v>0</v>
      </c>
      <c r="G41">
        <v>0</v>
      </c>
    </row>
    <row r="42" spans="1:7" x14ac:dyDescent="0.2">
      <c r="A42">
        <v>65</v>
      </c>
      <c r="B42">
        <v>0</v>
      </c>
      <c r="F42">
        <v>0</v>
      </c>
      <c r="G42">
        <v>0</v>
      </c>
    </row>
    <row r="43" spans="1:7" x14ac:dyDescent="0.2">
      <c r="A43">
        <v>66</v>
      </c>
      <c r="B43">
        <v>0</v>
      </c>
      <c r="F43">
        <v>0</v>
      </c>
      <c r="G43">
        <v>0</v>
      </c>
    </row>
    <row r="44" spans="1:7" x14ac:dyDescent="0.2">
      <c r="A44">
        <v>67</v>
      </c>
      <c r="B44">
        <v>0</v>
      </c>
      <c r="F44">
        <v>0</v>
      </c>
      <c r="G44">
        <v>0</v>
      </c>
    </row>
    <row r="45" spans="1:7" x14ac:dyDescent="0.2">
      <c r="A45">
        <v>68</v>
      </c>
      <c r="B45">
        <v>0</v>
      </c>
      <c r="F45">
        <v>0</v>
      </c>
      <c r="G45">
        <v>0</v>
      </c>
    </row>
    <row r="46" spans="1:7" x14ac:dyDescent="0.2">
      <c r="A46">
        <v>69</v>
      </c>
      <c r="B46">
        <v>0</v>
      </c>
      <c r="F46">
        <v>0</v>
      </c>
      <c r="G46">
        <v>0</v>
      </c>
    </row>
    <row r="47" spans="1:7" x14ac:dyDescent="0.2">
      <c r="A47">
        <v>70</v>
      </c>
      <c r="B47">
        <v>0</v>
      </c>
      <c r="F47">
        <v>0</v>
      </c>
      <c r="G47">
        <v>0</v>
      </c>
    </row>
    <row r="48" spans="1:7" x14ac:dyDescent="0.2">
      <c r="A48">
        <v>71</v>
      </c>
      <c r="B48">
        <v>0</v>
      </c>
      <c r="F48">
        <v>0</v>
      </c>
      <c r="G48">
        <v>0</v>
      </c>
    </row>
    <row r="49" spans="1:7" x14ac:dyDescent="0.2">
      <c r="A49">
        <v>72</v>
      </c>
      <c r="B49">
        <v>0</v>
      </c>
      <c r="F49">
        <v>0</v>
      </c>
      <c r="G49">
        <v>0</v>
      </c>
    </row>
    <row r="50" spans="1:7" x14ac:dyDescent="0.2">
      <c r="A50">
        <v>73</v>
      </c>
      <c r="B50">
        <v>0</v>
      </c>
      <c r="F50">
        <v>0</v>
      </c>
      <c r="G50">
        <v>0</v>
      </c>
    </row>
    <row r="51" spans="1:7" x14ac:dyDescent="0.2">
      <c r="A51">
        <v>74</v>
      </c>
      <c r="B51">
        <v>0</v>
      </c>
      <c r="F51">
        <v>0</v>
      </c>
      <c r="G51">
        <v>0</v>
      </c>
    </row>
    <row r="52" spans="1:7" x14ac:dyDescent="0.2">
      <c r="A52">
        <v>75</v>
      </c>
      <c r="B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8"/>
  <sheetViews>
    <sheetView topLeftCell="L1" workbookViewId="0">
      <selection activeCell="R2" sqref="R2"/>
    </sheetView>
  </sheetViews>
  <sheetFormatPr baseColWidth="10" defaultColWidth="8.83203125" defaultRowHeight="15" x14ac:dyDescent="0.2"/>
  <cols>
    <col min="18" max="18" width="13.83203125" customWidth="1"/>
    <col min="19" max="19" width="16.5" customWidth="1"/>
    <col min="20" max="20" width="15" customWidth="1"/>
    <col min="22" max="22" width="14.6640625" customWidth="1"/>
  </cols>
  <sheetData>
    <row r="1" spans="1:31" x14ac:dyDescent="0.2">
      <c r="A1" t="s">
        <v>44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61</v>
      </c>
      <c r="X1" t="s">
        <v>62</v>
      </c>
      <c r="Y1" t="s">
        <v>64</v>
      </c>
      <c r="Z1" t="s">
        <v>65</v>
      </c>
      <c r="AA1" t="s">
        <v>66</v>
      </c>
      <c r="AB1" t="s">
        <v>69</v>
      </c>
      <c r="AC1" t="s">
        <v>67</v>
      </c>
      <c r="AD1" t="s">
        <v>68</v>
      </c>
      <c r="AE1" t="s">
        <v>63</v>
      </c>
    </row>
    <row r="2" spans="1:31" x14ac:dyDescent="0.2">
      <c r="A2">
        <v>35</v>
      </c>
      <c r="B2">
        <v>1</v>
      </c>
      <c r="C2">
        <v>2.5000000000000001E-2</v>
      </c>
      <c r="D2">
        <v>2.5000000000000001E-2</v>
      </c>
      <c r="E2">
        <v>4.2999999999999997E-2</v>
      </c>
      <c r="F2">
        <v>0.9</v>
      </c>
      <c r="G2">
        <v>1</v>
      </c>
      <c r="H2">
        <v>8.0000000000000004E-4</v>
      </c>
      <c r="I2">
        <v>8.0000000000000004E-4</v>
      </c>
      <c r="J2">
        <v>8.0000000000000004E-4</v>
      </c>
      <c r="K2">
        <v>0.75</v>
      </c>
      <c r="L2">
        <v>0.75</v>
      </c>
      <c r="M2">
        <v>0.59</v>
      </c>
      <c r="N2">
        <v>0.75</v>
      </c>
      <c r="O2">
        <v>0.75</v>
      </c>
      <c r="P2">
        <v>0.59</v>
      </c>
      <c r="Q2">
        <v>0.83</v>
      </c>
      <c r="R2">
        <v>0.83</v>
      </c>
      <c r="S2">
        <v>0.59</v>
      </c>
      <c r="T2">
        <v>0.83</v>
      </c>
      <c r="U2">
        <v>0.83</v>
      </c>
      <c r="V2">
        <v>0.59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45</v>
      </c>
      <c r="B3">
        <v>0.89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50</v>
      </c>
      <c r="B4">
        <v>0.87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55</v>
      </c>
      <c r="B5">
        <v>0.87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65</v>
      </c>
      <c r="B6">
        <v>0.84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75</v>
      </c>
      <c r="B7">
        <v>0.84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90</v>
      </c>
      <c r="B8">
        <v>0.82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performance_chars</vt:lpstr>
      <vt:lpstr>perf_chars_oc</vt:lpstr>
      <vt:lpstr>perf_chars_ec</vt:lpstr>
      <vt:lpstr>lifetable</vt:lpstr>
      <vt:lpstr>costs_scratch</vt:lpstr>
      <vt:lpstr>costs</vt:lpstr>
      <vt:lpstr>owsa_dict</vt:lpstr>
      <vt:lpstr>cost_table_raw</vt:lpstr>
      <vt:lpstr>util_table_raw</vt:lpstr>
      <vt:lpstr>util refs</vt:lpstr>
      <vt:lpstr>util_table_raw_low</vt:lpstr>
      <vt:lpstr>util_table_raw_up</vt:lpstr>
      <vt:lpstr>surgical_complications</vt:lpstr>
      <vt:lpstr>surgical_mortality</vt:lpstr>
      <vt:lpstr>stage_dists_scratch</vt:lpstr>
      <vt:lpstr>params</vt:lpstr>
      <vt:lpstr>params_PSA</vt:lpstr>
      <vt:lpstr>refs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Silver, Elisabeth R.</dc:creator>
  <cp:keywords/>
  <dc:description/>
  <cp:lastModifiedBy>Microsoft Office User</cp:lastModifiedBy>
  <cp:revision/>
  <dcterms:created xsi:type="dcterms:W3CDTF">2019-06-20T13:26:41Z</dcterms:created>
  <dcterms:modified xsi:type="dcterms:W3CDTF">2020-03-23T15:19:24Z</dcterms:modified>
  <cp:category/>
  <cp:contentStatus/>
</cp:coreProperties>
</file>