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esktop\"/>
    </mc:Choice>
  </mc:AlternateContent>
  <xr:revisionPtr revIDLastSave="0" documentId="13_ncr:1_{F6013BC2-15ED-4C33-A5B9-08D38066E9D3}" xr6:coauthVersionLast="47" xr6:coauthVersionMax="47" xr10:uidLastSave="{00000000-0000-0000-0000-000000000000}"/>
  <bookViews>
    <workbookView xWindow="-120" yWindow="-120" windowWidth="20730" windowHeight="11040" xr2:uid="{8C67EC0A-A040-4063-9692-40F2E312DDFB}"/>
  </bookViews>
  <sheets>
    <sheet name="Convencional" sheetId="1" r:id="rId1"/>
    <sheet name="Geometalúrg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N24" i="1"/>
  <c r="M41" i="1"/>
  <c r="M12" i="1"/>
  <c r="L23" i="2"/>
  <c r="N23" i="2" s="1"/>
  <c r="L22" i="2"/>
  <c r="M22" i="2" s="1"/>
  <c r="L21" i="2"/>
  <c r="N21" i="2" s="1"/>
  <c r="L20" i="2"/>
  <c r="M20" i="2" s="1"/>
  <c r="L19" i="2"/>
  <c r="N19" i="2" s="1"/>
  <c r="L18" i="2"/>
  <c r="M18" i="2" s="1"/>
  <c r="L17" i="2"/>
  <c r="N17" i="2" s="1"/>
  <c r="L16" i="2"/>
  <c r="M16" i="2" s="1"/>
  <c r="L15" i="2"/>
  <c r="N15" i="2" s="1"/>
  <c r="L14" i="2"/>
  <c r="M14" i="2" s="1"/>
  <c r="L13" i="2"/>
  <c r="N13" i="2" s="1"/>
  <c r="L12" i="2"/>
  <c r="M12" i="2" s="1"/>
  <c r="Q5" i="2"/>
  <c r="Q5" i="1"/>
  <c r="L28" i="1" l="1"/>
  <c r="M28" i="1" s="1"/>
  <c r="M13" i="2"/>
  <c r="O13" i="2" s="1"/>
  <c r="N18" i="2"/>
  <c r="O18" i="2" s="1"/>
  <c r="M21" i="2"/>
  <c r="O21" i="2" s="1"/>
  <c r="N16" i="2"/>
  <c r="O16" i="2" s="1"/>
  <c r="N12" i="2"/>
  <c r="O12" i="2" s="1"/>
  <c r="L28" i="2" s="1"/>
  <c r="N14" i="2"/>
  <c r="O14" i="2" s="1"/>
  <c r="N22" i="2"/>
  <c r="O22" i="2" s="1"/>
  <c r="M17" i="2"/>
  <c r="O17" i="2" s="1"/>
  <c r="N20" i="2"/>
  <c r="O20" i="2" s="1"/>
  <c r="L36" i="2" s="1"/>
  <c r="M15" i="2"/>
  <c r="O15" i="2" s="1"/>
  <c r="M19" i="2"/>
  <c r="O19" i="2" s="1"/>
  <c r="L35" i="2" s="1"/>
  <c r="M23" i="2"/>
  <c r="O23" i="2" s="1"/>
  <c r="L24" i="2"/>
  <c r="M13" i="1"/>
  <c r="M14" i="1"/>
  <c r="M15" i="1"/>
  <c r="M16" i="1"/>
  <c r="M17" i="1"/>
  <c r="M18" i="1"/>
  <c r="M19" i="1"/>
  <c r="M20" i="1"/>
  <c r="M21" i="1"/>
  <c r="M22" i="1"/>
  <c r="M23" i="1"/>
  <c r="L13" i="1"/>
  <c r="R13" i="1" s="1"/>
  <c r="L14" i="1"/>
  <c r="R14" i="1" s="1"/>
  <c r="L15" i="1"/>
  <c r="R15" i="1" s="1"/>
  <c r="L16" i="1"/>
  <c r="L17" i="1"/>
  <c r="S17" i="1" s="1"/>
  <c r="L18" i="1"/>
  <c r="S18" i="1" s="1"/>
  <c r="L19" i="1"/>
  <c r="R19" i="1" s="1"/>
  <c r="L20" i="1"/>
  <c r="R20" i="1" s="1"/>
  <c r="L21" i="1"/>
  <c r="R21" i="1" s="1"/>
  <c r="L22" i="1"/>
  <c r="R22" i="1" s="1"/>
  <c r="L23" i="1"/>
  <c r="L12" i="1"/>
  <c r="R12" i="1" l="1"/>
  <c r="S12" i="1"/>
  <c r="L33" i="1"/>
  <c r="M33" i="1" s="1"/>
  <c r="L32" i="1"/>
  <c r="L39" i="1"/>
  <c r="M31" i="1"/>
  <c r="L31" i="1"/>
  <c r="T15" i="1" s="1"/>
  <c r="L38" i="1"/>
  <c r="L37" i="1"/>
  <c r="M29" i="1"/>
  <c r="L29" i="1"/>
  <c r="T13" i="1" s="1"/>
  <c r="L35" i="1"/>
  <c r="M35" i="1" s="1"/>
  <c r="L34" i="1"/>
  <c r="M34" i="1" s="1"/>
  <c r="L30" i="1"/>
  <c r="L36" i="1"/>
  <c r="M36" i="1" s="1"/>
  <c r="L29" i="2"/>
  <c r="M36" i="2"/>
  <c r="L38" i="2"/>
  <c r="M38" i="2" s="1"/>
  <c r="L30" i="2"/>
  <c r="M30" i="2" s="1"/>
  <c r="L39" i="2"/>
  <c r="L32" i="2"/>
  <c r="M32" i="2" s="1"/>
  <c r="L33" i="2"/>
  <c r="M33" i="2" s="1"/>
  <c r="T12" i="2"/>
  <c r="U12" i="2" s="1"/>
  <c r="M28" i="2"/>
  <c r="L31" i="2"/>
  <c r="L37" i="2"/>
  <c r="M35" i="2"/>
  <c r="L34" i="2"/>
  <c r="L24" i="1"/>
  <c r="S15" i="1"/>
  <c r="S23" i="1"/>
  <c r="R18" i="1"/>
  <c r="S16" i="1"/>
  <c r="R17" i="1"/>
  <c r="R16" i="1"/>
  <c r="S22" i="1"/>
  <c r="S14" i="1"/>
  <c r="S21" i="1"/>
  <c r="S13" i="1"/>
  <c r="R23" i="1"/>
  <c r="S20" i="1"/>
  <c r="S19" i="1"/>
  <c r="M30" i="1" l="1"/>
  <c r="U13" i="1"/>
  <c r="M37" i="1"/>
  <c r="M38" i="1"/>
  <c r="U15" i="1"/>
  <c r="M39" i="1"/>
  <c r="M32" i="1"/>
  <c r="M41" i="2"/>
  <c r="M34" i="2"/>
  <c r="M37" i="2"/>
  <c r="M31" i="2"/>
  <c r="M39" i="2"/>
  <c r="M29" i="2"/>
  <c r="M40" i="1" l="1"/>
  <c r="N39" i="1" s="1"/>
  <c r="N37" i="1" l="1"/>
  <c r="N31" i="1"/>
  <c r="N36" i="1"/>
  <c r="N35" i="1"/>
  <c r="N29" i="1"/>
  <c r="N33" i="1"/>
  <c r="N34" i="1"/>
  <c r="N28" i="1"/>
  <c r="N41" i="1" s="1"/>
  <c r="N38" i="1"/>
  <c r="N32" i="1"/>
  <c r="N30" i="1"/>
  <c r="N40" i="1" l="1"/>
  <c r="O34" i="1" l="1"/>
  <c r="O31" i="1"/>
  <c r="O35" i="1"/>
  <c r="O33" i="1"/>
  <c r="O39" i="1"/>
  <c r="O37" i="1"/>
  <c r="O30" i="1"/>
  <c r="O29" i="1"/>
  <c r="O28" i="1"/>
  <c r="O38" i="1"/>
  <c r="O32" i="1"/>
  <c r="O36" i="1"/>
  <c r="O41" i="1" l="1"/>
  <c r="O40" i="1"/>
  <c r="P32" i="1" l="1"/>
  <c r="P28" i="1"/>
  <c r="P36" i="1"/>
  <c r="P30" i="1"/>
  <c r="P31" i="1"/>
  <c r="P33" i="1"/>
  <c r="P39" i="1"/>
  <c r="P37" i="1"/>
  <c r="P38" i="1"/>
  <c r="P29" i="1"/>
  <c r="P34" i="1"/>
  <c r="P35" i="1"/>
  <c r="P41" i="1" l="1"/>
  <c r="P40" i="1"/>
  <c r="Q39" i="1" l="1"/>
  <c r="Q31" i="1"/>
  <c r="Q32" i="1"/>
  <c r="Q29" i="1"/>
  <c r="Q28" i="1"/>
  <c r="Q37" i="1"/>
  <c r="Q30" i="1"/>
  <c r="Q33" i="1"/>
  <c r="Q34" i="1"/>
  <c r="Q36" i="1"/>
  <c r="Q35" i="1"/>
  <c r="Q38" i="1"/>
  <c r="M40" i="2"/>
  <c r="Q41" i="1" l="1"/>
  <c r="Q40" i="1"/>
  <c r="N33" i="2"/>
  <c r="N34" i="2"/>
  <c r="N37" i="2"/>
  <c r="N35" i="2"/>
  <c r="N29" i="2"/>
  <c r="N31" i="2"/>
  <c r="N30" i="2"/>
  <c r="N28" i="2"/>
  <c r="N39" i="2"/>
  <c r="N38" i="2"/>
  <c r="N36" i="2"/>
  <c r="N32" i="2"/>
  <c r="R33" i="1" l="1"/>
  <c r="R29" i="1"/>
  <c r="R28" i="1"/>
  <c r="R37" i="1"/>
  <c r="R30" i="1"/>
  <c r="R32" i="1"/>
  <c r="R31" i="1"/>
  <c r="R35" i="1"/>
  <c r="R36" i="1"/>
  <c r="R38" i="1"/>
  <c r="R34" i="1"/>
  <c r="R39" i="1"/>
  <c r="N41" i="2"/>
  <c r="N40" i="2"/>
  <c r="R40" i="1" l="1"/>
  <c r="R41" i="1"/>
  <c r="O29" i="2"/>
  <c r="O28" i="2"/>
  <c r="O35" i="2"/>
  <c r="O31" i="2"/>
  <c r="O32" i="2"/>
  <c r="O30" i="2"/>
  <c r="O37" i="2"/>
  <c r="O38" i="2"/>
  <c r="O33" i="2"/>
  <c r="O34" i="2"/>
  <c r="O39" i="2"/>
  <c r="O36" i="2"/>
  <c r="S38" i="1" l="1"/>
  <c r="O22" i="1" s="1"/>
  <c r="S34" i="1"/>
  <c r="O18" i="1" s="1"/>
  <c r="S32" i="1"/>
  <c r="O16" i="1" s="1"/>
  <c r="N16" i="1" s="1"/>
  <c r="S29" i="1"/>
  <c r="O13" i="1" s="1"/>
  <c r="S28" i="1"/>
  <c r="S31" i="1"/>
  <c r="O15" i="1" s="1"/>
  <c r="S35" i="1"/>
  <c r="O19" i="1" s="1"/>
  <c r="S33" i="1"/>
  <c r="O17" i="1" s="1"/>
  <c r="S39" i="1"/>
  <c r="O23" i="1" s="1"/>
  <c r="S37" i="1"/>
  <c r="O21" i="1" s="1"/>
  <c r="S36" i="1"/>
  <c r="O20" i="1" s="1"/>
  <c r="S30" i="1"/>
  <c r="O14" i="1" s="1"/>
  <c r="T12" i="1"/>
  <c r="U12" i="1" s="1"/>
  <c r="O41" i="2"/>
  <c r="O40" i="2"/>
  <c r="N17" i="1" l="1"/>
  <c r="T17" i="1"/>
  <c r="U17" i="1" s="1"/>
  <c r="P17" i="1"/>
  <c r="Q17" i="1" s="1"/>
  <c r="N19" i="1"/>
  <c r="P19" i="1"/>
  <c r="Q19" i="1" s="1"/>
  <c r="T19" i="1"/>
  <c r="U19" i="1" s="1"/>
  <c r="N15" i="1"/>
  <c r="Q15" i="1"/>
  <c r="P15" i="1"/>
  <c r="N23" i="1"/>
  <c r="P23" i="1"/>
  <c r="Q23" i="1" s="1"/>
  <c r="T23" i="1"/>
  <c r="U23" i="1" s="1"/>
  <c r="N13" i="1"/>
  <c r="Q13" i="1"/>
  <c r="P13" i="1"/>
  <c r="N22" i="1"/>
  <c r="P22" i="1"/>
  <c r="Q22" i="1" s="1"/>
  <c r="T22" i="1"/>
  <c r="U22" i="1" s="1"/>
  <c r="O12" i="1"/>
  <c r="S41" i="1"/>
  <c r="S40" i="1"/>
  <c r="N14" i="1"/>
  <c r="T14" i="1"/>
  <c r="U14" i="1" s="1"/>
  <c r="P14" i="1"/>
  <c r="Q14" i="1" s="1"/>
  <c r="N20" i="1"/>
  <c r="P20" i="1"/>
  <c r="Q20" i="1" s="1"/>
  <c r="T20" i="1"/>
  <c r="U20" i="1" s="1"/>
  <c r="T16" i="1"/>
  <c r="U16" i="1" s="1"/>
  <c r="P16" i="1"/>
  <c r="Q16" i="1" s="1"/>
  <c r="N21" i="1"/>
  <c r="P21" i="1"/>
  <c r="Q21" i="1" s="1"/>
  <c r="T21" i="1"/>
  <c r="U21" i="1" s="1"/>
  <c r="N18" i="1"/>
  <c r="P18" i="1"/>
  <c r="Q18" i="1" s="1"/>
  <c r="T18" i="1"/>
  <c r="U18" i="1" s="1"/>
  <c r="P38" i="2"/>
  <c r="P29" i="2"/>
  <c r="P36" i="2"/>
  <c r="P33" i="2"/>
  <c r="P31" i="2"/>
  <c r="P30" i="2"/>
  <c r="P39" i="2"/>
  <c r="P28" i="2"/>
  <c r="P32" i="2"/>
  <c r="P34" i="2"/>
  <c r="P35" i="2"/>
  <c r="P37" i="2"/>
  <c r="P41" i="2" l="1"/>
  <c r="U24" i="1"/>
  <c r="P12" i="1"/>
  <c r="P24" i="1" s="1"/>
  <c r="N12" i="1"/>
  <c r="Q12" i="1"/>
  <c r="O24" i="1"/>
  <c r="P40" i="2"/>
  <c r="Q24" i="1" l="1"/>
  <c r="Q33" i="2"/>
  <c r="Q32" i="2"/>
  <c r="Q39" i="2"/>
  <c r="Q37" i="2"/>
  <c r="Q30" i="2"/>
  <c r="Q29" i="2"/>
  <c r="Q28" i="2"/>
  <c r="Q41" i="2" s="1"/>
  <c r="Q36" i="2"/>
  <c r="Q38" i="2"/>
  <c r="Q31" i="2"/>
  <c r="Q34" i="2"/>
  <c r="Q35" i="2"/>
  <c r="Q40" i="2" l="1"/>
  <c r="R39" i="2" l="1"/>
  <c r="R37" i="2"/>
  <c r="R28" i="2"/>
  <c r="R34" i="2"/>
  <c r="R38" i="2"/>
  <c r="R36" i="2"/>
  <c r="R35" i="2"/>
  <c r="R31" i="2"/>
  <c r="R32" i="2"/>
  <c r="R33" i="2"/>
  <c r="R29" i="2"/>
  <c r="R30" i="2"/>
  <c r="R41" i="2" l="1"/>
  <c r="R40" i="2"/>
  <c r="S31" i="2" l="1"/>
  <c r="Q15" i="2" s="1"/>
  <c r="S32" i="2"/>
  <c r="Q16" i="2" s="1"/>
  <c r="S28" i="2"/>
  <c r="S39" i="2"/>
  <c r="Q23" i="2" s="1"/>
  <c r="S36" i="2"/>
  <c r="Q20" i="2" s="1"/>
  <c r="S33" i="2"/>
  <c r="Q17" i="2" s="1"/>
  <c r="S29" i="2"/>
  <c r="Q13" i="2" s="1"/>
  <c r="S34" i="2"/>
  <c r="Q18" i="2" s="1"/>
  <c r="S37" i="2"/>
  <c r="Q21" i="2" s="1"/>
  <c r="S30" i="2"/>
  <c r="Q14" i="2" s="1"/>
  <c r="S35" i="2"/>
  <c r="Q19" i="2" s="1"/>
  <c r="S38" i="2"/>
  <c r="Q22" i="2" s="1"/>
  <c r="P17" i="2" l="1"/>
  <c r="R17" i="2"/>
  <c r="S17" i="2" s="1"/>
  <c r="T17" i="2"/>
  <c r="U17" i="2" s="1"/>
  <c r="P13" i="2"/>
  <c r="R13" i="2"/>
  <c r="S13" i="2"/>
  <c r="T13" i="2"/>
  <c r="U13" i="2" s="1"/>
  <c r="P22" i="2"/>
  <c r="R22" i="2"/>
  <c r="S22" i="2" s="1"/>
  <c r="T22" i="2"/>
  <c r="U22" i="2" s="1"/>
  <c r="P14" i="2"/>
  <c r="R14" i="2"/>
  <c r="S14" i="2" s="1"/>
  <c r="T14" i="2"/>
  <c r="U14" i="2" s="1"/>
  <c r="P16" i="2"/>
  <c r="R16" i="2"/>
  <c r="S16" i="2" s="1"/>
  <c r="T16" i="2"/>
  <c r="U16" i="2" s="1"/>
  <c r="P18" i="2"/>
  <c r="R18" i="2"/>
  <c r="S18" i="2" s="1"/>
  <c r="T18" i="2"/>
  <c r="U18" i="2" s="1"/>
  <c r="P20" i="2"/>
  <c r="R20" i="2"/>
  <c r="S20" i="2" s="1"/>
  <c r="T20" i="2"/>
  <c r="U20" i="2" s="1"/>
  <c r="P23" i="2"/>
  <c r="R23" i="2"/>
  <c r="S23" i="2" s="1"/>
  <c r="T23" i="2"/>
  <c r="U23" i="2" s="1"/>
  <c r="P19" i="2"/>
  <c r="R19" i="2"/>
  <c r="S19" i="2" s="1"/>
  <c r="T19" i="2"/>
  <c r="U19" i="2" s="1"/>
  <c r="P21" i="2"/>
  <c r="R21" i="2"/>
  <c r="S21" i="2" s="1"/>
  <c r="T21" i="2"/>
  <c r="U21" i="2" s="1"/>
  <c r="P15" i="2"/>
  <c r="R15" i="2"/>
  <c r="S15" i="2" s="1"/>
  <c r="T15" i="2"/>
  <c r="U15" i="2" s="1"/>
  <c r="S41" i="2"/>
  <c r="Q12" i="2"/>
  <c r="S40" i="2"/>
  <c r="U24" i="2" l="1"/>
  <c r="P12" i="2"/>
  <c r="R12" i="2"/>
  <c r="R24" i="2" s="1"/>
  <c r="S12" i="2"/>
  <c r="Q24" i="2"/>
  <c r="S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Sílvia de Castro Martins</author>
  </authors>
  <commentList>
    <comment ref="E11" authorId="0" shapeId="0" xr:uid="{154CB915-C304-417A-B72F-13856B6062A3}">
      <text>
        <r>
          <rPr>
            <b/>
            <sz val="9"/>
            <color indexed="81"/>
            <rFont val="Segoe UI"/>
            <charset val="1"/>
          </rPr>
          <t>Sílvia de Castro Martins:</t>
        </r>
        <r>
          <rPr>
            <sz val="9"/>
            <color indexed="81"/>
            <rFont val="Segoe UI"/>
            <charset val="1"/>
          </rPr>
          <t xml:space="preserve">
Modelo de Blocos convencional, com valores fixos de recuperação metalúrgica e energia específica dos blocos em função da litologia .</t>
        </r>
      </text>
    </comment>
    <comment ref="M11" authorId="0" shapeId="0" xr:uid="{06068A13-087D-4DBF-9B6D-7E49F707EAB6}">
      <text>
        <r>
          <rPr>
            <b/>
            <sz val="9"/>
            <color indexed="81"/>
            <rFont val="Segoe UI"/>
            <charset val="1"/>
          </rPr>
          <t>Sílvia de Castro Martins:</t>
        </r>
        <r>
          <rPr>
            <sz val="9"/>
            <color indexed="81"/>
            <rFont val="Segoe UI"/>
            <charset val="1"/>
          </rPr>
          <t xml:space="preserve">
Destino definido em função do teor de corte.</t>
        </r>
      </text>
    </comment>
    <comment ref="O11" authorId="0" shapeId="0" xr:uid="{1F191485-4BE8-4250-91EE-1298D1CDDCBA}">
      <text>
        <r>
          <rPr>
            <b/>
            <sz val="9"/>
            <color indexed="81"/>
            <rFont val="Segoe UI"/>
            <charset val="1"/>
          </rPr>
          <t>Sílvia de Castro Martins:</t>
        </r>
        <r>
          <rPr>
            <sz val="9"/>
            <color indexed="81"/>
            <rFont val="Segoe UI"/>
            <charset val="1"/>
          </rPr>
          <t xml:space="preserve">
Valores calculados na tabela abaixo.</t>
        </r>
      </text>
    </comment>
    <comment ref="T11" authorId="0" shapeId="0" xr:uid="{FA2C4462-6B1E-44DD-9CC5-3C9A11A306A8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Considera a restrição pelo teor de corte e a restrição do limite de horas de cominuição da usina.</t>
        </r>
      </text>
    </comment>
    <comment ref="U11" authorId="0" shapeId="0" xr:uid="{7BD11A73-D676-4DCC-9118-D4401C166A5F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Bloco com destino final Estéril e de Estéril* tem valor calculado por V</t>
        </r>
        <r>
          <rPr>
            <vertAlign val="subscript"/>
            <sz val="9"/>
            <color indexed="81"/>
            <rFont val="Segoe UI"/>
            <family val="2"/>
          </rPr>
          <t xml:space="preserve">E </t>
        </r>
        <r>
          <rPr>
            <sz val="9"/>
            <color indexed="81"/>
            <rFont val="Segoe UI"/>
            <family val="2"/>
          </rPr>
          <t>e blocos com destino final de Usina tem valor calculado por V</t>
        </r>
        <r>
          <rPr>
            <vertAlign val="subscript"/>
            <sz val="9"/>
            <color indexed="81"/>
            <rFont val="Segoe UI"/>
            <family val="2"/>
          </rPr>
          <t>P</t>
        </r>
        <r>
          <rPr>
            <sz val="9"/>
            <color indexed="81"/>
            <rFont val="Segoe UI"/>
            <family val="2"/>
          </rPr>
          <t>.</t>
        </r>
      </text>
    </comment>
    <comment ref="K27" authorId="0" shapeId="0" xr:uid="{3A824546-42B0-4759-AE0D-2564735502EF}">
      <text>
        <r>
          <rPr>
            <b/>
            <sz val="9"/>
            <color indexed="81"/>
            <rFont val="Segoe UI"/>
            <charset val="1"/>
          </rPr>
          <t>Sílvia de Castro Martins:</t>
        </r>
        <r>
          <rPr>
            <sz val="9"/>
            <color indexed="81"/>
            <rFont val="Segoe UI"/>
            <charset val="1"/>
          </rPr>
          <t xml:space="preserve">
Tabela que restringe os blocos enviados para a usina com base na limitação das horas de funcionamento da usina.</t>
        </r>
      </text>
    </comment>
    <comment ref="K40" authorId="0" shapeId="0" xr:uid="{A7FDFECD-ABA9-43DC-87F7-4360B032C43D}">
      <text>
        <r>
          <rPr>
            <b/>
            <sz val="9"/>
            <color indexed="81"/>
            <rFont val="Segoe UI"/>
            <charset val="1"/>
          </rPr>
          <t>Sílvia de Castro Martins:</t>
        </r>
        <r>
          <rPr>
            <sz val="9"/>
            <color indexed="81"/>
            <rFont val="Segoe UI"/>
            <charset val="1"/>
          </rPr>
          <t xml:space="preserve">
Soma das horas de processamento dos blocos.  Se a célula ficar em verde, o total das horas de cominuição atende as limitações de tempo de funcionamento da usina. Se a célula ficar vermelha, indica que o tempo total de cominuição dos blocos enviados para a usina extrapola o limite de horas de funcionamento da usina. Nesse caso, acontece a exclusão de blocos em função do menor valor econômico da Usina. A exclusão dos blocos acontece um a um, até que a soma das horas respeite o limite de horas de processamento total da usina.</t>
        </r>
      </text>
    </comment>
    <comment ref="K41" authorId="0" shapeId="0" xr:uid="{744876DB-802E-4746-BBDC-CD5D15666800}">
      <text>
        <r>
          <rPr>
            <b/>
            <sz val="9"/>
            <color indexed="81"/>
            <rFont val="Segoe UI"/>
            <charset val="1"/>
          </rPr>
          <t>Sílvia de Castro Martins:</t>
        </r>
        <r>
          <rPr>
            <sz val="9"/>
            <color indexed="81"/>
            <rFont val="Segoe UI"/>
            <charset val="1"/>
          </rPr>
          <t xml:space="preserve">
Soma o número de blocos de estéril.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Sílvia de Castro Martins</author>
  </authors>
  <commentList>
    <comment ref="E11" authorId="0" shapeId="0" xr:uid="{A3654470-E0DA-4EF9-A5C0-F53D3E08161B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Modelo de blocos geometalúrgico, com recuperações metalúrgicas e energia específicas variáveis bloco a bloco.</t>
        </r>
      </text>
    </comment>
    <comment ref="M11" authorId="0" shapeId="0" xr:uid="{66B35B23-A8D7-46A8-AC79-4A51EA0B450C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Valor econômico do bloco caso ele seja destinado para a Usina.</t>
        </r>
      </text>
    </comment>
    <comment ref="N11" authorId="0" shapeId="0" xr:uid="{0624DF81-E81A-4E39-853B-3937BB75BBB8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Valor econômico do bloco caso ele seja direcionado para a pilha de Estéril.</t>
        </r>
      </text>
    </comment>
    <comment ref="O11" authorId="0" shapeId="0" xr:uid="{9C2F7622-1029-4D2A-8F3A-0EB0EC8D8326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Destino baseado somente no valor econômico do bloco para Usina e Estéril.</t>
        </r>
      </text>
    </comment>
    <comment ref="Q11" authorId="0" shapeId="0" xr:uid="{6051BB3E-1F19-49D9-9DAF-96A2FAD5193D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Valor calculado na tabela abaixo.</t>
        </r>
      </text>
    </comment>
    <comment ref="T11" authorId="0" shapeId="0" xr:uid="{15A6EE1B-F6C5-4A1A-82E9-F2AAE8F97EAC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Destino baseado no valor econômico do bloco e também na limitação de tempo de cominuição da Usina.</t>
        </r>
      </text>
    </comment>
    <comment ref="U11" authorId="0" shapeId="0" xr:uid="{C0453103-829A-4CF5-8CC0-7A6387C47444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Blocos com destino final de Usina têm valores calculados por V</t>
        </r>
        <r>
          <rPr>
            <vertAlign val="subscript"/>
            <sz val="9"/>
            <color indexed="81"/>
            <rFont val="Segoe UI"/>
            <family val="2"/>
          </rPr>
          <t>P</t>
        </r>
        <r>
          <rPr>
            <sz val="9"/>
            <color indexed="81"/>
            <rFont val="Segoe UI"/>
            <family val="2"/>
          </rPr>
          <t xml:space="preserve"> e blocos com destino final de Estéril ou Estéril* têm valores calculados por V</t>
        </r>
        <r>
          <rPr>
            <vertAlign val="subscript"/>
            <sz val="9"/>
            <color indexed="81"/>
            <rFont val="Segoe UI"/>
            <family val="2"/>
          </rPr>
          <t>E</t>
        </r>
        <r>
          <rPr>
            <sz val="9"/>
            <color indexed="81"/>
            <rFont val="Segoe UI"/>
            <family val="2"/>
          </rPr>
          <t>.</t>
        </r>
      </text>
    </comment>
    <comment ref="K27" authorId="0" shapeId="0" xr:uid="{13E3E4D6-5B47-48C5-8681-3A258EE92E2F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Tabela que restringe os blocos enviados para a usina com base na limitação das horas de funcionamento da usina.</t>
        </r>
      </text>
    </comment>
    <comment ref="K40" authorId="0" shapeId="0" xr:uid="{1EA9A331-BFD0-4C96-B909-AC185473D45D}">
      <text>
        <r>
          <rPr>
            <b/>
            <sz val="9"/>
            <color indexed="81"/>
            <rFont val="Segoe UI"/>
            <family val="2"/>
          </rPr>
          <t>Sílvia de Castro Martins:</t>
        </r>
        <r>
          <rPr>
            <sz val="9"/>
            <color indexed="81"/>
            <rFont val="Segoe UI"/>
            <family val="2"/>
          </rPr>
          <t xml:space="preserve">
Soma das horas de processamento dos blocos.  Se a célula ficar em verde, o total das horas de cominuição atende as limitações de tempo de funcionamento da usina. Se a célula ficar vermelha, indica que o tempo total de cominuição dos blocos enviados para a usina extrapola o limite de horas de funcionamento da usina. Nesse caso, acontece a exclusão de blocos em função do menor valor econômico da Usina. A exclusão dos blocos acontece um a um, até que a soma das horas respeite o limite de horas de processamento total da usina.</t>
        </r>
      </text>
    </comment>
  </commentList>
</comments>
</file>

<file path=xl/sharedStrings.xml><?xml version="1.0" encoding="utf-8"?>
<sst xmlns="http://schemas.openxmlformats.org/spreadsheetml/2006/main" count="156" uniqueCount="66">
  <si>
    <t>Dimensões do bloco</t>
  </si>
  <si>
    <t>Dy</t>
  </si>
  <si>
    <t>Dx</t>
  </si>
  <si>
    <t>Dz</t>
  </si>
  <si>
    <t>Valores</t>
  </si>
  <si>
    <t>Dx (m)</t>
  </si>
  <si>
    <t>Dy (m)</t>
  </si>
  <si>
    <t>Dz (m)</t>
  </si>
  <si>
    <t>Preço de venda (US$)</t>
  </si>
  <si>
    <t>Custo de venda (US$)</t>
  </si>
  <si>
    <t>Custo de processo (US$/t)</t>
  </si>
  <si>
    <t>Custo de mina (US$/t)</t>
  </si>
  <si>
    <t>Potência moinhos (kW)</t>
  </si>
  <si>
    <t>Taxa de desconto anual (%)</t>
  </si>
  <si>
    <t>Blocos</t>
  </si>
  <si>
    <t>Dados da Mina-Usina</t>
  </si>
  <si>
    <t>Teor de corte (%)</t>
  </si>
  <si>
    <t>g (%)</t>
  </si>
  <si>
    <t>R (%)</t>
  </si>
  <si>
    <t>E (kWh/t)</t>
  </si>
  <si>
    <r>
      <t>T</t>
    </r>
    <r>
      <rPr>
        <b/>
        <i/>
        <vertAlign val="subscript"/>
        <sz val="10"/>
        <color rgb="FF000000"/>
        <rFont val="Arial"/>
        <family val="2"/>
      </rPr>
      <t>b</t>
    </r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</si>
  <si>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</si>
  <si>
    <r>
      <t>M</t>
    </r>
    <r>
      <rPr>
        <b/>
        <i/>
        <vertAlign val="subscript"/>
        <sz val="10"/>
        <color rgb="FF000000"/>
        <rFont val="Arial"/>
        <family val="2"/>
      </rPr>
      <t>Cu</t>
    </r>
  </si>
  <si>
    <r>
      <t>T</t>
    </r>
    <r>
      <rPr>
        <b/>
        <i/>
        <vertAlign val="subscript"/>
        <sz val="10"/>
        <color rgb="FF000000"/>
        <rFont val="Arial"/>
        <family val="2"/>
      </rPr>
      <t>Cu</t>
    </r>
  </si>
  <si>
    <r>
      <t>V</t>
    </r>
    <r>
      <rPr>
        <b/>
        <i/>
        <vertAlign val="subscript"/>
        <sz val="10"/>
        <color rgb="FF000000"/>
        <rFont val="Arial"/>
        <family val="2"/>
      </rPr>
      <t>P</t>
    </r>
  </si>
  <si>
    <r>
      <t>V</t>
    </r>
    <r>
      <rPr>
        <b/>
        <i/>
        <vertAlign val="subscript"/>
        <sz val="10"/>
        <color rgb="FF000000"/>
        <rFont val="Arial"/>
        <family val="2"/>
      </rPr>
      <t>E</t>
    </r>
  </si>
  <si>
    <r>
      <t>M</t>
    </r>
    <r>
      <rPr>
        <b/>
        <i/>
        <vertAlign val="subscript"/>
        <sz val="10"/>
        <color rgb="FF000000"/>
        <rFont val="Arial"/>
        <family val="2"/>
      </rPr>
      <t>b</t>
    </r>
  </si>
  <si>
    <t>Valor do bloco</t>
  </si>
  <si>
    <r>
      <t>ρ (t/m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)</t>
    </r>
  </si>
  <si>
    <t>-</t>
  </si>
  <si>
    <t>Total</t>
  </si>
  <si>
    <t>Legenda</t>
  </si>
  <si>
    <t>Dimensão do bloco no eixo y</t>
  </si>
  <si>
    <t>Dimensão do bloco no eixo z</t>
  </si>
  <si>
    <t>Dimensão do bloco no eixo x</t>
  </si>
  <si>
    <t>g</t>
  </si>
  <si>
    <t>teor do bloc</t>
  </si>
  <si>
    <t>ρ</t>
  </si>
  <si>
    <t>Densidade do bloco</t>
  </si>
  <si>
    <t>R</t>
  </si>
  <si>
    <t>Recuperação metalúrgica do bloco</t>
  </si>
  <si>
    <t>E</t>
  </si>
  <si>
    <t>Energia específica do bloco</t>
  </si>
  <si>
    <t>Massa do bloco</t>
  </si>
  <si>
    <t>Taxa de alimentação do bloco na usina</t>
  </si>
  <si>
    <t>Tempo de cominuição</t>
  </si>
  <si>
    <t>Massa de cobre produzida</t>
  </si>
  <si>
    <t>Taxa de produção do cobre</t>
  </si>
  <si>
    <t>Valor econômico do bloco, se minério</t>
  </si>
  <si>
    <t>Valor econômico do bloco, se estéril</t>
  </si>
  <si>
    <t>Dados de entrada</t>
  </si>
  <si>
    <t>Resultados da abordagem convencional</t>
  </si>
  <si>
    <t>Resultados da abordagem geometalúrgica</t>
  </si>
  <si>
    <t>Destino 1</t>
  </si>
  <si>
    <t>Destino final</t>
  </si>
  <si>
    <t>Funcionamento diário da usina (h)</t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</si>
  <si>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1</t>
    </r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</si>
  <si>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</si>
  <si>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</si>
  <si>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</si>
  <si>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</si>
  <si>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</si>
  <si>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t>Contagem de estéril</t>
  </si>
  <si>
    <r>
      <t>t</t>
    </r>
    <r>
      <rPr>
        <b/>
        <i/>
        <vertAlign val="subscript"/>
        <sz val="10"/>
        <color rgb="FF000000"/>
        <rFont val="Arial"/>
        <family val="2"/>
      </rPr>
      <t>C</t>
    </r>
    <r>
      <rPr>
        <b/>
        <i/>
        <sz val="10"/>
        <color rgb="FF000000"/>
        <rFont val="Arial"/>
        <family val="2"/>
      </rPr>
      <t>final</t>
    </r>
  </si>
  <si>
    <t>Teste para o tempo total dos blocos na usina</t>
  </si>
  <si>
    <t>Equações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</si>
</sst>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b/>
      <i/>
      <vertAlign val="subscript"/>
      <sz val="10"/>
      <color rgb="FF000000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vertAlign val="subscript"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2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7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8</xdr:row>
      <xdr:rowOff>95250</xdr:rowOff>
    </xdr:from>
    <xdr:to>
      <xdr:col>11</xdr:col>
      <xdr:colOff>676276</xdr:colOff>
      <xdr:row>9</xdr:row>
      <xdr:rowOff>99775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8C0335-4985-4D9E-8EC4-0250420C1B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06" t="-1" r="43471" b="16129"/>
        <a:stretch/>
      </xdr:blipFill>
      <xdr:spPr bwMode="auto">
        <a:xfrm>
          <a:off x="8629650" y="1666875"/>
          <a:ext cx="600076" cy="19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8</xdr:row>
      <xdr:rowOff>28575</xdr:rowOff>
    </xdr:from>
    <xdr:to>
      <xdr:col>13</xdr:col>
      <xdr:colOff>695326</xdr:colOff>
      <xdr:row>9</xdr:row>
      <xdr:rowOff>178210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8916E96-4757-4067-88CA-153F78DF1B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628" r="45124" b="14583"/>
        <a:stretch/>
      </xdr:blipFill>
      <xdr:spPr bwMode="auto">
        <a:xfrm>
          <a:off x="10096500" y="1590675"/>
          <a:ext cx="514351" cy="340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106801</xdr:colOff>
      <xdr:row>8</xdr:row>
      <xdr:rowOff>28575</xdr:rowOff>
    </xdr:from>
    <xdr:to>
      <xdr:col>14</xdr:col>
      <xdr:colOff>647701</xdr:colOff>
      <xdr:row>10</xdr:row>
      <xdr:rowOff>11907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D69A174-9717-01F1-1EFD-C9AD3BF76D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628" r="44132" b="7843"/>
        <a:stretch/>
      </xdr:blipFill>
      <xdr:spPr bwMode="auto">
        <a:xfrm>
          <a:off x="10955776" y="1600200"/>
          <a:ext cx="540900" cy="37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1066800</xdr:colOff>
      <xdr:row>8</xdr:row>
      <xdr:rowOff>19051</xdr:rowOff>
    </xdr:from>
    <xdr:to>
      <xdr:col>17</xdr:col>
      <xdr:colOff>1085850</xdr:colOff>
      <xdr:row>9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5460E38-21E1-AC8C-245F-A1A63451B3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12" t="2941" r="46946" b="23413"/>
        <a:stretch/>
      </xdr:blipFill>
      <xdr:spPr bwMode="auto">
        <a:xfrm>
          <a:off x="13877925" y="1590676"/>
          <a:ext cx="109537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9</xdr:row>
      <xdr:rowOff>19049</xdr:rowOff>
    </xdr:from>
    <xdr:to>
      <xdr:col>17</xdr:col>
      <xdr:colOff>1095375</xdr:colOff>
      <xdr:row>9</xdr:row>
      <xdr:rowOff>191720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09DCA83-BBDD-4E54-A0B5-A967643625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94" t="11122" r="26942" b="14706"/>
        <a:stretch/>
      </xdr:blipFill>
      <xdr:spPr bwMode="auto">
        <a:xfrm>
          <a:off x="14135100" y="1781174"/>
          <a:ext cx="847725" cy="172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276225</xdr:colOff>
      <xdr:row>8</xdr:row>
      <xdr:rowOff>85725</xdr:rowOff>
    </xdr:from>
    <xdr:to>
      <xdr:col>18</xdr:col>
      <xdr:colOff>1000125</xdr:colOff>
      <xdr:row>9</xdr:row>
      <xdr:rowOff>108138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1B248DD-B176-40BA-4CC7-4BEDC48A5D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88" r="41653" b="3225"/>
        <a:stretch/>
      </xdr:blipFill>
      <xdr:spPr bwMode="auto">
        <a:xfrm>
          <a:off x="15278100" y="1657350"/>
          <a:ext cx="723900" cy="21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8</xdr:row>
      <xdr:rowOff>76199</xdr:rowOff>
    </xdr:from>
    <xdr:to>
      <xdr:col>16</xdr:col>
      <xdr:colOff>38101</xdr:colOff>
      <xdr:row>9</xdr:row>
      <xdr:rowOff>144600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1F584C-FB8F-4462-58A4-8EA30B4B08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78" t="3227" r="38512" b="-3226"/>
        <a:stretch/>
      </xdr:blipFill>
      <xdr:spPr bwMode="auto">
        <a:xfrm>
          <a:off x="11696700" y="1647824"/>
          <a:ext cx="1152526" cy="25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8</xdr:row>
      <xdr:rowOff>28576</xdr:rowOff>
    </xdr:from>
    <xdr:to>
      <xdr:col>16</xdr:col>
      <xdr:colOff>876300</xdr:colOff>
      <xdr:row>10</xdr:row>
      <xdr:rowOff>38101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760A5465-1908-3AAF-8F7B-AB182E28D0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40" r="42810"/>
        <a:stretch/>
      </xdr:blipFill>
      <xdr:spPr bwMode="auto">
        <a:xfrm>
          <a:off x="13020675" y="1600201"/>
          <a:ext cx="6667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8</xdr:row>
      <xdr:rowOff>95250</xdr:rowOff>
    </xdr:from>
    <xdr:to>
      <xdr:col>11</xdr:col>
      <xdr:colOff>676276</xdr:colOff>
      <xdr:row>9</xdr:row>
      <xdr:rowOff>99775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6BEED7-67BF-430C-A513-C299B50C9D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06" t="-1" r="43471" b="16129"/>
        <a:stretch/>
      </xdr:blipFill>
      <xdr:spPr bwMode="auto">
        <a:xfrm>
          <a:off x="8629650" y="1666875"/>
          <a:ext cx="600076" cy="19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8</xdr:row>
      <xdr:rowOff>57150</xdr:rowOff>
    </xdr:from>
    <xdr:to>
      <xdr:col>15</xdr:col>
      <xdr:colOff>628651</xdr:colOff>
      <xdr:row>10</xdr:row>
      <xdr:rowOff>6760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6EB483D-99A7-4B79-B147-5A43417FF1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628" r="45124" b="14583"/>
        <a:stretch/>
      </xdr:blipFill>
      <xdr:spPr bwMode="auto">
        <a:xfrm>
          <a:off x="12411075" y="1628775"/>
          <a:ext cx="514351" cy="340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163951</xdr:colOff>
      <xdr:row>8</xdr:row>
      <xdr:rowOff>38100</xdr:rowOff>
    </xdr:from>
    <xdr:to>
      <xdr:col>16</xdr:col>
      <xdr:colOff>704851</xdr:colOff>
      <xdr:row>10</xdr:row>
      <xdr:rowOff>21432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78EBB0E-59F0-424A-B94D-A3888F39BB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628" r="44132" b="7843"/>
        <a:stretch/>
      </xdr:blipFill>
      <xdr:spPr bwMode="auto">
        <a:xfrm>
          <a:off x="13270351" y="1609725"/>
          <a:ext cx="540900" cy="37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8</xdr:row>
      <xdr:rowOff>38101</xdr:rowOff>
    </xdr:from>
    <xdr:to>
      <xdr:col>13</xdr:col>
      <xdr:colOff>66675</xdr:colOff>
      <xdr:row>9</xdr:row>
      <xdr:rowOff>19050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E5BDA54-F3DB-413B-BCAC-053711C263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12" t="2941" r="46946" b="23413"/>
        <a:stretch/>
      </xdr:blipFill>
      <xdr:spPr bwMode="auto">
        <a:xfrm>
          <a:off x="9429750" y="1609726"/>
          <a:ext cx="109537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342900</xdr:colOff>
      <xdr:row>9</xdr:row>
      <xdr:rowOff>9524</xdr:rowOff>
    </xdr:from>
    <xdr:to>
      <xdr:col>13</xdr:col>
      <xdr:colOff>76200</xdr:colOff>
      <xdr:row>9</xdr:row>
      <xdr:rowOff>182195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ED701D1-1C62-4F54-B0F5-737FEDB2DD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94" t="11122" r="26942" b="14706"/>
        <a:stretch/>
      </xdr:blipFill>
      <xdr:spPr bwMode="auto">
        <a:xfrm>
          <a:off x="9686925" y="1771649"/>
          <a:ext cx="847725" cy="172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238125</xdr:colOff>
      <xdr:row>8</xdr:row>
      <xdr:rowOff>114300</xdr:rowOff>
    </xdr:from>
    <xdr:to>
      <xdr:col>13</xdr:col>
      <xdr:colOff>962025</xdr:colOff>
      <xdr:row>9</xdr:row>
      <xdr:rowOff>136713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9B39242-A5E9-4329-A408-53FD6BA853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88" r="41653" b="3225"/>
        <a:stretch/>
      </xdr:blipFill>
      <xdr:spPr bwMode="auto">
        <a:xfrm>
          <a:off x="10696575" y="1685925"/>
          <a:ext cx="723900" cy="21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85725</xdr:colOff>
      <xdr:row>8</xdr:row>
      <xdr:rowOff>85724</xdr:rowOff>
    </xdr:from>
    <xdr:to>
      <xdr:col>17</xdr:col>
      <xdr:colOff>1238251</xdr:colOff>
      <xdr:row>9</xdr:row>
      <xdr:rowOff>154125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FDF9914-A5D3-497D-954A-DAE09BF72D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78" t="3227" r="38512" b="-3226"/>
        <a:stretch/>
      </xdr:blipFill>
      <xdr:spPr bwMode="auto">
        <a:xfrm>
          <a:off x="14020800" y="1657349"/>
          <a:ext cx="1152526" cy="258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8</xdr:row>
      <xdr:rowOff>47625</xdr:rowOff>
    </xdr:from>
    <xdr:to>
      <xdr:col>18</xdr:col>
      <xdr:colOff>828675</xdr:colOff>
      <xdr:row>10</xdr:row>
      <xdr:rowOff>57150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4E99EC5B-F8AC-4177-80C9-4A6A1C46FE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40" r="42810"/>
        <a:stretch/>
      </xdr:blipFill>
      <xdr:spPr bwMode="auto">
        <a:xfrm>
          <a:off x="15344775" y="1619250"/>
          <a:ext cx="6667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27BB-8290-4A46-B47E-ACF54A130965}">
  <dimension ref="B1:V41"/>
  <sheetViews>
    <sheetView showGridLines="0" tabSelected="1" workbookViewId="0">
      <selection activeCell="U25" sqref="U25"/>
    </sheetView>
  </sheetViews>
  <sheetFormatPr defaultRowHeight="15" x14ac:dyDescent="0.25"/>
  <cols>
    <col min="1" max="1" width="3.7109375" style="1" customWidth="1"/>
    <col min="2" max="2" width="7.5703125" style="1" customWidth="1"/>
    <col min="3" max="3" width="41" style="1" bestFit="1" customWidth="1"/>
    <col min="4" max="4" width="3.7109375" style="1" customWidth="1"/>
    <col min="5" max="6" width="9.140625" style="1"/>
    <col min="7" max="7" width="10.42578125" style="1" bestFit="1" customWidth="1"/>
    <col min="8" max="8" width="10.42578125" style="1" customWidth="1"/>
    <col min="9" max="9" width="9.85546875" style="1" customWidth="1"/>
    <col min="10" max="10" width="12.42578125" style="1" bestFit="1" customWidth="1"/>
    <col min="11" max="11" width="10.85546875" style="1" customWidth="1"/>
    <col min="12" max="12" width="10.28515625" style="1" customWidth="1"/>
    <col min="13" max="13" width="10.140625" style="1" bestFit="1" customWidth="1"/>
    <col min="14" max="14" width="14" style="1" customWidth="1"/>
    <col min="15" max="15" width="12.7109375" style="1" customWidth="1"/>
    <col min="16" max="16" width="16.7109375" style="1" customWidth="1"/>
    <col min="17" max="17" width="16.140625" style="1" customWidth="1"/>
    <col min="18" max="18" width="16.7109375" style="1" customWidth="1"/>
    <col min="19" max="19" width="18.42578125" style="1" customWidth="1"/>
    <col min="20" max="20" width="14.85546875" style="1" customWidth="1"/>
    <col min="21" max="21" width="14.85546875" style="1" bestFit="1" customWidth="1"/>
    <col min="22" max="22" width="9.85546875" style="1" bestFit="1" customWidth="1"/>
    <col min="23" max="16384" width="9.140625" style="1"/>
  </cols>
  <sheetData>
    <row r="1" spans="2:22" ht="15.75" thickBot="1" x14ac:dyDescent="0.3"/>
    <row r="2" spans="2:22" ht="15.75" thickBot="1" x14ac:dyDescent="0.3">
      <c r="B2" s="75" t="s">
        <v>31</v>
      </c>
      <c r="C2" s="76"/>
      <c r="E2" s="86" t="s">
        <v>0</v>
      </c>
      <c r="F2" s="87"/>
      <c r="G2" s="88"/>
      <c r="I2" s="86" t="s">
        <v>4</v>
      </c>
      <c r="J2" s="87"/>
      <c r="K2" s="87"/>
      <c r="L2" s="88"/>
      <c r="N2" s="83" t="s">
        <v>15</v>
      </c>
      <c r="O2" s="84"/>
      <c r="P2" s="84"/>
      <c r="Q2" s="85"/>
    </row>
    <row r="3" spans="2:22" x14ac:dyDescent="0.25">
      <c r="B3" s="20" t="s">
        <v>2</v>
      </c>
      <c r="C3" s="21" t="s">
        <v>34</v>
      </c>
      <c r="E3" s="77" t="s">
        <v>5</v>
      </c>
      <c r="F3" s="78"/>
      <c r="G3" s="6">
        <v>10</v>
      </c>
      <c r="I3" s="77" t="s">
        <v>8</v>
      </c>
      <c r="J3" s="78"/>
      <c r="K3" s="78"/>
      <c r="L3" s="11">
        <v>8875</v>
      </c>
      <c r="N3" s="77" t="s">
        <v>12</v>
      </c>
      <c r="O3" s="78"/>
      <c r="P3" s="78"/>
      <c r="Q3" s="5">
        <v>20000</v>
      </c>
    </row>
    <row r="4" spans="2:22" x14ac:dyDescent="0.25">
      <c r="B4" s="18" t="s">
        <v>1</v>
      </c>
      <c r="C4" s="22" t="s">
        <v>32</v>
      </c>
      <c r="E4" s="81" t="s">
        <v>6</v>
      </c>
      <c r="F4" s="82"/>
      <c r="G4" s="7">
        <v>10</v>
      </c>
      <c r="I4" s="81" t="s">
        <v>9</v>
      </c>
      <c r="J4" s="82"/>
      <c r="K4" s="82"/>
      <c r="L4" s="12">
        <v>1500</v>
      </c>
      <c r="N4" s="81" t="s">
        <v>16</v>
      </c>
      <c r="O4" s="82"/>
      <c r="P4" s="82"/>
      <c r="Q4" s="7">
        <v>0.3</v>
      </c>
    </row>
    <row r="5" spans="2:22" ht="15.75" thickBot="1" x14ac:dyDescent="0.3">
      <c r="B5" s="18" t="s">
        <v>3</v>
      </c>
      <c r="C5" s="22" t="s">
        <v>33</v>
      </c>
      <c r="E5" s="79" t="s">
        <v>7</v>
      </c>
      <c r="F5" s="80"/>
      <c r="G5" s="8">
        <v>10</v>
      </c>
      <c r="I5" s="81" t="s">
        <v>10</v>
      </c>
      <c r="J5" s="82"/>
      <c r="K5" s="82"/>
      <c r="L5" s="12">
        <v>11</v>
      </c>
      <c r="N5" s="79" t="s">
        <v>55</v>
      </c>
      <c r="O5" s="80"/>
      <c r="P5" s="80"/>
      <c r="Q5" s="31">
        <f>0.92*24</f>
        <v>22.080000000000002</v>
      </c>
    </row>
    <row r="6" spans="2:22" x14ac:dyDescent="0.25">
      <c r="B6" s="18" t="s">
        <v>35</v>
      </c>
      <c r="C6" s="22" t="s">
        <v>36</v>
      </c>
      <c r="I6" s="81" t="s">
        <v>11</v>
      </c>
      <c r="J6" s="82"/>
      <c r="K6" s="82"/>
      <c r="L6" s="12">
        <v>4</v>
      </c>
      <c r="Q6"/>
    </row>
    <row r="7" spans="2:22" ht="15.75" thickBot="1" x14ac:dyDescent="0.3">
      <c r="B7" s="19" t="s">
        <v>37</v>
      </c>
      <c r="C7" s="22" t="s">
        <v>38</v>
      </c>
      <c r="I7" s="79" t="s">
        <v>13</v>
      </c>
      <c r="J7" s="80"/>
      <c r="K7" s="80"/>
      <c r="L7" s="13">
        <v>10</v>
      </c>
    </row>
    <row r="8" spans="2:22" ht="15.75" thickBot="1" x14ac:dyDescent="0.3">
      <c r="B8" s="18" t="s">
        <v>39</v>
      </c>
      <c r="C8" s="22" t="s">
        <v>40</v>
      </c>
    </row>
    <row r="9" spans="2:22" x14ac:dyDescent="0.25">
      <c r="B9" s="18" t="s">
        <v>41</v>
      </c>
      <c r="C9" s="22" t="s">
        <v>42</v>
      </c>
      <c r="K9" s="89" t="s">
        <v>65</v>
      </c>
      <c r="L9" s="90"/>
      <c r="M9" s="91"/>
      <c r="N9" s="90"/>
      <c r="O9" s="91"/>
      <c r="P9" s="91"/>
      <c r="Q9" s="91"/>
      <c r="R9" s="91"/>
      <c r="S9" s="91"/>
      <c r="T9" s="91"/>
      <c r="U9" s="92"/>
    </row>
    <row r="10" spans="2:22" ht="15.75" thickBot="1" x14ac:dyDescent="0.3">
      <c r="B10" s="17" t="s">
        <v>26</v>
      </c>
      <c r="C10" s="22" t="s">
        <v>43</v>
      </c>
      <c r="K10" s="93"/>
      <c r="L10" s="94"/>
      <c r="M10" s="95"/>
      <c r="N10" s="94"/>
      <c r="O10" s="95"/>
      <c r="P10" s="95"/>
      <c r="Q10" s="95"/>
      <c r="R10" s="95"/>
      <c r="S10" s="95"/>
      <c r="T10" s="95"/>
      <c r="U10" s="96"/>
    </row>
    <row r="11" spans="2:22" ht="18" thickBot="1" x14ac:dyDescent="0.3">
      <c r="B11" s="17" t="s">
        <v>20</v>
      </c>
      <c r="C11" s="22" t="s">
        <v>44</v>
      </c>
      <c r="E11" s="57" t="s">
        <v>14</v>
      </c>
      <c r="F11" s="58" t="s">
        <v>17</v>
      </c>
      <c r="G11" s="59" t="s">
        <v>28</v>
      </c>
      <c r="H11" s="58" t="s">
        <v>18</v>
      </c>
      <c r="I11" s="60" t="s">
        <v>19</v>
      </c>
      <c r="J11" s="14"/>
      <c r="K11" s="26" t="s">
        <v>14</v>
      </c>
      <c r="L11" s="27" t="s">
        <v>26</v>
      </c>
      <c r="M11" s="27" t="s">
        <v>53</v>
      </c>
      <c r="N11" s="27" t="s">
        <v>20</v>
      </c>
      <c r="O11" s="27" t="s">
        <v>21</v>
      </c>
      <c r="P11" s="27" t="s">
        <v>22</v>
      </c>
      <c r="Q11" s="27" t="s">
        <v>23</v>
      </c>
      <c r="R11" s="27" t="s">
        <v>24</v>
      </c>
      <c r="S11" s="27" t="s">
        <v>25</v>
      </c>
      <c r="T11" s="51" t="s">
        <v>54</v>
      </c>
      <c r="U11" s="52" t="s">
        <v>27</v>
      </c>
      <c r="V11" s="46"/>
    </row>
    <row r="12" spans="2:22" x14ac:dyDescent="0.25">
      <c r="B12" s="17" t="s">
        <v>21</v>
      </c>
      <c r="C12" s="22" t="s">
        <v>45</v>
      </c>
      <c r="E12" s="15">
        <v>1</v>
      </c>
      <c r="F12" s="3">
        <v>0.18</v>
      </c>
      <c r="G12" s="3">
        <v>2.85</v>
      </c>
      <c r="H12" s="34">
        <v>72</v>
      </c>
      <c r="I12" s="32">
        <v>13.3</v>
      </c>
      <c r="J12" s="3"/>
      <c r="K12" s="23">
        <v>1</v>
      </c>
      <c r="L12" s="49">
        <f>$G$3*$G$4*$G$5*G12</f>
        <v>2850</v>
      </c>
      <c r="M12" s="2" t="str">
        <f>IF(F12&lt;$Q$4, "Estéril", "Usina")</f>
        <v>Estéril</v>
      </c>
      <c r="N12" s="2" t="str">
        <f>IF(O12="-", "-", $Q$3/I12)</f>
        <v>-</v>
      </c>
      <c r="O12" s="37" t="str">
        <f>S28</f>
        <v>-</v>
      </c>
      <c r="P12" s="2" t="str">
        <f>IF(O12="-","-", F12/100*H12/100*L12)</f>
        <v>-</v>
      </c>
      <c r="Q12" s="2" t="str">
        <f>IF(O12="-","-", P12/O12)</f>
        <v>-</v>
      </c>
      <c r="R12" s="10">
        <f>(L12*F12/100*H12/100*($L$3-$L$4))-(L12*($L$5+$L$6))</f>
        <v>-15509.7</v>
      </c>
      <c r="S12" s="10">
        <f>-(L12*$L$6)</f>
        <v>-11400</v>
      </c>
      <c r="T12" s="10" t="str">
        <f>IF(L28="-", "Estéril",IF(O12="-","Estéril*","Usina"))</f>
        <v>Estéril</v>
      </c>
      <c r="U12" s="11">
        <f>IF(T12="Estéril",S12,IF(T12="Estéril*", S12,R12))</f>
        <v>-11400</v>
      </c>
      <c r="V12" s="9"/>
    </row>
    <row r="13" spans="2:22" x14ac:dyDescent="0.25">
      <c r="B13" s="17" t="s">
        <v>22</v>
      </c>
      <c r="C13" s="22" t="s">
        <v>46</v>
      </c>
      <c r="E13" s="15">
        <v>2</v>
      </c>
      <c r="F13" s="3">
        <v>0.26</v>
      </c>
      <c r="G13" s="3">
        <v>2.98</v>
      </c>
      <c r="H13" s="34">
        <v>81.099999999999994</v>
      </c>
      <c r="I13" s="32">
        <v>15.2</v>
      </c>
      <c r="J13" s="3"/>
      <c r="K13" s="15">
        <v>2</v>
      </c>
      <c r="L13" s="50">
        <f>$G$3*$G$4*$G$5*G13</f>
        <v>2980</v>
      </c>
      <c r="M13" s="1" t="str">
        <f>IF(F13&lt;$Q$4, "Estéril", "Usina")</f>
        <v>Estéril</v>
      </c>
      <c r="N13" s="1" t="str">
        <f>IF(O13="-", "-", $Q$3/I13)</f>
        <v>-</v>
      </c>
      <c r="O13" s="38" t="str">
        <f t="shared" ref="O13:O23" si="0">S29</f>
        <v>-</v>
      </c>
      <c r="P13" s="1" t="str">
        <f>IF(O13="-","-", F13/100*H13/100*L13)</f>
        <v>-</v>
      </c>
      <c r="Q13" s="1" t="str">
        <f t="shared" ref="Q13:Q23" si="1">IF(O13="-","-", P13/O13)</f>
        <v>-</v>
      </c>
      <c r="R13" s="9">
        <f>(L13*F13/100*H13/100*($L$3-$L$4))-(L13*($L$5+$L$6))</f>
        <v>1641.7565000000031</v>
      </c>
      <c r="S13" s="9">
        <f t="shared" ref="S13:S23" si="2">-(L13*$L$6)</f>
        <v>-11920</v>
      </c>
      <c r="T13" s="9" t="str">
        <f t="shared" ref="T13:T23" si="3">IF(L29="-", "Estéril",IF(O13="-","Estéril*","Usina"))</f>
        <v>Estéril</v>
      </c>
      <c r="U13" s="12">
        <f t="shared" ref="U13:U23" si="4">IF(T13="Estéril",S13,IF(T13="Estéril*", S13,R13))</f>
        <v>-11920</v>
      </c>
      <c r="V13" s="9"/>
    </row>
    <row r="14" spans="2:22" x14ac:dyDescent="0.25">
      <c r="B14" s="17" t="s">
        <v>23</v>
      </c>
      <c r="C14" s="22" t="s">
        <v>47</v>
      </c>
      <c r="E14" s="15">
        <v>3</v>
      </c>
      <c r="F14" s="3">
        <v>0.28999999999999998</v>
      </c>
      <c r="G14" s="3">
        <v>2.98</v>
      </c>
      <c r="H14" s="34">
        <v>81.099999999999994</v>
      </c>
      <c r="I14" s="32">
        <v>15.2</v>
      </c>
      <c r="J14" s="3"/>
      <c r="K14" s="15">
        <v>3</v>
      </c>
      <c r="L14" s="50">
        <f>$G$3*$G$4*$G$5*G14</f>
        <v>2980</v>
      </c>
      <c r="M14" s="1" t="str">
        <f>IF(F14&lt;$Q$4, "Estéril", "Usina")</f>
        <v>Estéril</v>
      </c>
      <c r="N14" s="1" t="str">
        <f>IF(O14="-", "-", $Q$3/I14)</f>
        <v>-</v>
      </c>
      <c r="O14" s="38" t="str">
        <f t="shared" si="0"/>
        <v>-</v>
      </c>
      <c r="P14" s="1" t="str">
        <f>IF(O14="-","-", F14/100*H14/100*L14)</f>
        <v>-</v>
      </c>
      <c r="Q14" s="1" t="str">
        <f t="shared" si="1"/>
        <v>-</v>
      </c>
      <c r="R14" s="9">
        <f>(L14*F14/100*H14/100*($L$3-$L$4))-(L14*($L$5+$L$6))</f>
        <v>6988.8822499999951</v>
      </c>
      <c r="S14" s="9">
        <f t="shared" si="2"/>
        <v>-11920</v>
      </c>
      <c r="T14" s="9" t="str">
        <f t="shared" si="3"/>
        <v>Estéril</v>
      </c>
      <c r="U14" s="12">
        <f t="shared" si="4"/>
        <v>-11920</v>
      </c>
      <c r="V14" s="9"/>
    </row>
    <row r="15" spans="2:22" x14ac:dyDescent="0.25">
      <c r="B15" s="17" t="s">
        <v>24</v>
      </c>
      <c r="C15" s="22" t="s">
        <v>48</v>
      </c>
      <c r="E15" s="15">
        <v>4</v>
      </c>
      <c r="F15" s="3">
        <v>0.22</v>
      </c>
      <c r="G15" s="3">
        <v>2.85</v>
      </c>
      <c r="H15" s="34">
        <v>72</v>
      </c>
      <c r="I15" s="32">
        <v>13.3</v>
      </c>
      <c r="J15" s="3"/>
      <c r="K15" s="15">
        <v>4</v>
      </c>
      <c r="L15" s="50">
        <f>$G$3*$G$4*$G$5*G15</f>
        <v>2850</v>
      </c>
      <c r="M15" s="1" t="str">
        <f>IF(F15&lt;$Q$4, "Estéril", "Usina")</f>
        <v>Estéril</v>
      </c>
      <c r="N15" s="1" t="str">
        <f>IF(O15="-", "-", $Q$3/I15)</f>
        <v>-</v>
      </c>
      <c r="O15" s="38" t="str">
        <f t="shared" si="0"/>
        <v>-</v>
      </c>
      <c r="P15" s="1" t="str">
        <f>IF(O15="-","-", F15/100*H15/100*L15)</f>
        <v>-</v>
      </c>
      <c r="Q15" s="1" t="str">
        <f t="shared" si="1"/>
        <v>-</v>
      </c>
      <c r="R15" s="9">
        <f>(L15*F15/100*H15/100*($L$3-$L$4))-(L15*($L$5+$L$6))</f>
        <v>-9456.3000000000029</v>
      </c>
      <c r="S15" s="9">
        <f t="shared" si="2"/>
        <v>-11400</v>
      </c>
      <c r="T15" s="9" t="str">
        <f t="shared" si="3"/>
        <v>Estéril</v>
      </c>
      <c r="U15" s="12">
        <f t="shared" si="4"/>
        <v>-11400</v>
      </c>
      <c r="V15" s="9"/>
    </row>
    <row r="16" spans="2:22" x14ac:dyDescent="0.25">
      <c r="B16" s="17" t="s">
        <v>25</v>
      </c>
      <c r="C16" s="22" t="s">
        <v>49</v>
      </c>
      <c r="E16" s="15">
        <v>5</v>
      </c>
      <c r="F16" s="3">
        <v>0.35</v>
      </c>
      <c r="G16" s="3">
        <v>2.98</v>
      </c>
      <c r="H16" s="34">
        <v>81.099999999999994</v>
      </c>
      <c r="I16" s="32">
        <v>15.2</v>
      </c>
      <c r="J16" s="3"/>
      <c r="K16" s="15">
        <v>5</v>
      </c>
      <c r="L16" s="50">
        <f>$G$3*$G$4*$G$5*G16</f>
        <v>2980</v>
      </c>
      <c r="M16" s="1" t="str">
        <f>IF(F16&lt;$Q$4, "Estéril", "Usina")</f>
        <v>Usina</v>
      </c>
      <c r="N16" s="38">
        <f>IF(O16="-", "-", $Q$3/I16)</f>
        <v>1315.7894736842106</v>
      </c>
      <c r="O16" s="38">
        <f t="shared" si="0"/>
        <v>2.2647999999999997</v>
      </c>
      <c r="P16" s="38">
        <f>IF(O16="-","-", F16/100*H16/100*L16)</f>
        <v>8.4587299999999992</v>
      </c>
      <c r="Q16" s="38">
        <f t="shared" si="1"/>
        <v>3.7348684210526315</v>
      </c>
      <c r="R16" s="9">
        <f>(L16*F16/100*H16/100*($L$3-$L$4))-(L16*($L$5+$L$6))</f>
        <v>17683.133749999994</v>
      </c>
      <c r="S16" s="9">
        <f t="shared" si="2"/>
        <v>-11920</v>
      </c>
      <c r="T16" s="9" t="str">
        <f t="shared" si="3"/>
        <v>Usina</v>
      </c>
      <c r="U16" s="12">
        <f t="shared" si="4"/>
        <v>17683.133749999994</v>
      </c>
      <c r="V16" s="9"/>
    </row>
    <row r="17" spans="2:22" x14ac:dyDescent="0.25">
      <c r="B17" s="28"/>
      <c r="C17" s="22" t="s">
        <v>50</v>
      </c>
      <c r="E17" s="15">
        <v>6</v>
      </c>
      <c r="F17" s="3">
        <v>0.65</v>
      </c>
      <c r="G17" s="3">
        <v>3.01</v>
      </c>
      <c r="H17" s="34">
        <v>86</v>
      </c>
      <c r="I17" s="32">
        <v>17.5</v>
      </c>
      <c r="J17" s="3"/>
      <c r="K17" s="15">
        <v>6</v>
      </c>
      <c r="L17" s="50">
        <f>$G$3*$G$4*$G$5*G17</f>
        <v>3010</v>
      </c>
      <c r="M17" s="1" t="str">
        <f>IF(F17&lt;$Q$4, "Estéril", "Usina")</f>
        <v>Usina</v>
      </c>
      <c r="N17" s="38">
        <f>IF(O17="-", "-", $Q$3/I17)</f>
        <v>1142.8571428571429</v>
      </c>
      <c r="O17" s="38">
        <f t="shared" si="0"/>
        <v>2.63375</v>
      </c>
      <c r="P17" s="38">
        <f>IF(O17="-","-", F17/100*H17/100*L17)</f>
        <v>16.825900000000001</v>
      </c>
      <c r="Q17" s="38">
        <f t="shared" si="1"/>
        <v>6.3885714285714288</v>
      </c>
      <c r="R17" s="9">
        <f>(L17*F17/100*H17/100*($L$3-$L$4))-(L17*($L$5+$L$6))</f>
        <v>78941.012500000012</v>
      </c>
      <c r="S17" s="9">
        <f t="shared" si="2"/>
        <v>-12040</v>
      </c>
      <c r="T17" s="9" t="str">
        <f t="shared" si="3"/>
        <v>Usina</v>
      </c>
      <c r="U17" s="12">
        <f t="shared" si="4"/>
        <v>78941.012500000012</v>
      </c>
      <c r="V17" s="9"/>
    </row>
    <row r="18" spans="2:22" x14ac:dyDescent="0.25">
      <c r="B18" s="29"/>
      <c r="C18" s="22" t="s">
        <v>64</v>
      </c>
      <c r="E18" s="15">
        <v>7</v>
      </c>
      <c r="F18" s="3">
        <v>0.53</v>
      </c>
      <c r="G18" s="3">
        <v>2.98</v>
      </c>
      <c r="H18" s="34">
        <v>81.099999999999994</v>
      </c>
      <c r="I18" s="32">
        <v>15.2</v>
      </c>
      <c r="J18" s="3"/>
      <c r="K18" s="15">
        <v>7</v>
      </c>
      <c r="L18" s="50">
        <f>$G$3*$G$4*$G$5*G18</f>
        <v>2980</v>
      </c>
      <c r="M18" s="1" t="str">
        <f>IF(F18&lt;$Q$4, "Estéril", "Usina")</f>
        <v>Usina</v>
      </c>
      <c r="N18" s="38">
        <f>IF(O18="-", "-", $Q$3/I18)</f>
        <v>1315.7894736842106</v>
      </c>
      <c r="O18" s="38">
        <f t="shared" si="0"/>
        <v>2.2647999999999997</v>
      </c>
      <c r="P18" s="38">
        <f>IF(O18="-","-", F18/100*H18/100*L18)</f>
        <v>12.808933999999999</v>
      </c>
      <c r="Q18" s="38">
        <f t="shared" si="1"/>
        <v>5.6556578947368426</v>
      </c>
      <c r="R18" s="9">
        <f>(L18*F18/100*H18/100*($L$3-$L$4))-(L18*($L$5+$L$6))</f>
        <v>49765.888249999989</v>
      </c>
      <c r="S18" s="9">
        <f t="shared" si="2"/>
        <v>-11920</v>
      </c>
      <c r="T18" s="9" t="str">
        <f t="shared" si="3"/>
        <v>Usina</v>
      </c>
      <c r="U18" s="12">
        <f t="shared" si="4"/>
        <v>49765.888249999989</v>
      </c>
      <c r="V18" s="9"/>
    </row>
    <row r="19" spans="2:22" ht="15.75" thickBot="1" x14ac:dyDescent="0.3">
      <c r="B19" s="67"/>
      <c r="C19" s="31" t="s">
        <v>51</v>
      </c>
      <c r="E19" s="15">
        <v>8</v>
      </c>
      <c r="F19" s="3">
        <v>0.62</v>
      </c>
      <c r="G19" s="3">
        <v>2.98</v>
      </c>
      <c r="H19" s="34">
        <v>81.099999999999994</v>
      </c>
      <c r="I19" s="32">
        <v>15.2</v>
      </c>
      <c r="J19" s="3"/>
      <c r="K19" s="15">
        <v>8</v>
      </c>
      <c r="L19" s="50">
        <f>$G$3*$G$4*$G$5*G19</f>
        <v>2980</v>
      </c>
      <c r="M19" s="1" t="str">
        <f>IF(F19&lt;$Q$4, "Estéril", "Usina")</f>
        <v>Usina</v>
      </c>
      <c r="N19" s="38">
        <f>IF(O19="-", "-", $Q$3/I19)</f>
        <v>1315.7894736842106</v>
      </c>
      <c r="O19" s="38">
        <f t="shared" si="0"/>
        <v>2.2647999999999997</v>
      </c>
      <c r="P19" s="38">
        <f>IF(O19="-","-", F19/100*H19/100*L19)</f>
        <v>14.984035999999998</v>
      </c>
      <c r="Q19" s="38">
        <f t="shared" si="1"/>
        <v>6.6160526315789472</v>
      </c>
      <c r="R19" s="9">
        <f>(L19*F19/100*H19/100*($L$3-$L$4))-(L19*($L$5+$L$6))</f>
        <v>65807.26549999998</v>
      </c>
      <c r="S19" s="9">
        <f t="shared" si="2"/>
        <v>-11920</v>
      </c>
      <c r="T19" s="9" t="str">
        <f t="shared" si="3"/>
        <v>Usina</v>
      </c>
      <c r="U19" s="12">
        <f t="shared" si="4"/>
        <v>65807.26549999998</v>
      </c>
      <c r="V19" s="9"/>
    </row>
    <row r="20" spans="2:22" x14ac:dyDescent="0.25">
      <c r="E20" s="15">
        <v>9</v>
      </c>
      <c r="F20" s="3">
        <v>0.81</v>
      </c>
      <c r="G20" s="3">
        <v>3.01</v>
      </c>
      <c r="H20" s="34">
        <v>86</v>
      </c>
      <c r="I20" s="32">
        <v>17.5</v>
      </c>
      <c r="J20" s="3"/>
      <c r="K20" s="15">
        <v>9</v>
      </c>
      <c r="L20" s="50">
        <f>$G$3*$G$4*$G$5*G20</f>
        <v>3010</v>
      </c>
      <c r="M20" s="1" t="str">
        <f>IF(F20&lt;$Q$4, "Estéril", "Usina")</f>
        <v>Usina</v>
      </c>
      <c r="N20" s="38">
        <f>IF(O20="-", "-", $Q$3/I20)</f>
        <v>1142.8571428571429</v>
      </c>
      <c r="O20" s="38">
        <f t="shared" si="0"/>
        <v>2.63375</v>
      </c>
      <c r="P20" s="38">
        <f>IF(O20="-","-", F20/100*H20/100*L20)</f>
        <v>20.967660000000002</v>
      </c>
      <c r="Q20" s="38">
        <f t="shared" si="1"/>
        <v>7.9611428571428577</v>
      </c>
      <c r="R20" s="9">
        <f>(L20*F20/100*H20/100*($L$3-$L$4))-(L20*($L$5+$L$6))</f>
        <v>109486.49250000005</v>
      </c>
      <c r="S20" s="9">
        <f t="shared" si="2"/>
        <v>-12040</v>
      </c>
      <c r="T20" s="9" t="str">
        <f t="shared" si="3"/>
        <v>Usina</v>
      </c>
      <c r="U20" s="12">
        <f t="shared" si="4"/>
        <v>109486.49250000005</v>
      </c>
      <c r="V20" s="9"/>
    </row>
    <row r="21" spans="2:22" x14ac:dyDescent="0.25">
      <c r="E21" s="15">
        <v>10</v>
      </c>
      <c r="F21" s="3">
        <v>0.63</v>
      </c>
      <c r="G21" s="3">
        <v>2.98</v>
      </c>
      <c r="H21" s="34">
        <v>81.099999999999994</v>
      </c>
      <c r="I21" s="32">
        <v>15.2</v>
      </c>
      <c r="J21" s="3"/>
      <c r="K21" s="15">
        <v>10</v>
      </c>
      <c r="L21" s="50">
        <f>$G$3*$G$4*$G$5*G21</f>
        <v>2980</v>
      </c>
      <c r="M21" s="1" t="str">
        <f>IF(F21&lt;$Q$4, "Estéril", "Usina")</f>
        <v>Usina</v>
      </c>
      <c r="N21" s="38">
        <f>IF(O21="-", "-", $Q$3/I21)</f>
        <v>1315.7894736842106</v>
      </c>
      <c r="O21" s="38">
        <f t="shared" si="0"/>
        <v>2.2647999999999997</v>
      </c>
      <c r="P21" s="38">
        <f>IF(O21="-","-", F21/100*H21/100*L21)</f>
        <v>15.225714</v>
      </c>
      <c r="Q21" s="38">
        <f t="shared" si="1"/>
        <v>6.7227631578947378</v>
      </c>
      <c r="R21" s="9">
        <f>(L21*F21/100*H21/100*($L$3-$L$4))-(L21*($L$5+$L$6))</f>
        <v>67589.640750000006</v>
      </c>
      <c r="S21" s="9">
        <f t="shared" si="2"/>
        <v>-11920</v>
      </c>
      <c r="T21" s="9" t="str">
        <f t="shared" si="3"/>
        <v>Usina</v>
      </c>
      <c r="U21" s="12">
        <f t="shared" si="4"/>
        <v>67589.640750000006</v>
      </c>
      <c r="V21" s="9"/>
    </row>
    <row r="22" spans="2:22" x14ac:dyDescent="0.25">
      <c r="E22" s="15">
        <v>11</v>
      </c>
      <c r="F22" s="3">
        <v>0.69</v>
      </c>
      <c r="G22" s="3">
        <v>2.98</v>
      </c>
      <c r="H22" s="34">
        <v>81.099999999999994</v>
      </c>
      <c r="I22" s="32">
        <v>15.2</v>
      </c>
      <c r="J22" s="3"/>
      <c r="K22" s="15">
        <v>11</v>
      </c>
      <c r="L22" s="50">
        <f>$G$3*$G$4*$G$5*G22</f>
        <v>2980</v>
      </c>
      <c r="M22" s="1" t="str">
        <f>IF(F22&lt;$Q$4, "Estéril", "Usina")</f>
        <v>Usina</v>
      </c>
      <c r="N22" s="38">
        <f>IF(O22="-", "-", $Q$3/I22)</f>
        <v>1315.7894736842106</v>
      </c>
      <c r="O22" s="38">
        <f t="shared" si="0"/>
        <v>2.2647999999999997</v>
      </c>
      <c r="P22" s="38">
        <f>IF(O22="-","-", F22/100*H22/100*L22)</f>
        <v>16.675781999999998</v>
      </c>
      <c r="Q22" s="38">
        <f t="shared" si="1"/>
        <v>7.3630263157894742</v>
      </c>
      <c r="R22" s="9">
        <f>(L22*F22/100*H22/100*($L$3-$L$4))-(L22*($L$5+$L$6))</f>
        <v>78283.89224999999</v>
      </c>
      <c r="S22" s="9">
        <f t="shared" si="2"/>
        <v>-11920</v>
      </c>
      <c r="T22" s="9" t="str">
        <f t="shared" si="3"/>
        <v>Usina</v>
      </c>
      <c r="U22" s="12">
        <f t="shared" si="4"/>
        <v>78283.89224999999</v>
      </c>
      <c r="V22" s="9"/>
    </row>
    <row r="23" spans="2:22" ht="15.75" thickBot="1" x14ac:dyDescent="0.3">
      <c r="E23" s="16">
        <v>12</v>
      </c>
      <c r="F23" s="4">
        <v>0.84</v>
      </c>
      <c r="G23" s="4">
        <v>3.01</v>
      </c>
      <c r="H23" s="35">
        <v>86</v>
      </c>
      <c r="I23" s="33">
        <v>17.5</v>
      </c>
      <c r="J23" s="3"/>
      <c r="K23" s="16">
        <v>12</v>
      </c>
      <c r="L23" s="54">
        <f>$G$3*$G$4*$G$5*G23</f>
        <v>3010</v>
      </c>
      <c r="M23" s="25" t="str">
        <f>IF(F23&lt;$Q$4, "Estéril", "Usina")</f>
        <v>Usina</v>
      </c>
      <c r="N23" s="56">
        <f>IF(O23="-", "-", $Q$3/I23)</f>
        <v>1142.8571428571429</v>
      </c>
      <c r="O23" s="56">
        <f t="shared" si="0"/>
        <v>2.63375</v>
      </c>
      <c r="P23" s="56">
        <f>IF(O23="-","-", F23/100*H23/100*L23)</f>
        <v>21.744239999999998</v>
      </c>
      <c r="Q23" s="56">
        <f t="shared" si="1"/>
        <v>8.2559999999999985</v>
      </c>
      <c r="R23" s="55">
        <f>(L23*F23/100*H23/100*($L$3-$L$4))-(L23*($L$5+$L$6))</f>
        <v>115213.77000000005</v>
      </c>
      <c r="S23" s="55">
        <f t="shared" si="2"/>
        <v>-12040</v>
      </c>
      <c r="T23" s="55" t="str">
        <f t="shared" si="3"/>
        <v>Usina</v>
      </c>
      <c r="U23" s="13">
        <f t="shared" si="4"/>
        <v>115213.77000000005</v>
      </c>
      <c r="V23" s="9"/>
    </row>
    <row r="24" spans="2:22" ht="15.75" thickBot="1" x14ac:dyDescent="0.3">
      <c r="K24" s="24" t="s">
        <v>30</v>
      </c>
      <c r="L24" s="54">
        <f>SUM(L12:L23)</f>
        <v>35590</v>
      </c>
      <c r="M24" s="55" t="s">
        <v>29</v>
      </c>
      <c r="N24" s="55">
        <f>SUMIFS(L12:L23,T12:T23,"Usina")/O24</f>
        <v>1244.7172338461141</v>
      </c>
      <c r="O24" s="55">
        <f>SUM(O12:O23)</f>
        <v>19.225249999999996</v>
      </c>
      <c r="P24" s="55">
        <f t="shared" ref="P24:U24" si="5">SUM(P12:P23)</f>
        <v>127.69099599999998</v>
      </c>
      <c r="Q24" s="55">
        <f>P24/O24</f>
        <v>6.6418379995058592</v>
      </c>
      <c r="R24" s="55" t="s">
        <v>29</v>
      </c>
      <c r="S24" s="55" t="s">
        <v>29</v>
      </c>
      <c r="T24" s="55"/>
      <c r="U24" s="13">
        <f t="shared" si="5"/>
        <v>536131.09550000005</v>
      </c>
      <c r="V24" s="9"/>
    </row>
    <row r="26" spans="2:22" ht="15.75" thickBot="1" x14ac:dyDescent="0.3"/>
    <row r="27" spans="2:22" ht="15.75" thickBot="1" x14ac:dyDescent="0.3">
      <c r="K27" s="61" t="s">
        <v>14</v>
      </c>
      <c r="L27" s="62" t="s">
        <v>20</v>
      </c>
      <c r="M27" s="62" t="s">
        <v>56</v>
      </c>
      <c r="N27" s="62" t="s">
        <v>57</v>
      </c>
      <c r="O27" s="62" t="s">
        <v>58</v>
      </c>
      <c r="P27" s="62" t="s">
        <v>59</v>
      </c>
      <c r="Q27" s="62" t="s">
        <v>60</v>
      </c>
      <c r="R27" s="62" t="s">
        <v>61</v>
      </c>
      <c r="S27" s="63" t="s">
        <v>63</v>
      </c>
      <c r="T27" s="46"/>
    </row>
    <row r="28" spans="2:22" x14ac:dyDescent="0.25">
      <c r="E28" s="14"/>
      <c r="F28" s="14"/>
      <c r="G28" s="47"/>
      <c r="H28" s="14"/>
      <c r="I28" s="14"/>
      <c r="K28" s="23">
        <v>1</v>
      </c>
      <c r="L28" s="70" t="str">
        <f>IF(M12="Estéril","-",$Q$3/I12)</f>
        <v>-</v>
      </c>
      <c r="M28" s="37" t="str">
        <f>IF(M12="Estéril","-",L12/L28)</f>
        <v>-</v>
      </c>
      <c r="N28" s="37" t="str">
        <f>IF(M$40&lt;$Q$5,M28,IF($R12=(SMALL($R$12:$R$23,M$41+1)), "-", M28))</f>
        <v>-</v>
      </c>
      <c r="O28" s="37" t="str">
        <f>IF(N$40&lt;$Q$5,N28,IF($R12=(SMALL($R$12:$R$23,N$41+1)), "-", N28))</f>
        <v>-</v>
      </c>
      <c r="P28" s="37" t="str">
        <f>IF(O$40&lt;$Q$5,O28,IF($R12=(SMALL($R$12:$R$23,O$41+1)), "-", O28))</f>
        <v>-</v>
      </c>
      <c r="Q28" s="37" t="str">
        <f>IF(P$40&lt;$Q$5,P28,IF($R12=(SMALL($R$12:$R$23,P$41+1)), "-", P28))</f>
        <v>-</v>
      </c>
      <c r="R28" s="37" t="str">
        <f>IF(Q$40&lt;$Q$5,Q28,IF($R12=(SMALL($R$12:$R$23,Q$41+1)), "-", Q28))</f>
        <v>-</v>
      </c>
      <c r="S28" s="6" t="str">
        <f>IF(R$40&lt;$Q$5,R28,IF($R12=(SMALL($R$12:$R$23,R$41+1)), "-", R28))</f>
        <v>-</v>
      </c>
      <c r="T28" s="38"/>
      <c r="V28" s="46"/>
    </row>
    <row r="29" spans="2:22" x14ac:dyDescent="0.25">
      <c r="E29" s="3"/>
      <c r="F29" s="3"/>
      <c r="G29" s="3"/>
      <c r="H29" s="34"/>
      <c r="I29" s="48"/>
      <c r="K29" s="15">
        <v>2</v>
      </c>
      <c r="L29" s="71" t="str">
        <f>IF(M13="Estéril","-",$Q$3/I13)</f>
        <v>-</v>
      </c>
      <c r="M29" s="38" t="str">
        <f t="shared" ref="M29:M39" si="6">IF(M13="Estéril","-",L13/L29)</f>
        <v>-</v>
      </c>
      <c r="N29" s="38" t="str">
        <f>IF(M$40&lt;$Q$5,M29,IF($R13=(SMALL($R$12:$R$23,M$41+1)), "-", M29))</f>
        <v>-</v>
      </c>
      <c r="O29" s="38" t="str">
        <f>IF(N$40&lt;$Q$5,N29,IF($R13=(SMALL($R$12:$R$23,N$41+1)), "-", N29))</f>
        <v>-</v>
      </c>
      <c r="P29" s="38" t="str">
        <f>IF(O$40&lt;$Q$5,O29,IF($R13=(SMALL($R$12:$R$23,O$41+1)), "-", O29))</f>
        <v>-</v>
      </c>
      <c r="Q29" s="38" t="str">
        <f>IF(P$40&lt;$Q$5,P29,IF($R13=(SMALL($R$12:$R$23,P$41+1)), "-", P29))</f>
        <v>-</v>
      </c>
      <c r="R29" s="38" t="str">
        <f>IF(Q$40&lt;$Q$5,Q29,IF($R13=(SMALL($R$12:$R$23,Q$41+1)), "-", Q29))</f>
        <v>-</v>
      </c>
      <c r="S29" s="7" t="str">
        <f>IF(R$40&lt;$Q$5,R29,IF($R13=(SMALL($R$12:$R$23,R$41+1)), "-", R29))</f>
        <v>-</v>
      </c>
      <c r="T29" s="38"/>
      <c r="V29" s="9"/>
    </row>
    <row r="30" spans="2:22" x14ac:dyDescent="0.25">
      <c r="E30" s="3"/>
      <c r="F30" s="3"/>
      <c r="G30" s="3"/>
      <c r="H30" s="34"/>
      <c r="I30" s="48"/>
      <c r="K30" s="15">
        <v>3</v>
      </c>
      <c r="L30" s="71" t="str">
        <f>IF(M14="Estéril","-",$Q$3/I14)</f>
        <v>-</v>
      </c>
      <c r="M30" s="38" t="str">
        <f t="shared" si="6"/>
        <v>-</v>
      </c>
      <c r="N30" s="38" t="str">
        <f>IF(M$40&lt;$Q$5,M30,IF($R14=(SMALL($R$12:$R$23,M$41+1)), "-", M30))</f>
        <v>-</v>
      </c>
      <c r="O30" s="38" t="str">
        <f>IF(N$40&lt;$Q$5,N30,IF($R14=(SMALL($R$12:$R$23,N$41+1)), "-", N30))</f>
        <v>-</v>
      </c>
      <c r="P30" s="38" t="str">
        <f>IF(O$40&lt;$Q$5,O30,IF($R14=(SMALL($R$12:$R$23,O$41+1)), "-", O30))</f>
        <v>-</v>
      </c>
      <c r="Q30" s="38" t="str">
        <f>IF(P$40&lt;$Q$5,P30,IF($R14=(SMALL($R$12:$R$23,P$41+1)), "-", P30))</f>
        <v>-</v>
      </c>
      <c r="R30" s="38" t="str">
        <f>IF(Q$40&lt;$Q$5,Q30,IF($R14=(SMALL($R$12:$R$23,Q$41+1)), "-", Q30))</f>
        <v>-</v>
      </c>
      <c r="S30" s="7" t="str">
        <f>IF(R$40&lt;$Q$5,R30,IF($R14=(SMALL($R$12:$R$23,R$41+1)), "-", R30))</f>
        <v>-</v>
      </c>
      <c r="T30" s="38"/>
      <c r="V30" s="9"/>
    </row>
    <row r="31" spans="2:22" x14ac:dyDescent="0.25">
      <c r="E31" s="3"/>
      <c r="F31" s="3"/>
      <c r="G31" s="3"/>
      <c r="H31" s="34"/>
      <c r="I31" s="48"/>
      <c r="K31" s="15">
        <v>4</v>
      </c>
      <c r="L31" s="71" t="str">
        <f>IF(M15="Estéril","-",$Q$3/I15)</f>
        <v>-</v>
      </c>
      <c r="M31" s="38" t="str">
        <f t="shared" si="6"/>
        <v>-</v>
      </c>
      <c r="N31" s="38" t="str">
        <f>IF(M$40&lt;$Q$5,M31,IF($R15=(SMALL($R$12:$R$23,M$41+1)), "-", M31))</f>
        <v>-</v>
      </c>
      <c r="O31" s="38" t="str">
        <f>IF(N$40&lt;$Q$5,N31,IF($R15=(SMALL($R$12:$R$23,N$41+1)), "-", N31))</f>
        <v>-</v>
      </c>
      <c r="P31" s="38" t="str">
        <f>IF(O$40&lt;$Q$5,O31,IF($R15=(SMALL($R$12:$R$23,O$41+1)), "-", O31))</f>
        <v>-</v>
      </c>
      <c r="Q31" s="38" t="str">
        <f>IF(P$40&lt;$Q$5,P31,IF($R15=(SMALL($R$12:$R$23,P$41+1)), "-", P31))</f>
        <v>-</v>
      </c>
      <c r="R31" s="38" t="str">
        <f>IF(Q$40&lt;$Q$5,Q31,IF($R15=(SMALL($R$12:$R$23,Q$41+1)), "-", Q31))</f>
        <v>-</v>
      </c>
      <c r="S31" s="7" t="str">
        <f>IF(R$40&lt;$Q$5,R31,IF($R15=(SMALL($R$12:$R$23,R$41+1)), "-", R31))</f>
        <v>-</v>
      </c>
      <c r="T31" s="38"/>
      <c r="V31" s="9"/>
    </row>
    <row r="32" spans="2:22" x14ac:dyDescent="0.25">
      <c r="E32" s="3"/>
      <c r="F32" s="3"/>
      <c r="G32" s="3"/>
      <c r="H32" s="34"/>
      <c r="I32" s="48"/>
      <c r="K32" s="15">
        <v>5</v>
      </c>
      <c r="L32" s="71">
        <f>IF(M16="Estéril","-",$Q$3/I16)</f>
        <v>1315.7894736842106</v>
      </c>
      <c r="M32" s="38">
        <f>IF(M16="Estéril","-",L16/L32)</f>
        <v>2.2647999999999997</v>
      </c>
      <c r="N32" s="38">
        <f>IF(M$40&lt;$Q$5,M32,IF($R16=(SMALL($R$12:$R$23,M$41+1)), "-", M32))</f>
        <v>2.2647999999999997</v>
      </c>
      <c r="O32" s="38">
        <f>IF(N$40&lt;$Q$5,N32,IF($R16=(SMALL($R$12:$R$23,N$41+1)), "-", N32))</f>
        <v>2.2647999999999997</v>
      </c>
      <c r="P32" s="38">
        <f>IF(O$40&lt;$Q$5,O32,IF($R16=(SMALL($R$12:$R$23,O$41+1)), "-", O32))</f>
        <v>2.2647999999999997</v>
      </c>
      <c r="Q32" s="38">
        <f>IF(P$40&lt;$Q$5,P32,IF($R16=(SMALL($R$12:$R$23,P$41+1)), "-", P32))</f>
        <v>2.2647999999999997</v>
      </c>
      <c r="R32" s="38">
        <f>IF(Q$40&lt;$Q$5,Q32,IF($R16=(SMALL($R$12:$R$23,Q$41+1)), "-", Q32))</f>
        <v>2.2647999999999997</v>
      </c>
      <c r="S32" s="7">
        <f>IF(R$40&lt;$Q$5,R32,IF($R16=(SMALL($R$12:$R$23,R$41+1)), "-", R32))</f>
        <v>2.2647999999999997</v>
      </c>
      <c r="T32" s="38"/>
      <c r="V32" s="9"/>
    </row>
    <row r="33" spans="5:22" x14ac:dyDescent="0.25">
      <c r="E33" s="3"/>
      <c r="F33" s="3"/>
      <c r="G33" s="3"/>
      <c r="H33" s="34"/>
      <c r="I33" s="48"/>
      <c r="K33" s="15">
        <v>6</v>
      </c>
      <c r="L33" s="71">
        <f>IF(M17="Estéril","-",$Q$3/I17)</f>
        <v>1142.8571428571429</v>
      </c>
      <c r="M33" s="38">
        <f t="shared" si="6"/>
        <v>2.63375</v>
      </c>
      <c r="N33" s="38">
        <f>IF(M$40&lt;$Q$5,M33,IF($R17=(SMALL($R$12:$R$23,M$41+1)), "-", M33))</f>
        <v>2.63375</v>
      </c>
      <c r="O33" s="38">
        <f>IF(N$40&lt;$Q$5,N33,IF($R17=(SMALL($R$12:$R$23,N$41+1)), "-", N33))</f>
        <v>2.63375</v>
      </c>
      <c r="P33" s="38">
        <f>IF(O$40&lt;$Q$5,O33,IF($R17=(SMALL($R$12:$R$23,O$41+1)), "-", O33))</f>
        <v>2.63375</v>
      </c>
      <c r="Q33" s="38">
        <f>IF(P$40&lt;$Q$5,P33,IF($R17=(SMALL($R$12:$R$23,P$41+1)), "-", P33))</f>
        <v>2.63375</v>
      </c>
      <c r="R33" s="38">
        <f>IF(Q$40&lt;$Q$5,Q33,IF($R17=(SMALL($R$12:$R$23,Q$41+1)), "-", Q33))</f>
        <v>2.63375</v>
      </c>
      <c r="S33" s="7">
        <f>IF(R$40&lt;$Q$5,R33,IF($R17=(SMALL($R$12:$R$23,R$41+1)), "-", R33))</f>
        <v>2.63375</v>
      </c>
      <c r="T33" s="38"/>
      <c r="V33" s="9"/>
    </row>
    <row r="34" spans="5:22" x14ac:dyDescent="0.25">
      <c r="E34" s="3"/>
      <c r="F34" s="3"/>
      <c r="G34" s="3"/>
      <c r="H34" s="34"/>
      <c r="I34" s="48"/>
      <c r="K34" s="15">
        <v>7</v>
      </c>
      <c r="L34" s="71">
        <f>IF(M18="Estéril","-",$Q$3/I18)</f>
        <v>1315.7894736842106</v>
      </c>
      <c r="M34" s="38">
        <f t="shared" si="6"/>
        <v>2.2647999999999997</v>
      </c>
      <c r="N34" s="38">
        <f>IF(M$40&lt;$Q$5,M34,IF($R18=(SMALL($R$12:$R$23,M$41+1)), "-", M34))</f>
        <v>2.2647999999999997</v>
      </c>
      <c r="O34" s="38">
        <f>IF(N$40&lt;$Q$5,N34,IF($R18=(SMALL($R$12:$R$23,N$41+1)), "-", N34))</f>
        <v>2.2647999999999997</v>
      </c>
      <c r="P34" s="38">
        <f>IF(O$40&lt;$Q$5,O34,IF($R18=(SMALL($R$12:$R$23,O$41+1)), "-", O34))</f>
        <v>2.2647999999999997</v>
      </c>
      <c r="Q34" s="38">
        <f>IF(P$40&lt;$Q$5,P34,IF($R18=(SMALL($R$12:$R$23,P$41+1)), "-", P34))</f>
        <v>2.2647999999999997</v>
      </c>
      <c r="R34" s="38">
        <f>IF(Q$40&lt;$Q$5,Q34,IF($R18=(SMALL($R$12:$R$23,Q$41+1)), "-", Q34))</f>
        <v>2.2647999999999997</v>
      </c>
      <c r="S34" s="7">
        <f>IF(R$40&lt;$Q$5,R34,IF($R18=(SMALL($R$12:$R$23,R$41+1)), "-", R34))</f>
        <v>2.2647999999999997</v>
      </c>
      <c r="T34" s="38"/>
      <c r="V34" s="9"/>
    </row>
    <row r="35" spans="5:22" x14ac:dyDescent="0.25">
      <c r="E35" s="3"/>
      <c r="F35" s="3"/>
      <c r="G35" s="3"/>
      <c r="H35" s="34"/>
      <c r="I35" s="48"/>
      <c r="K35" s="15">
        <v>8</v>
      </c>
      <c r="L35" s="71">
        <f>IF(M19="Estéril","-",$Q$3/I19)</f>
        <v>1315.7894736842106</v>
      </c>
      <c r="M35" s="38">
        <f t="shared" si="6"/>
        <v>2.2647999999999997</v>
      </c>
      <c r="N35" s="38">
        <f>IF(M$40&lt;$Q$5,M35,IF($R19=(SMALL($R$12:$R$23,M$41+1)), "-", M35))</f>
        <v>2.2647999999999997</v>
      </c>
      <c r="O35" s="38">
        <f>IF(N$40&lt;$Q$5,N35,IF($R19=(SMALL($R$12:$R$23,N$41+1)), "-", N35))</f>
        <v>2.2647999999999997</v>
      </c>
      <c r="P35" s="38">
        <f>IF(O$40&lt;$Q$5,O35,IF($R19=(SMALL($R$12:$R$23,O$41+1)), "-", O35))</f>
        <v>2.2647999999999997</v>
      </c>
      <c r="Q35" s="38">
        <f>IF(P$40&lt;$Q$5,P35,IF($R19=(SMALL($R$12:$R$23,P$41+1)), "-", P35))</f>
        <v>2.2647999999999997</v>
      </c>
      <c r="R35" s="38">
        <f>IF(Q$40&lt;$Q$5,Q35,IF($R19=(SMALL($R$12:$R$23,Q$41+1)), "-", Q35))</f>
        <v>2.2647999999999997</v>
      </c>
      <c r="S35" s="7">
        <f>IF(R$40&lt;$Q$5,R35,IF($R19=(SMALL($R$12:$R$23,R$41+1)), "-", R35))</f>
        <v>2.2647999999999997</v>
      </c>
      <c r="T35" s="38"/>
      <c r="V35" s="9"/>
    </row>
    <row r="36" spans="5:22" x14ac:dyDescent="0.25">
      <c r="E36" s="3"/>
      <c r="F36" s="3"/>
      <c r="G36" s="3"/>
      <c r="H36" s="34"/>
      <c r="I36" s="48"/>
      <c r="K36" s="15">
        <v>9</v>
      </c>
      <c r="L36" s="71">
        <f>IF(M20="Estéril","-",$Q$3/I20)</f>
        <v>1142.8571428571429</v>
      </c>
      <c r="M36" s="38">
        <f t="shared" si="6"/>
        <v>2.63375</v>
      </c>
      <c r="N36" s="38">
        <f>IF(M$40&lt;$Q$5,M36,IF($R20=(SMALL($R$12:$R$23,M$41+1)), "-", M36))</f>
        <v>2.63375</v>
      </c>
      <c r="O36" s="38">
        <f>IF(N$40&lt;$Q$5,N36,IF($R20=(SMALL($R$12:$R$23,N$41+1)), "-", N36))</f>
        <v>2.63375</v>
      </c>
      <c r="P36" s="38">
        <f>IF(O$40&lt;$Q$5,O36,IF($R20=(SMALL($R$12:$R$23,O$41+1)), "-", O36))</f>
        <v>2.63375</v>
      </c>
      <c r="Q36" s="38">
        <f>IF(P$40&lt;$Q$5,P36,IF($R20=(SMALL($R$12:$R$23,P$41+1)), "-", P36))</f>
        <v>2.63375</v>
      </c>
      <c r="R36" s="38">
        <f>IF(Q$40&lt;$Q$5,Q36,IF($R20=(SMALL($R$12:$R$23,Q$41+1)), "-", Q36))</f>
        <v>2.63375</v>
      </c>
      <c r="S36" s="7">
        <f>IF(R$40&lt;$Q$5,R36,IF($R20=(SMALL($R$12:$R$23,R$41+1)), "-", R36))</f>
        <v>2.63375</v>
      </c>
      <c r="T36" s="38"/>
      <c r="V36" s="9"/>
    </row>
    <row r="37" spans="5:22" x14ac:dyDescent="0.25">
      <c r="E37" s="3"/>
      <c r="F37" s="3"/>
      <c r="G37" s="3"/>
      <c r="H37" s="34"/>
      <c r="I37" s="48"/>
      <c r="K37" s="15">
        <v>10</v>
      </c>
      <c r="L37" s="71">
        <f>IF(M21="Estéril","-",$Q$3/I21)</f>
        <v>1315.7894736842106</v>
      </c>
      <c r="M37" s="38">
        <f t="shared" si="6"/>
        <v>2.2647999999999997</v>
      </c>
      <c r="N37" s="38">
        <f>IF(M$40&lt;$Q$5,M37,IF($R21=(SMALL($R$12:$R$23,M$41+1)), "-", M37))</f>
        <v>2.2647999999999997</v>
      </c>
      <c r="O37" s="38">
        <f>IF(N$40&lt;$Q$5,N37,IF($R21=(SMALL($R$12:$R$23,N$41+1)), "-", N37))</f>
        <v>2.2647999999999997</v>
      </c>
      <c r="P37" s="38">
        <f>IF(O$40&lt;$Q$5,O37,IF($R21=(SMALL($R$12:$R$23,O$41+1)), "-", O37))</f>
        <v>2.2647999999999997</v>
      </c>
      <c r="Q37" s="38">
        <f>IF(P$40&lt;$Q$5,P37,IF($R21=(SMALL($R$12:$R$23,P$41+1)), "-", P37))</f>
        <v>2.2647999999999997</v>
      </c>
      <c r="R37" s="38">
        <f>IF(Q$40&lt;$Q$5,Q37,IF($R21=(SMALL($R$12:$R$23,Q$41+1)), "-", Q37))</f>
        <v>2.2647999999999997</v>
      </c>
      <c r="S37" s="7">
        <f>IF(R$40&lt;$Q$5,R37,IF($R21=(SMALL($R$12:$R$23,R$41+1)), "-", R37))</f>
        <v>2.2647999999999997</v>
      </c>
      <c r="T37" s="38"/>
      <c r="V37" s="9"/>
    </row>
    <row r="38" spans="5:22" x14ac:dyDescent="0.25">
      <c r="E38" s="3"/>
      <c r="F38" s="3"/>
      <c r="G38" s="3"/>
      <c r="H38" s="34"/>
      <c r="I38" s="48"/>
      <c r="K38" s="15">
        <v>11</v>
      </c>
      <c r="L38" s="71">
        <f>IF(M22="Estéril","-",$Q$3/I22)</f>
        <v>1315.7894736842106</v>
      </c>
      <c r="M38" s="38">
        <f t="shared" si="6"/>
        <v>2.2647999999999997</v>
      </c>
      <c r="N38" s="38">
        <f>IF(M$40&lt;$Q$5,M38,IF($R22=(SMALL($R$12:$R$23,M$41+1)), "-", M38))</f>
        <v>2.2647999999999997</v>
      </c>
      <c r="O38" s="38">
        <f>IF(N$40&lt;$Q$5,N38,IF($R22=(SMALL($R$12:$R$23,N$41+1)), "-", N38))</f>
        <v>2.2647999999999997</v>
      </c>
      <c r="P38" s="38">
        <f>IF(O$40&lt;$Q$5,O38,IF($R22=(SMALL($R$12:$R$23,O$41+1)), "-", O38))</f>
        <v>2.2647999999999997</v>
      </c>
      <c r="Q38" s="38">
        <f>IF(P$40&lt;$Q$5,P38,IF($R22=(SMALL($R$12:$R$23,P$41+1)), "-", P38))</f>
        <v>2.2647999999999997</v>
      </c>
      <c r="R38" s="38">
        <f>IF(Q$40&lt;$Q$5,Q38,IF($R22=(SMALL($R$12:$R$23,Q$41+1)), "-", Q38))</f>
        <v>2.2647999999999997</v>
      </c>
      <c r="S38" s="7">
        <f>IF(R$40&lt;$Q$5,R38,IF($R22=(SMALL($R$12:$R$23,R$41+1)), "-", R38))</f>
        <v>2.2647999999999997</v>
      </c>
      <c r="T38" s="38"/>
      <c r="V38" s="9"/>
    </row>
    <row r="39" spans="5:22" ht="15.75" thickBot="1" x14ac:dyDescent="0.3">
      <c r="E39" s="3"/>
      <c r="F39" s="3"/>
      <c r="G39" s="3"/>
      <c r="H39" s="34"/>
      <c r="I39" s="48"/>
      <c r="K39" s="16">
        <v>12</v>
      </c>
      <c r="L39" s="72">
        <f>IF(M23="Estéril","-",$Q$3/I23)</f>
        <v>1142.8571428571429</v>
      </c>
      <c r="M39" s="56">
        <f t="shared" si="6"/>
        <v>2.63375</v>
      </c>
      <c r="N39" s="56">
        <f>IF(M$40&lt;$Q$5,M39,IF($R23=(SMALL($R$12:$R$23,M$41+1)), "-", M39))</f>
        <v>2.63375</v>
      </c>
      <c r="O39" s="56">
        <f>IF(N$40&lt;$Q$5,N39,IF($R23=(SMALL($R$12:$R$23,N$41+1)), "-", N39))</f>
        <v>2.63375</v>
      </c>
      <c r="P39" s="56">
        <f>IF(O$40&lt;$Q$5,O39,IF($R23=(SMALL($R$12:$R$23,O$41+1)), "-", O39))</f>
        <v>2.63375</v>
      </c>
      <c r="Q39" s="56">
        <f>IF(P$40&lt;$Q$5,P39,IF($R23=(SMALL($R$12:$R$23,P$41+1)), "-", P39))</f>
        <v>2.63375</v>
      </c>
      <c r="R39" s="56">
        <f>IF(Q$40&lt;$Q$5,Q39,IF($R23=(SMALL($R$12:$R$23,Q$41+1)), "-", Q39))</f>
        <v>2.63375</v>
      </c>
      <c r="S39" s="8">
        <f>IF(R$40&lt;$Q$5,R39,IF($R23=(SMALL($R$12:$R$23,R$41+1)), "-", R39))</f>
        <v>2.63375</v>
      </c>
      <c r="T39" s="38"/>
      <c r="V39" s="9"/>
    </row>
    <row r="40" spans="5:22" ht="15.75" thickBot="1" x14ac:dyDescent="0.3">
      <c r="E40" s="3"/>
      <c r="F40" s="3"/>
      <c r="G40" s="3"/>
      <c r="H40" s="34"/>
      <c r="I40" s="48"/>
      <c r="K40" s="45" t="s">
        <v>30</v>
      </c>
      <c r="L40" s="40"/>
      <c r="M40" s="40">
        <f>SUM(M28:M39)</f>
        <v>19.225249999999996</v>
      </c>
      <c r="N40" s="40">
        <f t="shared" ref="N40:O40" si="7">SUM(N28:N39)</f>
        <v>19.225249999999996</v>
      </c>
      <c r="O40" s="40">
        <f t="shared" si="7"/>
        <v>19.225249999999996</v>
      </c>
      <c r="P40" s="40">
        <f>SUM(P28:P39)</f>
        <v>19.225249999999996</v>
      </c>
      <c r="Q40" s="40">
        <f t="shared" ref="Q40:S40" si="8">SUM(Q28:Q39)</f>
        <v>19.225249999999996</v>
      </c>
      <c r="R40" s="40">
        <f t="shared" si="8"/>
        <v>19.225249999999996</v>
      </c>
      <c r="S40" s="41">
        <f t="shared" si="8"/>
        <v>19.225249999999996</v>
      </c>
      <c r="T40" s="9"/>
      <c r="V40" s="9"/>
    </row>
    <row r="41" spans="5:22" ht="15.75" thickBot="1" x14ac:dyDescent="0.3">
      <c r="K41" s="73" t="s">
        <v>62</v>
      </c>
      <c r="L41" s="74"/>
      <c r="M41" s="25">
        <f>COUNTIFS(M28:M39, "-")</f>
        <v>4</v>
      </c>
      <c r="N41" s="25">
        <f>COUNTIFS(N28:N39, "-")</f>
        <v>4</v>
      </c>
      <c r="O41" s="25">
        <f>COUNTIFS(O28:O39, "-")</f>
        <v>4</v>
      </c>
      <c r="P41" s="25">
        <f t="shared" ref="P41:S41" si="9">COUNTIFS(P28:P39, "-")</f>
        <v>4</v>
      </c>
      <c r="Q41" s="25">
        <f t="shared" si="9"/>
        <v>4</v>
      </c>
      <c r="R41" s="25">
        <f t="shared" si="9"/>
        <v>4</v>
      </c>
      <c r="S41" s="31">
        <f t="shared" si="9"/>
        <v>4</v>
      </c>
      <c r="V41" s="9"/>
    </row>
  </sheetData>
  <mergeCells count="19">
    <mergeCell ref="N9:N10"/>
    <mergeCell ref="K9:K10"/>
    <mergeCell ref="L9:L10"/>
    <mergeCell ref="K41:L41"/>
    <mergeCell ref="B2:C2"/>
    <mergeCell ref="N3:P3"/>
    <mergeCell ref="I7:K7"/>
    <mergeCell ref="N4:P4"/>
    <mergeCell ref="N2:Q2"/>
    <mergeCell ref="N5:P5"/>
    <mergeCell ref="E2:G2"/>
    <mergeCell ref="I6:K6"/>
    <mergeCell ref="I5:K5"/>
    <mergeCell ref="I4:K4"/>
    <mergeCell ref="I3:K3"/>
    <mergeCell ref="E5:F5"/>
    <mergeCell ref="E4:F4"/>
    <mergeCell ref="E3:F3"/>
    <mergeCell ref="I2:L2"/>
  </mergeCells>
  <conditionalFormatting sqref="M40:S40">
    <cfRule type="cellIs" dxfId="4" priority="1" operator="lessThanOrEqual">
      <formula>$Q$5</formula>
    </cfRule>
    <cfRule type="cellIs" dxfId="3" priority="2" operator="greaterThan">
      <formula>$Q$5</formula>
    </cfRule>
    <cfRule type="cellIs" dxfId="2" priority="3" operator="lessThanOrEqual">
      <formula>$Q$5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DAA7-273B-45CC-A6C7-D27CBD254238}">
  <dimension ref="B1:U41"/>
  <sheetViews>
    <sheetView showGridLines="0" workbookViewId="0">
      <selection activeCell="R26" sqref="R26"/>
    </sheetView>
  </sheetViews>
  <sheetFormatPr defaultRowHeight="15" x14ac:dyDescent="0.25"/>
  <cols>
    <col min="1" max="1" width="3.7109375" style="1" customWidth="1"/>
    <col min="2" max="2" width="7.85546875" style="1" customWidth="1"/>
    <col min="3" max="3" width="41" style="1" bestFit="1" customWidth="1"/>
    <col min="4" max="4" width="5" style="1" customWidth="1"/>
    <col min="5" max="6" width="9.140625" style="1"/>
    <col min="7" max="7" width="10.42578125" style="1" bestFit="1" customWidth="1"/>
    <col min="8" max="8" width="10.42578125" style="1" customWidth="1"/>
    <col min="9" max="9" width="9.85546875" style="1" customWidth="1"/>
    <col min="10" max="10" width="12.42578125" style="1" bestFit="1" customWidth="1"/>
    <col min="11" max="11" width="10.85546875" style="1" customWidth="1"/>
    <col min="12" max="12" width="10.28515625" style="1" customWidth="1"/>
    <col min="13" max="13" width="16.7109375" style="1" customWidth="1"/>
    <col min="14" max="14" width="18.42578125" style="1" customWidth="1"/>
    <col min="15" max="15" width="9.140625" style="1"/>
    <col min="16" max="16" width="12.140625" style="1" customWidth="1"/>
    <col min="17" max="17" width="12.42578125" style="1" bestFit="1" customWidth="1"/>
    <col min="18" max="18" width="18.7109375" style="1" customWidth="1"/>
    <col min="19" max="21" width="14.85546875" style="1" bestFit="1" customWidth="1"/>
    <col min="22" max="22" width="8.28515625" style="1" customWidth="1"/>
    <col min="23" max="16384" width="9.140625" style="1"/>
  </cols>
  <sheetData>
    <row r="1" spans="2:21" ht="15.75" thickBot="1" x14ac:dyDescent="0.3"/>
    <row r="2" spans="2:21" ht="15.75" thickBot="1" x14ac:dyDescent="0.3">
      <c r="B2" s="75" t="s">
        <v>31</v>
      </c>
      <c r="C2" s="76"/>
      <c r="E2" s="86" t="s">
        <v>0</v>
      </c>
      <c r="F2" s="87"/>
      <c r="G2" s="88"/>
      <c r="I2" s="86" t="s">
        <v>4</v>
      </c>
      <c r="J2" s="87"/>
      <c r="K2" s="87"/>
      <c r="L2" s="88"/>
      <c r="N2" s="83" t="s">
        <v>15</v>
      </c>
      <c r="O2" s="84"/>
      <c r="P2" s="84"/>
      <c r="Q2" s="85"/>
    </row>
    <row r="3" spans="2:21" x14ac:dyDescent="0.25">
      <c r="B3" s="20" t="s">
        <v>2</v>
      </c>
      <c r="C3" s="21" t="s">
        <v>34</v>
      </c>
      <c r="E3" s="77" t="s">
        <v>5</v>
      </c>
      <c r="F3" s="78"/>
      <c r="G3" s="6">
        <v>10</v>
      </c>
      <c r="I3" s="77" t="s">
        <v>8</v>
      </c>
      <c r="J3" s="78"/>
      <c r="K3" s="78"/>
      <c r="L3" s="11">
        <v>8875</v>
      </c>
      <c r="N3" s="77" t="s">
        <v>12</v>
      </c>
      <c r="O3" s="78"/>
      <c r="P3" s="78"/>
      <c r="Q3" s="5">
        <v>20000</v>
      </c>
    </row>
    <row r="4" spans="2:21" x14ac:dyDescent="0.25">
      <c r="B4" s="18" t="s">
        <v>1</v>
      </c>
      <c r="C4" s="22" t="s">
        <v>32</v>
      </c>
      <c r="E4" s="81" t="s">
        <v>6</v>
      </c>
      <c r="F4" s="82"/>
      <c r="G4" s="7">
        <v>10</v>
      </c>
      <c r="I4" s="81" t="s">
        <v>9</v>
      </c>
      <c r="J4" s="82"/>
      <c r="K4" s="82"/>
      <c r="L4" s="12">
        <v>1500</v>
      </c>
      <c r="N4" s="81" t="s">
        <v>16</v>
      </c>
      <c r="O4" s="82"/>
      <c r="P4" s="82"/>
      <c r="Q4" s="7">
        <v>0.3</v>
      </c>
    </row>
    <row r="5" spans="2:21" ht="15.75" thickBot="1" x14ac:dyDescent="0.3">
      <c r="B5" s="18" t="s">
        <v>3</v>
      </c>
      <c r="C5" s="22" t="s">
        <v>33</v>
      </c>
      <c r="E5" s="79" t="s">
        <v>7</v>
      </c>
      <c r="F5" s="80"/>
      <c r="G5" s="8">
        <v>10</v>
      </c>
      <c r="I5" s="81" t="s">
        <v>10</v>
      </c>
      <c r="J5" s="82"/>
      <c r="K5" s="82"/>
      <c r="L5" s="12">
        <v>11</v>
      </c>
      <c r="N5" s="79" t="s">
        <v>55</v>
      </c>
      <c r="O5" s="80"/>
      <c r="P5" s="80"/>
      <c r="Q5" s="31">
        <f>0.92*24</f>
        <v>22.080000000000002</v>
      </c>
    </row>
    <row r="6" spans="2:21" x14ac:dyDescent="0.25">
      <c r="B6" s="18" t="s">
        <v>35</v>
      </c>
      <c r="C6" s="22" t="s">
        <v>36</v>
      </c>
      <c r="I6" s="81" t="s">
        <v>11</v>
      </c>
      <c r="J6" s="82"/>
      <c r="K6" s="82"/>
      <c r="L6" s="12">
        <v>4</v>
      </c>
    </row>
    <row r="7" spans="2:21" ht="15.75" thickBot="1" x14ac:dyDescent="0.3">
      <c r="B7" s="19" t="s">
        <v>37</v>
      </c>
      <c r="C7" s="22" t="s">
        <v>38</v>
      </c>
      <c r="I7" s="79" t="s">
        <v>13</v>
      </c>
      <c r="J7" s="80"/>
      <c r="K7" s="80"/>
      <c r="L7" s="13">
        <v>10</v>
      </c>
    </row>
    <row r="8" spans="2:21" ht="15.75" thickBot="1" x14ac:dyDescent="0.3">
      <c r="B8" s="18" t="s">
        <v>39</v>
      </c>
      <c r="C8" s="22" t="s">
        <v>40</v>
      </c>
    </row>
    <row r="9" spans="2:21" x14ac:dyDescent="0.25">
      <c r="B9" s="18" t="s">
        <v>41</v>
      </c>
      <c r="C9" s="22" t="s">
        <v>42</v>
      </c>
      <c r="K9" s="97" t="s">
        <v>65</v>
      </c>
      <c r="L9" s="98"/>
      <c r="M9" s="99"/>
      <c r="N9" s="98"/>
      <c r="O9" s="99"/>
      <c r="P9" s="99"/>
      <c r="Q9" s="99"/>
      <c r="R9" s="99"/>
      <c r="S9" s="99"/>
      <c r="T9" s="99"/>
      <c r="U9" s="100"/>
    </row>
    <row r="10" spans="2:21" ht="15.75" thickBot="1" x14ac:dyDescent="0.3">
      <c r="B10" s="17" t="s">
        <v>26</v>
      </c>
      <c r="C10" s="22" t="s">
        <v>43</v>
      </c>
      <c r="K10" s="101"/>
      <c r="L10" s="102"/>
      <c r="M10" s="103"/>
      <c r="N10" s="102"/>
      <c r="O10" s="103"/>
      <c r="P10" s="103"/>
      <c r="Q10" s="103"/>
      <c r="R10" s="103"/>
      <c r="S10" s="103"/>
      <c r="T10" s="103"/>
      <c r="U10" s="104"/>
    </row>
    <row r="11" spans="2:21" ht="18" thickBot="1" x14ac:dyDescent="0.3">
      <c r="B11" s="17" t="s">
        <v>20</v>
      </c>
      <c r="C11" s="22" t="s">
        <v>44</v>
      </c>
      <c r="E11" s="57" t="s">
        <v>14</v>
      </c>
      <c r="F11" s="58" t="s">
        <v>17</v>
      </c>
      <c r="G11" s="59" t="s">
        <v>28</v>
      </c>
      <c r="H11" s="58" t="s">
        <v>18</v>
      </c>
      <c r="I11" s="60" t="s">
        <v>19</v>
      </c>
      <c r="J11" s="14"/>
      <c r="K11" s="36" t="s">
        <v>14</v>
      </c>
      <c r="L11" s="42" t="s">
        <v>26</v>
      </c>
      <c r="M11" s="43" t="s">
        <v>24</v>
      </c>
      <c r="N11" s="43" t="s">
        <v>25</v>
      </c>
      <c r="O11" s="44" t="s">
        <v>53</v>
      </c>
      <c r="P11" s="43" t="s">
        <v>20</v>
      </c>
      <c r="Q11" s="43" t="s">
        <v>21</v>
      </c>
      <c r="R11" s="43" t="s">
        <v>22</v>
      </c>
      <c r="S11" s="43" t="s">
        <v>23</v>
      </c>
      <c r="T11" s="44" t="s">
        <v>54</v>
      </c>
      <c r="U11" s="53" t="s">
        <v>27</v>
      </c>
    </row>
    <row r="12" spans="2:21" x14ac:dyDescent="0.25">
      <c r="B12" s="17" t="s">
        <v>21</v>
      </c>
      <c r="C12" s="22" t="s">
        <v>45</v>
      </c>
      <c r="E12" s="15">
        <v>1</v>
      </c>
      <c r="F12" s="3">
        <v>0.18</v>
      </c>
      <c r="G12" s="3">
        <v>2.85</v>
      </c>
      <c r="H12" s="34">
        <v>71.95</v>
      </c>
      <c r="I12" s="32">
        <v>13.5</v>
      </c>
      <c r="J12" s="3"/>
      <c r="K12" s="23">
        <v>1</v>
      </c>
      <c r="L12" s="9">
        <f>$G$3*$G$4*$G$5*G12</f>
        <v>2850</v>
      </c>
      <c r="M12" s="9">
        <f>(L12*F12/100*H12/100*($L$3-$L$4))-(L12*($L$5+$L$6))</f>
        <v>-15528.616875</v>
      </c>
      <c r="N12" s="9">
        <f>-(L12*$L$6)</f>
        <v>-11400</v>
      </c>
      <c r="O12" s="9" t="str">
        <f>IF(M12&gt;N12, "Usina", "Estéril")</f>
        <v>Estéril</v>
      </c>
      <c r="P12" s="38" t="str">
        <f>IF(Q12="-", "-", $Q$3/I12)</f>
        <v>-</v>
      </c>
      <c r="Q12" s="38" t="str">
        <f>S28</f>
        <v>-</v>
      </c>
      <c r="R12" s="38" t="str">
        <f>IF(Q12="-", "-",L12*F12/100*H12/100)</f>
        <v>-</v>
      </c>
      <c r="S12" s="38" t="str">
        <f>IF(Q12="-","-", R12/Q12)</f>
        <v>-</v>
      </c>
      <c r="T12" s="38" t="str">
        <f t="shared" ref="T12:T23" si="0">IF(L28="-", "Estéril",IF(Q12="-","Estéril*","Usina"))</f>
        <v>Estéril</v>
      </c>
      <c r="U12" s="12">
        <f>IF(T12="Estéril",N12, IF(T12="Estéril*",N12,M12))</f>
        <v>-11400</v>
      </c>
    </row>
    <row r="13" spans="2:21" x14ac:dyDescent="0.25">
      <c r="B13" s="17" t="s">
        <v>22</v>
      </c>
      <c r="C13" s="22" t="s">
        <v>46</v>
      </c>
      <c r="E13" s="15">
        <v>2</v>
      </c>
      <c r="F13" s="3">
        <v>0.26</v>
      </c>
      <c r="G13" s="3">
        <v>2.98</v>
      </c>
      <c r="H13" s="34">
        <v>80.180000000000007</v>
      </c>
      <c r="I13" s="32">
        <v>14</v>
      </c>
      <c r="J13" s="3"/>
      <c r="K13" s="15">
        <v>2</v>
      </c>
      <c r="L13" s="9">
        <f t="shared" ref="L13:L23" si="1">$G$3*$G$4*$G$5*G13</f>
        <v>2980</v>
      </c>
      <c r="M13" s="9">
        <f t="shared" ref="M13:M23" si="2">(L13*F13/100*H13/100*($L$3-$L$4))-(L13*($L$5+$L$6))</f>
        <v>1116.0547000000079</v>
      </c>
      <c r="N13" s="9">
        <f t="shared" ref="N13:N23" si="3">-(L13*$L$6)</f>
        <v>-11920</v>
      </c>
      <c r="O13" s="9" t="str">
        <f t="shared" ref="O13:O23" si="4">IF(M13&gt;N13, "Usina", "Estéril")</f>
        <v>Usina</v>
      </c>
      <c r="P13" s="38" t="str">
        <f t="shared" ref="P13:P23" si="5">IF(Q13="-", "-", $Q$3/I13)</f>
        <v>-</v>
      </c>
      <c r="Q13" s="38" t="str">
        <f t="shared" ref="Q13:Q23" si="6">S29</f>
        <v>-</v>
      </c>
      <c r="R13" s="38" t="str">
        <f t="shared" ref="R13:R23" si="7">IF(Q13="-", "-",L13*F13/100*H13/100)</f>
        <v>-</v>
      </c>
      <c r="S13" s="38" t="str">
        <f t="shared" ref="S13:S23" si="8">IF(Q13="-","-", R13/Q13)</f>
        <v>-</v>
      </c>
      <c r="T13" s="38" t="str">
        <f t="shared" si="0"/>
        <v>Estéril*</v>
      </c>
      <c r="U13" s="12">
        <f t="shared" ref="U13:U23" si="9">IF(T13="Estéril",N13, IF(T13="Estéril*",N13,M13))</f>
        <v>-11920</v>
      </c>
    </row>
    <row r="14" spans="2:21" x14ac:dyDescent="0.25">
      <c r="B14" s="17" t="s">
        <v>23</v>
      </c>
      <c r="C14" s="22" t="s">
        <v>47</v>
      </c>
      <c r="E14" s="15">
        <v>3</v>
      </c>
      <c r="F14" s="3">
        <v>0.28999999999999998</v>
      </c>
      <c r="G14" s="3">
        <v>2.98</v>
      </c>
      <c r="H14" s="34">
        <v>80.98</v>
      </c>
      <c r="I14" s="32">
        <v>14.3</v>
      </c>
      <c r="J14" s="3"/>
      <c r="K14" s="15">
        <v>3</v>
      </c>
      <c r="L14" s="9">
        <f t="shared" si="1"/>
        <v>2980</v>
      </c>
      <c r="M14" s="9">
        <f t="shared" si="2"/>
        <v>6912.4005499999985</v>
      </c>
      <c r="N14" s="9">
        <f t="shared" si="3"/>
        <v>-11920</v>
      </c>
      <c r="O14" s="9" t="str">
        <f t="shared" si="4"/>
        <v>Usina</v>
      </c>
      <c r="P14" s="38">
        <f t="shared" si="5"/>
        <v>1398.6013986013986</v>
      </c>
      <c r="Q14" s="38">
        <f t="shared" si="6"/>
        <v>2.1307</v>
      </c>
      <c r="R14" s="38">
        <f t="shared" si="7"/>
        <v>6.9982915999999999</v>
      </c>
      <c r="S14" s="38">
        <f t="shared" si="8"/>
        <v>3.2845034965034965</v>
      </c>
      <c r="T14" s="38" t="str">
        <f t="shared" si="0"/>
        <v>Usina</v>
      </c>
      <c r="U14" s="12">
        <f t="shared" si="9"/>
        <v>6912.4005499999985</v>
      </c>
    </row>
    <row r="15" spans="2:21" x14ac:dyDescent="0.25">
      <c r="B15" s="17" t="s">
        <v>24</v>
      </c>
      <c r="C15" s="22" t="s">
        <v>48</v>
      </c>
      <c r="E15" s="15">
        <v>4</v>
      </c>
      <c r="F15" s="3">
        <v>0.22</v>
      </c>
      <c r="G15" s="3">
        <v>2.85</v>
      </c>
      <c r="H15" s="34">
        <v>72.97</v>
      </c>
      <c r="I15" s="32">
        <v>13.9</v>
      </c>
      <c r="J15" s="3"/>
      <c r="K15" s="15">
        <v>4</v>
      </c>
      <c r="L15" s="9">
        <f t="shared" si="1"/>
        <v>2850</v>
      </c>
      <c r="M15" s="9">
        <f t="shared" si="2"/>
        <v>-9007.7598750000034</v>
      </c>
      <c r="N15" s="9">
        <f t="shared" si="3"/>
        <v>-11400</v>
      </c>
      <c r="O15" s="9" t="str">
        <f t="shared" si="4"/>
        <v>Usina</v>
      </c>
      <c r="P15" s="38" t="str">
        <f t="shared" si="5"/>
        <v>-</v>
      </c>
      <c r="Q15" s="38" t="str">
        <f t="shared" si="6"/>
        <v>-</v>
      </c>
      <c r="R15" s="38" t="str">
        <f t="shared" si="7"/>
        <v>-</v>
      </c>
      <c r="S15" s="38" t="str">
        <f t="shared" si="8"/>
        <v>-</v>
      </c>
      <c r="T15" s="38" t="str">
        <f t="shared" si="0"/>
        <v>Estéril*</v>
      </c>
      <c r="U15" s="12">
        <f t="shared" si="9"/>
        <v>-11400</v>
      </c>
    </row>
    <row r="16" spans="2:21" x14ac:dyDescent="0.25">
      <c r="B16" s="17" t="s">
        <v>25</v>
      </c>
      <c r="C16" s="22" t="s">
        <v>49</v>
      </c>
      <c r="E16" s="15">
        <v>5</v>
      </c>
      <c r="F16" s="3">
        <v>0.35</v>
      </c>
      <c r="G16" s="3">
        <v>2.98</v>
      </c>
      <c r="H16" s="34">
        <v>81.33</v>
      </c>
      <c r="I16" s="32">
        <v>15.4</v>
      </c>
      <c r="J16" s="3"/>
      <c r="K16" s="15">
        <v>5</v>
      </c>
      <c r="L16" s="9">
        <f t="shared" si="1"/>
        <v>2980</v>
      </c>
      <c r="M16" s="9">
        <f t="shared" si="2"/>
        <v>17860.052624999997</v>
      </c>
      <c r="N16" s="9">
        <f t="shared" si="3"/>
        <v>-11920</v>
      </c>
      <c r="O16" s="9" t="str">
        <f t="shared" si="4"/>
        <v>Usina</v>
      </c>
      <c r="P16" s="38">
        <f t="shared" si="5"/>
        <v>1298.7012987012986</v>
      </c>
      <c r="Q16" s="38">
        <f t="shared" si="6"/>
        <v>2.2946000000000004</v>
      </c>
      <c r="R16" s="38">
        <f t="shared" si="7"/>
        <v>8.4827189999999995</v>
      </c>
      <c r="S16" s="38">
        <f t="shared" si="8"/>
        <v>3.6968181818181809</v>
      </c>
      <c r="T16" s="38" t="str">
        <f t="shared" si="0"/>
        <v>Usina</v>
      </c>
      <c r="U16" s="12">
        <f t="shared" si="9"/>
        <v>17860.052624999997</v>
      </c>
    </row>
    <row r="17" spans="2:21" x14ac:dyDescent="0.25">
      <c r="B17" s="28"/>
      <c r="C17" s="22" t="s">
        <v>50</v>
      </c>
      <c r="E17" s="15">
        <v>6</v>
      </c>
      <c r="F17" s="3">
        <v>0.65</v>
      </c>
      <c r="G17" s="3">
        <v>3.01</v>
      </c>
      <c r="H17" s="34">
        <v>85.8</v>
      </c>
      <c r="I17" s="32">
        <v>16.899999999999999</v>
      </c>
      <c r="J17" s="3"/>
      <c r="K17" s="15">
        <v>6</v>
      </c>
      <c r="L17" s="9">
        <f t="shared" si="1"/>
        <v>3010</v>
      </c>
      <c r="M17" s="9">
        <f t="shared" si="2"/>
        <v>78652.428750000006</v>
      </c>
      <c r="N17" s="9">
        <f t="shared" si="3"/>
        <v>-12040</v>
      </c>
      <c r="O17" s="9" t="str">
        <f t="shared" si="4"/>
        <v>Usina</v>
      </c>
      <c r="P17" s="38">
        <f t="shared" si="5"/>
        <v>1183.4319526627221</v>
      </c>
      <c r="Q17" s="38">
        <f t="shared" si="6"/>
        <v>2.5434499999999995</v>
      </c>
      <c r="R17" s="38">
        <f t="shared" si="7"/>
        <v>16.786770000000001</v>
      </c>
      <c r="S17" s="38">
        <f t="shared" si="8"/>
        <v>6.6000000000000014</v>
      </c>
      <c r="T17" s="38" t="str">
        <f t="shared" si="0"/>
        <v>Usina</v>
      </c>
      <c r="U17" s="12">
        <f t="shared" si="9"/>
        <v>78652.428750000006</v>
      </c>
    </row>
    <row r="18" spans="2:21" x14ac:dyDescent="0.25">
      <c r="B18" s="68"/>
      <c r="C18" s="22" t="s">
        <v>64</v>
      </c>
      <c r="E18" s="15">
        <v>7</v>
      </c>
      <c r="F18" s="3">
        <v>0.53</v>
      </c>
      <c r="G18" s="3">
        <v>2.98</v>
      </c>
      <c r="H18" s="34">
        <v>82.53</v>
      </c>
      <c r="I18" s="32">
        <v>15.5</v>
      </c>
      <c r="J18" s="3"/>
      <c r="K18" s="15">
        <v>7</v>
      </c>
      <c r="L18" s="9">
        <f t="shared" si="1"/>
        <v>2980</v>
      </c>
      <c r="M18" s="9">
        <f t="shared" si="2"/>
        <v>51431.562975000008</v>
      </c>
      <c r="N18" s="9">
        <f t="shared" si="3"/>
        <v>-11920</v>
      </c>
      <c r="O18" s="9" t="str">
        <f t="shared" si="4"/>
        <v>Usina</v>
      </c>
      <c r="P18" s="38">
        <f t="shared" si="5"/>
        <v>1290.3225806451612</v>
      </c>
      <c r="Q18" s="38">
        <f t="shared" si="6"/>
        <v>2.3095000000000003</v>
      </c>
      <c r="R18" s="38">
        <f t="shared" si="7"/>
        <v>13.034788200000001</v>
      </c>
      <c r="S18" s="38">
        <f t="shared" si="8"/>
        <v>5.6439870967741932</v>
      </c>
      <c r="T18" s="38" t="str">
        <f t="shared" si="0"/>
        <v>Usina</v>
      </c>
      <c r="U18" s="12">
        <f t="shared" si="9"/>
        <v>51431.562975000008</v>
      </c>
    </row>
    <row r="19" spans="2:21" ht="15.75" thickBot="1" x14ac:dyDescent="0.3">
      <c r="B19" s="30"/>
      <c r="C19" s="69" t="s">
        <v>52</v>
      </c>
      <c r="E19" s="15">
        <v>8</v>
      </c>
      <c r="F19" s="3">
        <v>0.62</v>
      </c>
      <c r="G19" s="3">
        <v>2.98</v>
      </c>
      <c r="H19" s="34">
        <v>82.96</v>
      </c>
      <c r="I19" s="32">
        <v>15.9</v>
      </c>
      <c r="J19" s="3"/>
      <c r="K19" s="15">
        <v>8</v>
      </c>
      <c r="L19" s="9">
        <f t="shared" si="1"/>
        <v>2980</v>
      </c>
      <c r="M19" s="9">
        <f t="shared" si="2"/>
        <v>68341.710800000001</v>
      </c>
      <c r="N19" s="9">
        <f t="shared" si="3"/>
        <v>-11920</v>
      </c>
      <c r="O19" s="9" t="str">
        <f t="shared" si="4"/>
        <v>Usina</v>
      </c>
      <c r="P19" s="38">
        <f t="shared" si="5"/>
        <v>1257.8616352201257</v>
      </c>
      <c r="Q19" s="38">
        <f t="shared" si="6"/>
        <v>2.3691000000000004</v>
      </c>
      <c r="R19" s="38">
        <f t="shared" si="7"/>
        <v>15.327689599999999</v>
      </c>
      <c r="S19" s="38">
        <f t="shared" si="8"/>
        <v>6.4698364779874202</v>
      </c>
      <c r="T19" s="38" t="str">
        <f t="shared" si="0"/>
        <v>Usina</v>
      </c>
      <c r="U19" s="12">
        <f t="shared" si="9"/>
        <v>68341.710800000001</v>
      </c>
    </row>
    <row r="20" spans="2:21" x14ac:dyDescent="0.25">
      <c r="E20" s="15">
        <v>9</v>
      </c>
      <c r="F20" s="3">
        <v>0.81</v>
      </c>
      <c r="G20" s="3">
        <v>3.01</v>
      </c>
      <c r="H20" s="34">
        <v>86.93</v>
      </c>
      <c r="I20" s="32">
        <v>17.899999999999999</v>
      </c>
      <c r="J20" s="3"/>
      <c r="K20" s="15">
        <v>9</v>
      </c>
      <c r="L20" s="9">
        <f t="shared" si="1"/>
        <v>3010</v>
      </c>
      <c r="M20" s="9">
        <f t="shared" si="2"/>
        <v>111158.72433750003</v>
      </c>
      <c r="N20" s="9">
        <f t="shared" si="3"/>
        <v>-12040</v>
      </c>
      <c r="O20" s="9" t="str">
        <f t="shared" si="4"/>
        <v>Usina</v>
      </c>
      <c r="P20" s="38">
        <f t="shared" si="5"/>
        <v>1117.31843575419</v>
      </c>
      <c r="Q20" s="38">
        <f t="shared" si="6"/>
        <v>2.6939500000000001</v>
      </c>
      <c r="R20" s="38">
        <f t="shared" si="7"/>
        <v>21.194403300000005</v>
      </c>
      <c r="S20" s="38">
        <f t="shared" si="8"/>
        <v>7.8674078212290519</v>
      </c>
      <c r="T20" s="38" t="str">
        <f t="shared" si="0"/>
        <v>Usina</v>
      </c>
      <c r="U20" s="12">
        <f t="shared" si="9"/>
        <v>111158.72433750003</v>
      </c>
    </row>
    <row r="21" spans="2:21" x14ac:dyDescent="0.25">
      <c r="E21" s="15">
        <v>10</v>
      </c>
      <c r="F21" s="3">
        <v>0.63</v>
      </c>
      <c r="G21" s="3">
        <v>2.98</v>
      </c>
      <c r="H21" s="34">
        <v>83.1</v>
      </c>
      <c r="I21" s="32">
        <v>15.6</v>
      </c>
      <c r="J21" s="3"/>
      <c r="K21" s="15">
        <v>10</v>
      </c>
      <c r="L21" s="9">
        <f t="shared" si="1"/>
        <v>2980</v>
      </c>
      <c r="M21" s="9">
        <f t="shared" si="2"/>
        <v>70358.80575</v>
      </c>
      <c r="N21" s="9">
        <f t="shared" si="3"/>
        <v>-11920</v>
      </c>
      <c r="O21" s="9" t="str">
        <f t="shared" si="4"/>
        <v>Usina</v>
      </c>
      <c r="P21" s="38">
        <f t="shared" si="5"/>
        <v>1282.051282051282</v>
      </c>
      <c r="Q21" s="38">
        <f t="shared" si="6"/>
        <v>2.3244000000000002</v>
      </c>
      <c r="R21" s="38">
        <f t="shared" si="7"/>
        <v>15.601194</v>
      </c>
      <c r="S21" s="38">
        <f t="shared" si="8"/>
        <v>6.7119230769230764</v>
      </c>
      <c r="T21" s="38" t="str">
        <f t="shared" si="0"/>
        <v>Usina</v>
      </c>
      <c r="U21" s="12">
        <f t="shared" si="9"/>
        <v>70358.80575</v>
      </c>
    </row>
    <row r="22" spans="2:21" x14ac:dyDescent="0.25">
      <c r="E22" s="15">
        <v>11</v>
      </c>
      <c r="F22" s="3">
        <v>0.69</v>
      </c>
      <c r="G22" s="3">
        <v>2.98</v>
      </c>
      <c r="H22" s="34">
        <v>83.01</v>
      </c>
      <c r="I22" s="32">
        <v>15.7</v>
      </c>
      <c r="J22" s="3"/>
      <c r="K22" s="15">
        <v>11</v>
      </c>
      <c r="L22" s="9">
        <f t="shared" si="1"/>
        <v>2980</v>
      </c>
      <c r="M22" s="9">
        <f t="shared" si="2"/>
        <v>81180.306974999985</v>
      </c>
      <c r="N22" s="9">
        <f t="shared" si="3"/>
        <v>-11920</v>
      </c>
      <c r="O22" s="9" t="str">
        <f t="shared" si="4"/>
        <v>Usina</v>
      </c>
      <c r="P22" s="38">
        <f t="shared" si="5"/>
        <v>1273.8853503184714</v>
      </c>
      <c r="Q22" s="38">
        <f t="shared" si="6"/>
        <v>2.3392999999999997</v>
      </c>
      <c r="R22" s="38">
        <f t="shared" si="7"/>
        <v>17.068516199999998</v>
      </c>
      <c r="S22" s="38">
        <f t="shared" si="8"/>
        <v>7.2964203821656053</v>
      </c>
      <c r="T22" s="38" t="str">
        <f t="shared" si="0"/>
        <v>Usina</v>
      </c>
      <c r="U22" s="12">
        <f t="shared" si="9"/>
        <v>81180.306974999985</v>
      </c>
    </row>
    <row r="23" spans="2:21" ht="15.75" thickBot="1" x14ac:dyDescent="0.3">
      <c r="E23" s="16">
        <v>12</v>
      </c>
      <c r="F23" s="4">
        <v>0.84</v>
      </c>
      <c r="G23" s="4">
        <v>3.01</v>
      </c>
      <c r="H23" s="35">
        <v>86.95</v>
      </c>
      <c r="I23" s="33">
        <v>17.8</v>
      </c>
      <c r="J23" s="3"/>
      <c r="K23" s="16">
        <v>12</v>
      </c>
      <c r="L23" s="9">
        <f t="shared" si="1"/>
        <v>3010</v>
      </c>
      <c r="M23" s="9">
        <f t="shared" si="2"/>
        <v>116985.23025000002</v>
      </c>
      <c r="N23" s="9">
        <f t="shared" si="3"/>
        <v>-12040</v>
      </c>
      <c r="O23" s="9" t="str">
        <f t="shared" si="4"/>
        <v>Usina</v>
      </c>
      <c r="P23" s="38">
        <f t="shared" si="5"/>
        <v>1123.5955056179776</v>
      </c>
      <c r="Q23" s="38">
        <f t="shared" si="6"/>
        <v>2.6789000000000001</v>
      </c>
      <c r="R23" s="38">
        <f t="shared" si="7"/>
        <v>21.984438000000004</v>
      </c>
      <c r="S23" s="38">
        <f t="shared" si="8"/>
        <v>8.2065168539325857</v>
      </c>
      <c r="T23" s="38" t="str">
        <f t="shared" si="0"/>
        <v>Usina</v>
      </c>
      <c r="U23" s="12">
        <f t="shared" si="9"/>
        <v>116985.23025000002</v>
      </c>
    </row>
    <row r="24" spans="2:21" ht="15.75" thickBot="1" x14ac:dyDescent="0.3">
      <c r="K24" s="24" t="s">
        <v>30</v>
      </c>
      <c r="L24" s="39">
        <f>SUM(L12:L23)</f>
        <v>35590</v>
      </c>
      <c r="M24" s="40" t="s">
        <v>29</v>
      </c>
      <c r="N24" s="40" t="s">
        <v>29</v>
      </c>
      <c r="O24" s="40"/>
      <c r="P24" s="40">
        <f>SUMIFS(L12:L23,T12:T23,"Usina")/Q24</f>
        <v>1241.0129174179922</v>
      </c>
      <c r="Q24" s="40">
        <f>SUM(Q12:Q23)</f>
        <v>21.683900000000001</v>
      </c>
      <c r="R24" s="40">
        <f t="shared" ref="R24" si="10">SUM(R12:R23)</f>
        <v>136.47880990000002</v>
      </c>
      <c r="S24" s="40">
        <f>R24/Q24</f>
        <v>6.2940158320228372</v>
      </c>
      <c r="T24" s="40" t="s">
        <v>29</v>
      </c>
      <c r="U24" s="41">
        <f t="shared" ref="U24" si="11">SUM(U12:U23)</f>
        <v>568161.22301250009</v>
      </c>
    </row>
    <row r="26" spans="2:21" ht="15.75" thickBot="1" x14ac:dyDescent="0.3"/>
    <row r="27" spans="2:21" ht="15.75" thickBot="1" x14ac:dyDescent="0.3">
      <c r="K27" s="64" t="s">
        <v>14</v>
      </c>
      <c r="L27" s="65" t="s">
        <v>20</v>
      </c>
      <c r="M27" s="65" t="s">
        <v>56</v>
      </c>
      <c r="N27" s="65" t="s">
        <v>57</v>
      </c>
      <c r="O27" s="65" t="s">
        <v>58</v>
      </c>
      <c r="P27" s="65" t="s">
        <v>59</v>
      </c>
      <c r="Q27" s="65" t="s">
        <v>60</v>
      </c>
      <c r="R27" s="65" t="s">
        <v>61</v>
      </c>
      <c r="S27" s="66" t="s">
        <v>63</v>
      </c>
    </row>
    <row r="28" spans="2:21" x14ac:dyDescent="0.25">
      <c r="K28" s="23">
        <v>1</v>
      </c>
      <c r="L28" s="38" t="str">
        <f t="shared" ref="L28:L39" si="12">IF(O12="Estéril","-",$Q$3/I12)</f>
        <v>-</v>
      </c>
      <c r="M28" s="38" t="str">
        <f t="shared" ref="M28:M39" si="13">IF(O12="Estéril","-",L12/L28)</f>
        <v>-</v>
      </c>
      <c r="N28" s="38" t="str">
        <f>IF(M$40&lt;$Q$5,M28,IF($M12=(SMALL($M$12:$M$23,M$41+1)), "-", M28))</f>
        <v>-</v>
      </c>
      <c r="O28" s="38" t="str">
        <f>IF(N$40&lt;$Q$5,N28,IF($M12=(SMALL($M$12:$M$23,N$41+1)), "-", N28))</f>
        <v>-</v>
      </c>
      <c r="P28" s="38" t="str">
        <f>IF(O$40&lt;$Q$5,O28,IF($M12=(SMALL($M$12:$M$23,O$41+1)), "-", O28))</f>
        <v>-</v>
      </c>
      <c r="Q28" s="38" t="str">
        <f>IF(P$40&lt;$Q$5,P28,IF($M12=(SMALL($M$12:$M$23,P$41+1)), "-", P28))</f>
        <v>-</v>
      </c>
      <c r="R28" s="38" t="str">
        <f>IF(Q$40&lt;$Q$5,Q28,IF($M12=(SMALL($M$12:$M$23,Q$41+1)), "-", Q28))</f>
        <v>-</v>
      </c>
      <c r="S28" s="7" t="str">
        <f>IF(R$40&lt;$Q$5,R28,IF($M12=(SMALL($M$12:$M$23,R$41+1)), "-", R28))</f>
        <v>-</v>
      </c>
    </row>
    <row r="29" spans="2:21" x14ac:dyDescent="0.25">
      <c r="K29" s="15">
        <v>2</v>
      </c>
      <c r="L29" s="38">
        <f t="shared" si="12"/>
        <v>1428.5714285714287</v>
      </c>
      <c r="M29" s="38">
        <f t="shared" si="13"/>
        <v>2.0859999999999999</v>
      </c>
      <c r="N29" s="38">
        <f>IF(M$40&lt;$Q$5,M29,IF($M13=(SMALL($M$12:$M$23,M$41+1)), "-", M29))</f>
        <v>2.0859999999999999</v>
      </c>
      <c r="O29" s="38" t="str">
        <f>IF(N$40&lt;$Q$5,N29,IF($M13=(SMALL($M$12:$M$23,N$41+1)), "-", N29))</f>
        <v>-</v>
      </c>
      <c r="P29" s="38" t="str">
        <f>IF(O$40&lt;$Q$5,O29,IF($M13=(SMALL($M$12:$M$23,O$41+1)), "-", O29))</f>
        <v>-</v>
      </c>
      <c r="Q29" s="38" t="str">
        <f>IF(P$40&lt;$Q$5,P29,IF($M13=(SMALL($M$12:$M$23,P$41+1)), "-", P29))</f>
        <v>-</v>
      </c>
      <c r="R29" s="38" t="str">
        <f>IF(Q$40&lt;$Q$5,Q29,IF($M13=(SMALL($M$12:$M$23,Q$41+1)), "-", Q29))</f>
        <v>-</v>
      </c>
      <c r="S29" s="7" t="str">
        <f>IF(R$40&lt;$Q$5,R29,IF($M13=(SMALL($M$12:$M$23,R$41+1)), "-", R29))</f>
        <v>-</v>
      </c>
    </row>
    <row r="30" spans="2:21" x14ac:dyDescent="0.25">
      <c r="K30" s="15">
        <v>3</v>
      </c>
      <c r="L30" s="38">
        <f t="shared" si="12"/>
        <v>1398.6013986013986</v>
      </c>
      <c r="M30" s="38">
        <f t="shared" si="13"/>
        <v>2.1307</v>
      </c>
      <c r="N30" s="38">
        <f>IF(M$40&lt;$Q$5,M30,IF($M14=(SMALL($M$12:$M$23,M$41+1)), "-", M30))</f>
        <v>2.1307</v>
      </c>
      <c r="O30" s="38">
        <f>IF(N$40&lt;$Q$5,N30,IF($M14=(SMALL($M$12:$M$23,N$41+1)), "-", N30))</f>
        <v>2.1307</v>
      </c>
      <c r="P30" s="38">
        <f>IF(O$40&lt;$Q$5,O30,IF($M14=(SMALL($M$12:$M$23,O$41+1)), "-", O30))</f>
        <v>2.1307</v>
      </c>
      <c r="Q30" s="38">
        <f>IF(P$40&lt;$Q$5,P30,IF($M14=(SMALL($M$12:$M$23,P$41+1)), "-", P30))</f>
        <v>2.1307</v>
      </c>
      <c r="R30" s="38">
        <f>IF(Q$40&lt;$Q$5,Q30,IF($M14=(SMALL($M$12:$M$23,Q$41+1)), "-", Q30))</f>
        <v>2.1307</v>
      </c>
      <c r="S30" s="7">
        <f>IF(R$40&lt;$Q$5,R30,IF($M14=(SMALL($M$12:$M$23,R$41+1)), "-", R30))</f>
        <v>2.1307</v>
      </c>
    </row>
    <row r="31" spans="2:21" x14ac:dyDescent="0.25">
      <c r="K31" s="15">
        <v>4</v>
      </c>
      <c r="L31" s="38">
        <f t="shared" si="12"/>
        <v>1438.8489208633093</v>
      </c>
      <c r="M31" s="38">
        <f t="shared" si="13"/>
        <v>1.98075</v>
      </c>
      <c r="N31" s="38" t="str">
        <f>IF(M$40&lt;$Q$5,M31,IF($M15=(SMALL($M$12:$M$23,M$41+1)), "-", M31))</f>
        <v>-</v>
      </c>
      <c r="O31" s="38" t="str">
        <f>IF(N$40&lt;$Q$5,N31,IF($M15=(SMALL($M$12:$M$23,N$41+1)), "-", N31))</f>
        <v>-</v>
      </c>
      <c r="P31" s="38" t="str">
        <f>IF(O$40&lt;$Q$5,O31,IF($M15=(SMALL($M$12:$M$23,O$41+1)), "-", O31))</f>
        <v>-</v>
      </c>
      <c r="Q31" s="38" t="str">
        <f>IF(P$40&lt;$Q$5,P31,IF($M15=(SMALL($M$12:$M$23,P$41+1)), "-", P31))</f>
        <v>-</v>
      </c>
      <c r="R31" s="38" t="str">
        <f>IF(Q$40&lt;$Q$5,Q31,IF($M15=(SMALL($M$12:$M$23,Q$41+1)), "-", Q31))</f>
        <v>-</v>
      </c>
      <c r="S31" s="7" t="str">
        <f>IF(R$40&lt;$Q$5,R31,IF($M15=(SMALL($M$12:$M$23,R$41+1)), "-", R31))</f>
        <v>-</v>
      </c>
    </row>
    <row r="32" spans="2:21" x14ac:dyDescent="0.25">
      <c r="K32" s="15">
        <v>5</v>
      </c>
      <c r="L32" s="38">
        <f t="shared" si="12"/>
        <v>1298.7012987012986</v>
      </c>
      <c r="M32" s="38">
        <f t="shared" si="13"/>
        <v>2.2946000000000004</v>
      </c>
      <c r="N32" s="38">
        <f>IF(M$40&lt;$Q$5,M32,IF($M16=(SMALL($M$12:$M$23,M$41+1)), "-", M32))</f>
        <v>2.2946000000000004</v>
      </c>
      <c r="O32" s="38">
        <f>IF(N$40&lt;$Q$5,N32,IF($M16=(SMALL($M$12:$M$23,N$41+1)), "-", N32))</f>
        <v>2.2946000000000004</v>
      </c>
      <c r="P32" s="38">
        <f>IF(O$40&lt;$Q$5,O32,IF($M16=(SMALL($M$12:$M$23,O$41+1)), "-", O32))</f>
        <v>2.2946000000000004</v>
      </c>
      <c r="Q32" s="38">
        <f>IF(P$40&lt;$Q$5,P32,IF($M16=(SMALL($M$12:$M$23,P$41+1)), "-", P32))</f>
        <v>2.2946000000000004</v>
      </c>
      <c r="R32" s="38">
        <f>IF(Q$40&lt;$Q$5,Q32,IF($M16=(SMALL($M$12:$M$23,Q$41+1)), "-", Q32))</f>
        <v>2.2946000000000004</v>
      </c>
      <c r="S32" s="7">
        <f>IF(R$40&lt;$Q$5,R32,IF($M16=(SMALL($M$12:$M$23,R$41+1)), "-", R32))</f>
        <v>2.2946000000000004</v>
      </c>
    </row>
    <row r="33" spans="11:19" x14ac:dyDescent="0.25">
      <c r="K33" s="15">
        <v>6</v>
      </c>
      <c r="L33" s="38">
        <f t="shared" si="12"/>
        <v>1183.4319526627221</v>
      </c>
      <c r="M33" s="38">
        <f t="shared" si="13"/>
        <v>2.5434499999999995</v>
      </c>
      <c r="N33" s="38">
        <f>IF(M$40&lt;$Q$5,M33,IF($M17=(SMALL($M$12:$M$23,M$41+1)), "-", M33))</f>
        <v>2.5434499999999995</v>
      </c>
      <c r="O33" s="38">
        <f>IF(N$40&lt;$Q$5,N33,IF($M17=(SMALL($M$12:$M$23,N$41+1)), "-", N33))</f>
        <v>2.5434499999999995</v>
      </c>
      <c r="P33" s="38">
        <f>IF(O$40&lt;$Q$5,O33,IF($M17=(SMALL($M$12:$M$23,O$41+1)), "-", O33))</f>
        <v>2.5434499999999995</v>
      </c>
      <c r="Q33" s="38">
        <f>IF(P$40&lt;$Q$5,P33,IF($M17=(SMALL($M$12:$M$23,P$41+1)), "-", P33))</f>
        <v>2.5434499999999995</v>
      </c>
      <c r="R33" s="38">
        <f>IF(Q$40&lt;$Q$5,Q33,IF($M17=(SMALL($M$12:$M$23,Q$41+1)), "-", Q33))</f>
        <v>2.5434499999999995</v>
      </c>
      <c r="S33" s="7">
        <f>IF(R$40&lt;$Q$5,R33,IF($M17=(SMALL($M$12:$M$23,R$41+1)), "-", R33))</f>
        <v>2.5434499999999995</v>
      </c>
    </row>
    <row r="34" spans="11:19" x14ac:dyDescent="0.25">
      <c r="K34" s="15">
        <v>7</v>
      </c>
      <c r="L34" s="38">
        <f t="shared" si="12"/>
        <v>1290.3225806451612</v>
      </c>
      <c r="M34" s="38">
        <f t="shared" si="13"/>
        <v>2.3095000000000003</v>
      </c>
      <c r="N34" s="38">
        <f>IF(M$40&lt;$Q$5,M34,IF($M18=(SMALL($M$12:$M$23,M$41+1)), "-", M34))</f>
        <v>2.3095000000000003</v>
      </c>
      <c r="O34" s="38">
        <f>IF(N$40&lt;$Q$5,N34,IF($M18=(SMALL($M$12:$M$23,N$41+1)), "-", N34))</f>
        <v>2.3095000000000003</v>
      </c>
      <c r="P34" s="38">
        <f>IF(O$40&lt;$Q$5,O34,IF($M18=(SMALL($M$12:$M$23,O$41+1)), "-", O34))</f>
        <v>2.3095000000000003</v>
      </c>
      <c r="Q34" s="38">
        <f>IF(P$40&lt;$Q$5,P34,IF($M18=(SMALL($M$12:$M$23,P$41+1)), "-", P34))</f>
        <v>2.3095000000000003</v>
      </c>
      <c r="R34" s="38">
        <f>IF(Q$40&lt;$Q$5,Q34,IF($M18=(SMALL($M$12:$M$23,Q$41+1)), "-", Q34))</f>
        <v>2.3095000000000003</v>
      </c>
      <c r="S34" s="7">
        <f>IF(R$40&lt;$Q$5,R34,IF($M18=(SMALL($M$12:$M$23,R$41+1)), "-", R34))</f>
        <v>2.3095000000000003</v>
      </c>
    </row>
    <row r="35" spans="11:19" x14ac:dyDescent="0.25">
      <c r="K35" s="15">
        <v>8</v>
      </c>
      <c r="L35" s="38">
        <f t="shared" si="12"/>
        <v>1257.8616352201257</v>
      </c>
      <c r="M35" s="38">
        <f t="shared" si="13"/>
        <v>2.3691000000000004</v>
      </c>
      <c r="N35" s="38">
        <f>IF(M$40&lt;$Q$5,M35,IF($M19=(SMALL($M$12:$M$23,M$41+1)), "-", M35))</f>
        <v>2.3691000000000004</v>
      </c>
      <c r="O35" s="38">
        <f>IF(N$40&lt;$Q$5,N35,IF($M19=(SMALL($M$12:$M$23,N$41+1)), "-", N35))</f>
        <v>2.3691000000000004</v>
      </c>
      <c r="P35" s="38">
        <f>IF(O$40&lt;$Q$5,O35,IF($M19=(SMALL($M$12:$M$23,O$41+1)), "-", O35))</f>
        <v>2.3691000000000004</v>
      </c>
      <c r="Q35" s="38">
        <f>IF(P$40&lt;$Q$5,P35,IF($M19=(SMALL($M$12:$M$23,P$41+1)), "-", P35))</f>
        <v>2.3691000000000004</v>
      </c>
      <c r="R35" s="38">
        <f>IF(Q$40&lt;$Q$5,Q35,IF($M19=(SMALL($M$12:$M$23,Q$41+1)), "-", Q35))</f>
        <v>2.3691000000000004</v>
      </c>
      <c r="S35" s="7">
        <f>IF(R$40&lt;$Q$5,R35,IF($M19=(SMALL($M$12:$M$23,R$41+1)), "-", R35))</f>
        <v>2.3691000000000004</v>
      </c>
    </row>
    <row r="36" spans="11:19" x14ac:dyDescent="0.25">
      <c r="K36" s="15">
        <v>9</v>
      </c>
      <c r="L36" s="38">
        <f t="shared" si="12"/>
        <v>1117.31843575419</v>
      </c>
      <c r="M36" s="38">
        <f t="shared" si="13"/>
        <v>2.6939500000000001</v>
      </c>
      <c r="N36" s="38">
        <f>IF(M$40&lt;$Q$5,M36,IF($M20=(SMALL($M$12:$M$23,M$41+1)), "-", M36))</f>
        <v>2.6939500000000001</v>
      </c>
      <c r="O36" s="38">
        <f>IF(N$40&lt;$Q$5,N36,IF($M20=(SMALL($M$12:$M$23,N$41+1)), "-", N36))</f>
        <v>2.6939500000000001</v>
      </c>
      <c r="P36" s="38">
        <f>IF(O$40&lt;$Q$5,O36,IF($M20=(SMALL($M$12:$M$23,O$41+1)), "-", O36))</f>
        <v>2.6939500000000001</v>
      </c>
      <c r="Q36" s="38">
        <f>IF(P$40&lt;$Q$5,P36,IF($M20=(SMALL($M$12:$M$23,P$41+1)), "-", P36))</f>
        <v>2.6939500000000001</v>
      </c>
      <c r="R36" s="38">
        <f>IF(Q$40&lt;$Q$5,Q36,IF($M20=(SMALL($M$12:$M$23,Q$41+1)), "-", Q36))</f>
        <v>2.6939500000000001</v>
      </c>
      <c r="S36" s="7">
        <f>IF(R$40&lt;$Q$5,R36,IF($M20=(SMALL($M$12:$M$23,R$41+1)), "-", R36))</f>
        <v>2.6939500000000001</v>
      </c>
    </row>
    <row r="37" spans="11:19" x14ac:dyDescent="0.25">
      <c r="K37" s="15">
        <v>10</v>
      </c>
      <c r="L37" s="38">
        <f t="shared" si="12"/>
        <v>1282.051282051282</v>
      </c>
      <c r="M37" s="38">
        <f t="shared" si="13"/>
        <v>2.3244000000000002</v>
      </c>
      <c r="N37" s="38">
        <f>IF(M$40&lt;$Q$5,M37,IF($M21=(SMALL($M$12:$M$23,M$41+1)), "-", M37))</f>
        <v>2.3244000000000002</v>
      </c>
      <c r="O37" s="38">
        <f>IF(N$40&lt;$Q$5,N37,IF($M21=(SMALL($M$12:$M$23,N$41+1)), "-", N37))</f>
        <v>2.3244000000000002</v>
      </c>
      <c r="P37" s="38">
        <f>IF(O$40&lt;$Q$5,O37,IF($M21=(SMALL($M$12:$M$23,O$41+1)), "-", O37))</f>
        <v>2.3244000000000002</v>
      </c>
      <c r="Q37" s="38">
        <f>IF(P$40&lt;$Q$5,P37,IF($M21=(SMALL($M$12:$M$23,P$41+1)), "-", P37))</f>
        <v>2.3244000000000002</v>
      </c>
      <c r="R37" s="38">
        <f>IF(Q$40&lt;$Q$5,Q37,IF($M21=(SMALL($M$12:$M$23,Q$41+1)), "-", Q37))</f>
        <v>2.3244000000000002</v>
      </c>
      <c r="S37" s="7">
        <f>IF(R$40&lt;$Q$5,R37,IF($M21=(SMALL($M$12:$M$23,R$41+1)), "-", R37))</f>
        <v>2.3244000000000002</v>
      </c>
    </row>
    <row r="38" spans="11:19" x14ac:dyDescent="0.25">
      <c r="K38" s="15">
        <v>11</v>
      </c>
      <c r="L38" s="38">
        <f t="shared" si="12"/>
        <v>1273.8853503184714</v>
      </c>
      <c r="M38" s="38">
        <f t="shared" si="13"/>
        <v>2.3392999999999997</v>
      </c>
      <c r="N38" s="38">
        <f>IF(M$40&lt;$Q$5,M38,IF($M22=(SMALL($M$12:$M$23,M$41+1)), "-", M38))</f>
        <v>2.3392999999999997</v>
      </c>
      <c r="O38" s="38">
        <f>IF(N$40&lt;$Q$5,N38,IF($M22=(SMALL($M$12:$M$23,N$41+1)), "-", N38))</f>
        <v>2.3392999999999997</v>
      </c>
      <c r="P38" s="38">
        <f>IF(O$40&lt;$Q$5,O38,IF($M22=(SMALL($M$12:$M$23,O$41+1)), "-", O38))</f>
        <v>2.3392999999999997</v>
      </c>
      <c r="Q38" s="38">
        <f>IF(P$40&lt;$Q$5,P38,IF($M22=(SMALL($M$12:$M$23,P$41+1)), "-", P38))</f>
        <v>2.3392999999999997</v>
      </c>
      <c r="R38" s="38">
        <f>IF(Q$40&lt;$Q$5,Q38,IF($M22=(SMALL($M$12:$M$23,Q$41+1)), "-", Q38))</f>
        <v>2.3392999999999997</v>
      </c>
      <c r="S38" s="7">
        <f>IF(R$40&lt;$Q$5,R38,IF($M22=(SMALL($M$12:$M$23,R$41+1)), "-", R38))</f>
        <v>2.3392999999999997</v>
      </c>
    </row>
    <row r="39" spans="11:19" ht="15.75" thickBot="1" x14ac:dyDescent="0.3">
      <c r="K39" s="16">
        <v>12</v>
      </c>
      <c r="L39" s="38">
        <f t="shared" si="12"/>
        <v>1123.5955056179776</v>
      </c>
      <c r="M39" s="38">
        <f t="shared" si="13"/>
        <v>2.6789000000000001</v>
      </c>
      <c r="N39" s="38">
        <f>IF(M$40&lt;$Q$5,M39,IF($M23=(SMALL($M$12:$M$23,M$41+1)), "-", M39))</f>
        <v>2.6789000000000001</v>
      </c>
      <c r="O39" s="38">
        <f>IF(N$40&lt;$Q$5,N39,IF($M23=(SMALL($M$12:$M$23,N$41+1)), "-", N39))</f>
        <v>2.6789000000000001</v>
      </c>
      <c r="P39" s="38">
        <f>IF(O$40&lt;$Q$5,O39,IF($M23=(SMALL($M$12:$M$23,O$41+1)), "-", O39))</f>
        <v>2.6789000000000001</v>
      </c>
      <c r="Q39" s="38">
        <f>IF(P$40&lt;$Q$5,P39,IF($M23=(SMALL($M$12:$M$23,P$41+1)), "-", P39))</f>
        <v>2.6789000000000001</v>
      </c>
      <c r="R39" s="38">
        <f>IF(Q$40&lt;$Q$5,Q39,IF($M23=(SMALL($M$12:$M$23,Q$41+1)), "-", Q39))</f>
        <v>2.6789000000000001</v>
      </c>
      <c r="S39" s="7">
        <f>IF(R$40&lt;$Q$5,R39,IF($M23=(SMALL($M$12:$M$23,R$41+1)), "-", R39))</f>
        <v>2.6789000000000001</v>
      </c>
    </row>
    <row r="40" spans="11:19" ht="15.75" thickBot="1" x14ac:dyDescent="0.3">
      <c r="K40" s="45" t="s">
        <v>30</v>
      </c>
      <c r="L40" s="40"/>
      <c r="M40" s="40">
        <f>SUM(M28:M39)</f>
        <v>25.75065</v>
      </c>
      <c r="N40" s="40">
        <f t="shared" ref="N40:O40" si="14">SUM(N28:N39)</f>
        <v>23.7699</v>
      </c>
      <c r="O40" s="40">
        <f t="shared" si="14"/>
        <v>21.683900000000001</v>
      </c>
      <c r="P40" s="40">
        <f>SUM(P28:P39)</f>
        <v>21.683900000000001</v>
      </c>
      <c r="Q40" s="40">
        <f t="shared" ref="Q40:S40" si="15">SUM(Q28:Q39)</f>
        <v>21.683900000000001</v>
      </c>
      <c r="R40" s="40">
        <f t="shared" si="15"/>
        <v>21.683900000000001</v>
      </c>
      <c r="S40" s="41">
        <f t="shared" si="15"/>
        <v>21.683900000000001</v>
      </c>
    </row>
    <row r="41" spans="11:19" ht="15.75" thickBot="1" x14ac:dyDescent="0.3">
      <c r="K41" s="73" t="s">
        <v>62</v>
      </c>
      <c r="L41" s="74"/>
      <c r="M41" s="25">
        <f>COUNTIFS(M28:M39, "-")</f>
        <v>1</v>
      </c>
      <c r="N41" s="25">
        <f>COUNTIFS(N28:N39, "-")</f>
        <v>2</v>
      </c>
      <c r="O41" s="25">
        <f>COUNTIFS(O28:O39, "-")</f>
        <v>3</v>
      </c>
      <c r="P41" s="25">
        <f t="shared" ref="P41:S41" si="16">COUNTIFS(P28:P39, "-")</f>
        <v>3</v>
      </c>
      <c r="Q41" s="25">
        <f t="shared" si="16"/>
        <v>3</v>
      </c>
      <c r="R41" s="25">
        <f t="shared" si="16"/>
        <v>3</v>
      </c>
      <c r="S41" s="31">
        <f t="shared" si="16"/>
        <v>3</v>
      </c>
    </row>
  </sheetData>
  <mergeCells count="19">
    <mergeCell ref="N9:N10"/>
    <mergeCell ref="N4:P4"/>
    <mergeCell ref="E5:F5"/>
    <mergeCell ref="I5:K5"/>
    <mergeCell ref="N5:P5"/>
    <mergeCell ref="E2:G2"/>
    <mergeCell ref="I2:L2"/>
    <mergeCell ref="N2:Q2"/>
    <mergeCell ref="E3:F3"/>
    <mergeCell ref="I3:K3"/>
    <mergeCell ref="N3:P3"/>
    <mergeCell ref="I6:K6"/>
    <mergeCell ref="I7:K7"/>
    <mergeCell ref="K41:L41"/>
    <mergeCell ref="B2:C2"/>
    <mergeCell ref="E4:F4"/>
    <mergeCell ref="I4:K4"/>
    <mergeCell ref="K9:K10"/>
    <mergeCell ref="L9:L10"/>
  </mergeCells>
  <phoneticPr fontId="7" type="noConversion"/>
  <conditionalFormatting sqref="M40:S40">
    <cfRule type="cellIs" dxfId="1" priority="1" operator="lessThanOrEqual">
      <formula>$Q$5</formula>
    </cfRule>
    <cfRule type="cellIs" dxfId="0" priority="2" operator="greaterThan">
      <formula>$Q$5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Convencional</vt:lpstr>
      <vt:lpstr>Geometalúrgica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de Castro Martins</dc:creator>
  <cp:lastModifiedBy>Sílvia de Castro Martins</cp:lastModifiedBy>
  <dcterms:created xsi:type="dcterms:W3CDTF">2023-04-25T20:03:55Z</dcterms:created>
  <dcterms:modified xsi:type="dcterms:W3CDTF">2023-04-30T15:45:41Z</dcterms:modified>
</cp:coreProperties>
</file>