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/Dropbox (Politecnico Di Torino Studenti)/Mac/Desktop/M-S4EP/"/>
    </mc:Choice>
  </mc:AlternateContent>
  <xr:revisionPtr revIDLastSave="0" documentId="13_ncr:1_{2AAB87DB-18EF-9F46-83FE-0361F664293E}" xr6:coauthVersionLast="47" xr6:coauthVersionMax="47" xr10:uidLastSave="{00000000-0000-0000-0000-000000000000}"/>
  <bookViews>
    <workbookView xWindow="0" yWindow="500" windowWidth="28800" windowHeight="16140" firstSheet="2" activeTab="6" xr2:uid="{EF141C49-5988-4144-9DEB-B45DD777AA63}"/>
  </bookViews>
  <sheets>
    <sheet name="2021" sheetId="11" r:id="rId1"/>
    <sheet name="2018" sheetId="10" r:id="rId2"/>
    <sheet name="2016" sheetId="13" r:id="rId3"/>
    <sheet name="2014" sheetId="9" r:id="rId4"/>
    <sheet name="2012" sheetId="8" r:id="rId5"/>
    <sheet name="2010" sheetId="12" r:id="rId6"/>
    <sheet name="2007" sheetId="7" r:id="rId7"/>
    <sheet name="Supply result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7" i="5" l="1"/>
  <c r="F217" i="5"/>
  <c r="G217" i="5"/>
  <c r="H217" i="5"/>
  <c r="I217" i="5"/>
  <c r="J217" i="5"/>
  <c r="K217" i="5"/>
  <c r="E218" i="5"/>
  <c r="F218" i="5"/>
  <c r="G218" i="5"/>
  <c r="H218" i="5"/>
  <c r="I218" i="5"/>
  <c r="J218" i="5"/>
  <c r="K218" i="5"/>
  <c r="E219" i="5"/>
  <c r="F219" i="5"/>
  <c r="G219" i="5"/>
  <c r="H219" i="5"/>
  <c r="I219" i="5"/>
  <c r="J219" i="5"/>
  <c r="K219" i="5"/>
  <c r="E220" i="5"/>
  <c r="F220" i="5"/>
  <c r="G220" i="5"/>
  <c r="H220" i="5"/>
  <c r="I220" i="5"/>
  <c r="J220" i="5"/>
  <c r="K220" i="5"/>
  <c r="E221" i="5"/>
  <c r="F221" i="5"/>
  <c r="G221" i="5"/>
  <c r="H221" i="5"/>
  <c r="I221" i="5"/>
  <c r="J221" i="5"/>
  <c r="K221" i="5"/>
  <c r="E222" i="5"/>
  <c r="F222" i="5"/>
  <c r="G222" i="5"/>
  <c r="H222" i="5"/>
  <c r="I222" i="5"/>
  <c r="J222" i="5"/>
  <c r="K222" i="5"/>
  <c r="E223" i="5"/>
  <c r="F223" i="5"/>
  <c r="G223" i="5"/>
  <c r="H223" i="5"/>
  <c r="I223" i="5"/>
  <c r="J223" i="5"/>
  <c r="K223" i="5"/>
  <c r="F216" i="5"/>
  <c r="G216" i="5"/>
  <c r="H216" i="5"/>
  <c r="I216" i="5"/>
  <c r="J216" i="5"/>
  <c r="K216" i="5"/>
  <c r="E216" i="5"/>
  <c r="AE12" i="7"/>
  <c r="AE11" i="7"/>
  <c r="AE10" i="7"/>
  <c r="AE9" i="7"/>
  <c r="AE8" i="7"/>
  <c r="AE7" i="7"/>
  <c r="AB30" i="7"/>
  <c r="AB29" i="7"/>
  <c r="AB27" i="7"/>
  <c r="AA26" i="5"/>
  <c r="AB17" i="7"/>
  <c r="Q205" i="5"/>
  <c r="R205" i="5"/>
  <c r="S205" i="5"/>
  <c r="T205" i="5"/>
  <c r="U205" i="5"/>
  <c r="V205" i="5"/>
  <c r="P205" i="5"/>
  <c r="Q201" i="5"/>
  <c r="R201" i="5"/>
  <c r="S201" i="5"/>
  <c r="T201" i="5"/>
  <c r="U201" i="5"/>
  <c r="V201" i="5"/>
  <c r="Q200" i="5"/>
  <c r="R200" i="5"/>
  <c r="S200" i="5"/>
  <c r="T200" i="5"/>
  <c r="U200" i="5"/>
  <c r="V200" i="5"/>
  <c r="Q199" i="5"/>
  <c r="R199" i="5"/>
  <c r="S199" i="5"/>
  <c r="T199" i="5"/>
  <c r="U199" i="5"/>
  <c r="V199" i="5"/>
  <c r="Q198" i="5"/>
  <c r="R198" i="5"/>
  <c r="S198" i="5"/>
  <c r="T198" i="5"/>
  <c r="U198" i="5"/>
  <c r="V198" i="5"/>
  <c r="Q197" i="5"/>
  <c r="R197" i="5"/>
  <c r="S197" i="5"/>
  <c r="T197" i="5"/>
  <c r="U197" i="5"/>
  <c r="V197" i="5"/>
  <c r="V196" i="5"/>
  <c r="Q196" i="5"/>
  <c r="R196" i="5"/>
  <c r="S196" i="5"/>
  <c r="T196" i="5"/>
  <c r="U196" i="5"/>
  <c r="Q195" i="5"/>
  <c r="R195" i="5"/>
  <c r="S195" i="5"/>
  <c r="T195" i="5"/>
  <c r="U195" i="5"/>
  <c r="V195" i="5"/>
  <c r="Q194" i="5"/>
  <c r="R194" i="5"/>
  <c r="S194" i="5"/>
  <c r="T194" i="5"/>
  <c r="U194" i="5"/>
  <c r="V194" i="5"/>
  <c r="Q193" i="5"/>
  <c r="R193" i="5"/>
  <c r="S193" i="5"/>
  <c r="T193" i="5"/>
  <c r="U193" i="5"/>
  <c r="V193" i="5"/>
  <c r="Q192" i="5"/>
  <c r="R192" i="5"/>
  <c r="S192" i="5"/>
  <c r="T192" i="5"/>
  <c r="U192" i="5"/>
  <c r="V192" i="5"/>
  <c r="Q191" i="5"/>
  <c r="R191" i="5"/>
  <c r="S191" i="5"/>
  <c r="T191" i="5"/>
  <c r="U191" i="5"/>
  <c r="V191" i="5"/>
  <c r="Q190" i="5"/>
  <c r="R190" i="5"/>
  <c r="S190" i="5"/>
  <c r="T190" i="5"/>
  <c r="U190" i="5"/>
  <c r="V190" i="5"/>
  <c r="Q189" i="5"/>
  <c r="R189" i="5"/>
  <c r="S189" i="5"/>
  <c r="T189" i="5"/>
  <c r="U189" i="5"/>
  <c r="V189" i="5"/>
  <c r="Q188" i="5"/>
  <c r="R188" i="5"/>
  <c r="S188" i="5"/>
  <c r="T188" i="5"/>
  <c r="U188" i="5"/>
  <c r="V188" i="5"/>
  <c r="Q187" i="5"/>
  <c r="R187" i="5"/>
  <c r="S187" i="5"/>
  <c r="T187" i="5"/>
  <c r="U187" i="5"/>
  <c r="V187" i="5"/>
  <c r="Q186" i="5"/>
  <c r="R186" i="5"/>
  <c r="S186" i="5"/>
  <c r="T186" i="5"/>
  <c r="U186" i="5"/>
  <c r="V186" i="5"/>
  <c r="Q185" i="5"/>
  <c r="R185" i="5"/>
  <c r="S185" i="5"/>
  <c r="T185" i="5"/>
  <c r="U185" i="5"/>
  <c r="V185" i="5"/>
  <c r="Q184" i="5"/>
  <c r="R184" i="5"/>
  <c r="S184" i="5"/>
  <c r="T184" i="5"/>
  <c r="U184" i="5"/>
  <c r="V184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Q183" i="5"/>
  <c r="R183" i="5"/>
  <c r="S183" i="5"/>
  <c r="T183" i="5"/>
  <c r="U183" i="5"/>
  <c r="V183" i="5"/>
  <c r="P183" i="5"/>
  <c r="Y17" i="7"/>
  <c r="AA205" i="5"/>
  <c r="AB192" i="5"/>
  <c r="AB201" i="5"/>
  <c r="AC201" i="5"/>
  <c r="AD201" i="5"/>
  <c r="AE201" i="5"/>
  <c r="AF201" i="5"/>
  <c r="AG201" i="5"/>
  <c r="AB200" i="5"/>
  <c r="AC200" i="5"/>
  <c r="AD200" i="5"/>
  <c r="AE200" i="5"/>
  <c r="AF200" i="5"/>
  <c r="AG200" i="5"/>
  <c r="AB199" i="5"/>
  <c r="AC199" i="5"/>
  <c r="AD199" i="5"/>
  <c r="AE199" i="5"/>
  <c r="AF199" i="5"/>
  <c r="AG199" i="5"/>
  <c r="AB198" i="5"/>
  <c r="AC198" i="5"/>
  <c r="AD198" i="5"/>
  <c r="AE198" i="5"/>
  <c r="AF198" i="5"/>
  <c r="AG198" i="5"/>
  <c r="AB197" i="5"/>
  <c r="AC197" i="5"/>
  <c r="AD197" i="5"/>
  <c r="AE197" i="5"/>
  <c r="AF197" i="5"/>
  <c r="AG197" i="5"/>
  <c r="AB196" i="5"/>
  <c r="AC196" i="5"/>
  <c r="AD196" i="5"/>
  <c r="AE196" i="5"/>
  <c r="AF196" i="5"/>
  <c r="AG196" i="5"/>
  <c r="AB195" i="5"/>
  <c r="AC195" i="5"/>
  <c r="AD195" i="5"/>
  <c r="AE195" i="5"/>
  <c r="AF195" i="5"/>
  <c r="AG195" i="5"/>
  <c r="AB194" i="5"/>
  <c r="AC194" i="5"/>
  <c r="AD194" i="5"/>
  <c r="AE194" i="5"/>
  <c r="AF194" i="5"/>
  <c r="AG194" i="5"/>
  <c r="AB193" i="5"/>
  <c r="AC193" i="5"/>
  <c r="AD193" i="5"/>
  <c r="AE193" i="5"/>
  <c r="AF193" i="5"/>
  <c r="AG193" i="5"/>
  <c r="AC192" i="5"/>
  <c r="AD192" i="5"/>
  <c r="AE192" i="5"/>
  <c r="AF192" i="5"/>
  <c r="AG192" i="5"/>
  <c r="AB191" i="5"/>
  <c r="AC191" i="5"/>
  <c r="AD191" i="5"/>
  <c r="AE191" i="5"/>
  <c r="AF191" i="5"/>
  <c r="AG191" i="5"/>
  <c r="AB190" i="5"/>
  <c r="AC190" i="5"/>
  <c r="AC205" i="5" s="1"/>
  <c r="AD190" i="5"/>
  <c r="AE190" i="5"/>
  <c r="AF190" i="5"/>
  <c r="AG190" i="5"/>
  <c r="AB189" i="5"/>
  <c r="AC189" i="5"/>
  <c r="AD189" i="5"/>
  <c r="AE189" i="5"/>
  <c r="AF189" i="5"/>
  <c r="AG189" i="5"/>
  <c r="AB188" i="5"/>
  <c r="AC188" i="5"/>
  <c r="AD188" i="5"/>
  <c r="AE188" i="5"/>
  <c r="AF188" i="5"/>
  <c r="AG188" i="5"/>
  <c r="AB187" i="5"/>
  <c r="AC187" i="5"/>
  <c r="AD187" i="5"/>
  <c r="AE187" i="5"/>
  <c r="AF187" i="5"/>
  <c r="AG187" i="5"/>
  <c r="AB186" i="5"/>
  <c r="AC186" i="5"/>
  <c r="AD186" i="5"/>
  <c r="AE186" i="5"/>
  <c r="AF186" i="5"/>
  <c r="AG186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B185" i="5"/>
  <c r="AC185" i="5"/>
  <c r="AD185" i="5"/>
  <c r="AE185" i="5"/>
  <c r="AF185" i="5"/>
  <c r="AG185" i="5"/>
  <c r="AB184" i="5"/>
  <c r="AC184" i="5"/>
  <c r="AD184" i="5"/>
  <c r="AE184" i="5"/>
  <c r="AF184" i="5"/>
  <c r="AG184" i="5"/>
  <c r="AA184" i="5"/>
  <c r="AA183" i="5"/>
  <c r="AG183" i="5"/>
  <c r="AB183" i="5"/>
  <c r="AC183" i="5"/>
  <c r="AD183" i="5"/>
  <c r="AE183" i="5"/>
  <c r="AF183" i="5"/>
  <c r="U149" i="5"/>
  <c r="V149" i="5" s="1"/>
  <c r="W149" i="5" s="1"/>
  <c r="R149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50" i="5"/>
  <c r="T182" i="5"/>
  <c r="U182" i="5" s="1"/>
  <c r="V182" i="5" s="1"/>
  <c r="Q182" i="5"/>
  <c r="Y31" i="7"/>
  <c r="Y30" i="7"/>
  <c r="Y29" i="7"/>
  <c r="Y28" i="7"/>
  <c r="Y27" i="7"/>
  <c r="AB205" i="5"/>
  <c r="Y16" i="7"/>
  <c r="AA182" i="5"/>
  <c r="Y8" i="7"/>
  <c r="Y13" i="7" s="1"/>
  <c r="V31" i="7"/>
  <c r="V30" i="7"/>
  <c r="V29" i="7"/>
  <c r="AB142" i="5"/>
  <c r="AC142" i="5"/>
  <c r="AD142" i="5"/>
  <c r="AE142" i="5"/>
  <c r="AF142" i="5"/>
  <c r="AG142" i="5"/>
  <c r="AA142" i="5"/>
  <c r="V28" i="7"/>
  <c r="AB137" i="5"/>
  <c r="AC137" i="5"/>
  <c r="AD137" i="5"/>
  <c r="AE137" i="5"/>
  <c r="AF137" i="5"/>
  <c r="AG137" i="5"/>
  <c r="AA137" i="5"/>
  <c r="V27" i="7" s="1"/>
  <c r="AA131" i="5"/>
  <c r="AD123" i="5"/>
  <c r="AE123" i="5"/>
  <c r="AF123" i="5"/>
  <c r="AG123" i="5"/>
  <c r="AC123" i="5"/>
  <c r="AA123" i="5"/>
  <c r="AE116" i="5"/>
  <c r="AF116" i="5"/>
  <c r="AG116" i="5"/>
  <c r="AA116" i="5"/>
  <c r="P16" i="7"/>
  <c r="E89" i="5"/>
  <c r="AD35" i="5"/>
  <c r="AE35" i="5"/>
  <c r="AF35" i="5"/>
  <c r="AG35" i="5"/>
  <c r="AC35" i="5"/>
  <c r="AA35" i="5"/>
  <c r="M17" i="7" s="1"/>
  <c r="E118" i="5"/>
  <c r="E128" i="5"/>
  <c r="E113" i="5"/>
  <c r="J8" i="7" s="1"/>
  <c r="J13" i="7" s="1"/>
  <c r="E123" i="5"/>
  <c r="K88" i="5"/>
  <c r="H88" i="5"/>
  <c r="I88" i="5"/>
  <c r="J88" i="5"/>
  <c r="G88" i="5"/>
  <c r="E88" i="5"/>
  <c r="G20" i="7" s="1"/>
  <c r="E48" i="5"/>
  <c r="AB63" i="5"/>
  <c r="AC63" i="5"/>
  <c r="AD63" i="5"/>
  <c r="AE63" i="5"/>
  <c r="AF63" i="5"/>
  <c r="AG63" i="5"/>
  <c r="AA63" i="5"/>
  <c r="H128" i="5"/>
  <c r="I128" i="5"/>
  <c r="J128" i="5"/>
  <c r="K128" i="5"/>
  <c r="G128" i="5"/>
  <c r="G48" i="5"/>
  <c r="M16" i="7"/>
  <c r="E55" i="5"/>
  <c r="E47" i="5"/>
  <c r="O25" i="5"/>
  <c r="T23" i="5"/>
  <c r="S23" i="5"/>
  <c r="R23" i="5"/>
  <c r="I123" i="5" s="1"/>
  <c r="Q23" i="5"/>
  <c r="Q22" i="5"/>
  <c r="O37" i="5"/>
  <c r="O20" i="5"/>
  <c r="AA105" i="5"/>
  <c r="V7" i="7" s="1"/>
  <c r="AB75" i="5"/>
  <c r="AC75" i="5"/>
  <c r="AD75" i="5"/>
  <c r="AE75" i="5"/>
  <c r="AF75" i="5"/>
  <c r="AG75" i="5"/>
  <c r="AA75" i="5"/>
  <c r="AB71" i="5"/>
  <c r="AB72" i="5" s="1"/>
  <c r="AC71" i="5"/>
  <c r="AC72" i="5" s="1"/>
  <c r="AD71" i="5"/>
  <c r="AD72" i="5" s="1"/>
  <c r="AE71" i="5"/>
  <c r="AE72" i="5" s="1"/>
  <c r="AF71" i="5"/>
  <c r="AF72" i="5" s="1"/>
  <c r="AG71" i="5"/>
  <c r="AG72" i="5" s="1"/>
  <c r="AA71" i="5"/>
  <c r="AA72" i="5" s="1"/>
  <c r="S16" i="7" s="1"/>
  <c r="P78" i="5"/>
  <c r="Q78" i="5"/>
  <c r="R78" i="5"/>
  <c r="S78" i="5"/>
  <c r="T78" i="5"/>
  <c r="O78" i="5"/>
  <c r="R70" i="5"/>
  <c r="S70" i="5"/>
  <c r="T70" i="5"/>
  <c r="O70" i="5"/>
  <c r="AB105" i="5"/>
  <c r="AC105" i="5"/>
  <c r="AD105" i="5"/>
  <c r="AE105" i="5"/>
  <c r="AF105" i="5"/>
  <c r="AG105" i="5"/>
  <c r="AB93" i="5"/>
  <c r="AC93" i="5"/>
  <c r="AD93" i="5"/>
  <c r="AE93" i="5"/>
  <c r="AF93" i="5"/>
  <c r="AG93" i="5"/>
  <c r="AA93" i="5"/>
  <c r="V8" i="7" s="1"/>
  <c r="AA67" i="5"/>
  <c r="S7" i="7" s="1"/>
  <c r="S13" i="7" s="1"/>
  <c r="AB89" i="5"/>
  <c r="AC89" i="5"/>
  <c r="AD89" i="5"/>
  <c r="AE89" i="5"/>
  <c r="AF89" i="5"/>
  <c r="AG89" i="5"/>
  <c r="AA89" i="5"/>
  <c r="S31" i="7" s="1"/>
  <c r="AB86" i="5"/>
  <c r="AC86" i="5"/>
  <c r="AD86" i="5"/>
  <c r="AE86" i="5"/>
  <c r="AF86" i="5"/>
  <c r="AG86" i="5"/>
  <c r="AA86" i="5"/>
  <c r="S30" i="7" s="1"/>
  <c r="AA80" i="5"/>
  <c r="S29" i="7" s="1"/>
  <c r="AB67" i="5"/>
  <c r="AC67" i="5"/>
  <c r="AD67" i="5"/>
  <c r="AE67" i="5"/>
  <c r="AF67" i="5"/>
  <c r="AG67" i="5"/>
  <c r="P7" i="7"/>
  <c r="P13" i="7" s="1"/>
  <c r="M31" i="7"/>
  <c r="AG55" i="5"/>
  <c r="AB55" i="5"/>
  <c r="AC55" i="5"/>
  <c r="AD55" i="5"/>
  <c r="AE55" i="5"/>
  <c r="AF55" i="5"/>
  <c r="AA55" i="5"/>
  <c r="M30" i="7" s="1"/>
  <c r="AB52" i="5"/>
  <c r="AC52" i="5"/>
  <c r="AD52" i="5"/>
  <c r="AE52" i="5"/>
  <c r="AF52" i="5"/>
  <c r="AG52" i="5"/>
  <c r="AA52" i="5"/>
  <c r="M29" i="7" s="1"/>
  <c r="AB46" i="5"/>
  <c r="AC46" i="5"/>
  <c r="AD46" i="5"/>
  <c r="AE46" i="5"/>
  <c r="AF46" i="5"/>
  <c r="AG46" i="5"/>
  <c r="AA46" i="5"/>
  <c r="AB49" i="5"/>
  <c r="AC49" i="5"/>
  <c r="AD49" i="5"/>
  <c r="AE49" i="5"/>
  <c r="AF49" i="5"/>
  <c r="AG49" i="5"/>
  <c r="AA49" i="5"/>
  <c r="M28" i="7" s="1"/>
  <c r="M27" i="7"/>
  <c r="P54" i="5"/>
  <c r="Q54" i="5"/>
  <c r="R54" i="5"/>
  <c r="S54" i="5"/>
  <c r="T54" i="5"/>
  <c r="O54" i="5"/>
  <c r="P37" i="5"/>
  <c r="AC26" i="5" s="1"/>
  <c r="Q32" i="5"/>
  <c r="Q31" i="5"/>
  <c r="AB26" i="5"/>
  <c r="AB18" i="5"/>
  <c r="AC18" i="5"/>
  <c r="AD18" i="5"/>
  <c r="AE18" i="5"/>
  <c r="AF18" i="5"/>
  <c r="AG18" i="5"/>
  <c r="AA18" i="5"/>
  <c r="M7" i="7" s="1"/>
  <c r="E100" i="5"/>
  <c r="G7" i="7" s="1"/>
  <c r="J100" i="5"/>
  <c r="F100" i="5"/>
  <c r="G100" i="5"/>
  <c r="H100" i="5"/>
  <c r="I100" i="5"/>
  <c r="K100" i="5"/>
  <c r="J20" i="7"/>
  <c r="M8" i="7"/>
  <c r="AE14" i="5"/>
  <c r="AF14" i="5" s="1"/>
  <c r="AG14" i="5" s="1"/>
  <c r="AB14" i="5"/>
  <c r="F205" i="5"/>
  <c r="G205" i="5"/>
  <c r="H205" i="5"/>
  <c r="I205" i="5"/>
  <c r="J205" i="5"/>
  <c r="K205" i="5"/>
  <c r="E205" i="5"/>
  <c r="J31" i="7" s="1"/>
  <c r="F201" i="5"/>
  <c r="G201" i="5"/>
  <c r="H201" i="5"/>
  <c r="I201" i="5"/>
  <c r="J201" i="5"/>
  <c r="K201" i="5"/>
  <c r="E201" i="5"/>
  <c r="J30" i="7" s="1"/>
  <c r="F196" i="5"/>
  <c r="G196" i="5"/>
  <c r="H196" i="5"/>
  <c r="I196" i="5"/>
  <c r="J196" i="5"/>
  <c r="K196" i="5"/>
  <c r="E196" i="5"/>
  <c r="J29" i="7" s="1"/>
  <c r="F191" i="5"/>
  <c r="G191" i="5"/>
  <c r="H191" i="5"/>
  <c r="I191" i="5"/>
  <c r="J191" i="5"/>
  <c r="K191" i="5"/>
  <c r="E191" i="5"/>
  <c r="J28" i="7" s="1"/>
  <c r="E27" i="5"/>
  <c r="D8" i="7" s="1"/>
  <c r="F178" i="5"/>
  <c r="G178" i="5"/>
  <c r="H178" i="5"/>
  <c r="I178" i="5"/>
  <c r="J178" i="5"/>
  <c r="K178" i="5"/>
  <c r="E178" i="5"/>
  <c r="J34" i="7" s="1"/>
  <c r="F164" i="5"/>
  <c r="G164" i="5"/>
  <c r="H164" i="5"/>
  <c r="I164" i="5"/>
  <c r="J164" i="5"/>
  <c r="K164" i="5"/>
  <c r="E164" i="5"/>
  <c r="J23" i="7" s="1"/>
  <c r="F142" i="5"/>
  <c r="G142" i="5"/>
  <c r="H142" i="5"/>
  <c r="I142" i="5"/>
  <c r="J142" i="5"/>
  <c r="K142" i="5"/>
  <c r="E142" i="5"/>
  <c r="J27" i="7" s="1"/>
  <c r="D34" i="7"/>
  <c r="F148" i="5"/>
  <c r="G148" i="5"/>
  <c r="H148" i="5"/>
  <c r="I148" i="5"/>
  <c r="J148" i="5"/>
  <c r="K148" i="5"/>
  <c r="E148" i="5"/>
  <c r="F128" i="5"/>
  <c r="Q15" i="5"/>
  <c r="Q17" i="5" s="1"/>
  <c r="P30" i="5"/>
  <c r="Q30" i="5"/>
  <c r="R30" i="5"/>
  <c r="S30" i="5"/>
  <c r="T30" i="5"/>
  <c r="O30" i="5"/>
  <c r="F118" i="5"/>
  <c r="G118" i="5"/>
  <c r="H118" i="5"/>
  <c r="I118" i="5"/>
  <c r="J118" i="5"/>
  <c r="K118" i="5"/>
  <c r="F113" i="5"/>
  <c r="G113" i="5"/>
  <c r="H113" i="5"/>
  <c r="I113" i="5"/>
  <c r="J113" i="5"/>
  <c r="K113" i="5"/>
  <c r="F88" i="5"/>
  <c r="F55" i="5"/>
  <c r="G55" i="5"/>
  <c r="H55" i="5"/>
  <c r="I55" i="5"/>
  <c r="J55" i="5"/>
  <c r="K55" i="5"/>
  <c r="G8" i="7"/>
  <c r="D21" i="7"/>
  <c r="D17" i="7"/>
  <c r="P20" i="5"/>
  <c r="D29" i="7"/>
  <c r="Q19" i="5"/>
  <c r="Q16" i="5"/>
  <c r="R14" i="5"/>
  <c r="S14" i="5" s="1"/>
  <c r="T14" i="5" s="1"/>
  <c r="T19" i="5" s="1"/>
  <c r="K27" i="5"/>
  <c r="G27" i="5"/>
  <c r="F27" i="5"/>
  <c r="H27" i="5"/>
  <c r="I27" i="5"/>
  <c r="J27" i="5"/>
  <c r="E9" i="7"/>
  <c r="E12" i="7"/>
  <c r="AF205" i="5" l="1"/>
  <c r="AE205" i="5"/>
  <c r="AD205" i="5"/>
  <c r="AG205" i="5"/>
  <c r="AA132" i="5"/>
  <c r="E129" i="5"/>
  <c r="J16" i="7"/>
  <c r="V16" i="7"/>
  <c r="R25" i="5"/>
  <c r="X36" i="5"/>
  <c r="M25" i="7" s="1"/>
  <c r="V17" i="7"/>
  <c r="D16" i="7"/>
  <c r="P57" i="5"/>
  <c r="P66" i="5"/>
  <c r="Q66" i="5"/>
  <c r="Q57" i="5"/>
  <c r="P64" i="5"/>
  <c r="Q64" i="5"/>
  <c r="V13" i="7"/>
  <c r="Q37" i="5"/>
  <c r="AD26" i="5" s="1"/>
  <c r="M13" i="7"/>
  <c r="T31" i="5"/>
  <c r="T37" i="5" s="1"/>
  <c r="AG26" i="5" s="1"/>
  <c r="R31" i="5"/>
  <c r="R37" i="5" s="1"/>
  <c r="AE26" i="5" s="1"/>
  <c r="S31" i="5"/>
  <c r="S37" i="5" s="1"/>
  <c r="AF26" i="5" s="1"/>
  <c r="T24" i="5"/>
  <c r="P24" i="5"/>
  <c r="Q24" i="5"/>
  <c r="H123" i="5" s="1"/>
  <c r="S24" i="5"/>
  <c r="S19" i="5"/>
  <c r="R19" i="5"/>
  <c r="G13" i="7"/>
  <c r="D27" i="7"/>
  <c r="D26" i="7" s="1"/>
  <c r="Q18" i="5"/>
  <c r="R15" i="5"/>
  <c r="E8" i="7"/>
  <c r="D13" i="7"/>
  <c r="E13" i="7" s="1"/>
  <c r="T15" i="5"/>
  <c r="S15" i="5"/>
  <c r="F31" i="5"/>
  <c r="G31" i="5"/>
  <c r="H31" i="5"/>
  <c r="I31" i="5"/>
  <c r="J31" i="5"/>
  <c r="K31" i="5"/>
  <c r="E31" i="5"/>
  <c r="E42" i="5" s="1"/>
  <c r="K47" i="5"/>
  <c r="F47" i="5"/>
  <c r="F48" i="5" s="1"/>
  <c r="G47" i="5"/>
  <c r="H47" i="5"/>
  <c r="I47" i="5"/>
  <c r="J47" i="5"/>
  <c r="I14" i="5"/>
  <c r="J14" i="5" s="1"/>
  <c r="K14" i="5" s="1"/>
  <c r="F14" i="5"/>
  <c r="AC116" i="5" l="1"/>
  <c r="AD116" i="5"/>
  <c r="D24" i="7"/>
  <c r="J123" i="5"/>
  <c r="S25" i="5"/>
  <c r="R16" i="5"/>
  <c r="P25" i="5"/>
  <c r="G123" i="5"/>
  <c r="Q25" i="5"/>
  <c r="Q20" i="5"/>
  <c r="H48" i="5"/>
  <c r="K123" i="5"/>
  <c r="T25" i="5"/>
  <c r="Q70" i="5"/>
  <c r="P70" i="5"/>
  <c r="R18" i="5"/>
  <c r="R17" i="5"/>
  <c r="S16" i="5"/>
  <c r="S18" i="5"/>
  <c r="S17" i="5"/>
  <c r="T17" i="5"/>
  <c r="T18" i="5"/>
  <c r="T16" i="5"/>
  <c r="J48" i="5" l="1"/>
  <c r="K48" i="5"/>
  <c r="I48" i="5"/>
  <c r="R20" i="5"/>
  <c r="T20" i="5"/>
  <c r="S20" i="5"/>
  <c r="J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tc={760C36FE-5372-A145-8020-9DF164D2CDB9}</author>
  </authors>
  <commentList>
    <comment ref="D7" authorId="0" shapeId="0" xr:uid="{760C36FE-5372-A145-8020-9DF164D2CDB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UPS_MIN_RES_HCOA_E a noi è 0 (forse modellano solo extraction di hard coal e non di altri tipi)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tc={2A934105-5D92-C342-98D7-7A347A2E49EC}</author>
    <author>tc={9C85418A-B928-6F46-B649-B03151D81214}</author>
    <author>tc={9C47CD7A-59D9-B444-A3AC-7A2D3F92B033}</author>
    <author>tc={CE8FE9C1-E9AE-9C45-B502-49B1E87CD864}</author>
    <author>tc={DB050FE6-E11F-4E4D-90AF-F59EBC35F193}</author>
  </authors>
  <commentList>
    <comment ref="Z34" authorId="0" shapeId="0" xr:uid="{2A934105-5D92-C342-98D7-7A347A2E49E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NO! It receives NGA as input!</t>
      </text>
    </comment>
    <comment ref="AA62" authorId="1" shapeId="0" xr:uid="{9C85418A-B928-6F46-B649-B03151D8121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Not included since has in input ELC_CEN (and in output)</t>
      </text>
    </comment>
    <comment ref="Z68" authorId="2" shapeId="0" xr:uid="{9C47CD7A-59D9-B444-A3AC-7A2D3F92B03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FT used since efficiency =1 for RNW</t>
      </text>
    </comment>
    <comment ref="D126" authorId="3" shapeId="0" xr:uid="{CE8FE9C1-E9AE-9C45-B502-49B1E87CD86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NO! It receives NGA as input!</t>
      </text>
    </comment>
    <comment ref="O149" authorId="4" shapeId="0" xr:uid="{DB050FE6-E11F-4E4D-90AF-F59EBC35F193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TechOutputSplit for ELE and HEAT from CHP technologies
</t>
      </text>
    </comment>
  </commentList>
</comments>
</file>

<file path=xl/sharedStrings.xml><?xml version="1.0" encoding="utf-8"?>
<sst xmlns="http://schemas.openxmlformats.org/spreadsheetml/2006/main" count="2579" uniqueCount="1074">
  <si>
    <t>ELC</t>
  </si>
  <si>
    <t>Non-specified</t>
  </si>
  <si>
    <t>Residential</t>
  </si>
  <si>
    <t>Fishing</t>
  </si>
  <si>
    <t>TJ</t>
  </si>
  <si>
    <t>Production</t>
  </si>
  <si>
    <t>Imports</t>
  </si>
  <si>
    <t>Exports</t>
  </si>
  <si>
    <t>International marine bunkers</t>
  </si>
  <si>
    <t>International aviation bunkers</t>
  </si>
  <si>
    <t>Stock changes</t>
  </si>
  <si>
    <t>Total energy supply</t>
  </si>
  <si>
    <t>Transfers</t>
  </si>
  <si>
    <t>Statistical differences</t>
  </si>
  <si>
    <t>Electricity plants</t>
  </si>
  <si>
    <t>CHP plants</t>
  </si>
  <si>
    <t>Heat plants</t>
  </si>
  <si>
    <t>Gas works</t>
  </si>
  <si>
    <t>Oil refineries</t>
  </si>
  <si>
    <t>Coal transformation</t>
  </si>
  <si>
    <t>Liquefication plants</t>
  </si>
  <si>
    <t>Other transformation</t>
  </si>
  <si>
    <t>Energy industry own use</t>
  </si>
  <si>
    <t>Losses</t>
  </si>
  <si>
    <t>Total final consumption</t>
  </si>
  <si>
    <t>Industry</t>
  </si>
  <si>
    <t>Transport</t>
  </si>
  <si>
    <t>Commercial and public services</t>
  </si>
  <si>
    <t>Agriculture / forestry</t>
  </si>
  <si>
    <t>2 293</t>
  </si>
  <si>
    <t>Non-energy use</t>
  </si>
  <si>
    <t>Coal</t>
  </si>
  <si>
    <t>Crude oil</t>
  </si>
  <si>
    <t>Oil products</t>
  </si>
  <si>
    <t>Natural gas</t>
  </si>
  <si>
    <t>Hydro</t>
  </si>
  <si>
    <t>Wind, solar, etc.</t>
  </si>
  <si>
    <t>Biofuels and waste</t>
  </si>
  <si>
    <t>Electricity</t>
  </si>
  <si>
    <t>Heat</t>
  </si>
  <si>
    <t>Total</t>
  </si>
  <si>
    <t>-3 615</t>
  </si>
  <si>
    <t>CHECK (TJ)</t>
  </si>
  <si>
    <t>IEA</t>
  </si>
  <si>
    <t>OURS</t>
  </si>
  <si>
    <t>DIFFERENCE</t>
  </si>
  <si>
    <t>2 127</t>
  </si>
  <si>
    <t>235 690</t>
  </si>
  <si>
    <t>295 066</t>
  </si>
  <si>
    <t>150 750</t>
  </si>
  <si>
    <t>330 222</t>
  </si>
  <si>
    <t>450 034</t>
  </si>
  <si>
    <t>1 463 889</t>
  </si>
  <si>
    <t>644 684</t>
  </si>
  <si>
    <t>3 169 113</t>
  </si>
  <si>
    <t>407 288</t>
  </si>
  <si>
    <t>2 322 291</t>
  </si>
  <si>
    <t>117 508</t>
  </si>
  <si>
    <t>163 465</t>
  </si>
  <si>
    <t>6 824 349</t>
  </si>
  <si>
    <t>-8 835</t>
  </si>
  <si>
    <t>-91 297</t>
  </si>
  <si>
    <t>-1 180 575</t>
  </si>
  <si>
    <t>-4 766</t>
  </si>
  <si>
    <t>-2 356</t>
  </si>
  <si>
    <t>-8 294</t>
  </si>
  <si>
    <t>-1 296 123</t>
  </si>
  <si>
    <t>-103 294</t>
  </si>
  <si>
    <t>-129 817</t>
  </si>
  <si>
    <t>19 966</t>
  </si>
  <si>
    <t>4 680</t>
  </si>
  <si>
    <t>13 848</t>
  </si>
  <si>
    <t>-43 754</t>
  </si>
  <si>
    <t>1 254</t>
  </si>
  <si>
    <t>-4 005</t>
  </si>
  <si>
    <t>657 942</t>
  </si>
  <si>
    <t>3 318 187</t>
  </si>
  <si>
    <t>-992 549</t>
  </si>
  <si>
    <t>2 568 837</t>
  </si>
  <si>
    <t>566 440</t>
  </si>
  <si>
    <t>155 171</t>
  </si>
  <si>
    <t>6 754 999</t>
  </si>
  <si>
    <t>32 894</t>
  </si>
  <si>
    <t>74 760</t>
  </si>
  <si>
    <t>107 787</t>
  </si>
  <si>
    <t>-470 368</t>
  </si>
  <si>
    <t>-37 958</t>
  </si>
  <si>
    <t>-363 578</t>
  </si>
  <si>
    <t>-150 750</t>
  </si>
  <si>
    <t>-317 468</t>
  </si>
  <si>
    <t>-111 585</t>
  </si>
  <si>
    <t>707 252</t>
  </si>
  <si>
    <t>-744 455</t>
  </si>
  <si>
    <t>-34 041</t>
  </si>
  <si>
    <t>-206 883</t>
  </si>
  <si>
    <t>-637 446</t>
  </si>
  <si>
    <t>-90 249</t>
  </si>
  <si>
    <t>363 020</t>
  </si>
  <si>
    <t>203 245</t>
  </si>
  <si>
    <t>-402 354</t>
  </si>
  <si>
    <t>-1 301</t>
  </si>
  <si>
    <t>-4 449</t>
  </si>
  <si>
    <t>3 741</t>
  </si>
  <si>
    <t>-2 009</t>
  </si>
  <si>
    <t>-3 422 243</t>
  </si>
  <si>
    <t>3 473 905</t>
  </si>
  <si>
    <t>51 662</t>
  </si>
  <si>
    <t>-55 840</t>
  </si>
  <si>
    <t>71 162</t>
  </si>
  <si>
    <t>-74 608</t>
  </si>
  <si>
    <t>-3 754</t>
  </si>
  <si>
    <t>-2 608</t>
  </si>
  <si>
    <t>-164 104</t>
  </si>
  <si>
    <t>-49 735</t>
  </si>
  <si>
    <t>-81 589</t>
  </si>
  <si>
    <t>-62 403</t>
  </si>
  <si>
    <t>-360 439</t>
  </si>
  <si>
    <t>-18 317</t>
  </si>
  <si>
    <t>-75 600</t>
  </si>
  <si>
    <t>-94 780</t>
  </si>
  <si>
    <t>95 199</t>
  </si>
  <si>
    <t>2 072 562</t>
  </si>
  <si>
    <t>1 499 762</t>
  </si>
  <si>
    <t>11 453</t>
  </si>
  <si>
    <t>359 849</t>
  </si>
  <si>
    <t>1 068 271</t>
  </si>
  <si>
    <t>143 721</t>
  </si>
  <si>
    <t>5 250 817</t>
  </si>
  <si>
    <t>89 211</t>
  </si>
  <si>
    <t>136 842</t>
  </si>
  <si>
    <t>378 614</t>
  </si>
  <si>
    <t>22 695</t>
  </si>
  <si>
    <t>433 163</t>
  </si>
  <si>
    <t>108 147</t>
  </si>
  <si>
    <t>1 169 077</t>
  </si>
  <si>
    <t>1 388 757</t>
  </si>
  <si>
    <t>37 085</t>
  </si>
  <si>
    <t>57 274</t>
  </si>
  <si>
    <t>38 732</t>
  </si>
  <si>
    <t>1 521 849</t>
  </si>
  <si>
    <t>117 607</t>
  </si>
  <si>
    <t>758 504</t>
  </si>
  <si>
    <t>4 876</t>
  </si>
  <si>
    <t>277 893</t>
  </si>
  <si>
    <t>250 045</t>
  </si>
  <si>
    <t>29 070</t>
  </si>
  <si>
    <t>1 438 096</t>
  </si>
  <si>
    <t>26 485</t>
  </si>
  <si>
    <t>304 650</t>
  </si>
  <si>
    <t>4 525</t>
  </si>
  <si>
    <t>1 920</t>
  </si>
  <si>
    <t>325 004</t>
  </si>
  <si>
    <t>4 395</t>
  </si>
  <si>
    <t>666 980</t>
  </si>
  <si>
    <t>82 116</t>
  </si>
  <si>
    <t>5 384</t>
  </si>
  <si>
    <t>20 963</t>
  </si>
  <si>
    <t>109 916</t>
  </si>
  <si>
    <t>7 029</t>
  </si>
  <si>
    <t>8 301</t>
  </si>
  <si>
    <t>5 203</t>
  </si>
  <si>
    <t>1 462</t>
  </si>
  <si>
    <t>6 665</t>
  </si>
  <si>
    <t>5 887</t>
  </si>
  <si>
    <t>308 522</t>
  </si>
  <si>
    <t>15 525</t>
  </si>
  <si>
    <t>329 934</t>
  </si>
  <si>
    <t>213 129</t>
  </si>
  <si>
    <t>186 811</t>
  </si>
  <si>
    <t>175 631</t>
  </si>
  <si>
    <t>381 398</t>
  </si>
  <si>
    <t>497 776</t>
  </si>
  <si>
    <t>1 454 745</t>
  </si>
  <si>
    <t>371 428</t>
  </si>
  <si>
    <t>2 741 150</t>
  </si>
  <si>
    <t>671 606</t>
  </si>
  <si>
    <t>2 327 346</t>
  </si>
  <si>
    <t>121 927</t>
  </si>
  <si>
    <t>169 813</t>
  </si>
  <si>
    <t>6 403 270</t>
  </si>
  <si>
    <t>-10 445</t>
  </si>
  <si>
    <t>-82 486</t>
  </si>
  <si>
    <t>-1 168 449</t>
  </si>
  <si>
    <t>-13 390</t>
  </si>
  <si>
    <t>-12 168</t>
  </si>
  <si>
    <t>-11 777</t>
  </si>
  <si>
    <t>-1 298 716</t>
  </si>
  <si>
    <t>-113 934</t>
  </si>
  <si>
    <t>-160 558</t>
  </si>
  <si>
    <t>-2 893</t>
  </si>
  <si>
    <t>30 150</t>
  </si>
  <si>
    <t>1 055</t>
  </si>
  <si>
    <t>-9 060</t>
  </si>
  <si>
    <t>19 396</t>
  </si>
  <si>
    <t>358 090</t>
  </si>
  <si>
    <t>2 901 943</t>
  </si>
  <si>
    <t>-770 280</t>
  </si>
  <si>
    <t>2 491 707</t>
  </si>
  <si>
    <t>607 678</t>
  </si>
  <si>
    <t>158 036</t>
  </si>
  <si>
    <t>6 304 202</t>
  </si>
  <si>
    <t>10 049</t>
  </si>
  <si>
    <t>43 197</t>
  </si>
  <si>
    <t>12 948</t>
  </si>
  <si>
    <t>66 195</t>
  </si>
  <si>
    <t>-266 307</t>
  </si>
  <si>
    <t>-13 649</t>
  </si>
  <si>
    <t>-320 309</t>
  </si>
  <si>
    <t>-175 631</t>
  </si>
  <si>
    <t>-365 127</t>
  </si>
  <si>
    <t>-110 904</t>
  </si>
  <si>
    <t>659 057</t>
  </si>
  <si>
    <t>-592 871</t>
  </si>
  <si>
    <t>-30 100</t>
  </si>
  <si>
    <t>-158 124</t>
  </si>
  <si>
    <t>-647 315</t>
  </si>
  <si>
    <t>-144 970</t>
  </si>
  <si>
    <t>377 714</t>
  </si>
  <si>
    <t>214 637</t>
  </si>
  <si>
    <t>-388 157</t>
  </si>
  <si>
    <t>-11 469</t>
  </si>
  <si>
    <t>-1 761</t>
  </si>
  <si>
    <t>-4 300</t>
  </si>
  <si>
    <t>14 920</t>
  </si>
  <si>
    <t>-2 795</t>
  </si>
  <si>
    <t>-3 031 798</t>
  </si>
  <si>
    <t>3 066 301</t>
  </si>
  <si>
    <t>34 503</t>
  </si>
  <si>
    <t>-33 419</t>
  </si>
  <si>
    <t>86 657</t>
  </si>
  <si>
    <t>-90 071</t>
  </si>
  <si>
    <t>-3 721</t>
  </si>
  <si>
    <t>-3 134</t>
  </si>
  <si>
    <t>-125 783</t>
  </si>
  <si>
    <t>-66 283</t>
  </si>
  <si>
    <t>-74 958</t>
  </si>
  <si>
    <t>-55 332</t>
  </si>
  <si>
    <t>-325 490</t>
  </si>
  <si>
    <t>-13 544</t>
  </si>
  <si>
    <t>-64 757</t>
  </si>
  <si>
    <t>-2 446</t>
  </si>
  <si>
    <t>-80 748</t>
  </si>
  <si>
    <t>35 179</t>
  </si>
  <si>
    <t>1 921 158</t>
  </si>
  <si>
    <t>1 433 755</t>
  </si>
  <si>
    <t>14 509</t>
  </si>
  <si>
    <t>346 227</t>
  </si>
  <si>
    <t>1 055 092</t>
  </si>
  <si>
    <t>171 778</t>
  </si>
  <si>
    <t>4 977 698</t>
  </si>
  <si>
    <t>84 547</t>
  </si>
  <si>
    <t>362 121</t>
  </si>
  <si>
    <t>27 066</t>
  </si>
  <si>
    <t>417 853</t>
  </si>
  <si>
    <t>108 930</t>
  </si>
  <si>
    <t>1 036 199</t>
  </si>
  <si>
    <t>1 350 008</t>
  </si>
  <si>
    <t>45 767</t>
  </si>
  <si>
    <t>52 323</t>
  </si>
  <si>
    <t>41 544</t>
  </si>
  <si>
    <t>1 489 642</t>
  </si>
  <si>
    <t>92 098</t>
  </si>
  <si>
    <t>690 796</t>
  </si>
  <si>
    <t>6 808</t>
  </si>
  <si>
    <t>261 746</t>
  </si>
  <si>
    <t>234 496</t>
  </si>
  <si>
    <t>45 704</t>
  </si>
  <si>
    <t>1 331 649</t>
  </si>
  <si>
    <t>22 728</t>
  </si>
  <si>
    <t>303 550</t>
  </si>
  <si>
    <t>5 133</t>
  </si>
  <si>
    <t>3 658</t>
  </si>
  <si>
    <t>340 163</t>
  </si>
  <si>
    <t>15 828</t>
  </si>
  <si>
    <t>691 061</t>
  </si>
  <si>
    <t>89 142</t>
  </si>
  <si>
    <t>5 727</t>
  </si>
  <si>
    <t>1 433</t>
  </si>
  <si>
    <t>19 751</t>
  </si>
  <si>
    <t>117 157</t>
  </si>
  <si>
    <t>7 121</t>
  </si>
  <si>
    <t>1 410</t>
  </si>
  <si>
    <t>1 285</t>
  </si>
  <si>
    <t>9 816</t>
  </si>
  <si>
    <t>3 870</t>
  </si>
  <si>
    <t>4 738</t>
  </si>
  <si>
    <t>271 643</t>
  </si>
  <si>
    <t>25 794</t>
  </si>
  <si>
    <t>297 437</t>
  </si>
  <si>
    <t>264 115</t>
  </si>
  <si>
    <t>332 819</t>
  </si>
  <si>
    <t>118 135</t>
  </si>
  <si>
    <t>226 254</t>
  </si>
  <si>
    <t>358 102</t>
  </si>
  <si>
    <t>1 303 626</t>
  </si>
  <si>
    <t>4 014 417</t>
  </si>
  <si>
    <t>496 820</t>
  </si>
  <si>
    <t>2 535 746</t>
  </si>
  <si>
    <t>41 651</t>
  </si>
  <si>
    <t>176 152</t>
  </si>
  <si>
    <t>7 949 447</t>
  </si>
  <si>
    <t>-84 432</t>
  </si>
  <si>
    <t>-1 243 717</t>
  </si>
  <si>
    <t>-2 332</t>
  </si>
  <si>
    <t>-1 346 326</t>
  </si>
  <si>
    <t>-100 647</t>
  </si>
  <si>
    <t>-142 846</t>
  </si>
  <si>
    <t>21 901</t>
  </si>
  <si>
    <t>-24 081</t>
  </si>
  <si>
    <t>44 886</t>
  </si>
  <si>
    <t>43 693</t>
  </si>
  <si>
    <t>4 216 002</t>
  </si>
  <si>
    <t>-1 014 472</t>
  </si>
  <si>
    <t>399 676</t>
  </si>
  <si>
    <t>166 619</t>
  </si>
  <si>
    <t>7 706 946</t>
  </si>
  <si>
    <t>4 956</t>
  </si>
  <si>
    <t>-21 516</t>
  </si>
  <si>
    <t>81 023</t>
  </si>
  <si>
    <t>59 760</t>
  </si>
  <si>
    <t>-118 135</t>
  </si>
  <si>
    <t>-215 152</t>
  </si>
  <si>
    <t>-58 453</t>
  </si>
  <si>
    <t>722 060</t>
  </si>
  <si>
    <t>-932 585</t>
  </si>
  <si>
    <t>-51 525</t>
  </si>
  <si>
    <t>387 536</t>
  </si>
  <si>
    <t>204 411</t>
  </si>
  <si>
    <t>-441 658</t>
  </si>
  <si>
    <t>-4 262 467</t>
  </si>
  <si>
    <t>4 280 913</t>
  </si>
  <si>
    <t>18 446</t>
  </si>
  <si>
    <t>-92 728</t>
  </si>
  <si>
    <t>67 981</t>
  </si>
  <si>
    <t>-71 011</t>
  </si>
  <si>
    <t>-2 427</t>
  </si>
  <si>
    <t>-222 950</t>
  </si>
  <si>
    <t>-87 163</t>
  </si>
  <si>
    <t>-75 806</t>
  </si>
  <si>
    <t>-414 569</t>
  </si>
  <si>
    <t>-75 514</t>
  </si>
  <si>
    <t>-98 769</t>
  </si>
  <si>
    <t>2 615 735</t>
  </si>
  <si>
    <t>11 102</t>
  </si>
  <si>
    <t>289 113</t>
  </si>
  <si>
    <t>1 113 545</t>
  </si>
  <si>
    <t>128 607</t>
  </si>
  <si>
    <t>5 806 185</t>
  </si>
  <si>
    <t>91 927</t>
  </si>
  <si>
    <t>259 600</t>
  </si>
  <si>
    <t>526 403</t>
  </si>
  <si>
    <t>10 216</t>
  </si>
  <si>
    <t>526 212</t>
  </si>
  <si>
    <t>118 654</t>
  </si>
  <si>
    <t>1 533 012</t>
  </si>
  <si>
    <t>1 708 069</t>
  </si>
  <si>
    <t>20 266</t>
  </si>
  <si>
    <t>5 846</t>
  </si>
  <si>
    <t>37 454</t>
  </si>
  <si>
    <t>1 771 636</t>
  </si>
  <si>
    <t>164 239</t>
  </si>
  <si>
    <t>667 462</t>
  </si>
  <si>
    <t>1 800</t>
  </si>
  <si>
    <t>272 686</t>
  </si>
  <si>
    <t>241 992</t>
  </si>
  <si>
    <t>5 583</t>
  </si>
  <si>
    <t>1 353 993</t>
  </si>
  <si>
    <t>41 505</t>
  </si>
  <si>
    <t>296 053</t>
  </si>
  <si>
    <t>5 989</t>
  </si>
  <si>
    <t>287 514</t>
  </si>
  <si>
    <t>4 226</t>
  </si>
  <si>
    <t>635 626</t>
  </si>
  <si>
    <t>92 841</t>
  </si>
  <si>
    <t>6 539</t>
  </si>
  <si>
    <t>1 020</t>
  </si>
  <si>
    <t>20 120</t>
  </si>
  <si>
    <t>120 691</t>
  </si>
  <si>
    <t>9 762</t>
  </si>
  <si>
    <t>12 307</t>
  </si>
  <si>
    <t>4 859</t>
  </si>
  <si>
    <t>7 002</t>
  </si>
  <si>
    <t>334 859</t>
  </si>
  <si>
    <t>32 199</t>
  </si>
  <si>
    <t>2 685</t>
  </si>
  <si>
    <t>235 308</t>
  </si>
  <si>
    <t>288 241</t>
  </si>
  <si>
    <t>184 020</t>
  </si>
  <si>
    <t>245 284</t>
  </si>
  <si>
    <t>426 304</t>
  </si>
  <si>
    <t>1 381 843</t>
  </si>
  <si>
    <t>586 163</t>
  </si>
  <si>
    <t>3 584 180</t>
  </si>
  <si>
    <t>472 451</t>
  </si>
  <si>
    <t>2 583 888</t>
  </si>
  <si>
    <t>108 841</t>
  </si>
  <si>
    <t>165 553</t>
  </si>
  <si>
    <t>7 501 076</t>
  </si>
  <si>
    <t>-8 914</t>
  </si>
  <si>
    <t>-73 297</t>
  </si>
  <si>
    <t>-1 186 534</t>
  </si>
  <si>
    <t>-4 835</t>
  </si>
  <si>
    <t>-4 406</t>
  </si>
  <si>
    <t>-6 577</t>
  </si>
  <si>
    <t>-1 284 562</t>
  </si>
  <si>
    <t>-124 544</t>
  </si>
  <si>
    <t>-132 612</t>
  </si>
  <si>
    <t>-7 437</t>
  </si>
  <si>
    <t>-40 378</t>
  </si>
  <si>
    <t>-17 898</t>
  </si>
  <si>
    <t>-1 042</t>
  </si>
  <si>
    <t>-67 179</t>
  </si>
  <si>
    <t>572 498</t>
  </si>
  <si>
    <t>3 705 813</t>
  </si>
  <si>
    <t>-971 663</t>
  </si>
  <si>
    <t>2 849 396</t>
  </si>
  <si>
    <t>529 698</t>
  </si>
  <si>
    <t>158 976</t>
  </si>
  <si>
    <t>7 274 022</t>
  </si>
  <si>
    <t>5 709</t>
  </si>
  <si>
    <t>28 832</t>
  </si>
  <si>
    <t>34 757</t>
  </si>
  <si>
    <t>-386 130</t>
  </si>
  <si>
    <t>-63 611</t>
  </si>
  <si>
    <t>-462 630</t>
  </si>
  <si>
    <t>-184 020</t>
  </si>
  <si>
    <t>-233 247</t>
  </si>
  <si>
    <t>-89 541</t>
  </si>
  <si>
    <t>674 294</t>
  </si>
  <si>
    <t>-744 885</t>
  </si>
  <si>
    <t>-38 890</t>
  </si>
  <si>
    <t>-244 750</t>
  </si>
  <si>
    <t>-703 585</t>
  </si>
  <si>
    <t>-58 109</t>
  </si>
  <si>
    <t>401 292</t>
  </si>
  <si>
    <t>202 505</t>
  </si>
  <si>
    <t>-441 537</t>
  </si>
  <si>
    <t>-1 178</t>
  </si>
  <si>
    <t>-3 407</t>
  </si>
  <si>
    <t>2 836</t>
  </si>
  <si>
    <t>-1 749</t>
  </si>
  <si>
    <t>-3 784 023</t>
  </si>
  <si>
    <t>3 826 908</t>
  </si>
  <si>
    <t>42 885</t>
  </si>
  <si>
    <t>-66 964</t>
  </si>
  <si>
    <t>72 502</t>
  </si>
  <si>
    <t>-75 256</t>
  </si>
  <si>
    <t>-3 063</t>
  </si>
  <si>
    <t>-1 765</t>
  </si>
  <si>
    <t>-221 585</t>
  </si>
  <si>
    <t>-27 220</t>
  </si>
  <si>
    <t>-82 982</t>
  </si>
  <si>
    <t>-65 839</t>
  </si>
  <si>
    <t>-399 391</t>
  </si>
  <si>
    <t>-20 376</t>
  </si>
  <si>
    <t>-74 052</t>
  </si>
  <si>
    <t>-94 428</t>
  </si>
  <si>
    <t>78 966</t>
  </si>
  <si>
    <t>2 278 874</t>
  </si>
  <si>
    <t>1 635 585</t>
  </si>
  <si>
    <t>10 859</t>
  </si>
  <si>
    <t>378 333</t>
  </si>
  <si>
    <t>1 077 527</t>
  </si>
  <si>
    <t>139 503</t>
  </si>
  <si>
    <t>5 599 647</t>
  </si>
  <si>
    <t>73 361</t>
  </si>
  <si>
    <t>145 727</t>
  </si>
  <si>
    <t>433 351</t>
  </si>
  <si>
    <t>18 031</t>
  </si>
  <si>
    <t>460 325</t>
  </si>
  <si>
    <t>131 022</t>
  </si>
  <si>
    <t>1 262 204</t>
  </si>
  <si>
    <t>1 487 757</t>
  </si>
  <si>
    <t>29 110</t>
  </si>
  <si>
    <t>59 428</t>
  </si>
  <si>
    <t>38 398</t>
  </si>
  <si>
    <t>1 614 693</t>
  </si>
  <si>
    <t>139 227</t>
  </si>
  <si>
    <t>782 831</t>
  </si>
  <si>
    <t>4 212</t>
  </si>
  <si>
    <t>299 895</t>
  </si>
  <si>
    <t>250 380</t>
  </si>
  <si>
    <t>1 481 830</t>
  </si>
  <si>
    <t>34 706</t>
  </si>
  <si>
    <t>360 644</t>
  </si>
  <si>
    <t>4 308</t>
  </si>
  <si>
    <t>308 228</t>
  </si>
  <si>
    <t>2 065</t>
  </si>
  <si>
    <t>710 865</t>
  </si>
  <si>
    <t>87 079</t>
  </si>
  <si>
    <t>5 955</t>
  </si>
  <si>
    <t>19 948</t>
  </si>
  <si>
    <t>113 732</t>
  </si>
  <si>
    <t>7 804</t>
  </si>
  <si>
    <t>1 321</t>
  </si>
  <si>
    <t>9 373</t>
  </si>
  <si>
    <t>5 461</t>
  </si>
  <si>
    <t>1 228</t>
  </si>
  <si>
    <t>6 689</t>
  </si>
  <si>
    <t>5 453</t>
  </si>
  <si>
    <t>371 113</t>
  </si>
  <si>
    <t>23 693</t>
  </si>
  <si>
    <t>2 286</t>
  </si>
  <si>
    <t>250 492</t>
  </si>
  <si>
    <t>245 139</t>
  </si>
  <si>
    <t>210 764</t>
  </si>
  <si>
    <t>361 640</t>
  </si>
  <si>
    <t>466 002</t>
  </si>
  <si>
    <t>1 536 323</t>
  </si>
  <si>
    <t>549 562</t>
  </si>
  <si>
    <t>2 506 302</t>
  </si>
  <si>
    <t>477 307</t>
  </si>
  <si>
    <t>1 911 908</t>
  </si>
  <si>
    <t>125 329</t>
  </si>
  <si>
    <t>168 289</t>
  </si>
  <si>
    <t>5 738 697</t>
  </si>
  <si>
    <t>-9 914</t>
  </si>
  <si>
    <t>-53 723</t>
  </si>
  <si>
    <t>-833 134</t>
  </si>
  <si>
    <t>-8 127</t>
  </si>
  <si>
    <t>-5 987</t>
  </si>
  <si>
    <t>-10 912</t>
  </si>
  <si>
    <t>-921 796</t>
  </si>
  <si>
    <t>-80 084</t>
  </si>
  <si>
    <t>-128 785</t>
  </si>
  <si>
    <t>4 794</t>
  </si>
  <si>
    <t>-8 992</t>
  </si>
  <si>
    <t>30 002</t>
  </si>
  <si>
    <t>-25 958</t>
  </si>
  <si>
    <t>546 729</t>
  </si>
  <si>
    <t>2 694 079</t>
  </si>
  <si>
    <t>-534 694</t>
  </si>
  <si>
    <t>2 122 962</t>
  </si>
  <si>
    <t>586 085</t>
  </si>
  <si>
    <t>157 378</t>
  </si>
  <si>
    <t>6 144 942</t>
  </si>
  <si>
    <t>6 149</t>
  </si>
  <si>
    <t>31 094</t>
  </si>
  <si>
    <t>50 236</t>
  </si>
  <si>
    <t>87 483</t>
  </si>
  <si>
    <t>-419 117</t>
  </si>
  <si>
    <t>-27 757</t>
  </si>
  <si>
    <t>-225 828</t>
  </si>
  <si>
    <t>-210 764</t>
  </si>
  <si>
    <t>-347 932</t>
  </si>
  <si>
    <t>-133 525</t>
  </si>
  <si>
    <t>694 679</t>
  </si>
  <si>
    <t>-670 242</t>
  </si>
  <si>
    <t>-21 162</t>
  </si>
  <si>
    <t>-147 837</t>
  </si>
  <si>
    <t>-520 643</t>
  </si>
  <si>
    <t>-137 509</t>
  </si>
  <si>
    <t>306 540</t>
  </si>
  <si>
    <t>202 448</t>
  </si>
  <si>
    <t>-318 163</t>
  </si>
  <si>
    <t>-1 531</t>
  </si>
  <si>
    <t>-3 481</t>
  </si>
  <si>
    <t>3 506</t>
  </si>
  <si>
    <t>-1 506</t>
  </si>
  <si>
    <t>-2 785 493</t>
  </si>
  <si>
    <t>2 834 690</t>
  </si>
  <si>
    <t>49 197</t>
  </si>
  <si>
    <t>-53 720</t>
  </si>
  <si>
    <t>60 320</t>
  </si>
  <si>
    <t>-63 011</t>
  </si>
  <si>
    <t>-2 998</t>
  </si>
  <si>
    <t>-1 026</t>
  </si>
  <si>
    <t>-108 894</t>
  </si>
  <si>
    <t>-49 909</t>
  </si>
  <si>
    <t>-75 184</t>
  </si>
  <si>
    <t>-48 316</t>
  </si>
  <si>
    <t>-283 328</t>
  </si>
  <si>
    <t>-11 420</t>
  </si>
  <si>
    <t>-70 024</t>
  </si>
  <si>
    <t>-82 207</t>
  </si>
  <si>
    <t>57 854</t>
  </si>
  <si>
    <t>2 002 733</t>
  </si>
  <si>
    <t>1 315 163</t>
  </si>
  <si>
    <t>12 177</t>
  </si>
  <si>
    <t>311 263</t>
  </si>
  <si>
    <t>1 013 393</t>
  </si>
  <si>
    <t>156 875</t>
  </si>
  <si>
    <t>4 869 458</t>
  </si>
  <si>
    <t>53 981</t>
  </si>
  <si>
    <t>93 576</t>
  </si>
  <si>
    <t>357 824</t>
  </si>
  <si>
    <t>24 623</t>
  </si>
  <si>
    <t>406 505</t>
  </si>
  <si>
    <t>110 078</t>
  </si>
  <si>
    <t>1 047 044</t>
  </si>
  <si>
    <t>1 422 358</t>
  </si>
  <si>
    <t>44 598</t>
  </si>
  <si>
    <t>37 667</t>
  </si>
  <si>
    <t>1 549 508</t>
  </si>
  <si>
    <t>93 909</t>
  </si>
  <si>
    <t>634 335</t>
  </si>
  <si>
    <t>5 582</t>
  </si>
  <si>
    <t>237 623</t>
  </si>
  <si>
    <t>231 318</t>
  </si>
  <si>
    <t>34 264</t>
  </si>
  <si>
    <t>1 237 031</t>
  </si>
  <si>
    <t>24 518</t>
  </si>
  <si>
    <t>251 715</t>
  </si>
  <si>
    <t>4 600</t>
  </si>
  <si>
    <t>3 525</t>
  </si>
  <si>
    <t>318 560</t>
  </si>
  <si>
    <t>11 146</t>
  </si>
  <si>
    <t>614 064</t>
  </si>
  <si>
    <t>81 907</t>
  </si>
  <si>
    <t>5 075</t>
  </si>
  <si>
    <t>18 738</t>
  </si>
  <si>
    <t>108 221</t>
  </si>
  <si>
    <t>6 526</t>
  </si>
  <si>
    <t>8 002</t>
  </si>
  <si>
    <t>4 214</t>
  </si>
  <si>
    <t>4 660</t>
  </si>
  <si>
    <t>3 873</t>
  </si>
  <si>
    <t>275 726</t>
  </si>
  <si>
    <t>21 328</t>
  </si>
  <si>
    <t>300 927</t>
  </si>
  <si>
    <t>168 678</t>
  </si>
  <si>
    <t>198 368</t>
  </si>
  <si>
    <t>152 754</t>
  </si>
  <si>
    <t>384 868</t>
  </si>
  <si>
    <t>498 689</t>
  </si>
  <si>
    <t>1 403 357</t>
  </si>
  <si>
    <t>459 040</t>
  </si>
  <si>
    <t>2 816 812</t>
  </si>
  <si>
    <t>606 808</t>
  </si>
  <si>
    <t>2 238 588</t>
  </si>
  <si>
    <t>112 194</t>
  </si>
  <si>
    <t>155 452</t>
  </si>
  <si>
    <t>6 388 894</t>
  </si>
  <si>
    <t>-10 846</t>
  </si>
  <si>
    <t>-75 548</t>
  </si>
  <si>
    <t>-1 175 990</t>
  </si>
  <si>
    <t>-7 269</t>
  </si>
  <si>
    <t>-9 534</t>
  </si>
  <si>
    <t>-22 154</t>
  </si>
  <si>
    <t>-1 301 342</t>
  </si>
  <si>
    <t>-92 645</t>
  </si>
  <si>
    <t>-137 987</t>
  </si>
  <si>
    <t>11 450</t>
  </si>
  <si>
    <t>30 061</t>
  </si>
  <si>
    <t>17 454</t>
  </si>
  <si>
    <t>1 989</t>
  </si>
  <si>
    <t>60 837</t>
  </si>
  <si>
    <t>459 644</t>
  </si>
  <si>
    <t>2 940 003</t>
  </si>
  <si>
    <t>-782 360</t>
  </si>
  <si>
    <t>2 431 676</t>
  </si>
  <si>
    <t>601 232</t>
  </si>
  <si>
    <t>133 297</t>
  </si>
  <si>
    <t>6 321 114</t>
  </si>
  <si>
    <t>18 347</t>
  </si>
  <si>
    <t>27 995</t>
  </si>
  <si>
    <t>46 836</t>
  </si>
  <si>
    <t>-334 649</t>
  </si>
  <si>
    <t>-20 922</t>
  </si>
  <si>
    <t>-304 679</t>
  </si>
  <si>
    <t>-152 754</t>
  </si>
  <si>
    <t>-369 645</t>
  </si>
  <si>
    <t>-121 562</t>
  </si>
  <si>
    <t>658 140</t>
  </si>
  <si>
    <t>-646 071</t>
  </si>
  <si>
    <t>-34 837</t>
  </si>
  <si>
    <t>-159 721</t>
  </si>
  <si>
    <t>-647 208</t>
  </si>
  <si>
    <t>-140 521</t>
  </si>
  <si>
    <t>378 454</t>
  </si>
  <si>
    <t>219 766</t>
  </si>
  <si>
    <t>-384 068</t>
  </si>
  <si>
    <t>-1 623</t>
  </si>
  <si>
    <t>-4 131</t>
  </si>
  <si>
    <t>4 084</t>
  </si>
  <si>
    <t>-1 670</t>
  </si>
  <si>
    <t>-3 018 106</t>
  </si>
  <si>
    <t>3 037 019</t>
  </si>
  <si>
    <t>18 914</t>
  </si>
  <si>
    <t>-50 691</t>
  </si>
  <si>
    <t>59 755</t>
  </si>
  <si>
    <t>-62 152</t>
  </si>
  <si>
    <t>-2 705</t>
  </si>
  <si>
    <t>-108 886</t>
  </si>
  <si>
    <t>-49 325</t>
  </si>
  <si>
    <t>-72 684</t>
  </si>
  <si>
    <t>-57 469</t>
  </si>
  <si>
    <t>-288 541</t>
  </si>
  <si>
    <t>-11 575</t>
  </si>
  <si>
    <t>-67 511</t>
  </si>
  <si>
    <t>-1 002</t>
  </si>
  <si>
    <t>-80 088</t>
  </si>
  <si>
    <t>39 781</t>
  </si>
  <si>
    <t>1 930 973</t>
  </si>
  <si>
    <t>1 418 890</t>
  </si>
  <si>
    <t>13 600</t>
  </si>
  <si>
    <t>334 710</t>
  </si>
  <si>
    <t>1 029 697</t>
  </si>
  <si>
    <t>165 379</t>
  </si>
  <si>
    <t>4 933 029</t>
  </si>
  <si>
    <t>111 417</t>
  </si>
  <si>
    <t>350 097</t>
  </si>
  <si>
    <t>27 498</t>
  </si>
  <si>
    <t>407 725</t>
  </si>
  <si>
    <t>114 536</t>
  </si>
  <si>
    <t>1 051 572</t>
  </si>
  <si>
    <t>1 369 424</t>
  </si>
  <si>
    <t>46 294</t>
  </si>
  <si>
    <t>43 581</t>
  </si>
  <si>
    <t>40 183</t>
  </si>
  <si>
    <t>1 499 482</t>
  </si>
  <si>
    <t>95 859</t>
  </si>
  <si>
    <t>715 837</t>
  </si>
  <si>
    <t>6 236</t>
  </si>
  <si>
    <t>258 465</t>
  </si>
  <si>
    <t>231 494</t>
  </si>
  <si>
    <t>39 635</t>
  </si>
  <si>
    <t>1 347 526</t>
  </si>
  <si>
    <t>23 448</t>
  </si>
  <si>
    <t>273 901</t>
  </si>
  <si>
    <t>4 862</t>
  </si>
  <si>
    <t>3 704</t>
  </si>
  <si>
    <t>330 250</t>
  </si>
  <si>
    <t>10 275</t>
  </si>
  <si>
    <t>646 441</t>
  </si>
  <si>
    <t>83 820</t>
  </si>
  <si>
    <t>5 438</t>
  </si>
  <si>
    <t>19 130</t>
  </si>
  <si>
    <t>110 959</t>
  </si>
  <si>
    <t>6 993</t>
  </si>
  <si>
    <t>1 331</t>
  </si>
  <si>
    <t>9 239</t>
  </si>
  <si>
    <t>6 020</t>
  </si>
  <si>
    <t>6 499</t>
  </si>
  <si>
    <t>233 991</t>
  </si>
  <si>
    <t>27 322</t>
  </si>
  <si>
    <t>261 313</t>
  </si>
  <si>
    <t>Technology</t>
  </si>
  <si>
    <t>Sector</t>
  </si>
  <si>
    <t>UPS</t>
  </si>
  <si>
    <t xml:space="preserve">Commodity </t>
  </si>
  <si>
    <t>UPS_IMP_COA_HCO_NOPEC</t>
  </si>
  <si>
    <t>Values [PJ]</t>
  </si>
  <si>
    <t>UPS_REG_COA_BCO</t>
  </si>
  <si>
    <t>UPS_REG_COA_OVC</t>
  </si>
  <si>
    <t>ELC_FT_BCOA_N</t>
  </si>
  <si>
    <t>ELC_COA_COND_E</t>
  </si>
  <si>
    <t>ELC_COA_OIL_E</t>
  </si>
  <si>
    <t>ELC_CHP_COA_IGCC_E</t>
  </si>
  <si>
    <t>ELC_COA_STM_P</t>
  </si>
  <si>
    <t>ELC_BIO_12C_COA_N</t>
  </si>
  <si>
    <t>IND</t>
  </si>
  <si>
    <t>IND_FT_COA_E</t>
  </si>
  <si>
    <t>IND_FT_COA_N</t>
  </si>
  <si>
    <t>RES</t>
  </si>
  <si>
    <t>RES_FT_COA_E</t>
  </si>
  <si>
    <t>RES_FT_COA_N</t>
  </si>
  <si>
    <t>TPS</t>
  </si>
  <si>
    <t>ELC_FT_COA_E (solo con HCO)</t>
  </si>
  <si>
    <t>ELC_FT_HCOA_N</t>
  </si>
  <si>
    <t>UPS_REG_COG</t>
  </si>
  <si>
    <t>UPS_IMP_COA_COC_NOPEC</t>
  </si>
  <si>
    <t>UPS_REG_COA_HCO (double counting)</t>
  </si>
  <si>
    <t>UPS_SEC_OVC_COG_E (double)</t>
  </si>
  <si>
    <t>IND_FT_COK_E</t>
  </si>
  <si>
    <t>IND_FT_COK_N</t>
  </si>
  <si>
    <t>Total import</t>
  </si>
  <si>
    <t>UPS_MIN_RES_HCOA_E (extraction)</t>
  </si>
  <si>
    <t/>
  </si>
  <si>
    <t>-77</t>
  </si>
  <si>
    <t>6</t>
  </si>
  <si>
    <t>2</t>
  </si>
  <si>
    <t>-585</t>
  </si>
  <si>
    <t>339</t>
  </si>
  <si>
    <t>26</t>
  </si>
  <si>
    <t>144</t>
  </si>
  <si>
    <t>252</t>
  </si>
  <si>
    <t>Tot industry</t>
  </si>
  <si>
    <t>UPS_SEC_BFG_OXY_E</t>
  </si>
  <si>
    <t>Tot</t>
  </si>
  <si>
    <t>Efficiency</t>
  </si>
  <si>
    <t>Tot (efficiency)</t>
  </si>
  <si>
    <t>Crude Oil</t>
  </si>
  <si>
    <t>UPS_IMP_OIL_CRD_NOPEC</t>
  </si>
  <si>
    <t>UPS_PRI_HEATOCRD_</t>
  </si>
  <si>
    <t>UPS_IMP_OIL_DST_NOPEC</t>
  </si>
  <si>
    <t>UPS_IMP_OIL_FEE_NOPEC</t>
  </si>
  <si>
    <t>UPS_IMP_OIL_GSL_NOPEC</t>
  </si>
  <si>
    <t>UPS_IMP_OIL_AVG_NOPEC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</si>
  <si>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</si>
  <si>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</si>
  <si>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</si>
  <si>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</si>
  <si>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</si>
  <si>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</si>
  <si>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</si>
  <si>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UPS_IMP_OIL_ADD_NOPEC</t>
  </si>
  <si>
    <t>Extractions:</t>
  </si>
  <si>
    <t>UPS_MIN_RES_HOIL_STEP1_E</t>
  </si>
  <si>
    <t>UPS_MIN_RES_HOIL_STEP2_E</t>
  </si>
  <si>
    <t>UPS_MIN_RES_HOIL_STEP3_E</t>
  </si>
  <si>
    <t>UPS_MIN_RES_DMY_ADD_E</t>
  </si>
  <si>
    <t>UPS_MIN_GRO_HOIL_STEP1_E</t>
  </si>
  <si>
    <t>UPS_MIN_GRO_HOIL_STEP2_E</t>
  </si>
  <si>
    <t>UPS_MIN_GRO_HOIL_STEP3_E</t>
  </si>
  <si>
    <t>Total extractions</t>
  </si>
  <si>
    <t>UPS_FT_RPPL_E</t>
  </si>
  <si>
    <t>UPS_FT_RPPG_E</t>
  </si>
  <si>
    <t>Total imports</t>
  </si>
  <si>
    <t>UPS_MIN_DSC_HOIL_STEP1_E</t>
  </si>
  <si>
    <t>UPS_MIN_DSC_HOIL_STEP2_E</t>
  </si>
  <si>
    <t>UPS_MIN_DSC_HOIL_STEP3_E</t>
  </si>
  <si>
    <t>UPS_PRI_HOIL_STEP1_E</t>
  </si>
  <si>
    <t>UPS_PRI_HOIL_STEP2_E</t>
  </si>
  <si>
    <t>UPS_PRI_OILADD_E</t>
  </si>
  <si>
    <t>Refineries</t>
  </si>
  <si>
    <t>UPS_SEC_REF_FDS_E</t>
  </si>
  <si>
    <t>UPS_SEC_REF_FLX_E</t>
  </si>
  <si>
    <t>IND_CH_FS_NSP_E</t>
  </si>
  <si>
    <t>IND_CH_FS_GSL_E</t>
  </si>
  <si>
    <t>IND_CH_FS_NAP_E</t>
  </si>
  <si>
    <t>IND_CH_FS_RFG_E</t>
  </si>
  <si>
    <t>IND_CH_OTH_COK_E</t>
  </si>
  <si>
    <t>IND_CH_OTH_DST_E</t>
  </si>
  <si>
    <t>IND_CH_OTH_ETH_E</t>
  </si>
  <si>
    <t>IND_CH_OTH_HFO_E</t>
  </si>
  <si>
    <t>IND_CH_OTH_PTC_E</t>
  </si>
  <si>
    <t>non-energy</t>
  </si>
  <si>
    <t>IND_NM_OTH_COK_E</t>
  </si>
  <si>
    <t>ELC_FT_OIL_E</t>
  </si>
  <si>
    <t>ELC_FT_HHC_E</t>
  </si>
  <si>
    <t>UPS_REG_RFG</t>
  </si>
  <si>
    <t>ELC_FT_DERGAS_E</t>
  </si>
  <si>
    <t>ELC_FT_OIL_N</t>
  </si>
  <si>
    <t>plants</t>
  </si>
  <si>
    <t>ELC_OIL_STM_E</t>
  </si>
  <si>
    <t>ELC_OIL_STM_L2500MW_N</t>
  </si>
  <si>
    <t>ELC_CHP_OIL_STM_COND_CEN_E</t>
  </si>
  <si>
    <t>ELC_CHP_OIL_STM_COND_DST_E</t>
  </si>
  <si>
    <t>ELC_CHP_GASDER_CC_E</t>
  </si>
  <si>
    <t>ELC_CHP_HHC_CC_E</t>
  </si>
  <si>
    <t>TOT FT</t>
  </si>
  <si>
    <t>tot plants</t>
  </si>
  <si>
    <t>tot chp</t>
  </si>
  <si>
    <t>Mean efficiency COA plants</t>
  </si>
  <si>
    <t>Mean efficiency OIL plants</t>
  </si>
  <si>
    <t>Mean eff OIL CHP plants</t>
  </si>
  <si>
    <t>IND_CH_FS_NAP_N</t>
  </si>
  <si>
    <t>IND_CH_OTH_DST_N</t>
  </si>
  <si>
    <t>IND_CH_OTH_ETH_N</t>
  </si>
  <si>
    <t>IND_CH_OTH_HFO_N</t>
  </si>
  <si>
    <t>IND_FT_ETH_E</t>
  </si>
  <si>
    <t>IND_FT_ETH_N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</si>
  <si>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</si>
  <si>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</si>
  <si>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</si>
  <si>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</si>
  <si>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</si>
  <si>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</si>
  <si>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</si>
  <si>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</si>
  <si>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IND_FT_PTC_E</t>
  </si>
  <si>
    <t>IND_FT_PTC_N</t>
  </si>
  <si>
    <t xml:space="preserve">tot industry </t>
  </si>
  <si>
    <t>Tot conversion</t>
  </si>
  <si>
    <t>IND_NF_OTH_DST_E</t>
  </si>
  <si>
    <t>IND_NF_OTH_LPG_E</t>
  </si>
  <si>
    <t>IND_NF_OTH_DST_N</t>
  </si>
  <si>
    <t>IND_PP_OTH_DST_E</t>
  </si>
  <si>
    <t>IND_PP_OTH_LPG_E</t>
  </si>
  <si>
    <t>IND_OTH_PH_HFO_E</t>
  </si>
  <si>
    <t>IND_NM_OTH_DST_E</t>
  </si>
  <si>
    <t>IND_NM_OTH_LPG_E</t>
  </si>
  <si>
    <t>Ind own use</t>
  </si>
  <si>
    <t>IND_CH_FS_LPG_E</t>
  </si>
  <si>
    <t>IND_CH_FS_KER_E</t>
  </si>
  <si>
    <t>IND_CH_FS_HFO_E</t>
  </si>
  <si>
    <t>IND_CH_FS_DST_E</t>
  </si>
  <si>
    <t>IND_CH_FS_DST_N</t>
  </si>
  <si>
    <t>IND_CH_FS_ETH_N</t>
  </si>
  <si>
    <t>IND_CH_FS_MTH_N</t>
  </si>
  <si>
    <t>IND_CH_FS_LPG_N</t>
  </si>
  <si>
    <t>tot non energy use</t>
  </si>
  <si>
    <t>TRA</t>
  </si>
  <si>
    <t>TRA_FT_AVG_E</t>
  </si>
  <si>
    <t>TRA_FT_AVG_N</t>
  </si>
  <si>
    <t>TRA_FT_DST_E</t>
  </si>
  <si>
    <t>TRA_FT_DST_N</t>
  </si>
  <si>
    <t>TRA_FT_GSL_E</t>
  </si>
  <si>
    <t>TRA_FT_GSL_N</t>
  </si>
  <si>
    <t>TRA_FT_HFO_E</t>
  </si>
  <si>
    <t>TRA_FT_HFO_N</t>
  </si>
  <si>
    <t>TRA_FT_JTK_E</t>
  </si>
  <si>
    <t>TRA_FT_JTK_N</t>
  </si>
  <si>
    <t>TRA_FT_LPG_E</t>
  </si>
  <si>
    <t>TRA_FT_LPG_N</t>
  </si>
  <si>
    <t>RES_FT_DST_E</t>
  </si>
  <si>
    <t>RES_FT_HFO_E</t>
  </si>
  <si>
    <t>RES_FT_KER_E</t>
  </si>
  <si>
    <t>RES_FT_LPG_E</t>
  </si>
  <si>
    <t>Tot residential</t>
  </si>
  <si>
    <t>COM</t>
  </si>
  <si>
    <t>COM_FT_DST_E</t>
  </si>
  <si>
    <t>COM_FT_DST_N</t>
  </si>
  <si>
    <t>COM_FT_KER_N</t>
  </si>
  <si>
    <t>COM_FT_LPG_N</t>
  </si>
  <si>
    <t>Tot commercial</t>
  </si>
  <si>
    <t>AGR</t>
  </si>
  <si>
    <t>AGR_FT_DST_E</t>
  </si>
  <si>
    <t>AGR_FT_GSL_E</t>
  </si>
  <si>
    <t>AGR_FT_LPG_E</t>
  </si>
  <si>
    <t>Tot agriculture</t>
  </si>
  <si>
    <t>NG</t>
  </si>
  <si>
    <t>UPS_IMP_NGA</t>
  </si>
  <si>
    <t>UPS_PRI_NGA_STEP1_E</t>
  </si>
  <si>
    <t>UPS_PRI_NGA_STEP2_E</t>
  </si>
  <si>
    <t>Tot production</t>
  </si>
  <si>
    <t>ELC_NGA_CC_E</t>
  </si>
  <si>
    <t>ELC_NGA_OIL_E</t>
  </si>
  <si>
    <t>ELC_NGA_STM_REP_E</t>
  </si>
  <si>
    <t>ELC_NGA_TURB_E</t>
  </si>
  <si>
    <t>ELC_NGA_MIN_E</t>
  </si>
  <si>
    <t>tot electricity</t>
  </si>
  <si>
    <t>Mean eff NGA plants</t>
  </si>
  <si>
    <t>ELC_CHP_NGA_CC_E</t>
  </si>
  <si>
    <t>ELC_CHP_NGA_TURB_CEN_E</t>
  </si>
  <si>
    <t>ELC_CHP_NGA_TURB_DST_E</t>
  </si>
  <si>
    <t>ELC_CHP_NGA_STM_COND_E</t>
  </si>
  <si>
    <t>ELC_CHP_NGA_CC_P</t>
  </si>
  <si>
    <t>ELC_CHP_NGA_TURB_P</t>
  </si>
  <si>
    <t>ELC_CHP_NGA_CP_N</t>
  </si>
  <si>
    <t xml:space="preserve">tot CHP </t>
  </si>
  <si>
    <t>Mean eff CHP NGA plants</t>
  </si>
  <si>
    <t>HET_NGA_E</t>
  </si>
  <si>
    <t>IND_FT_NGA_E</t>
  </si>
  <si>
    <t>TRA_FT_NGA_N</t>
  </si>
  <si>
    <t>TRA_FT_NGA_E</t>
  </si>
  <si>
    <t>Tot transport</t>
  </si>
  <si>
    <t>IND_CH_OTH_NGA_E</t>
  </si>
  <si>
    <t>IND_NF_OTH_NGA_E</t>
  </si>
  <si>
    <t>IND_NM_OTH_NGA_E</t>
  </si>
  <si>
    <t>IND_OTH_PH_NGA_E</t>
  </si>
  <si>
    <t>IND_CH_OTH_NGA_N</t>
  </si>
  <si>
    <t>IND_NF_OTH_NGA_N</t>
  </si>
  <si>
    <t>IND_PP_PH_NGA_N</t>
  </si>
  <si>
    <t>IND_OTH_PH_NGA_N</t>
  </si>
  <si>
    <t>tot other</t>
  </si>
  <si>
    <t>RES_FT_NGA_N</t>
  </si>
  <si>
    <t>RES_FT_NGA_E</t>
  </si>
  <si>
    <t>COM_FT_NGA_N</t>
  </si>
  <si>
    <t>COM_FT_NGA_E</t>
  </si>
  <si>
    <t>AGR_FT_NGA_E</t>
  </si>
  <si>
    <t>UPS_RNW_HYD_E</t>
  </si>
  <si>
    <t>ELC_FT_HYD_E</t>
  </si>
  <si>
    <t>Wind, Solar</t>
  </si>
  <si>
    <t>UPS_RNW_WIN_E</t>
  </si>
  <si>
    <t>UPS_RNW_SOL_E</t>
  </si>
  <si>
    <t>Geothermal</t>
  </si>
  <si>
    <t>UPS_RNW_GEO_E</t>
  </si>
  <si>
    <t>ELC_FT_SOL_E</t>
  </si>
  <si>
    <t>ELC_FT_WIN_E</t>
  </si>
  <si>
    <t>HET_GEO_N</t>
  </si>
  <si>
    <t>RES_FT_SOL_E</t>
  </si>
  <si>
    <t>RES_FT_SOL_N</t>
  </si>
  <si>
    <t>RES_FT_GEO_E</t>
  </si>
  <si>
    <t>RES_FT_GEO_1_N</t>
  </si>
  <si>
    <t>COM_FT_SOL_N</t>
  </si>
  <si>
    <t>COM_FT_GEO_E</t>
  </si>
  <si>
    <t>COM_FT_GEO_1_N</t>
  </si>
  <si>
    <t>COM_FT_GEO_2_N</t>
  </si>
  <si>
    <t>COM_FT_GEO_3_N</t>
  </si>
  <si>
    <t>AGR_FT_SOL_E</t>
  </si>
  <si>
    <t>AGR_FT_GEO_E</t>
  </si>
  <si>
    <t>Biomass, waste</t>
  </si>
  <si>
    <t>biofuels</t>
  </si>
  <si>
    <t>UPS_IMP_WOD_E</t>
  </si>
  <si>
    <t>UPS_IMP_BIO_DST</t>
  </si>
  <si>
    <t>UPS_IMP_BIO_SLB</t>
  </si>
  <si>
    <t>Tot import</t>
  </si>
  <si>
    <t>UPS_MIN_WOD_E</t>
  </si>
  <si>
    <t>UPS_RNW_SLB_LOW_E</t>
  </si>
  <si>
    <t>UPS_RNW_SLB_MED_E</t>
  </si>
  <si>
    <t>UPS_RNW_SLB_HIGH_E</t>
  </si>
  <si>
    <t>UPS_RNW_SLB_REG_E</t>
  </si>
  <si>
    <t>UPS_RNW_BIN_E</t>
  </si>
  <si>
    <t>UPS_RNW_BMU_E</t>
  </si>
  <si>
    <t>UPS_RNW_BGS_E</t>
  </si>
  <si>
    <t>UPS_RNW_BLQ_SUB_E</t>
  </si>
  <si>
    <t>UPS_RNW_BLQ_E</t>
  </si>
  <si>
    <t>UPS_FT_BIO_REC_N</t>
  </si>
  <si>
    <t>ELC_BIO_CEN_E</t>
  </si>
  <si>
    <t>ELC_BIO_DST_E</t>
  </si>
  <si>
    <t>ELC_BIO_5C_N</t>
  </si>
  <si>
    <t>ELC_BIO_12C_N</t>
  </si>
  <si>
    <t>ELC_BIO_5C_COA_N</t>
  </si>
  <si>
    <t>ELC_BLQ_N</t>
  </si>
  <si>
    <t>ELC_BGS_E</t>
  </si>
  <si>
    <t>ELC_BGS_AGR_N</t>
  </si>
  <si>
    <t>ELC_BGS_LAN_N</t>
  </si>
  <si>
    <t>mean eff bio plants</t>
  </si>
  <si>
    <t>ELC_CHP_BMU_E</t>
  </si>
  <si>
    <t>ELC_CHP_BGS_COG_E</t>
  </si>
  <si>
    <t>ELC_CHP_BIO_CEN_E</t>
  </si>
  <si>
    <t>ELC_CHP_BMU_N</t>
  </si>
  <si>
    <t>mean eff CHP bio plants</t>
  </si>
  <si>
    <t>HET_GEO_E</t>
  </si>
  <si>
    <t>ELC_GEO_E</t>
  </si>
  <si>
    <t>tot geo</t>
  </si>
  <si>
    <t>tot heat</t>
  </si>
  <si>
    <t>check</t>
  </si>
  <si>
    <t>ELC_FT_BMU_E</t>
  </si>
  <si>
    <t>ELC_FT_SLB_E</t>
  </si>
  <si>
    <t>ELC_FT_BGS_E</t>
  </si>
  <si>
    <t>ELC_FT_BMU_N</t>
  </si>
  <si>
    <t>ELC_FT_SLB_VIR_N</t>
  </si>
  <si>
    <t>ELC_FT_BLQ_N</t>
  </si>
  <si>
    <t>tot power sector</t>
  </si>
  <si>
    <t>ELC_FT_NGA_E</t>
  </si>
  <si>
    <t>ELC_FT_NGA_N</t>
  </si>
  <si>
    <t>ELC_HYD_FLO_E</t>
  </si>
  <si>
    <t>ELC_HYD_FLO_L10MW_E</t>
  </si>
  <si>
    <t>ELC_HYD_RES_E</t>
  </si>
  <si>
    <t>ELC_HYD_PUM_E</t>
  </si>
  <si>
    <t>tot hydro</t>
  </si>
  <si>
    <t>Tot FT</t>
  </si>
  <si>
    <t>Oil Refineries</t>
  </si>
  <si>
    <t>IND_FT_BIO_E</t>
  </si>
  <si>
    <t>IND_FT_BIO_N</t>
  </si>
  <si>
    <t>tot ind</t>
  </si>
  <si>
    <t>TRA_FT_BIODST_E</t>
  </si>
  <si>
    <t>TRA_FT_BIODST_N</t>
  </si>
  <si>
    <t>RES_FT_BIO_E</t>
  </si>
  <si>
    <t>RES_FT_BIO_N</t>
  </si>
  <si>
    <t>tot res</t>
  </si>
  <si>
    <t>COM_FT_BIO_N</t>
  </si>
  <si>
    <t>AGR_FT_BIO_E</t>
  </si>
  <si>
    <t>UPS_IMP_ELC_CEN</t>
  </si>
  <si>
    <t>UPS_FT_ELC_E</t>
  </si>
  <si>
    <t>ELC_DERGAS_CC_E</t>
  </si>
  <si>
    <t>ELC_DST_TURB_E</t>
  </si>
  <si>
    <t>ELC_SOL_E</t>
  </si>
  <si>
    <t>ELC_WIN_E</t>
  </si>
  <si>
    <t>ELC_NGA_CC_P</t>
  </si>
  <si>
    <t>ELC_WIN_P</t>
  </si>
  <si>
    <t>ELC_NGA_TURB_L80MW_N</t>
  </si>
  <si>
    <t>ELC_NGA_TURB_L300MW_N</t>
  </si>
  <si>
    <t>ELC_NGA_CC_L3000MW_N</t>
  </si>
  <si>
    <t>ELC_COA_STM_H500MW_N</t>
  </si>
  <si>
    <t>ELC_PV_GRO_TYPE1_N</t>
  </si>
  <si>
    <t>ELC_PV_GRO_TYPE6_N</t>
  </si>
  <si>
    <t>tot ele</t>
  </si>
  <si>
    <t>ELC_CHP_NGA_TURB_N</t>
  </si>
  <si>
    <t>ELC_CHP_NGA_CC_N</t>
  </si>
  <si>
    <t>ELC_CHP_NGA_TAP_N</t>
  </si>
  <si>
    <t xml:space="preserve">tot chp </t>
  </si>
  <si>
    <t>IND_FT_ELC_E</t>
  </si>
  <si>
    <t>TRA_FT_ELC_E</t>
  </si>
  <si>
    <t>RES_FT_ELC_E</t>
  </si>
  <si>
    <t>COM_FT_ELC_E</t>
  </si>
  <si>
    <t>AGR_FT_ELC_E</t>
  </si>
  <si>
    <t>TOS ELE</t>
  </si>
  <si>
    <t>TOS HET</t>
  </si>
  <si>
    <t>IND_FT_HET_N</t>
  </si>
  <si>
    <t>RES_FT_HET_E</t>
  </si>
  <si>
    <t>COM_FT_HET_E</t>
  </si>
  <si>
    <t>IND_ONS_TECH</t>
  </si>
  <si>
    <t>IND_ECL</t>
  </si>
  <si>
    <t>IND_NGA</t>
  </si>
  <si>
    <t>IND_LPG</t>
  </si>
  <si>
    <t>IND_HFO</t>
  </si>
  <si>
    <t>IND_OIL</t>
  </si>
  <si>
    <t>IND_BIO</t>
  </si>
  <si>
    <t>IND_GEO</t>
  </si>
  <si>
    <t>IND_HET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</si>
</sst>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6F6F6F"/>
      <name val="Inherit"/>
    </font>
    <font>
      <sz val="14"/>
      <color rgb="FF6F6F6F"/>
      <name val="Arial"/>
      <family val="2"/>
    </font>
    <font>
      <sz val="14"/>
      <color rgb="FF000000"/>
      <name val="Inherit"/>
    </font>
    <font>
      <sz val="14"/>
      <color theme="1"/>
      <name val="Inherit"/>
    </font>
    <font>
      <b/>
      <sz val="14"/>
      <color rgb="FF000000"/>
      <name val="Inherit"/>
    </font>
    <font>
      <sz val="14"/>
      <color rgb="FF000000"/>
      <name val="Arial"/>
      <family val="2"/>
    </font>
    <font>
      <sz val="14"/>
      <color rgb="FF6F6F6F"/>
      <name val="Calibri "/>
    </font>
    <font>
      <sz val="14"/>
      <color rgb="FF000000"/>
      <name val="Calibri "/>
    </font>
    <font>
      <b/>
      <sz val="14"/>
      <color rgb="FF000000"/>
      <name val="Calibri "/>
    </font>
    <font>
      <sz val="14"/>
      <color theme="1"/>
      <name val="Calibri "/>
    </font>
    <font>
      <b/>
      <sz val="14"/>
      <color theme="1"/>
      <name val="Calibri "/>
    </font>
    <font>
      <b/>
      <sz val="14"/>
      <color rgb="FF000000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0"/>
      <color rgb="FFCC7832"/>
      <name val="JetBrains Mono"/>
      <family val="3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DF4DF"/>
        <bgColor indexed="64"/>
      </patternFill>
    </fill>
    <fill>
      <patternFill patternType="solid">
        <fgColor rgb="FFADF4D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/>
    <xf numFmtId="0" fontId="10" fillId="0" borderId="0" xfId="0" applyFont="1"/>
    <xf numFmtId="0" fontId="11" fillId="0" borderId="5" xfId="0" applyFont="1" applyBorder="1"/>
    <xf numFmtId="0" fontId="10" fillId="2" borderId="0" xfId="0" applyFont="1" applyFill="1"/>
    <xf numFmtId="0" fontId="12" fillId="2" borderId="7" xfId="0" applyFont="1" applyFill="1" applyBorder="1"/>
    <xf numFmtId="0" fontId="12" fillId="0" borderId="6" xfId="0" applyFont="1" applyBorder="1"/>
    <xf numFmtId="0" fontId="12" fillId="0" borderId="8" xfId="0" applyFont="1" applyBorder="1"/>
    <xf numFmtId="0" fontId="14" fillId="2" borderId="0" xfId="0" applyFont="1" applyFill="1"/>
    <xf numFmtId="0" fontId="15" fillId="3" borderId="0" xfId="0" applyFont="1" applyFill="1"/>
    <xf numFmtId="0" fontId="2" fillId="4" borderId="0" xfId="0" applyFont="1" applyFill="1"/>
    <xf numFmtId="0" fontId="11" fillId="2" borderId="0" xfId="0" applyFont="1" applyFill="1" applyBorder="1"/>
    <xf numFmtId="0" fontId="13" fillId="2" borderId="0" xfId="0" applyFont="1" applyFill="1" applyBorder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0" xfId="0" applyFont="1" applyBorder="1"/>
    <xf numFmtId="0" fontId="12" fillId="0" borderId="7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1" fillId="0" borderId="6" xfId="0" applyFont="1" applyBorder="1"/>
    <xf numFmtId="0" fontId="11" fillId="0" borderId="10" xfId="0" applyFont="1" applyBorder="1"/>
    <xf numFmtId="1" fontId="11" fillId="0" borderId="2" xfId="0" applyNumberFormat="1" applyFont="1" applyBorder="1"/>
    <xf numFmtId="1" fontId="11" fillId="0" borderId="0" xfId="0" applyNumberFormat="1" applyFont="1" applyBorder="1"/>
    <xf numFmtId="1" fontId="12" fillId="0" borderId="6" xfId="0" applyNumberFormat="1" applyFont="1" applyBorder="1"/>
    <xf numFmtId="0" fontId="11" fillId="0" borderId="1" xfId="0" applyNumberFormat="1" applyFont="1" applyBorder="1"/>
    <xf numFmtId="0" fontId="11" fillId="0" borderId="4" xfId="0" applyNumberFormat="1" applyFont="1" applyBorder="1"/>
    <xf numFmtId="0" fontId="12" fillId="0" borderId="7" xfId="0" applyNumberFormat="1" applyFont="1" applyBorder="1"/>
    <xf numFmtId="1" fontId="11" fillId="0" borderId="4" xfId="0" applyNumberFormat="1" applyFont="1" applyFill="1" applyBorder="1"/>
    <xf numFmtId="1" fontId="11" fillId="0" borderId="6" xfId="0" applyNumberFormat="1" applyFont="1" applyBorder="1"/>
    <xf numFmtId="0" fontId="6" fillId="8" borderId="0" xfId="0" applyFont="1" applyFill="1"/>
    <xf numFmtId="0" fontId="8" fillId="9" borderId="0" xfId="0" applyFont="1" applyFill="1"/>
    <xf numFmtId="1" fontId="13" fillId="7" borderId="10" xfId="0" applyNumberFormat="1" applyFont="1" applyFill="1" applyBorder="1"/>
    <xf numFmtId="1" fontId="11" fillId="7" borderId="0" xfId="0" applyNumberFormat="1" applyFont="1" applyFill="1" applyBorder="1"/>
    <xf numFmtId="1" fontId="11" fillId="0" borderId="0" xfId="0" applyNumberFormat="1" applyFont="1" applyFill="1" applyBorder="1"/>
    <xf numFmtId="0" fontId="11" fillId="7" borderId="0" xfId="0" applyFont="1" applyFill="1" applyBorder="1"/>
    <xf numFmtId="0" fontId="0" fillId="11" borderId="0" xfId="0" applyFill="1"/>
    <xf numFmtId="0" fontId="17" fillId="11" borderId="0" xfId="0" applyFont="1" applyFill="1"/>
    <xf numFmtId="0" fontId="17" fillId="0" borderId="0" xfId="0" applyFont="1" applyFill="1"/>
    <xf numFmtId="1" fontId="11" fillId="0" borderId="2" xfId="0" applyNumberFormat="1" applyFont="1" applyFill="1" applyBorder="1"/>
    <xf numFmtId="1" fontId="17" fillId="0" borderId="0" xfId="0" applyNumberFormat="1" applyFont="1" applyFill="1"/>
    <xf numFmtId="0" fontId="11" fillId="0" borderId="4" xfId="0" applyNumberFormat="1" applyFont="1" applyFill="1" applyBorder="1"/>
    <xf numFmtId="1" fontId="12" fillId="0" borderId="6" xfId="0" applyNumberFormat="1" applyFont="1" applyFill="1" applyBorder="1"/>
    <xf numFmtId="0" fontId="11" fillId="0" borderId="0" xfId="0" applyFont="1" applyFill="1" applyBorder="1"/>
    <xf numFmtId="1" fontId="13" fillId="0" borderId="10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0" fillId="0" borderId="3" xfId="0" applyBorder="1"/>
    <xf numFmtId="0" fontId="6" fillId="0" borderId="4" xfId="0" applyFont="1" applyBorder="1"/>
    <xf numFmtId="0" fontId="17" fillId="0" borderId="0" xfId="0" applyFont="1" applyBorder="1"/>
    <xf numFmtId="0" fontId="17" fillId="8" borderId="0" xfId="0" applyFont="1" applyFill="1" applyBorder="1"/>
    <xf numFmtId="0" fontId="17" fillId="0" borderId="5" xfId="0" applyFont="1" applyBorder="1"/>
    <xf numFmtId="0" fontId="0" fillId="0" borderId="0" xfId="0" applyBorder="1"/>
    <xf numFmtId="0" fontId="0" fillId="8" borderId="0" xfId="0" applyFill="1" applyBorder="1"/>
    <xf numFmtId="0" fontId="0" fillId="0" borderId="5" xfId="0" applyBorder="1"/>
    <xf numFmtId="0" fontId="8" fillId="0" borderId="9" xfId="0" applyFont="1" applyBorder="1"/>
    <xf numFmtId="0" fontId="19" fillId="0" borderId="10" xfId="0" applyFont="1" applyBorder="1"/>
    <xf numFmtId="0" fontId="19" fillId="8" borderId="10" xfId="0" applyFont="1" applyFill="1" applyBorder="1"/>
    <xf numFmtId="0" fontId="19" fillId="0" borderId="11" xfId="0" applyFont="1" applyBorder="1"/>
    <xf numFmtId="0" fontId="17" fillId="0" borderId="2" xfId="0" applyFont="1" applyBorder="1"/>
    <xf numFmtId="0" fontId="17" fillId="8" borderId="2" xfId="0" applyFont="1" applyFill="1" applyBorder="1"/>
    <xf numFmtId="0" fontId="17" fillId="0" borderId="3" xfId="0" applyFont="1" applyBorder="1"/>
    <xf numFmtId="0" fontId="17" fillId="5" borderId="0" xfId="0" applyFont="1" applyFill="1" applyBorder="1"/>
    <xf numFmtId="0" fontId="17" fillId="5" borderId="5" xfId="0" applyFont="1" applyFill="1" applyBorder="1"/>
    <xf numFmtId="0" fontId="6" fillId="0" borderId="9" xfId="0" applyFont="1" applyBorder="1"/>
    <xf numFmtId="0" fontId="17" fillId="0" borderId="10" xfId="0" applyFont="1" applyBorder="1"/>
    <xf numFmtId="0" fontId="17" fillId="5" borderId="10" xfId="0" applyFont="1" applyFill="1" applyBorder="1"/>
    <xf numFmtId="0" fontId="17" fillId="8" borderId="10" xfId="0" applyFont="1" applyFill="1" applyBorder="1"/>
    <xf numFmtId="0" fontId="0" fillId="0" borderId="10" xfId="0" applyBorder="1"/>
    <xf numFmtId="0" fontId="0" fillId="0" borderId="11" xfId="0" applyBorder="1"/>
    <xf numFmtId="0" fontId="17" fillId="0" borderId="11" xfId="0" applyFont="1" applyBorder="1"/>
    <xf numFmtId="0" fontId="21" fillId="0" borderId="2" xfId="0" applyFont="1" applyBorder="1"/>
    <xf numFmtId="0" fontId="21" fillId="10" borderId="0" xfId="0" applyFont="1" applyFill="1" applyBorder="1"/>
    <xf numFmtId="0" fontId="8" fillId="0" borderId="4" xfId="0" applyFont="1" applyBorder="1"/>
    <xf numFmtId="0" fontId="7" fillId="0" borderId="4" xfId="0" applyFont="1" applyBorder="1"/>
    <xf numFmtId="0" fontId="0" fillId="0" borderId="0" xfId="0" applyFill="1" applyBorder="1"/>
    <xf numFmtId="0" fontId="0" fillId="10" borderId="0" xfId="0" applyFill="1" applyBorder="1"/>
    <xf numFmtId="0" fontId="0" fillId="0" borderId="4" xfId="0" applyBorder="1"/>
    <xf numFmtId="0" fontId="0" fillId="0" borderId="9" xfId="0" applyBorder="1"/>
    <xf numFmtId="0" fontId="0" fillId="0" borderId="1" xfId="0" applyBorder="1"/>
    <xf numFmtId="0" fontId="22" fillId="0" borderId="0" xfId="0" applyFont="1" applyBorder="1"/>
    <xf numFmtId="0" fontId="22" fillId="0" borderId="5" xfId="0" applyFont="1" applyBorder="1"/>
    <xf numFmtId="0" fontId="0" fillId="8" borderId="5" xfId="0" applyFill="1" applyBorder="1"/>
    <xf numFmtId="0" fontId="1" fillId="0" borderId="4" xfId="0" applyFont="1" applyBorder="1"/>
    <xf numFmtId="1" fontId="13" fillId="0" borderId="0" xfId="0" applyNumberFormat="1" applyFont="1" applyBorder="1"/>
    <xf numFmtId="0" fontId="11" fillId="6" borderId="0" xfId="0" applyFont="1" applyFill="1" applyBorder="1"/>
    <xf numFmtId="0" fontId="13" fillId="6" borderId="10" xfId="0" applyFont="1" applyFill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" xfId="0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" xfId="0" applyFont="1" applyBorder="1"/>
    <xf numFmtId="0" fontId="0" fillId="0" borderId="4" xfId="0" applyFont="1" applyBorder="1"/>
    <xf numFmtId="1" fontId="11" fillId="6" borderId="0" xfId="0" applyNumberFormat="1" applyFont="1" applyFill="1" applyBorder="1"/>
    <xf numFmtId="1" fontId="11" fillId="6" borderId="2" xfId="0" applyNumberFormat="1" applyFont="1" applyFill="1" applyBorder="1"/>
    <xf numFmtId="0" fontId="0" fillId="11" borderId="0" xfId="0" applyFont="1" applyFill="1"/>
    <xf numFmtId="0" fontId="0" fillId="0" borderId="10" xfId="0" applyFill="1" applyBorder="1"/>
    <xf numFmtId="1" fontId="0" fillId="0" borderId="0" xfId="0" applyNumberFormat="1"/>
    <xf numFmtId="0" fontId="0" fillId="12" borderId="0" xfId="0" applyFill="1"/>
    <xf numFmtId="0" fontId="21" fillId="0" borderId="0" xfId="0" applyFont="1" applyBorder="1"/>
    <xf numFmtId="0" fontId="0" fillId="0" borderId="4" xfId="0" applyFill="1" applyBorder="1"/>
    <xf numFmtId="0" fontId="0" fillId="12" borderId="10" xfId="0" applyFill="1" applyBorder="1"/>
    <xf numFmtId="0" fontId="8" fillId="13" borderId="0" xfId="0" applyFont="1" applyFill="1"/>
    <xf numFmtId="0" fontId="17" fillId="12" borderId="0" xfId="0" applyFont="1" applyFill="1" applyBorder="1"/>
    <xf numFmtId="0" fontId="0" fillId="12" borderId="0" xfId="0" applyFill="1" applyBorder="1"/>
    <xf numFmtId="0" fontId="17" fillId="0" borderId="0" xfId="0" applyFont="1" applyFill="1" applyBorder="1"/>
    <xf numFmtId="0" fontId="17" fillId="0" borderId="5" xfId="0" applyFont="1" applyFill="1" applyBorder="1"/>
    <xf numFmtId="0" fontId="0" fillId="0" borderId="0" xfId="0" applyFill="1"/>
    <xf numFmtId="0" fontId="6" fillId="0" borderId="0" xfId="0" applyFont="1" applyFill="1"/>
    <xf numFmtId="0" fontId="0" fillId="14" borderId="0" xfId="0" applyFill="1" applyBorder="1"/>
    <xf numFmtId="0" fontId="8" fillId="0" borderId="0" xfId="0" applyFont="1" applyFill="1"/>
    <xf numFmtId="0" fontId="0" fillId="10" borderId="5" xfId="0" applyFill="1" applyBorder="1"/>
    <xf numFmtId="164" fontId="0" fillId="0" borderId="10" xfId="0" applyNumberFormat="1" applyBorder="1"/>
    <xf numFmtId="164" fontId="0" fillId="12" borderId="0" xfId="0" applyNumberFormat="1" applyFill="1" applyBorder="1"/>
    <xf numFmtId="0" fontId="6" fillId="0" borderId="0" xfId="0" applyFont="1" applyBorder="1"/>
    <xf numFmtId="0" fontId="6" fillId="8" borderId="0" xfId="0" applyFont="1" applyFill="1" applyBorder="1"/>
    <xf numFmtId="0" fontId="6" fillId="0" borderId="5" xfId="0" applyFont="1" applyBorder="1"/>
    <xf numFmtId="0" fontId="9" fillId="2" borderId="0" xfId="0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colors>
    <mruColors>
      <color rgb="FFADF4DF"/>
      <color rgb="FFB7FFFC"/>
      <color rgb="FF7DF4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ERA SILVIA" id="{271EE8C5-66D2-4642-9C7A-CBF6BBE35378}" userId="S::s288011@studenti.polito.it::70e2a751-91bf-46fd-a2b0-dd9f58ae7ff9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6-21T06:53:40.73" personId="{271EE8C5-66D2-4642-9C7A-CBF6BBE35378}" id="{760C36FE-5372-A145-8020-9DF164D2CDB9}">
    <text>UPS_MIN_RES_HCOA_E a noi è 0 (forse modellano solo extraction di hard coal e non di altri tipi)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34" dT="2022-06-24T09:59:45.44" personId="{271EE8C5-66D2-4642-9C7A-CBF6BBE35378}" id="{2A934105-5D92-C342-98D7-7A347A2E49EC}">
    <text>NO! It receives NGA as input!</text>
  </threadedComment>
  <threadedComment ref="AA62" dT="2022-06-24T09:07:07.10" personId="{271EE8C5-66D2-4642-9C7A-CBF6BBE35378}" id="{9C85418A-B928-6F46-B649-B03151D81214}">
    <text>Not included since has in input ELC_CEN (and in output)</text>
  </threadedComment>
  <threadedComment ref="Z68" dT="2022-06-23T07:43:39.31" personId="{271EE8C5-66D2-4642-9C7A-CBF6BBE35378}" id="{9C47CD7A-59D9-B444-A3AC-7A2D3F92B033}">
    <text>FT used since efficiency =1 for RNW</text>
  </threadedComment>
  <threadedComment ref="D126" dT="2022-06-24T09:59:45.44" personId="{271EE8C5-66D2-4642-9C7A-CBF6BBE35378}" id="{CE8FE9C1-E9AE-9C45-B502-49B1E87CD864}">
    <text>NO! It receives NGA as input!</text>
  </threadedComment>
  <threadedComment ref="O149" dT="2022-06-24T13:13:18.68" personId="{271EE8C5-66D2-4642-9C7A-CBF6BBE35378}" id="{DB050FE6-E11F-4E4D-90AF-F59EBC35F193}">
    <text xml:space="preserve">TechOutputSplit for ELE and HEAT from CHP technologies
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DD0C-F7B4-AB42-996F-CE994EE18508}">
  <dimension ref="B2:AF34"/>
  <sheetViews>
    <sheetView zoomScale="64" zoomScaleNormal="64" workbookViewId="0">
      <selection activeCell="G35" sqref="G35"/>
    </sheetView>
  </sheetViews>
  <sheetFormatPr baseColWidth="10" defaultRowHeight="16"/>
  <cols>
    <col min="2" max="2" width="31.33203125" customWidth="1"/>
    <col min="3" max="5" width="14.83203125" customWidth="1"/>
    <col min="6" max="8" width="14.33203125" customWidth="1"/>
    <col min="9" max="11" width="16.5" customWidth="1"/>
    <col min="12" max="14" width="15" customWidth="1"/>
    <col min="17" max="17" width="12.1640625" customWidth="1"/>
    <col min="18" max="18" width="11.5" customWidth="1"/>
    <col min="19" max="19" width="12.6640625" customWidth="1"/>
    <col min="20" max="20" width="15.1640625" customWidth="1"/>
    <col min="21" max="21" width="14.83203125" customWidth="1"/>
    <col min="22" max="22" width="14.1640625" customWidth="1"/>
    <col min="23" max="23" width="12.33203125" customWidth="1"/>
    <col min="24" max="24" width="10.6640625" customWidth="1"/>
    <col min="25" max="26" width="11.1640625" customWidth="1"/>
    <col min="32" max="32" width="12.1640625" customWidth="1"/>
  </cols>
  <sheetData>
    <row r="2" spans="2:32">
      <c r="B2" s="16" t="s">
        <v>42</v>
      </c>
    </row>
    <row r="4" spans="2:32" ht="18">
      <c r="C4" s="131" t="s">
        <v>31</v>
      </c>
      <c r="D4" s="131"/>
      <c r="E4" s="131"/>
      <c r="F4" s="131" t="s">
        <v>32</v>
      </c>
      <c r="G4" s="131"/>
      <c r="H4" s="131"/>
      <c r="I4" s="131" t="s">
        <v>33</v>
      </c>
      <c r="J4" s="131"/>
      <c r="K4" s="131"/>
      <c r="L4" s="131" t="s">
        <v>34</v>
      </c>
      <c r="M4" s="131"/>
      <c r="N4" s="131"/>
      <c r="O4" s="131" t="s">
        <v>35</v>
      </c>
      <c r="P4" s="131"/>
      <c r="Q4" s="131"/>
      <c r="R4" s="131" t="s">
        <v>36</v>
      </c>
      <c r="S4" s="131"/>
      <c r="T4" s="131"/>
      <c r="U4" s="131" t="s">
        <v>37</v>
      </c>
      <c r="V4" s="131"/>
      <c r="W4" s="131"/>
      <c r="X4" s="131" t="s">
        <v>38</v>
      </c>
      <c r="Y4" s="131"/>
      <c r="Z4" s="131"/>
      <c r="AA4" s="131" t="s">
        <v>39</v>
      </c>
      <c r="AB4" s="131"/>
      <c r="AC4" s="131"/>
      <c r="AD4" s="132" t="s">
        <v>40</v>
      </c>
      <c r="AE4" s="132"/>
      <c r="AF4" s="132"/>
    </row>
    <row r="5" spans="2:32" ht="19">
      <c r="B5" s="8"/>
      <c r="C5" s="10" t="s">
        <v>4</v>
      </c>
      <c r="D5" s="10" t="s">
        <v>4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10" t="s">
        <v>4</v>
      </c>
      <c r="Q5" s="10" t="s">
        <v>4</v>
      </c>
      <c r="R5" s="10" t="s">
        <v>4</v>
      </c>
      <c r="S5" s="10" t="s">
        <v>4</v>
      </c>
      <c r="T5" s="10" t="s">
        <v>4</v>
      </c>
      <c r="U5" s="10" t="s">
        <v>4</v>
      </c>
      <c r="V5" s="10" t="s">
        <v>4</v>
      </c>
      <c r="W5" s="10" t="s">
        <v>4</v>
      </c>
      <c r="X5" s="10" t="s">
        <v>4</v>
      </c>
      <c r="Y5" s="10" t="s">
        <v>4</v>
      </c>
      <c r="Z5" s="10" t="s">
        <v>4</v>
      </c>
      <c r="AA5" s="10" t="s">
        <v>4</v>
      </c>
      <c r="AB5" s="10" t="s">
        <v>4</v>
      </c>
      <c r="AC5" s="10" t="s">
        <v>4</v>
      </c>
      <c r="AD5" s="10" t="s">
        <v>4</v>
      </c>
      <c r="AE5" s="10" t="s">
        <v>4</v>
      </c>
      <c r="AF5" s="10" t="s">
        <v>4</v>
      </c>
    </row>
    <row r="6" spans="2:32" ht="19">
      <c r="B6" s="8"/>
      <c r="C6" s="14" t="s">
        <v>43</v>
      </c>
      <c r="D6" s="14" t="s">
        <v>44</v>
      </c>
      <c r="E6" s="14" t="s">
        <v>45</v>
      </c>
      <c r="F6" s="14" t="s">
        <v>43</v>
      </c>
      <c r="G6" s="14" t="s">
        <v>44</v>
      </c>
      <c r="H6" s="14" t="s">
        <v>45</v>
      </c>
      <c r="I6" s="14" t="s">
        <v>43</v>
      </c>
      <c r="J6" s="14" t="s">
        <v>44</v>
      </c>
      <c r="K6" s="14" t="s">
        <v>45</v>
      </c>
      <c r="L6" s="14" t="s">
        <v>43</v>
      </c>
      <c r="M6" s="15" t="s">
        <v>44</v>
      </c>
      <c r="N6" s="15" t="s">
        <v>45</v>
      </c>
      <c r="O6" s="14" t="s">
        <v>43</v>
      </c>
      <c r="P6" s="15" t="s">
        <v>44</v>
      </c>
      <c r="Q6" s="15" t="s">
        <v>45</v>
      </c>
      <c r="R6" s="14" t="s">
        <v>43</v>
      </c>
      <c r="S6" s="15" t="s">
        <v>44</v>
      </c>
      <c r="T6" s="15" t="s">
        <v>45</v>
      </c>
      <c r="U6" s="14" t="s">
        <v>43</v>
      </c>
      <c r="V6" s="15" t="s">
        <v>44</v>
      </c>
      <c r="W6" s="15" t="s">
        <v>45</v>
      </c>
      <c r="X6" s="14" t="s">
        <v>43</v>
      </c>
      <c r="Y6" s="15" t="s">
        <v>44</v>
      </c>
      <c r="Z6" s="15" t="s">
        <v>45</v>
      </c>
      <c r="AA6" s="14" t="s">
        <v>43</v>
      </c>
      <c r="AB6" s="15" t="s">
        <v>44</v>
      </c>
      <c r="AC6" s="15" t="s">
        <v>45</v>
      </c>
      <c r="AD6" s="14" t="s">
        <v>43</v>
      </c>
      <c r="AE6" s="15" t="s">
        <v>44</v>
      </c>
      <c r="AF6" s="15" t="s">
        <v>45</v>
      </c>
    </row>
    <row r="7" spans="2:32" ht="19">
      <c r="B7" s="17" t="s">
        <v>5</v>
      </c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1"/>
    </row>
    <row r="8" spans="2:32" ht="19">
      <c r="B8" s="17" t="s">
        <v>6</v>
      </c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9"/>
    </row>
    <row r="9" spans="2:32" ht="19">
      <c r="B9" s="17" t="s">
        <v>7</v>
      </c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9"/>
    </row>
    <row r="10" spans="2:32" ht="19">
      <c r="B10" s="17" t="s">
        <v>8</v>
      </c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9"/>
    </row>
    <row r="11" spans="2:32" ht="19">
      <c r="B11" s="17" t="s">
        <v>9</v>
      </c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9"/>
    </row>
    <row r="12" spans="2:32" ht="19">
      <c r="B12" s="17" t="s">
        <v>10</v>
      </c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9"/>
    </row>
    <row r="13" spans="2:32" s="7" customFormat="1" ht="19">
      <c r="B13" s="11" t="s">
        <v>11</v>
      </c>
      <c r="C13" s="2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3"/>
    </row>
    <row r="14" spans="2:32" ht="19">
      <c r="B14" s="17" t="s">
        <v>12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9"/>
    </row>
    <row r="15" spans="2:32" ht="19">
      <c r="B15" s="17" t="s">
        <v>13</v>
      </c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9"/>
    </row>
    <row r="16" spans="2:32" ht="19">
      <c r="B16" s="17" t="s">
        <v>14</v>
      </c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9"/>
    </row>
    <row r="17" spans="2:32" ht="19">
      <c r="B17" s="17" t="s">
        <v>15</v>
      </c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9"/>
    </row>
    <row r="18" spans="2:32" ht="19">
      <c r="B18" s="17" t="s">
        <v>16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9"/>
    </row>
    <row r="19" spans="2:32" ht="19">
      <c r="B19" s="17" t="s">
        <v>17</v>
      </c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9"/>
    </row>
    <row r="20" spans="2:32" ht="19">
      <c r="B20" s="17" t="s">
        <v>18</v>
      </c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9"/>
    </row>
    <row r="21" spans="2:32" ht="19">
      <c r="B21" s="17" t="s">
        <v>19</v>
      </c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9"/>
    </row>
    <row r="22" spans="2:32" ht="19">
      <c r="B22" s="17" t="s">
        <v>20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9"/>
    </row>
    <row r="23" spans="2:32" ht="19">
      <c r="B23" s="17" t="s">
        <v>21</v>
      </c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9"/>
    </row>
    <row r="24" spans="2:32" ht="19">
      <c r="B24" s="17" t="s">
        <v>22</v>
      </c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9"/>
    </row>
    <row r="25" spans="2:32" ht="19">
      <c r="B25" s="17" t="s">
        <v>23</v>
      </c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9"/>
    </row>
    <row r="26" spans="2:32" s="7" customFormat="1" ht="19">
      <c r="B26" s="11" t="s">
        <v>24</v>
      </c>
      <c r="C26" s="24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3"/>
    </row>
    <row r="27" spans="2:32" ht="19">
      <c r="B27" s="17" t="s">
        <v>25</v>
      </c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9"/>
    </row>
    <row r="28" spans="2:32" ht="19">
      <c r="B28" s="17" t="s">
        <v>26</v>
      </c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9"/>
    </row>
    <row r="29" spans="2:32" ht="19">
      <c r="B29" s="17" t="s">
        <v>2</v>
      </c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9"/>
    </row>
    <row r="30" spans="2:32" ht="19">
      <c r="B30" s="17" t="s">
        <v>27</v>
      </c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9"/>
    </row>
    <row r="31" spans="2:32" ht="19">
      <c r="B31" s="17" t="s">
        <v>28</v>
      </c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9"/>
    </row>
    <row r="32" spans="2:32" ht="19">
      <c r="B32" s="17" t="s">
        <v>3</v>
      </c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9"/>
    </row>
    <row r="33" spans="2:32" ht="19">
      <c r="B33" s="17" t="s">
        <v>1</v>
      </c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9"/>
    </row>
    <row r="34" spans="2:32" s="6" customFormat="1" ht="19">
      <c r="B34" s="18" t="s">
        <v>30</v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</row>
  </sheetData>
  <mergeCells count="10">
    <mergeCell ref="U4:W4"/>
    <mergeCell ref="X4:Z4"/>
    <mergeCell ref="AA4:AC4"/>
    <mergeCell ref="AD4:AF4"/>
    <mergeCell ref="C4:E4"/>
    <mergeCell ref="F4:H4"/>
    <mergeCell ref="I4:K4"/>
    <mergeCell ref="L4:N4"/>
    <mergeCell ref="O4:Q4"/>
    <mergeCell ref="R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A2E4-5435-264D-9F27-F5734E4AC959}">
  <dimension ref="B2:AF34"/>
  <sheetViews>
    <sheetView topLeftCell="A2" zoomScale="64" zoomScaleNormal="64" workbookViewId="0">
      <selection activeCell="L46" sqref="L46"/>
    </sheetView>
  </sheetViews>
  <sheetFormatPr baseColWidth="10" defaultRowHeight="16"/>
  <cols>
    <col min="2" max="2" width="31.33203125" customWidth="1"/>
    <col min="3" max="5" width="14.83203125" customWidth="1"/>
    <col min="6" max="8" width="14.33203125" customWidth="1"/>
    <col min="9" max="11" width="16.5" customWidth="1"/>
    <col min="12" max="14" width="15" customWidth="1"/>
    <col min="17" max="17" width="12.1640625" customWidth="1"/>
    <col min="18" max="18" width="11.5" customWidth="1"/>
    <col min="19" max="19" width="12.6640625" customWidth="1"/>
    <col min="20" max="20" width="15.1640625" customWidth="1"/>
    <col min="21" max="21" width="14.83203125" customWidth="1"/>
    <col min="22" max="22" width="14.1640625" customWidth="1"/>
    <col min="23" max="23" width="12.33203125" customWidth="1"/>
    <col min="24" max="24" width="10.6640625" customWidth="1"/>
    <col min="25" max="26" width="11.1640625" customWidth="1"/>
    <col min="32" max="32" width="12.1640625" customWidth="1"/>
  </cols>
  <sheetData>
    <row r="2" spans="2:32">
      <c r="B2" s="16" t="s">
        <v>42</v>
      </c>
    </row>
    <row r="4" spans="2:32" ht="18">
      <c r="C4" s="131" t="s">
        <v>31</v>
      </c>
      <c r="D4" s="131"/>
      <c r="E4" s="131"/>
      <c r="F4" s="131" t="s">
        <v>32</v>
      </c>
      <c r="G4" s="131"/>
      <c r="H4" s="131"/>
      <c r="I4" s="131" t="s">
        <v>33</v>
      </c>
      <c r="J4" s="131"/>
      <c r="K4" s="131"/>
      <c r="L4" s="131" t="s">
        <v>34</v>
      </c>
      <c r="M4" s="131"/>
      <c r="N4" s="131"/>
      <c r="O4" s="131" t="s">
        <v>35</v>
      </c>
      <c r="P4" s="131"/>
      <c r="Q4" s="131"/>
      <c r="R4" s="131" t="s">
        <v>36</v>
      </c>
      <c r="S4" s="131"/>
      <c r="T4" s="131"/>
      <c r="U4" s="131" t="s">
        <v>37</v>
      </c>
      <c r="V4" s="131"/>
      <c r="W4" s="131"/>
      <c r="X4" s="131" t="s">
        <v>38</v>
      </c>
      <c r="Y4" s="131"/>
      <c r="Z4" s="131"/>
      <c r="AA4" s="131" t="s">
        <v>39</v>
      </c>
      <c r="AB4" s="131"/>
      <c r="AC4" s="131"/>
      <c r="AD4" s="132" t="s">
        <v>40</v>
      </c>
      <c r="AE4" s="132"/>
      <c r="AF4" s="132"/>
    </row>
    <row r="5" spans="2:32" ht="19">
      <c r="B5" s="8"/>
      <c r="C5" s="10" t="s">
        <v>4</v>
      </c>
      <c r="D5" s="10" t="s">
        <v>4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10" t="s">
        <v>4</v>
      </c>
      <c r="Q5" s="10" t="s">
        <v>4</v>
      </c>
      <c r="R5" s="10" t="s">
        <v>4</v>
      </c>
      <c r="S5" s="10" t="s">
        <v>4</v>
      </c>
      <c r="T5" s="10" t="s">
        <v>4</v>
      </c>
      <c r="U5" s="10" t="s">
        <v>4</v>
      </c>
      <c r="V5" s="10" t="s">
        <v>4</v>
      </c>
      <c r="W5" s="10" t="s">
        <v>4</v>
      </c>
      <c r="X5" s="10" t="s">
        <v>4</v>
      </c>
      <c r="Y5" s="10" t="s">
        <v>4</v>
      </c>
      <c r="Z5" s="10" t="s">
        <v>4</v>
      </c>
      <c r="AA5" s="10" t="s">
        <v>4</v>
      </c>
      <c r="AB5" s="10" t="s">
        <v>4</v>
      </c>
      <c r="AC5" s="10" t="s">
        <v>4</v>
      </c>
      <c r="AD5" s="10" t="s">
        <v>4</v>
      </c>
      <c r="AE5" s="10" t="s">
        <v>4</v>
      </c>
      <c r="AF5" s="10" t="s">
        <v>4</v>
      </c>
    </row>
    <row r="6" spans="2:32" ht="19">
      <c r="B6" s="8"/>
      <c r="C6" s="14" t="s">
        <v>43</v>
      </c>
      <c r="D6" s="14" t="s">
        <v>44</v>
      </c>
      <c r="E6" s="14" t="s">
        <v>45</v>
      </c>
      <c r="F6" s="14" t="s">
        <v>43</v>
      </c>
      <c r="G6" s="14" t="s">
        <v>44</v>
      </c>
      <c r="H6" s="14" t="s">
        <v>45</v>
      </c>
      <c r="I6" s="14" t="s">
        <v>43</v>
      </c>
      <c r="J6" s="14" t="s">
        <v>44</v>
      </c>
      <c r="K6" s="14" t="s">
        <v>45</v>
      </c>
      <c r="L6" s="14" t="s">
        <v>43</v>
      </c>
      <c r="M6" s="15" t="s">
        <v>44</v>
      </c>
      <c r="N6" s="15" t="s">
        <v>45</v>
      </c>
      <c r="O6" s="14" t="s">
        <v>43</v>
      </c>
      <c r="P6" s="15" t="s">
        <v>44</v>
      </c>
      <c r="Q6" s="15" t="s">
        <v>45</v>
      </c>
      <c r="R6" s="14" t="s">
        <v>43</v>
      </c>
      <c r="S6" s="15" t="s">
        <v>44</v>
      </c>
      <c r="T6" s="15" t="s">
        <v>45</v>
      </c>
      <c r="U6" s="14" t="s">
        <v>43</v>
      </c>
      <c r="V6" s="15" t="s">
        <v>44</v>
      </c>
      <c r="W6" s="15" t="s">
        <v>45</v>
      </c>
      <c r="X6" s="14" t="s">
        <v>43</v>
      </c>
      <c r="Y6" s="15" t="s">
        <v>44</v>
      </c>
      <c r="Z6" s="15" t="s">
        <v>45</v>
      </c>
      <c r="AA6" s="14" t="s">
        <v>43</v>
      </c>
      <c r="AB6" s="15" t="s">
        <v>44</v>
      </c>
      <c r="AC6" s="15" t="s">
        <v>45</v>
      </c>
      <c r="AD6" s="14" t="s">
        <v>43</v>
      </c>
      <c r="AE6" s="15" t="s">
        <v>44</v>
      </c>
      <c r="AF6" s="15" t="s">
        <v>45</v>
      </c>
    </row>
    <row r="7" spans="2:32" ht="19">
      <c r="B7" s="17" t="s">
        <v>5</v>
      </c>
      <c r="C7" s="19"/>
      <c r="D7" s="20"/>
      <c r="E7" s="20"/>
      <c r="F7" s="20" t="s">
        <v>167</v>
      </c>
      <c r="G7" s="20"/>
      <c r="H7" s="20"/>
      <c r="I7" s="20"/>
      <c r="J7" s="20"/>
      <c r="K7" s="20"/>
      <c r="L7" s="20" t="s">
        <v>168</v>
      </c>
      <c r="M7" s="20"/>
      <c r="N7" s="20"/>
      <c r="O7" s="20" t="s">
        <v>169</v>
      </c>
      <c r="P7" s="20"/>
      <c r="Q7" s="20"/>
      <c r="R7" s="20" t="s">
        <v>170</v>
      </c>
      <c r="S7" s="20"/>
      <c r="T7" s="20"/>
      <c r="U7" s="20" t="s">
        <v>171</v>
      </c>
      <c r="V7" s="20"/>
      <c r="W7" s="20"/>
      <c r="X7" s="20"/>
      <c r="Y7" s="20"/>
      <c r="Z7" s="20"/>
      <c r="AA7" s="20"/>
      <c r="AB7" s="20"/>
      <c r="AC7" s="20"/>
      <c r="AD7" s="20" t="s">
        <v>172</v>
      </c>
      <c r="AE7" s="20"/>
      <c r="AF7" s="21"/>
    </row>
    <row r="8" spans="2:32" ht="19">
      <c r="B8" s="17" t="s">
        <v>6</v>
      </c>
      <c r="C8" s="22" t="s">
        <v>173</v>
      </c>
      <c r="D8" s="23"/>
      <c r="E8" s="23"/>
      <c r="F8" s="23" t="s">
        <v>174</v>
      </c>
      <c r="G8" s="23"/>
      <c r="H8" s="23"/>
      <c r="I8" s="23" t="s">
        <v>175</v>
      </c>
      <c r="J8" s="23"/>
      <c r="K8" s="23"/>
      <c r="L8" s="23" t="s">
        <v>176</v>
      </c>
      <c r="M8" s="23"/>
      <c r="N8" s="23"/>
      <c r="O8" s="23"/>
      <c r="P8" s="23"/>
      <c r="Q8" s="23"/>
      <c r="R8" s="23"/>
      <c r="S8" s="23"/>
      <c r="T8" s="23"/>
      <c r="U8" s="23" t="s">
        <v>177</v>
      </c>
      <c r="V8" s="23"/>
      <c r="W8" s="23"/>
      <c r="X8" s="23" t="s">
        <v>178</v>
      </c>
      <c r="Y8" s="23"/>
      <c r="Z8" s="23"/>
      <c r="AA8" s="23"/>
      <c r="AB8" s="23"/>
      <c r="AC8" s="23"/>
      <c r="AD8" s="23" t="s">
        <v>179</v>
      </c>
      <c r="AE8" s="23"/>
      <c r="AF8" s="9"/>
    </row>
    <row r="9" spans="2:32" ht="19">
      <c r="B9" s="17" t="s">
        <v>7</v>
      </c>
      <c r="C9" s="22" t="s">
        <v>180</v>
      </c>
      <c r="D9" s="23"/>
      <c r="E9" s="23"/>
      <c r="F9" s="23" t="s">
        <v>181</v>
      </c>
      <c r="G9" s="23"/>
      <c r="H9" s="23"/>
      <c r="I9" s="23" t="s">
        <v>182</v>
      </c>
      <c r="J9" s="23"/>
      <c r="K9" s="23"/>
      <c r="L9" s="23" t="s">
        <v>183</v>
      </c>
      <c r="M9" s="23"/>
      <c r="N9" s="23"/>
      <c r="O9" s="23"/>
      <c r="P9" s="23"/>
      <c r="Q9" s="23"/>
      <c r="R9" s="23"/>
      <c r="S9" s="23"/>
      <c r="T9" s="23"/>
      <c r="U9" s="23" t="s">
        <v>184</v>
      </c>
      <c r="V9" s="23"/>
      <c r="W9" s="23"/>
      <c r="X9" s="23" t="s">
        <v>185</v>
      </c>
      <c r="Y9" s="23"/>
      <c r="Z9" s="23"/>
      <c r="AA9" s="23"/>
      <c r="AB9" s="23"/>
      <c r="AC9" s="23"/>
      <c r="AD9" s="23" t="s">
        <v>186</v>
      </c>
      <c r="AE9" s="23"/>
      <c r="AF9" s="9"/>
    </row>
    <row r="10" spans="2:32" ht="19">
      <c r="B10" s="17" t="s">
        <v>8</v>
      </c>
      <c r="C10" s="22"/>
      <c r="D10" s="23"/>
      <c r="E10" s="23"/>
      <c r="F10" s="23"/>
      <c r="G10" s="23"/>
      <c r="H10" s="23"/>
      <c r="I10" s="23" t="s">
        <v>187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 t="s">
        <v>187</v>
      </c>
      <c r="AE10" s="23"/>
      <c r="AF10" s="9"/>
    </row>
    <row r="11" spans="2:32" ht="19">
      <c r="B11" s="17" t="s">
        <v>9</v>
      </c>
      <c r="C11" s="22"/>
      <c r="D11" s="23"/>
      <c r="E11" s="23"/>
      <c r="F11" s="23"/>
      <c r="G11" s="23"/>
      <c r="H11" s="23"/>
      <c r="I11" s="23" t="s">
        <v>188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 t="s">
        <v>188</v>
      </c>
      <c r="AE11" s="23"/>
      <c r="AF11" s="9"/>
    </row>
    <row r="12" spans="2:32" ht="19">
      <c r="B12" s="17" t="s">
        <v>10</v>
      </c>
      <c r="C12" s="22" t="s">
        <v>189</v>
      </c>
      <c r="D12" s="23"/>
      <c r="E12" s="23"/>
      <c r="F12" s="23" t="s">
        <v>190</v>
      </c>
      <c r="G12" s="23"/>
      <c r="H12" s="23"/>
      <c r="I12" s="23" t="s">
        <v>191</v>
      </c>
      <c r="J12" s="23"/>
      <c r="K12" s="23"/>
      <c r="L12" s="23" t="s">
        <v>192</v>
      </c>
      <c r="M12" s="23"/>
      <c r="N12" s="23"/>
      <c r="O12" s="23"/>
      <c r="P12" s="23"/>
      <c r="Q12" s="23"/>
      <c r="R12" s="23"/>
      <c r="S12" s="23"/>
      <c r="T12" s="23"/>
      <c r="U12" s="23">
        <v>144</v>
      </c>
      <c r="V12" s="23"/>
      <c r="W12" s="23"/>
      <c r="X12" s="23"/>
      <c r="Y12" s="23"/>
      <c r="Z12" s="23"/>
      <c r="AA12" s="23"/>
      <c r="AB12" s="23"/>
      <c r="AC12" s="23"/>
      <c r="AD12" s="23" t="s">
        <v>193</v>
      </c>
      <c r="AE12" s="23"/>
      <c r="AF12" s="9"/>
    </row>
    <row r="13" spans="2:32" s="7" customFormat="1" ht="19">
      <c r="B13" s="11" t="s">
        <v>11</v>
      </c>
      <c r="C13" s="24" t="s">
        <v>194</v>
      </c>
      <c r="D13" s="12"/>
      <c r="E13" s="12"/>
      <c r="F13" s="12" t="s">
        <v>195</v>
      </c>
      <c r="G13" s="12"/>
      <c r="H13" s="12"/>
      <c r="I13" s="12" t="s">
        <v>196</v>
      </c>
      <c r="J13" s="12"/>
      <c r="K13" s="12"/>
      <c r="L13" s="12" t="s">
        <v>197</v>
      </c>
      <c r="M13" s="12"/>
      <c r="N13" s="12"/>
      <c r="O13" s="12" t="s">
        <v>169</v>
      </c>
      <c r="P13" s="12"/>
      <c r="Q13" s="12"/>
      <c r="R13" s="12" t="s">
        <v>170</v>
      </c>
      <c r="S13" s="12"/>
      <c r="T13" s="12"/>
      <c r="U13" s="12" t="s">
        <v>198</v>
      </c>
      <c r="V13" s="12"/>
      <c r="W13" s="12"/>
      <c r="X13" s="12" t="s">
        <v>199</v>
      </c>
      <c r="Y13" s="12"/>
      <c r="Z13" s="12"/>
      <c r="AA13" s="12"/>
      <c r="AB13" s="12"/>
      <c r="AC13" s="12"/>
      <c r="AD13" s="12" t="s">
        <v>200</v>
      </c>
      <c r="AE13" s="12"/>
      <c r="AF13" s="13"/>
    </row>
    <row r="14" spans="2:32" ht="19">
      <c r="B14" s="17" t="s">
        <v>12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9"/>
    </row>
    <row r="15" spans="2:32" ht="19">
      <c r="B15" s="17" t="s">
        <v>13</v>
      </c>
      <c r="C15" s="22" t="s">
        <v>201</v>
      </c>
      <c r="D15" s="23"/>
      <c r="E15" s="23"/>
      <c r="F15" s="23" t="s">
        <v>202</v>
      </c>
      <c r="G15" s="23"/>
      <c r="H15" s="23"/>
      <c r="I15" s="23" t="s">
        <v>203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 t="s">
        <v>204</v>
      </c>
      <c r="AE15" s="23"/>
      <c r="AF15" s="9"/>
    </row>
    <row r="16" spans="2:32" ht="19">
      <c r="B16" s="17" t="s">
        <v>14</v>
      </c>
      <c r="C16" s="22" t="s">
        <v>205</v>
      </c>
      <c r="D16" s="23"/>
      <c r="E16" s="23"/>
      <c r="F16" s="23"/>
      <c r="G16" s="23"/>
      <c r="H16" s="23"/>
      <c r="I16" s="23" t="s">
        <v>206</v>
      </c>
      <c r="J16" s="23"/>
      <c r="K16" s="23"/>
      <c r="L16" s="23" t="s">
        <v>207</v>
      </c>
      <c r="M16" s="23"/>
      <c r="N16" s="23"/>
      <c r="O16" s="23" t="s">
        <v>208</v>
      </c>
      <c r="P16" s="23"/>
      <c r="Q16" s="23"/>
      <c r="R16" s="23" t="s">
        <v>209</v>
      </c>
      <c r="S16" s="23"/>
      <c r="T16" s="23"/>
      <c r="U16" s="23" t="s">
        <v>210</v>
      </c>
      <c r="V16" s="23"/>
      <c r="W16" s="23"/>
      <c r="X16" s="23" t="s">
        <v>211</v>
      </c>
      <c r="Y16" s="23"/>
      <c r="Z16" s="23"/>
      <c r="AA16" s="23"/>
      <c r="AB16" s="23"/>
      <c r="AC16" s="23"/>
      <c r="AD16" s="23" t="s">
        <v>212</v>
      </c>
      <c r="AE16" s="23"/>
      <c r="AF16" s="9"/>
    </row>
    <row r="17" spans="2:32" ht="19">
      <c r="B17" s="17" t="s">
        <v>15</v>
      </c>
      <c r="C17" s="22" t="s">
        <v>213</v>
      </c>
      <c r="D17" s="23"/>
      <c r="E17" s="23"/>
      <c r="F17" s="23"/>
      <c r="G17" s="23"/>
      <c r="H17" s="23"/>
      <c r="I17" s="23" t="s">
        <v>214</v>
      </c>
      <c r="J17" s="23"/>
      <c r="K17" s="23"/>
      <c r="L17" s="23" t="s">
        <v>215</v>
      </c>
      <c r="M17" s="23"/>
      <c r="N17" s="23"/>
      <c r="O17" s="23"/>
      <c r="P17" s="23"/>
      <c r="Q17" s="23"/>
      <c r="R17" s="23"/>
      <c r="S17" s="23"/>
      <c r="T17" s="23"/>
      <c r="U17" s="23" t="s">
        <v>216</v>
      </c>
      <c r="V17" s="23"/>
      <c r="W17" s="23"/>
      <c r="X17" s="23" t="s">
        <v>217</v>
      </c>
      <c r="Y17" s="23"/>
      <c r="Z17" s="23"/>
      <c r="AA17" s="23" t="s">
        <v>218</v>
      </c>
      <c r="AB17" s="23"/>
      <c r="AC17" s="23"/>
      <c r="AD17" s="23" t="s">
        <v>219</v>
      </c>
      <c r="AE17" s="23"/>
      <c r="AF17" s="9"/>
    </row>
    <row r="18" spans="2:32" ht="19">
      <c r="B18" s="17" t="s">
        <v>16</v>
      </c>
      <c r="C18" s="22"/>
      <c r="D18" s="23"/>
      <c r="E18" s="23"/>
      <c r="F18" s="23"/>
      <c r="G18" s="23"/>
      <c r="H18" s="23"/>
      <c r="I18" s="23">
        <v>-183</v>
      </c>
      <c r="J18" s="23"/>
      <c r="K18" s="23"/>
      <c r="L18" s="23" t="s">
        <v>220</v>
      </c>
      <c r="M18" s="23"/>
      <c r="N18" s="23"/>
      <c r="O18" s="23"/>
      <c r="P18" s="23"/>
      <c r="Q18" s="23"/>
      <c r="R18" s="23" t="s">
        <v>221</v>
      </c>
      <c r="S18" s="23"/>
      <c r="T18" s="23"/>
      <c r="U18" s="23" t="s">
        <v>222</v>
      </c>
      <c r="V18" s="23"/>
      <c r="W18" s="23"/>
      <c r="X18" s="23"/>
      <c r="Y18" s="23"/>
      <c r="Z18" s="23"/>
      <c r="AA18" s="23" t="s">
        <v>223</v>
      </c>
      <c r="AB18" s="23"/>
      <c r="AC18" s="23"/>
      <c r="AD18" s="23" t="s">
        <v>224</v>
      </c>
      <c r="AE18" s="23"/>
      <c r="AF18" s="9"/>
    </row>
    <row r="19" spans="2:32" ht="19">
      <c r="B19" s="17" t="s">
        <v>17</v>
      </c>
      <c r="C19" s="22"/>
      <c r="D19" s="23"/>
      <c r="E19" s="23"/>
      <c r="F19" s="23"/>
      <c r="G19" s="23"/>
      <c r="H19" s="23"/>
      <c r="I19" s="23"/>
      <c r="J19" s="23"/>
      <c r="K19" s="23"/>
      <c r="L19" s="23">
        <v>969</v>
      </c>
      <c r="M19" s="23"/>
      <c r="N19" s="23"/>
      <c r="O19" s="23"/>
      <c r="P19" s="23"/>
      <c r="Q19" s="23"/>
      <c r="R19" s="23"/>
      <c r="S19" s="23"/>
      <c r="T19" s="23"/>
      <c r="U19" s="23">
        <v>-969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9"/>
    </row>
    <row r="20" spans="2:32" ht="19">
      <c r="B20" s="17" t="s">
        <v>18</v>
      </c>
      <c r="C20" s="22"/>
      <c r="D20" s="23"/>
      <c r="E20" s="23"/>
      <c r="F20" s="23" t="s">
        <v>225</v>
      </c>
      <c r="G20" s="23"/>
      <c r="H20" s="23"/>
      <c r="I20" s="23" t="s">
        <v>226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 t="s">
        <v>227</v>
      </c>
      <c r="AE20" s="23"/>
      <c r="AF20" s="9"/>
    </row>
    <row r="21" spans="2:32" ht="19">
      <c r="B21" s="17" t="s">
        <v>19</v>
      </c>
      <c r="C21" s="22" t="s">
        <v>228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 t="s">
        <v>228</v>
      </c>
      <c r="AE21" s="23"/>
      <c r="AF21" s="9"/>
    </row>
    <row r="22" spans="2:32" ht="19">
      <c r="B22" s="17" t="s">
        <v>20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9"/>
    </row>
    <row r="23" spans="2:32" ht="19">
      <c r="B23" s="17" t="s">
        <v>21</v>
      </c>
      <c r="C23" s="22"/>
      <c r="D23" s="23"/>
      <c r="E23" s="23"/>
      <c r="F23" s="23" t="s">
        <v>229</v>
      </c>
      <c r="G23" s="23"/>
      <c r="H23" s="23"/>
      <c r="I23" s="23" t="s">
        <v>230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>
        <v>-308</v>
      </c>
      <c r="V23" s="23"/>
      <c r="W23" s="23"/>
      <c r="X23" s="23"/>
      <c r="Y23" s="23"/>
      <c r="Z23" s="23"/>
      <c r="AA23" s="23"/>
      <c r="AB23" s="23"/>
      <c r="AC23" s="23"/>
      <c r="AD23" s="23" t="s">
        <v>231</v>
      </c>
      <c r="AE23" s="23"/>
      <c r="AF23" s="9"/>
    </row>
    <row r="24" spans="2:32" ht="19">
      <c r="B24" s="17" t="s">
        <v>22</v>
      </c>
      <c r="C24" s="22" t="s">
        <v>232</v>
      </c>
      <c r="D24" s="23"/>
      <c r="E24" s="23"/>
      <c r="F24" s="23"/>
      <c r="G24" s="23"/>
      <c r="H24" s="23"/>
      <c r="I24" s="23" t="s">
        <v>233</v>
      </c>
      <c r="J24" s="23"/>
      <c r="K24" s="23"/>
      <c r="L24" s="23" t="s">
        <v>234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 t="s">
        <v>235</v>
      </c>
      <c r="Y24" s="23"/>
      <c r="Z24" s="23"/>
      <c r="AA24" s="23" t="s">
        <v>236</v>
      </c>
      <c r="AB24" s="23"/>
      <c r="AC24" s="23"/>
      <c r="AD24" s="23" t="s">
        <v>237</v>
      </c>
      <c r="AE24" s="23"/>
      <c r="AF24" s="9"/>
    </row>
    <row r="25" spans="2:32" ht="19">
      <c r="B25" s="17" t="s">
        <v>23</v>
      </c>
      <c r="C25" s="22"/>
      <c r="D25" s="23"/>
      <c r="E25" s="23"/>
      <c r="F25" s="23"/>
      <c r="G25" s="23"/>
      <c r="H25" s="23"/>
      <c r="I25" s="23"/>
      <c r="J25" s="23"/>
      <c r="K25" s="23"/>
      <c r="L25" s="23" t="s">
        <v>238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 t="s">
        <v>239</v>
      </c>
      <c r="Y25" s="23"/>
      <c r="Z25" s="23"/>
      <c r="AA25" s="23" t="s">
        <v>240</v>
      </c>
      <c r="AB25" s="23"/>
      <c r="AC25" s="23"/>
      <c r="AD25" s="23" t="s">
        <v>241</v>
      </c>
      <c r="AE25" s="23"/>
      <c r="AF25" s="9"/>
    </row>
    <row r="26" spans="2:32" s="7" customFormat="1" ht="19">
      <c r="B26" s="11" t="s">
        <v>24</v>
      </c>
      <c r="C26" s="24" t="s">
        <v>242</v>
      </c>
      <c r="D26" s="12"/>
      <c r="E26" s="12"/>
      <c r="F26" s="12"/>
      <c r="G26" s="12"/>
      <c r="H26" s="12"/>
      <c r="I26" s="12" t="s">
        <v>243</v>
      </c>
      <c r="J26" s="12"/>
      <c r="K26" s="12"/>
      <c r="L26" s="12" t="s">
        <v>244</v>
      </c>
      <c r="M26" s="12"/>
      <c r="N26" s="12"/>
      <c r="O26" s="12"/>
      <c r="P26" s="12"/>
      <c r="Q26" s="12"/>
      <c r="R26" s="12" t="s">
        <v>245</v>
      </c>
      <c r="S26" s="12"/>
      <c r="T26" s="12"/>
      <c r="U26" s="12" t="s">
        <v>246</v>
      </c>
      <c r="V26" s="12"/>
      <c r="W26" s="12"/>
      <c r="X26" s="12" t="s">
        <v>247</v>
      </c>
      <c r="Y26" s="12"/>
      <c r="Z26" s="12"/>
      <c r="AA26" s="12" t="s">
        <v>248</v>
      </c>
      <c r="AB26" s="12"/>
      <c r="AC26" s="12"/>
      <c r="AD26" s="12" t="s">
        <v>249</v>
      </c>
      <c r="AE26" s="12"/>
      <c r="AF26" s="13"/>
    </row>
    <row r="27" spans="2:32" ht="19">
      <c r="B27" s="17" t="s">
        <v>25</v>
      </c>
      <c r="C27" s="22" t="s">
        <v>242</v>
      </c>
      <c r="D27" s="23"/>
      <c r="E27" s="23"/>
      <c r="F27" s="23"/>
      <c r="G27" s="23"/>
      <c r="H27" s="23"/>
      <c r="I27" s="23" t="s">
        <v>250</v>
      </c>
      <c r="J27" s="23"/>
      <c r="K27" s="23"/>
      <c r="L27" s="23" t="s">
        <v>251</v>
      </c>
      <c r="M27" s="23"/>
      <c r="N27" s="23"/>
      <c r="O27" s="23"/>
      <c r="P27" s="23"/>
      <c r="Q27" s="23"/>
      <c r="R27" s="23">
        <v>503</v>
      </c>
      <c r="S27" s="23"/>
      <c r="T27" s="23"/>
      <c r="U27" s="23" t="s">
        <v>252</v>
      </c>
      <c r="V27" s="23"/>
      <c r="W27" s="23"/>
      <c r="X27" s="23" t="s">
        <v>253</v>
      </c>
      <c r="Y27" s="23"/>
      <c r="Z27" s="23"/>
      <c r="AA27" s="23" t="s">
        <v>254</v>
      </c>
      <c r="AB27" s="23"/>
      <c r="AC27" s="23"/>
      <c r="AD27" s="23" t="s">
        <v>255</v>
      </c>
      <c r="AE27" s="23"/>
      <c r="AF27" s="9"/>
    </row>
    <row r="28" spans="2:32" ht="19">
      <c r="B28" s="17" t="s">
        <v>26</v>
      </c>
      <c r="C28" s="22"/>
      <c r="D28" s="23"/>
      <c r="E28" s="23"/>
      <c r="F28" s="23"/>
      <c r="G28" s="23"/>
      <c r="H28" s="23"/>
      <c r="I28" s="23" t="s">
        <v>256</v>
      </c>
      <c r="J28" s="23"/>
      <c r="K28" s="23"/>
      <c r="L28" s="23" t="s">
        <v>257</v>
      </c>
      <c r="M28" s="23"/>
      <c r="N28" s="23"/>
      <c r="O28" s="23"/>
      <c r="P28" s="23"/>
      <c r="Q28" s="23"/>
      <c r="R28" s="23"/>
      <c r="S28" s="23"/>
      <c r="T28" s="23"/>
      <c r="U28" s="23" t="s">
        <v>258</v>
      </c>
      <c r="V28" s="23"/>
      <c r="W28" s="23"/>
      <c r="X28" s="23" t="s">
        <v>259</v>
      </c>
      <c r="Y28" s="23"/>
      <c r="Z28" s="23"/>
      <c r="AA28" s="23"/>
      <c r="AB28" s="23"/>
      <c r="AC28" s="23"/>
      <c r="AD28" s="23" t="s">
        <v>260</v>
      </c>
      <c r="AE28" s="23"/>
      <c r="AF28" s="9"/>
    </row>
    <row r="29" spans="2:32" ht="19">
      <c r="B29" s="17" t="s">
        <v>2</v>
      </c>
      <c r="C29" s="22"/>
      <c r="D29" s="23"/>
      <c r="E29" s="23"/>
      <c r="F29" s="23"/>
      <c r="G29" s="23"/>
      <c r="H29" s="23"/>
      <c r="I29" s="23" t="s">
        <v>261</v>
      </c>
      <c r="J29" s="23"/>
      <c r="K29" s="23"/>
      <c r="L29" s="23" t="s">
        <v>262</v>
      </c>
      <c r="M29" s="23"/>
      <c r="N29" s="23"/>
      <c r="O29" s="23"/>
      <c r="P29" s="23"/>
      <c r="Q29" s="23"/>
      <c r="R29" s="23" t="s">
        <v>263</v>
      </c>
      <c r="S29" s="23"/>
      <c r="T29" s="23"/>
      <c r="U29" s="23" t="s">
        <v>264</v>
      </c>
      <c r="V29" s="23"/>
      <c r="W29" s="23"/>
      <c r="X29" s="23" t="s">
        <v>265</v>
      </c>
      <c r="Y29" s="23"/>
      <c r="Z29" s="23"/>
      <c r="AA29" s="23" t="s">
        <v>266</v>
      </c>
      <c r="AB29" s="23"/>
      <c r="AC29" s="23"/>
      <c r="AD29" s="23" t="s">
        <v>267</v>
      </c>
      <c r="AE29" s="23"/>
      <c r="AF29" s="9"/>
    </row>
    <row r="30" spans="2:32" ht="19">
      <c r="B30" s="17" t="s">
        <v>27</v>
      </c>
      <c r="C30" s="22"/>
      <c r="D30" s="23"/>
      <c r="E30" s="23"/>
      <c r="F30" s="23"/>
      <c r="G30" s="23"/>
      <c r="H30" s="23"/>
      <c r="I30" s="23" t="s">
        <v>268</v>
      </c>
      <c r="J30" s="23"/>
      <c r="K30" s="23"/>
      <c r="L30" s="23" t="s">
        <v>269</v>
      </c>
      <c r="M30" s="23"/>
      <c r="N30" s="23"/>
      <c r="O30" s="23"/>
      <c r="P30" s="23"/>
      <c r="Q30" s="23"/>
      <c r="R30" s="23" t="s">
        <v>270</v>
      </c>
      <c r="S30" s="23"/>
      <c r="T30" s="23"/>
      <c r="U30" s="23" t="s">
        <v>271</v>
      </c>
      <c r="V30" s="23"/>
      <c r="W30" s="23"/>
      <c r="X30" s="23" t="s">
        <v>272</v>
      </c>
      <c r="Y30" s="23"/>
      <c r="Z30" s="23"/>
      <c r="AA30" s="23" t="s">
        <v>273</v>
      </c>
      <c r="AB30" s="23"/>
      <c r="AC30" s="23"/>
      <c r="AD30" s="23" t="s">
        <v>274</v>
      </c>
      <c r="AE30" s="23"/>
      <c r="AF30" s="9"/>
    </row>
    <row r="31" spans="2:32" ht="19">
      <c r="B31" s="17" t="s">
        <v>28</v>
      </c>
      <c r="C31" s="22"/>
      <c r="D31" s="23"/>
      <c r="E31" s="23"/>
      <c r="F31" s="23"/>
      <c r="G31" s="23"/>
      <c r="H31" s="23"/>
      <c r="I31" s="23" t="s">
        <v>275</v>
      </c>
      <c r="J31" s="23"/>
      <c r="K31" s="23"/>
      <c r="L31" s="23" t="s">
        <v>276</v>
      </c>
      <c r="M31" s="23"/>
      <c r="N31" s="23"/>
      <c r="O31" s="23"/>
      <c r="P31" s="23"/>
      <c r="Q31" s="23"/>
      <c r="R31" s="23">
        <v>655</v>
      </c>
      <c r="S31" s="23"/>
      <c r="T31" s="23"/>
      <c r="U31" s="23" t="s">
        <v>277</v>
      </c>
      <c r="V31" s="23"/>
      <c r="W31" s="23"/>
      <c r="X31" s="23" t="s">
        <v>278</v>
      </c>
      <c r="Y31" s="23"/>
      <c r="Z31" s="23"/>
      <c r="AA31" s="23">
        <v>449</v>
      </c>
      <c r="AB31" s="23"/>
      <c r="AC31" s="23"/>
      <c r="AD31" s="23" t="s">
        <v>279</v>
      </c>
      <c r="AE31" s="23"/>
      <c r="AF31" s="9"/>
    </row>
    <row r="32" spans="2:32" ht="19">
      <c r="B32" s="17" t="s">
        <v>3</v>
      </c>
      <c r="C32" s="22"/>
      <c r="D32" s="23"/>
      <c r="E32" s="23"/>
      <c r="F32" s="23"/>
      <c r="G32" s="23"/>
      <c r="H32" s="23"/>
      <c r="I32" s="23" t="s">
        <v>280</v>
      </c>
      <c r="J32" s="23"/>
      <c r="K32" s="23"/>
      <c r="L32" s="23"/>
      <c r="M32" s="23"/>
      <c r="N32" s="23"/>
      <c r="O32" s="23"/>
      <c r="P32" s="23"/>
      <c r="Q32" s="23"/>
      <c r="R32" s="23" t="s">
        <v>281</v>
      </c>
      <c r="S32" s="23"/>
      <c r="T32" s="23"/>
      <c r="U32" s="23"/>
      <c r="V32" s="23"/>
      <c r="W32" s="23"/>
      <c r="X32" s="23" t="s">
        <v>282</v>
      </c>
      <c r="Y32" s="23"/>
      <c r="Z32" s="23"/>
      <c r="AA32" s="23"/>
      <c r="AB32" s="23"/>
      <c r="AC32" s="23"/>
      <c r="AD32" s="23" t="s">
        <v>283</v>
      </c>
      <c r="AE32" s="23"/>
      <c r="AF32" s="9"/>
    </row>
    <row r="33" spans="2:32" ht="19">
      <c r="B33" s="17" t="s">
        <v>1</v>
      </c>
      <c r="C33" s="22"/>
      <c r="D33" s="23"/>
      <c r="E33" s="23"/>
      <c r="F33" s="23"/>
      <c r="G33" s="23"/>
      <c r="H33" s="23"/>
      <c r="I33" s="23" t="s">
        <v>284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>
        <v>868</v>
      </c>
      <c r="AB33" s="23"/>
      <c r="AC33" s="23"/>
      <c r="AD33" s="23" t="s">
        <v>285</v>
      </c>
      <c r="AE33" s="23"/>
      <c r="AF33" s="9"/>
    </row>
    <row r="34" spans="2:32" s="6" customFormat="1" ht="19">
      <c r="B34" s="18" t="s">
        <v>30</v>
      </c>
      <c r="C34" s="25"/>
      <c r="D34" s="26"/>
      <c r="E34" s="26"/>
      <c r="F34" s="26"/>
      <c r="G34" s="26"/>
      <c r="H34" s="26"/>
      <c r="I34" s="26" t="s">
        <v>286</v>
      </c>
      <c r="J34" s="26"/>
      <c r="K34" s="26"/>
      <c r="L34" s="26" t="s">
        <v>287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 t="s">
        <v>288</v>
      </c>
      <c r="AE34" s="26"/>
      <c r="AF34" s="27"/>
    </row>
  </sheetData>
  <mergeCells count="10">
    <mergeCell ref="U4:W4"/>
    <mergeCell ref="X4:Z4"/>
    <mergeCell ref="AA4:AC4"/>
    <mergeCell ref="AD4:AF4"/>
    <mergeCell ref="C4:E4"/>
    <mergeCell ref="F4:H4"/>
    <mergeCell ref="I4:K4"/>
    <mergeCell ref="L4:N4"/>
    <mergeCell ref="O4:Q4"/>
    <mergeCell ref="R4: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7228-6131-EB48-B622-24FCC3C9EADB}">
  <dimension ref="B2:AF34"/>
  <sheetViews>
    <sheetView zoomScale="64" zoomScaleNormal="64" workbookViewId="0">
      <selection activeCell="V44" sqref="V44"/>
    </sheetView>
  </sheetViews>
  <sheetFormatPr baseColWidth="10" defaultRowHeight="16"/>
  <cols>
    <col min="2" max="2" width="31.33203125" customWidth="1"/>
    <col min="3" max="5" width="14.83203125" customWidth="1"/>
    <col min="6" max="8" width="14.33203125" customWidth="1"/>
    <col min="9" max="11" width="16.5" customWidth="1"/>
    <col min="12" max="14" width="15" customWidth="1"/>
    <col min="17" max="17" width="12.1640625" customWidth="1"/>
    <col min="18" max="18" width="11.5" customWidth="1"/>
    <col min="19" max="19" width="12.6640625" customWidth="1"/>
    <col min="20" max="20" width="15.1640625" customWidth="1"/>
    <col min="21" max="21" width="14.83203125" customWidth="1"/>
    <col min="22" max="22" width="14.1640625" customWidth="1"/>
    <col min="23" max="23" width="12.33203125" customWidth="1"/>
    <col min="24" max="24" width="10.6640625" customWidth="1"/>
    <col min="25" max="26" width="11.1640625" customWidth="1"/>
    <col min="32" max="32" width="12.1640625" customWidth="1"/>
  </cols>
  <sheetData>
    <row r="2" spans="2:32">
      <c r="B2" s="16" t="s">
        <v>42</v>
      </c>
    </row>
    <row r="4" spans="2:32" ht="18">
      <c r="C4" s="131" t="s">
        <v>31</v>
      </c>
      <c r="D4" s="131"/>
      <c r="E4" s="131"/>
      <c r="F4" s="131" t="s">
        <v>32</v>
      </c>
      <c r="G4" s="131"/>
      <c r="H4" s="131"/>
      <c r="I4" s="131" t="s">
        <v>33</v>
      </c>
      <c r="J4" s="131"/>
      <c r="K4" s="131"/>
      <c r="L4" s="131" t="s">
        <v>34</v>
      </c>
      <c r="M4" s="131"/>
      <c r="N4" s="131"/>
      <c r="O4" s="131" t="s">
        <v>35</v>
      </c>
      <c r="P4" s="131"/>
      <c r="Q4" s="131"/>
      <c r="R4" s="131" t="s">
        <v>36</v>
      </c>
      <c r="S4" s="131"/>
      <c r="T4" s="131"/>
      <c r="U4" s="131" t="s">
        <v>37</v>
      </c>
      <c r="V4" s="131"/>
      <c r="W4" s="131"/>
      <c r="X4" s="131" t="s">
        <v>38</v>
      </c>
      <c r="Y4" s="131"/>
      <c r="Z4" s="131"/>
      <c r="AA4" s="131" t="s">
        <v>39</v>
      </c>
      <c r="AB4" s="131"/>
      <c r="AC4" s="131"/>
      <c r="AD4" s="132" t="s">
        <v>40</v>
      </c>
      <c r="AE4" s="132"/>
      <c r="AF4" s="132"/>
    </row>
    <row r="5" spans="2:32" ht="19">
      <c r="B5" s="8"/>
      <c r="C5" s="10" t="s">
        <v>4</v>
      </c>
      <c r="D5" s="10" t="s">
        <v>4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10" t="s">
        <v>4</v>
      </c>
      <c r="Q5" s="10" t="s">
        <v>4</v>
      </c>
      <c r="R5" s="10" t="s">
        <v>4</v>
      </c>
      <c r="S5" s="10" t="s">
        <v>4</v>
      </c>
      <c r="T5" s="10" t="s">
        <v>4</v>
      </c>
      <c r="U5" s="10" t="s">
        <v>4</v>
      </c>
      <c r="V5" s="10" t="s">
        <v>4</v>
      </c>
      <c r="W5" s="10" t="s">
        <v>4</v>
      </c>
      <c r="X5" s="10" t="s">
        <v>4</v>
      </c>
      <c r="Y5" s="10" t="s">
        <v>4</v>
      </c>
      <c r="Z5" s="10" t="s">
        <v>4</v>
      </c>
      <c r="AA5" s="10" t="s">
        <v>4</v>
      </c>
      <c r="AB5" s="10" t="s">
        <v>4</v>
      </c>
      <c r="AC5" s="10" t="s">
        <v>4</v>
      </c>
      <c r="AD5" s="10" t="s">
        <v>4</v>
      </c>
      <c r="AE5" s="10" t="s">
        <v>4</v>
      </c>
      <c r="AF5" s="10" t="s">
        <v>4</v>
      </c>
    </row>
    <row r="6" spans="2:32" ht="19">
      <c r="B6" s="8"/>
      <c r="C6" s="14" t="s">
        <v>43</v>
      </c>
      <c r="D6" s="14" t="s">
        <v>44</v>
      </c>
      <c r="E6" s="14" t="s">
        <v>45</v>
      </c>
      <c r="F6" s="14" t="s">
        <v>43</v>
      </c>
      <c r="G6" s="14" t="s">
        <v>44</v>
      </c>
      <c r="H6" s="14" t="s">
        <v>45</v>
      </c>
      <c r="I6" s="14" t="s">
        <v>43</v>
      </c>
      <c r="J6" s="14" t="s">
        <v>44</v>
      </c>
      <c r="K6" s="14" t="s">
        <v>45</v>
      </c>
      <c r="L6" s="14" t="s">
        <v>43</v>
      </c>
      <c r="M6" s="15" t="s">
        <v>44</v>
      </c>
      <c r="N6" s="15" t="s">
        <v>45</v>
      </c>
      <c r="O6" s="14" t="s">
        <v>43</v>
      </c>
      <c r="P6" s="15" t="s">
        <v>44</v>
      </c>
      <c r="Q6" s="15" t="s">
        <v>45</v>
      </c>
      <c r="R6" s="14" t="s">
        <v>43</v>
      </c>
      <c r="S6" s="15" t="s">
        <v>44</v>
      </c>
      <c r="T6" s="15" t="s">
        <v>45</v>
      </c>
      <c r="U6" s="14" t="s">
        <v>43</v>
      </c>
      <c r="V6" s="15" t="s">
        <v>44</v>
      </c>
      <c r="W6" s="15" t="s">
        <v>45</v>
      </c>
      <c r="X6" s="14" t="s">
        <v>43</v>
      </c>
      <c r="Y6" s="15" t="s">
        <v>44</v>
      </c>
      <c r="Z6" s="15" t="s">
        <v>45</v>
      </c>
      <c r="AA6" s="14" t="s">
        <v>43</v>
      </c>
      <c r="AB6" s="15" t="s">
        <v>44</v>
      </c>
      <c r="AC6" s="15" t="s">
        <v>45</v>
      </c>
      <c r="AD6" s="14" t="s">
        <v>43</v>
      </c>
      <c r="AE6" s="15" t="s">
        <v>44</v>
      </c>
      <c r="AF6" s="15" t="s">
        <v>45</v>
      </c>
    </row>
    <row r="7" spans="2:32" ht="19">
      <c r="B7" s="17" t="s">
        <v>5</v>
      </c>
      <c r="C7" s="19"/>
      <c r="D7" s="20"/>
      <c r="E7" s="20"/>
      <c r="F7" s="20" t="s">
        <v>620</v>
      </c>
      <c r="G7" s="20"/>
      <c r="H7" s="20"/>
      <c r="I7" s="20"/>
      <c r="J7" s="20"/>
      <c r="K7" s="20"/>
      <c r="L7" s="20" t="s">
        <v>621</v>
      </c>
      <c r="M7" s="20"/>
      <c r="N7" s="20"/>
      <c r="O7" s="20" t="s">
        <v>622</v>
      </c>
      <c r="P7" s="20"/>
      <c r="Q7" s="20"/>
      <c r="R7" s="20" t="s">
        <v>623</v>
      </c>
      <c r="S7" s="20"/>
      <c r="T7" s="20"/>
      <c r="U7" s="20" t="s">
        <v>624</v>
      </c>
      <c r="V7" s="20"/>
      <c r="W7" s="20"/>
      <c r="X7" s="20"/>
      <c r="Y7" s="20"/>
      <c r="Z7" s="20"/>
      <c r="AA7" s="20"/>
      <c r="AB7" s="20"/>
      <c r="AC7" s="20"/>
      <c r="AD7" s="20" t="s">
        <v>625</v>
      </c>
      <c r="AE7" s="20"/>
      <c r="AF7" s="21"/>
    </row>
    <row r="8" spans="2:32" ht="19">
      <c r="B8" s="17" t="s">
        <v>6</v>
      </c>
      <c r="C8" s="22" t="s">
        <v>626</v>
      </c>
      <c r="D8" s="23"/>
      <c r="E8" s="23"/>
      <c r="F8" s="23" t="s">
        <v>627</v>
      </c>
      <c r="G8" s="23"/>
      <c r="H8" s="23"/>
      <c r="I8" s="23" t="s">
        <v>628</v>
      </c>
      <c r="J8" s="23"/>
      <c r="K8" s="23"/>
      <c r="L8" s="23" t="s">
        <v>629</v>
      </c>
      <c r="M8" s="23"/>
      <c r="N8" s="23"/>
      <c r="O8" s="23"/>
      <c r="P8" s="23"/>
      <c r="Q8" s="23"/>
      <c r="R8" s="23"/>
      <c r="S8" s="23"/>
      <c r="T8" s="23"/>
      <c r="U8" s="23" t="s">
        <v>630</v>
      </c>
      <c r="V8" s="23"/>
      <c r="W8" s="23"/>
      <c r="X8" s="23" t="s">
        <v>631</v>
      </c>
      <c r="Y8" s="23"/>
      <c r="Z8" s="23"/>
      <c r="AA8" s="23"/>
      <c r="AB8" s="23"/>
      <c r="AC8" s="23"/>
      <c r="AD8" s="23" t="s">
        <v>632</v>
      </c>
      <c r="AE8" s="23"/>
      <c r="AF8" s="9"/>
    </row>
    <row r="9" spans="2:32" ht="19">
      <c r="B9" s="17" t="s">
        <v>7</v>
      </c>
      <c r="C9" s="22" t="s">
        <v>633</v>
      </c>
      <c r="D9" s="23"/>
      <c r="E9" s="23"/>
      <c r="F9" s="23" t="s">
        <v>634</v>
      </c>
      <c r="G9" s="23"/>
      <c r="H9" s="23"/>
      <c r="I9" s="23" t="s">
        <v>635</v>
      </c>
      <c r="J9" s="23"/>
      <c r="K9" s="23"/>
      <c r="L9" s="23" t="s">
        <v>636</v>
      </c>
      <c r="M9" s="23"/>
      <c r="N9" s="23"/>
      <c r="O9" s="23"/>
      <c r="P9" s="23"/>
      <c r="Q9" s="23"/>
      <c r="R9" s="23"/>
      <c r="S9" s="23"/>
      <c r="T9" s="23"/>
      <c r="U9" s="23" t="s">
        <v>637</v>
      </c>
      <c r="V9" s="23"/>
      <c r="W9" s="23"/>
      <c r="X9" s="23" t="s">
        <v>638</v>
      </c>
      <c r="Y9" s="23"/>
      <c r="Z9" s="23"/>
      <c r="AA9" s="23"/>
      <c r="AB9" s="23"/>
      <c r="AC9" s="23"/>
      <c r="AD9" s="23" t="s">
        <v>639</v>
      </c>
      <c r="AE9" s="23"/>
      <c r="AF9" s="9"/>
    </row>
    <row r="10" spans="2:32" ht="19">
      <c r="B10" s="17" t="s">
        <v>8</v>
      </c>
      <c r="C10" s="22"/>
      <c r="D10" s="23"/>
      <c r="E10" s="23"/>
      <c r="F10" s="23"/>
      <c r="G10" s="23"/>
      <c r="H10" s="23"/>
      <c r="I10" s="23" t="s">
        <v>640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 t="s">
        <v>640</v>
      </c>
      <c r="AE10" s="23"/>
      <c r="AF10" s="9"/>
    </row>
    <row r="11" spans="2:32" ht="19">
      <c r="B11" s="17" t="s">
        <v>9</v>
      </c>
      <c r="C11" s="22"/>
      <c r="D11" s="23"/>
      <c r="E11" s="23"/>
      <c r="F11" s="23"/>
      <c r="G11" s="23"/>
      <c r="H11" s="23"/>
      <c r="I11" s="23" t="s">
        <v>641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 t="s">
        <v>641</v>
      </c>
      <c r="AE11" s="23"/>
      <c r="AF11" s="9"/>
    </row>
    <row r="12" spans="2:32" ht="19">
      <c r="B12" s="17" t="s">
        <v>10</v>
      </c>
      <c r="C12" s="22" t="s">
        <v>642</v>
      </c>
      <c r="D12" s="23"/>
      <c r="E12" s="23"/>
      <c r="F12" s="23" t="s">
        <v>643</v>
      </c>
      <c r="G12" s="23"/>
      <c r="H12" s="23"/>
      <c r="I12" s="23" t="s">
        <v>644</v>
      </c>
      <c r="J12" s="23"/>
      <c r="K12" s="23"/>
      <c r="L12" s="23" t="s">
        <v>645</v>
      </c>
      <c r="M12" s="23"/>
      <c r="N12" s="23"/>
      <c r="O12" s="23"/>
      <c r="P12" s="23"/>
      <c r="Q12" s="23"/>
      <c r="R12" s="23"/>
      <c r="S12" s="23"/>
      <c r="T12" s="23"/>
      <c r="U12" s="23">
        <v>-116</v>
      </c>
      <c r="V12" s="23"/>
      <c r="W12" s="23"/>
      <c r="X12" s="23"/>
      <c r="Y12" s="23"/>
      <c r="Z12" s="23"/>
      <c r="AA12" s="23"/>
      <c r="AB12" s="23"/>
      <c r="AC12" s="23"/>
      <c r="AD12" s="23" t="s">
        <v>646</v>
      </c>
      <c r="AE12" s="23"/>
      <c r="AF12" s="9"/>
    </row>
    <row r="13" spans="2:32" s="7" customFormat="1" ht="19">
      <c r="B13" s="11" t="s">
        <v>11</v>
      </c>
      <c r="C13" s="24" t="s">
        <v>647</v>
      </c>
      <c r="D13" s="12"/>
      <c r="E13" s="12"/>
      <c r="F13" s="12" t="s">
        <v>648</v>
      </c>
      <c r="G13" s="12"/>
      <c r="H13" s="12"/>
      <c r="I13" s="12" t="s">
        <v>649</v>
      </c>
      <c r="J13" s="12"/>
      <c r="K13" s="12"/>
      <c r="L13" s="12" t="s">
        <v>650</v>
      </c>
      <c r="M13" s="12"/>
      <c r="N13" s="12"/>
      <c r="O13" s="12" t="s">
        <v>622</v>
      </c>
      <c r="P13" s="12"/>
      <c r="Q13" s="12"/>
      <c r="R13" s="12" t="s">
        <v>623</v>
      </c>
      <c r="S13" s="12"/>
      <c r="T13" s="12"/>
      <c r="U13" s="12" t="s">
        <v>651</v>
      </c>
      <c r="V13" s="12"/>
      <c r="W13" s="12"/>
      <c r="X13" s="12" t="s">
        <v>652</v>
      </c>
      <c r="Y13" s="12"/>
      <c r="Z13" s="12"/>
      <c r="AA13" s="12"/>
      <c r="AB13" s="12"/>
      <c r="AC13" s="12"/>
      <c r="AD13" s="12" t="s">
        <v>653</v>
      </c>
      <c r="AE13" s="12"/>
      <c r="AF13" s="13"/>
    </row>
    <row r="14" spans="2:32" ht="19">
      <c r="B14" s="17" t="s">
        <v>12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9"/>
    </row>
    <row r="15" spans="2:32" ht="19">
      <c r="B15" s="17" t="s">
        <v>13</v>
      </c>
      <c r="C15" s="22">
        <v>492</v>
      </c>
      <c r="D15" s="23"/>
      <c r="E15" s="23"/>
      <c r="F15" s="23" t="s">
        <v>654</v>
      </c>
      <c r="G15" s="23"/>
      <c r="H15" s="23"/>
      <c r="I15" s="23" t="s">
        <v>655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>
        <v>1</v>
      </c>
      <c r="Y15" s="23"/>
      <c r="Z15" s="23"/>
      <c r="AA15" s="23"/>
      <c r="AB15" s="23"/>
      <c r="AC15" s="23"/>
      <c r="AD15" s="23" t="s">
        <v>656</v>
      </c>
      <c r="AE15" s="23"/>
      <c r="AF15" s="9"/>
    </row>
    <row r="16" spans="2:32" ht="19">
      <c r="B16" s="17" t="s">
        <v>14</v>
      </c>
      <c r="C16" s="22" t="s">
        <v>657</v>
      </c>
      <c r="D16" s="23"/>
      <c r="E16" s="23"/>
      <c r="F16" s="23"/>
      <c r="G16" s="23"/>
      <c r="H16" s="23"/>
      <c r="I16" s="23" t="s">
        <v>658</v>
      </c>
      <c r="J16" s="23"/>
      <c r="K16" s="23"/>
      <c r="L16" s="23" t="s">
        <v>659</v>
      </c>
      <c r="M16" s="23"/>
      <c r="N16" s="23"/>
      <c r="O16" s="23" t="s">
        <v>660</v>
      </c>
      <c r="P16" s="23"/>
      <c r="Q16" s="23"/>
      <c r="R16" s="23" t="s">
        <v>661</v>
      </c>
      <c r="S16" s="23"/>
      <c r="T16" s="23"/>
      <c r="U16" s="23" t="s">
        <v>662</v>
      </c>
      <c r="V16" s="23"/>
      <c r="W16" s="23"/>
      <c r="X16" s="23" t="s">
        <v>663</v>
      </c>
      <c r="Y16" s="23"/>
      <c r="Z16" s="23"/>
      <c r="AA16" s="23"/>
      <c r="AB16" s="23"/>
      <c r="AC16" s="23"/>
      <c r="AD16" s="23" t="s">
        <v>664</v>
      </c>
      <c r="AE16" s="23"/>
      <c r="AF16" s="9"/>
    </row>
    <row r="17" spans="2:32" ht="19">
      <c r="B17" s="17" t="s">
        <v>15</v>
      </c>
      <c r="C17" s="22" t="s">
        <v>665</v>
      </c>
      <c r="D17" s="23"/>
      <c r="E17" s="23"/>
      <c r="F17" s="23"/>
      <c r="G17" s="23"/>
      <c r="H17" s="23"/>
      <c r="I17" s="23" t="s">
        <v>666</v>
      </c>
      <c r="J17" s="23"/>
      <c r="K17" s="23"/>
      <c r="L17" s="23" t="s">
        <v>667</v>
      </c>
      <c r="M17" s="23"/>
      <c r="N17" s="23"/>
      <c r="O17" s="23"/>
      <c r="P17" s="23"/>
      <c r="Q17" s="23"/>
      <c r="R17" s="23"/>
      <c r="S17" s="23"/>
      <c r="T17" s="23"/>
      <c r="U17" s="23" t="s">
        <v>668</v>
      </c>
      <c r="V17" s="23"/>
      <c r="W17" s="23"/>
      <c r="X17" s="23" t="s">
        <v>669</v>
      </c>
      <c r="Y17" s="23"/>
      <c r="Z17" s="23"/>
      <c r="AA17" s="23" t="s">
        <v>670</v>
      </c>
      <c r="AB17" s="23"/>
      <c r="AC17" s="23"/>
      <c r="AD17" s="23" t="s">
        <v>671</v>
      </c>
      <c r="AE17" s="23"/>
      <c r="AF17" s="9"/>
    </row>
    <row r="18" spans="2:32" ht="19">
      <c r="B18" s="17" t="s">
        <v>16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 t="s">
        <v>672</v>
      </c>
      <c r="S18" s="23"/>
      <c r="T18" s="23"/>
      <c r="U18" s="23" t="s">
        <v>673</v>
      </c>
      <c r="V18" s="23"/>
      <c r="W18" s="23"/>
      <c r="X18" s="23"/>
      <c r="Y18" s="23"/>
      <c r="Z18" s="23"/>
      <c r="AA18" s="23" t="s">
        <v>674</v>
      </c>
      <c r="AB18" s="23"/>
      <c r="AC18" s="23"/>
      <c r="AD18" s="23" t="s">
        <v>675</v>
      </c>
      <c r="AE18" s="23"/>
      <c r="AF18" s="9"/>
    </row>
    <row r="19" spans="2:32" ht="19">
      <c r="B19" s="17" t="s">
        <v>17</v>
      </c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9"/>
    </row>
    <row r="20" spans="2:32" ht="19">
      <c r="B20" s="17" t="s">
        <v>18</v>
      </c>
      <c r="C20" s="22"/>
      <c r="D20" s="23"/>
      <c r="E20" s="23"/>
      <c r="F20" s="23" t="s">
        <v>676</v>
      </c>
      <c r="G20" s="23"/>
      <c r="H20" s="23"/>
      <c r="I20" s="23" t="s">
        <v>677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 t="s">
        <v>678</v>
      </c>
      <c r="AE20" s="23"/>
      <c r="AF20" s="9"/>
    </row>
    <row r="21" spans="2:32" ht="19">
      <c r="B21" s="17" t="s">
        <v>19</v>
      </c>
      <c r="C21" s="22" t="s">
        <v>679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 t="s">
        <v>679</v>
      </c>
      <c r="AE21" s="23"/>
      <c r="AF21" s="9"/>
    </row>
    <row r="22" spans="2:32" ht="19">
      <c r="B22" s="17" t="s">
        <v>20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9"/>
    </row>
    <row r="23" spans="2:32" ht="19">
      <c r="B23" s="17" t="s">
        <v>21</v>
      </c>
      <c r="C23" s="22"/>
      <c r="D23" s="23"/>
      <c r="E23" s="23"/>
      <c r="F23" s="23" t="s">
        <v>680</v>
      </c>
      <c r="G23" s="23"/>
      <c r="H23" s="23"/>
      <c r="I23" s="23" t="s">
        <v>681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>
        <v>-308</v>
      </c>
      <c r="V23" s="23"/>
      <c r="W23" s="23"/>
      <c r="X23" s="23"/>
      <c r="Y23" s="23"/>
      <c r="Z23" s="23"/>
      <c r="AA23" s="23"/>
      <c r="AB23" s="23"/>
      <c r="AC23" s="23"/>
      <c r="AD23" s="23" t="s">
        <v>682</v>
      </c>
      <c r="AE23" s="23"/>
      <c r="AF23" s="9"/>
    </row>
    <row r="24" spans="2:32" ht="19">
      <c r="B24" s="17" t="s">
        <v>22</v>
      </c>
      <c r="C24" s="22">
        <v>-177</v>
      </c>
      <c r="D24" s="23"/>
      <c r="E24" s="23"/>
      <c r="F24" s="23"/>
      <c r="G24" s="23"/>
      <c r="H24" s="23"/>
      <c r="I24" s="23" t="s">
        <v>683</v>
      </c>
      <c r="J24" s="23"/>
      <c r="K24" s="23"/>
      <c r="L24" s="23" t="s">
        <v>684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 t="s">
        <v>685</v>
      </c>
      <c r="Y24" s="23"/>
      <c r="Z24" s="23"/>
      <c r="AA24" s="23" t="s">
        <v>686</v>
      </c>
      <c r="AB24" s="23"/>
      <c r="AC24" s="23"/>
      <c r="AD24" s="23" t="s">
        <v>687</v>
      </c>
      <c r="AE24" s="23"/>
      <c r="AF24" s="9"/>
    </row>
    <row r="25" spans="2:32" ht="19">
      <c r="B25" s="17" t="s">
        <v>23</v>
      </c>
      <c r="C25" s="22"/>
      <c r="D25" s="23"/>
      <c r="E25" s="23"/>
      <c r="F25" s="23"/>
      <c r="G25" s="23"/>
      <c r="H25" s="23"/>
      <c r="I25" s="23"/>
      <c r="J25" s="23"/>
      <c r="K25" s="23"/>
      <c r="L25" s="23" t="s">
        <v>688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 t="s">
        <v>689</v>
      </c>
      <c r="Y25" s="23"/>
      <c r="Z25" s="23"/>
      <c r="AA25" s="23" t="s">
        <v>690</v>
      </c>
      <c r="AB25" s="23"/>
      <c r="AC25" s="23"/>
      <c r="AD25" s="23" t="s">
        <v>691</v>
      </c>
      <c r="AE25" s="23"/>
      <c r="AF25" s="9"/>
    </row>
    <row r="26" spans="2:32" s="7" customFormat="1" ht="19">
      <c r="B26" s="11" t="s">
        <v>24</v>
      </c>
      <c r="C26" s="24" t="s">
        <v>692</v>
      </c>
      <c r="D26" s="12"/>
      <c r="E26" s="12"/>
      <c r="F26" s="12"/>
      <c r="G26" s="12"/>
      <c r="H26" s="12"/>
      <c r="I26" s="12" t="s">
        <v>693</v>
      </c>
      <c r="J26" s="12"/>
      <c r="K26" s="12"/>
      <c r="L26" s="12" t="s">
        <v>694</v>
      </c>
      <c r="M26" s="12"/>
      <c r="N26" s="12"/>
      <c r="O26" s="12"/>
      <c r="P26" s="12"/>
      <c r="Q26" s="12"/>
      <c r="R26" s="12" t="s">
        <v>695</v>
      </c>
      <c r="S26" s="12"/>
      <c r="T26" s="12"/>
      <c r="U26" s="12" t="s">
        <v>696</v>
      </c>
      <c r="V26" s="12"/>
      <c r="W26" s="12"/>
      <c r="X26" s="12" t="s">
        <v>697</v>
      </c>
      <c r="Y26" s="12"/>
      <c r="Z26" s="12"/>
      <c r="AA26" s="12" t="s">
        <v>698</v>
      </c>
      <c r="AB26" s="12"/>
      <c r="AC26" s="12"/>
      <c r="AD26" s="12" t="s">
        <v>699</v>
      </c>
      <c r="AE26" s="12"/>
      <c r="AF26" s="13"/>
    </row>
    <row r="27" spans="2:32" ht="19">
      <c r="B27" s="17" t="s">
        <v>25</v>
      </c>
      <c r="C27" s="22" t="s">
        <v>692</v>
      </c>
      <c r="D27" s="23"/>
      <c r="E27" s="23"/>
      <c r="F27" s="23"/>
      <c r="G27" s="23"/>
      <c r="H27" s="23"/>
      <c r="I27" s="23" t="s">
        <v>700</v>
      </c>
      <c r="J27" s="23"/>
      <c r="K27" s="23"/>
      <c r="L27" s="23" t="s">
        <v>701</v>
      </c>
      <c r="M27" s="23"/>
      <c r="N27" s="23"/>
      <c r="O27" s="23"/>
      <c r="P27" s="23"/>
      <c r="Q27" s="23"/>
      <c r="R27" s="23">
        <v>517</v>
      </c>
      <c r="S27" s="23"/>
      <c r="T27" s="23"/>
      <c r="U27" s="23" t="s">
        <v>702</v>
      </c>
      <c r="V27" s="23"/>
      <c r="W27" s="23"/>
      <c r="X27" s="23" t="s">
        <v>703</v>
      </c>
      <c r="Y27" s="23"/>
      <c r="Z27" s="23"/>
      <c r="AA27" s="23" t="s">
        <v>704</v>
      </c>
      <c r="AB27" s="23"/>
      <c r="AC27" s="23"/>
      <c r="AD27" s="23" t="s">
        <v>705</v>
      </c>
      <c r="AE27" s="23"/>
      <c r="AF27" s="9"/>
    </row>
    <row r="28" spans="2:32" ht="19">
      <c r="B28" s="17" t="s">
        <v>26</v>
      </c>
      <c r="C28" s="22"/>
      <c r="D28" s="23"/>
      <c r="E28" s="23"/>
      <c r="F28" s="23"/>
      <c r="G28" s="23"/>
      <c r="H28" s="23"/>
      <c r="I28" s="23" t="s">
        <v>706</v>
      </c>
      <c r="J28" s="23"/>
      <c r="K28" s="23"/>
      <c r="L28" s="23" t="s">
        <v>707</v>
      </c>
      <c r="M28" s="23"/>
      <c r="N28" s="23"/>
      <c r="O28" s="23"/>
      <c r="P28" s="23"/>
      <c r="Q28" s="23"/>
      <c r="R28" s="23"/>
      <c r="S28" s="23"/>
      <c r="T28" s="23"/>
      <c r="U28" s="23" t="s">
        <v>708</v>
      </c>
      <c r="V28" s="23"/>
      <c r="W28" s="23"/>
      <c r="X28" s="23" t="s">
        <v>709</v>
      </c>
      <c r="Y28" s="23"/>
      <c r="Z28" s="23"/>
      <c r="AA28" s="23"/>
      <c r="AB28" s="23"/>
      <c r="AC28" s="23"/>
      <c r="AD28" s="23" t="s">
        <v>710</v>
      </c>
      <c r="AE28" s="23"/>
      <c r="AF28" s="9"/>
    </row>
    <row r="29" spans="2:32" ht="19">
      <c r="B29" s="17" t="s">
        <v>2</v>
      </c>
      <c r="C29" s="22"/>
      <c r="D29" s="23"/>
      <c r="E29" s="23"/>
      <c r="F29" s="23"/>
      <c r="G29" s="23"/>
      <c r="H29" s="23"/>
      <c r="I29" s="23" t="s">
        <v>711</v>
      </c>
      <c r="J29" s="23"/>
      <c r="K29" s="23"/>
      <c r="L29" s="23" t="s">
        <v>712</v>
      </c>
      <c r="M29" s="23"/>
      <c r="N29" s="23"/>
      <c r="O29" s="23"/>
      <c r="P29" s="23"/>
      <c r="Q29" s="23"/>
      <c r="R29" s="23" t="s">
        <v>713</v>
      </c>
      <c r="S29" s="23"/>
      <c r="T29" s="23"/>
      <c r="U29" s="23" t="s">
        <v>714</v>
      </c>
      <c r="V29" s="23"/>
      <c r="W29" s="23"/>
      <c r="X29" s="23" t="s">
        <v>715</v>
      </c>
      <c r="Y29" s="23"/>
      <c r="Z29" s="23"/>
      <c r="AA29" s="23" t="s">
        <v>716</v>
      </c>
      <c r="AB29" s="23"/>
      <c r="AC29" s="23"/>
      <c r="AD29" s="23" t="s">
        <v>717</v>
      </c>
      <c r="AE29" s="23"/>
      <c r="AF29" s="9"/>
    </row>
    <row r="30" spans="2:32" ht="19">
      <c r="B30" s="17" t="s">
        <v>27</v>
      </c>
      <c r="C30" s="22"/>
      <c r="D30" s="23"/>
      <c r="E30" s="23"/>
      <c r="F30" s="23"/>
      <c r="G30" s="23"/>
      <c r="H30" s="23"/>
      <c r="I30" s="23" t="s">
        <v>718</v>
      </c>
      <c r="J30" s="23"/>
      <c r="K30" s="23"/>
      <c r="L30" s="23" t="s">
        <v>719</v>
      </c>
      <c r="M30" s="23"/>
      <c r="N30" s="23"/>
      <c r="O30" s="23"/>
      <c r="P30" s="23"/>
      <c r="Q30" s="23"/>
      <c r="R30" s="23" t="s">
        <v>720</v>
      </c>
      <c r="S30" s="23"/>
      <c r="T30" s="23"/>
      <c r="U30" s="23" t="s">
        <v>721</v>
      </c>
      <c r="V30" s="23"/>
      <c r="W30" s="23"/>
      <c r="X30" s="23" t="s">
        <v>722</v>
      </c>
      <c r="Y30" s="23"/>
      <c r="Z30" s="23"/>
      <c r="AA30" s="23" t="s">
        <v>723</v>
      </c>
      <c r="AB30" s="23"/>
      <c r="AC30" s="23"/>
      <c r="AD30" s="23" t="s">
        <v>724</v>
      </c>
      <c r="AE30" s="23"/>
      <c r="AF30" s="9"/>
    </row>
    <row r="31" spans="2:32" ht="19">
      <c r="B31" s="17" t="s">
        <v>28</v>
      </c>
      <c r="C31" s="22"/>
      <c r="D31" s="23"/>
      <c r="E31" s="23"/>
      <c r="F31" s="23"/>
      <c r="G31" s="23"/>
      <c r="H31" s="23"/>
      <c r="I31" s="23" t="s">
        <v>725</v>
      </c>
      <c r="J31" s="23"/>
      <c r="K31" s="23"/>
      <c r="L31" s="23" t="s">
        <v>726</v>
      </c>
      <c r="M31" s="23"/>
      <c r="N31" s="23"/>
      <c r="O31" s="23"/>
      <c r="P31" s="23"/>
      <c r="Q31" s="23"/>
      <c r="R31" s="23">
        <v>654</v>
      </c>
      <c r="S31" s="23"/>
      <c r="T31" s="23"/>
      <c r="U31" s="23" t="s">
        <v>161</v>
      </c>
      <c r="V31" s="23"/>
      <c r="W31" s="23"/>
      <c r="X31" s="23" t="s">
        <v>727</v>
      </c>
      <c r="Y31" s="23"/>
      <c r="Z31" s="23"/>
      <c r="AA31" s="23">
        <v>454</v>
      </c>
      <c r="AB31" s="23"/>
      <c r="AC31" s="23"/>
      <c r="AD31" s="23" t="s">
        <v>728</v>
      </c>
      <c r="AE31" s="23"/>
      <c r="AF31" s="9"/>
    </row>
    <row r="32" spans="2:32" ht="19">
      <c r="B32" s="17" t="s">
        <v>3</v>
      </c>
      <c r="C32" s="22"/>
      <c r="D32" s="23"/>
      <c r="E32" s="23"/>
      <c r="F32" s="23"/>
      <c r="G32" s="23"/>
      <c r="H32" s="23"/>
      <c r="I32" s="23" t="s">
        <v>729</v>
      </c>
      <c r="J32" s="23"/>
      <c r="K32" s="23"/>
      <c r="L32" s="23"/>
      <c r="M32" s="23"/>
      <c r="N32" s="23"/>
      <c r="O32" s="23"/>
      <c r="P32" s="23"/>
      <c r="Q32" s="23"/>
      <c r="R32" s="23" t="s">
        <v>730</v>
      </c>
      <c r="S32" s="23"/>
      <c r="T32" s="23"/>
      <c r="U32" s="23"/>
      <c r="V32" s="23"/>
      <c r="W32" s="23"/>
      <c r="X32" s="23">
        <v>914</v>
      </c>
      <c r="Y32" s="23"/>
      <c r="Z32" s="23"/>
      <c r="AA32" s="23"/>
      <c r="AB32" s="23"/>
      <c r="AC32" s="23"/>
      <c r="AD32" s="23" t="s">
        <v>731</v>
      </c>
      <c r="AE32" s="23"/>
      <c r="AF32" s="9"/>
    </row>
    <row r="33" spans="2:32" ht="19">
      <c r="B33" s="17" t="s">
        <v>1</v>
      </c>
      <c r="C33" s="22"/>
      <c r="D33" s="23"/>
      <c r="E33" s="23"/>
      <c r="F33" s="23"/>
      <c r="G33" s="23"/>
      <c r="H33" s="23"/>
      <c r="I33" s="23" t="s">
        <v>732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>
        <v>479</v>
      </c>
      <c r="AB33" s="23"/>
      <c r="AC33" s="23"/>
      <c r="AD33" s="23" t="s">
        <v>733</v>
      </c>
      <c r="AE33" s="23"/>
      <c r="AF33" s="9"/>
    </row>
    <row r="34" spans="2:32" s="6" customFormat="1" ht="19">
      <c r="B34" s="18" t="s">
        <v>30</v>
      </c>
      <c r="C34" s="25"/>
      <c r="D34" s="26"/>
      <c r="E34" s="26"/>
      <c r="F34" s="26"/>
      <c r="G34" s="26"/>
      <c r="H34" s="26"/>
      <c r="I34" s="26" t="s">
        <v>734</v>
      </c>
      <c r="J34" s="26"/>
      <c r="K34" s="26"/>
      <c r="L34" s="26" t="s">
        <v>735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 t="s">
        <v>736</v>
      </c>
      <c r="AE34" s="26"/>
      <c r="AF34" s="27"/>
    </row>
  </sheetData>
  <mergeCells count="10">
    <mergeCell ref="U4:W4"/>
    <mergeCell ref="X4:Z4"/>
    <mergeCell ref="AA4:AC4"/>
    <mergeCell ref="AD4:AF4"/>
    <mergeCell ref="C4:E4"/>
    <mergeCell ref="F4:H4"/>
    <mergeCell ref="I4:K4"/>
    <mergeCell ref="L4:N4"/>
    <mergeCell ref="O4:Q4"/>
    <mergeCell ref="R4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D830-4D63-7742-89F8-55732C410411}">
  <dimension ref="B2:AF34"/>
  <sheetViews>
    <sheetView zoomScale="64" zoomScaleNormal="64" workbookViewId="0">
      <selection activeCell="V45" sqref="V45"/>
    </sheetView>
  </sheetViews>
  <sheetFormatPr baseColWidth="10" defaultRowHeight="16"/>
  <cols>
    <col min="2" max="2" width="31.33203125" customWidth="1"/>
    <col min="3" max="5" width="14.83203125" customWidth="1"/>
    <col min="6" max="8" width="14.33203125" customWidth="1"/>
    <col min="9" max="11" width="16.5" customWidth="1"/>
    <col min="12" max="14" width="15" customWidth="1"/>
    <col min="17" max="17" width="12.1640625" customWidth="1"/>
    <col min="18" max="18" width="11.5" customWidth="1"/>
    <col min="19" max="19" width="12.6640625" customWidth="1"/>
    <col min="20" max="20" width="15.1640625" customWidth="1"/>
    <col min="21" max="21" width="14.83203125" customWidth="1"/>
    <col min="22" max="22" width="14.1640625" customWidth="1"/>
    <col min="23" max="23" width="12.33203125" customWidth="1"/>
    <col min="24" max="24" width="10.6640625" customWidth="1"/>
    <col min="25" max="26" width="11.1640625" customWidth="1"/>
    <col min="32" max="32" width="12.1640625" customWidth="1"/>
  </cols>
  <sheetData>
    <row r="2" spans="2:32">
      <c r="B2" s="16" t="s">
        <v>42</v>
      </c>
    </row>
    <row r="4" spans="2:32" ht="18">
      <c r="C4" s="131" t="s">
        <v>31</v>
      </c>
      <c r="D4" s="131"/>
      <c r="E4" s="131"/>
      <c r="F4" s="131" t="s">
        <v>32</v>
      </c>
      <c r="G4" s="131"/>
      <c r="H4" s="131"/>
      <c r="I4" s="131" t="s">
        <v>33</v>
      </c>
      <c r="J4" s="131"/>
      <c r="K4" s="131"/>
      <c r="L4" s="131" t="s">
        <v>34</v>
      </c>
      <c r="M4" s="131"/>
      <c r="N4" s="131"/>
      <c r="O4" s="131" t="s">
        <v>35</v>
      </c>
      <c r="P4" s="131"/>
      <c r="Q4" s="131"/>
      <c r="R4" s="131" t="s">
        <v>36</v>
      </c>
      <c r="S4" s="131"/>
      <c r="T4" s="131"/>
      <c r="U4" s="131" t="s">
        <v>37</v>
      </c>
      <c r="V4" s="131"/>
      <c r="W4" s="131"/>
      <c r="X4" s="131" t="s">
        <v>38</v>
      </c>
      <c r="Y4" s="131"/>
      <c r="Z4" s="131"/>
      <c r="AA4" s="131" t="s">
        <v>39</v>
      </c>
      <c r="AB4" s="131"/>
      <c r="AC4" s="131"/>
      <c r="AD4" s="132" t="s">
        <v>40</v>
      </c>
      <c r="AE4" s="132"/>
      <c r="AF4" s="132"/>
    </row>
    <row r="5" spans="2:32" ht="19">
      <c r="B5" s="8"/>
      <c r="C5" s="10" t="s">
        <v>4</v>
      </c>
      <c r="D5" s="10" t="s">
        <v>4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10" t="s">
        <v>4</v>
      </c>
      <c r="Q5" s="10" t="s">
        <v>4</v>
      </c>
      <c r="R5" s="10" t="s">
        <v>4</v>
      </c>
      <c r="S5" s="10" t="s">
        <v>4</v>
      </c>
      <c r="T5" s="10" t="s">
        <v>4</v>
      </c>
      <c r="U5" s="10" t="s">
        <v>4</v>
      </c>
      <c r="V5" s="10" t="s">
        <v>4</v>
      </c>
      <c r="W5" s="10" t="s">
        <v>4</v>
      </c>
      <c r="X5" s="10" t="s">
        <v>4</v>
      </c>
      <c r="Y5" s="10" t="s">
        <v>4</v>
      </c>
      <c r="Z5" s="10" t="s">
        <v>4</v>
      </c>
      <c r="AA5" s="10" t="s">
        <v>4</v>
      </c>
      <c r="AB5" s="10" t="s">
        <v>4</v>
      </c>
      <c r="AC5" s="10" t="s">
        <v>4</v>
      </c>
      <c r="AD5" s="10" t="s">
        <v>4</v>
      </c>
      <c r="AE5" s="10" t="s">
        <v>4</v>
      </c>
      <c r="AF5" s="10" t="s">
        <v>4</v>
      </c>
    </row>
    <row r="6" spans="2:32" ht="19">
      <c r="B6" s="8"/>
      <c r="C6" s="14" t="s">
        <v>43</v>
      </c>
      <c r="D6" s="14" t="s">
        <v>44</v>
      </c>
      <c r="E6" s="14" t="s">
        <v>45</v>
      </c>
      <c r="F6" s="14" t="s">
        <v>43</v>
      </c>
      <c r="G6" s="14" t="s">
        <v>44</v>
      </c>
      <c r="H6" s="14" t="s">
        <v>45</v>
      </c>
      <c r="I6" s="14" t="s">
        <v>43</v>
      </c>
      <c r="J6" s="14" t="s">
        <v>44</v>
      </c>
      <c r="K6" s="14" t="s">
        <v>45</v>
      </c>
      <c r="L6" s="14" t="s">
        <v>43</v>
      </c>
      <c r="M6" s="15" t="s">
        <v>44</v>
      </c>
      <c r="N6" s="15" t="s">
        <v>45</v>
      </c>
      <c r="O6" s="14" t="s">
        <v>43</v>
      </c>
      <c r="P6" s="15" t="s">
        <v>44</v>
      </c>
      <c r="Q6" s="15" t="s">
        <v>45</v>
      </c>
      <c r="R6" s="14" t="s">
        <v>43</v>
      </c>
      <c r="S6" s="15" t="s">
        <v>44</v>
      </c>
      <c r="T6" s="15" t="s">
        <v>45</v>
      </c>
      <c r="U6" s="14" t="s">
        <v>43</v>
      </c>
      <c r="V6" s="15" t="s">
        <v>44</v>
      </c>
      <c r="W6" s="15" t="s">
        <v>45</v>
      </c>
      <c r="X6" s="14" t="s">
        <v>43</v>
      </c>
      <c r="Y6" s="15" t="s">
        <v>44</v>
      </c>
      <c r="Z6" s="15" t="s">
        <v>45</v>
      </c>
      <c r="AA6" s="14" t="s">
        <v>43</v>
      </c>
      <c r="AB6" s="15" t="s">
        <v>44</v>
      </c>
      <c r="AC6" s="15" t="s">
        <v>45</v>
      </c>
      <c r="AD6" s="14" t="s">
        <v>43</v>
      </c>
      <c r="AE6" s="15" t="s">
        <v>44</v>
      </c>
      <c r="AF6" s="15" t="s">
        <v>45</v>
      </c>
    </row>
    <row r="7" spans="2:32" ht="19">
      <c r="B7" s="17" t="s">
        <v>5</v>
      </c>
      <c r="C7" s="19" t="s">
        <v>502</v>
      </c>
      <c r="D7" s="20"/>
      <c r="E7" s="20"/>
      <c r="F7" s="20" t="s">
        <v>503</v>
      </c>
      <c r="G7" s="20"/>
      <c r="H7" s="20"/>
      <c r="I7" s="20"/>
      <c r="J7" s="20"/>
      <c r="K7" s="20"/>
      <c r="L7" s="20" t="s">
        <v>504</v>
      </c>
      <c r="M7" s="20"/>
      <c r="N7" s="20"/>
      <c r="O7" s="20" t="s">
        <v>505</v>
      </c>
      <c r="P7" s="20"/>
      <c r="Q7" s="20"/>
      <c r="R7" s="20" t="s">
        <v>506</v>
      </c>
      <c r="S7" s="20"/>
      <c r="T7" s="20"/>
      <c r="U7" s="20" t="s">
        <v>507</v>
      </c>
      <c r="V7" s="20"/>
      <c r="W7" s="20"/>
      <c r="X7" s="20"/>
      <c r="Y7" s="20"/>
      <c r="Z7" s="20"/>
      <c r="AA7" s="20"/>
      <c r="AB7" s="20"/>
      <c r="AC7" s="20"/>
      <c r="AD7" s="20" t="s">
        <v>508</v>
      </c>
      <c r="AE7" s="20"/>
      <c r="AF7" s="21"/>
    </row>
    <row r="8" spans="2:32" ht="19">
      <c r="B8" s="17" t="s">
        <v>6</v>
      </c>
      <c r="C8" s="22" t="s">
        <v>509</v>
      </c>
      <c r="D8" s="23"/>
      <c r="E8" s="23"/>
      <c r="F8" s="23" t="s">
        <v>510</v>
      </c>
      <c r="G8" s="23"/>
      <c r="H8" s="23"/>
      <c r="I8" s="23" t="s">
        <v>511</v>
      </c>
      <c r="J8" s="23"/>
      <c r="K8" s="23"/>
      <c r="L8" s="23" t="s">
        <v>512</v>
      </c>
      <c r="M8" s="23"/>
      <c r="N8" s="23"/>
      <c r="O8" s="23"/>
      <c r="P8" s="23"/>
      <c r="Q8" s="23"/>
      <c r="R8" s="23"/>
      <c r="S8" s="23"/>
      <c r="T8" s="23"/>
      <c r="U8" s="23" t="s">
        <v>513</v>
      </c>
      <c r="V8" s="23"/>
      <c r="W8" s="23"/>
      <c r="X8" s="23" t="s">
        <v>514</v>
      </c>
      <c r="Y8" s="23"/>
      <c r="Z8" s="23"/>
      <c r="AA8" s="23"/>
      <c r="AB8" s="23"/>
      <c r="AC8" s="23"/>
      <c r="AD8" s="23" t="s">
        <v>515</v>
      </c>
      <c r="AE8" s="23"/>
      <c r="AF8" s="9"/>
    </row>
    <row r="9" spans="2:32" ht="19">
      <c r="B9" s="17" t="s">
        <v>7</v>
      </c>
      <c r="C9" s="22" t="s">
        <v>516</v>
      </c>
      <c r="D9" s="23"/>
      <c r="E9" s="23"/>
      <c r="F9" s="23" t="s">
        <v>517</v>
      </c>
      <c r="G9" s="23"/>
      <c r="H9" s="23"/>
      <c r="I9" s="23" t="s">
        <v>518</v>
      </c>
      <c r="J9" s="23"/>
      <c r="K9" s="23"/>
      <c r="L9" s="23" t="s">
        <v>519</v>
      </c>
      <c r="M9" s="23"/>
      <c r="N9" s="23"/>
      <c r="O9" s="23"/>
      <c r="P9" s="23"/>
      <c r="Q9" s="23"/>
      <c r="R9" s="23"/>
      <c r="S9" s="23"/>
      <c r="T9" s="23"/>
      <c r="U9" s="23" t="s">
        <v>520</v>
      </c>
      <c r="V9" s="23"/>
      <c r="W9" s="23"/>
      <c r="X9" s="23" t="s">
        <v>521</v>
      </c>
      <c r="Y9" s="23"/>
      <c r="Z9" s="23"/>
      <c r="AA9" s="23"/>
      <c r="AB9" s="23"/>
      <c r="AC9" s="23"/>
      <c r="AD9" s="23" t="s">
        <v>522</v>
      </c>
      <c r="AE9" s="23"/>
      <c r="AF9" s="9"/>
    </row>
    <row r="10" spans="2:32" ht="19">
      <c r="B10" s="17" t="s">
        <v>8</v>
      </c>
      <c r="C10" s="22"/>
      <c r="D10" s="23"/>
      <c r="E10" s="23"/>
      <c r="F10" s="23"/>
      <c r="G10" s="23"/>
      <c r="H10" s="23"/>
      <c r="I10" s="23" t="s">
        <v>523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 t="s">
        <v>523</v>
      </c>
      <c r="AE10" s="23"/>
      <c r="AF10" s="9"/>
    </row>
    <row r="11" spans="2:32" ht="19">
      <c r="B11" s="17" t="s">
        <v>9</v>
      </c>
      <c r="C11" s="22"/>
      <c r="D11" s="23"/>
      <c r="E11" s="23"/>
      <c r="F11" s="23"/>
      <c r="G11" s="23"/>
      <c r="H11" s="23"/>
      <c r="I11" s="23" t="s">
        <v>524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 t="s">
        <v>524</v>
      </c>
      <c r="AE11" s="23"/>
      <c r="AF11" s="9"/>
    </row>
    <row r="12" spans="2:32" ht="19">
      <c r="B12" s="17" t="s">
        <v>10</v>
      </c>
      <c r="C12" s="22" t="s">
        <v>525</v>
      </c>
      <c r="D12" s="23"/>
      <c r="E12" s="23"/>
      <c r="F12" s="23" t="s">
        <v>526</v>
      </c>
      <c r="G12" s="23"/>
      <c r="H12" s="23"/>
      <c r="I12" s="23" t="s">
        <v>527</v>
      </c>
      <c r="J12" s="23"/>
      <c r="K12" s="23"/>
      <c r="L12" s="23" t="s">
        <v>528</v>
      </c>
      <c r="M12" s="23"/>
      <c r="N12" s="23"/>
      <c r="O12" s="23"/>
      <c r="P12" s="23"/>
      <c r="Q12" s="23"/>
      <c r="R12" s="23"/>
      <c r="S12" s="23"/>
      <c r="T12" s="23"/>
      <c r="U12" s="23">
        <v>740</v>
      </c>
      <c r="V12" s="23"/>
      <c r="W12" s="23"/>
      <c r="X12" s="23"/>
      <c r="Y12" s="23"/>
      <c r="Z12" s="23"/>
      <c r="AA12" s="23"/>
      <c r="AB12" s="23"/>
      <c r="AC12" s="23"/>
      <c r="AD12" s="23">
        <v>588</v>
      </c>
      <c r="AE12" s="23"/>
      <c r="AF12" s="9"/>
    </row>
    <row r="13" spans="2:32" s="7" customFormat="1" ht="19">
      <c r="B13" s="11" t="s">
        <v>11</v>
      </c>
      <c r="C13" s="24" t="s">
        <v>529</v>
      </c>
      <c r="D13" s="12"/>
      <c r="E13" s="12"/>
      <c r="F13" s="12" t="s">
        <v>530</v>
      </c>
      <c r="G13" s="12"/>
      <c r="H13" s="12"/>
      <c r="I13" s="12" t="s">
        <v>531</v>
      </c>
      <c r="J13" s="12"/>
      <c r="K13" s="12"/>
      <c r="L13" s="12" t="s">
        <v>532</v>
      </c>
      <c r="M13" s="12"/>
      <c r="N13" s="12"/>
      <c r="O13" s="12" t="s">
        <v>505</v>
      </c>
      <c r="P13" s="12"/>
      <c r="Q13" s="12"/>
      <c r="R13" s="12" t="s">
        <v>506</v>
      </c>
      <c r="S13" s="12"/>
      <c r="T13" s="12"/>
      <c r="U13" s="12" t="s">
        <v>533</v>
      </c>
      <c r="V13" s="12"/>
      <c r="W13" s="12"/>
      <c r="X13" s="12" t="s">
        <v>534</v>
      </c>
      <c r="Y13" s="12"/>
      <c r="Z13" s="12"/>
      <c r="AA13" s="12"/>
      <c r="AB13" s="12"/>
      <c r="AC13" s="12"/>
      <c r="AD13" s="12" t="s">
        <v>535</v>
      </c>
      <c r="AE13" s="12"/>
      <c r="AF13" s="13"/>
    </row>
    <row r="14" spans="2:32" ht="19">
      <c r="B14" s="17" t="s">
        <v>12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9"/>
    </row>
    <row r="15" spans="2:32" ht="19">
      <c r="B15" s="17" t="s">
        <v>13</v>
      </c>
      <c r="C15" s="22" t="s">
        <v>536</v>
      </c>
      <c r="D15" s="23"/>
      <c r="E15" s="23"/>
      <c r="F15" s="23" t="s">
        <v>537</v>
      </c>
      <c r="G15" s="23"/>
      <c r="H15" s="23"/>
      <c r="I15" s="23" t="s">
        <v>538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>
        <v>4</v>
      </c>
      <c r="Y15" s="23"/>
      <c r="Z15" s="23"/>
      <c r="AA15" s="23"/>
      <c r="AB15" s="23"/>
      <c r="AC15" s="23"/>
      <c r="AD15" s="23" t="s">
        <v>539</v>
      </c>
      <c r="AE15" s="23"/>
      <c r="AF15" s="9"/>
    </row>
    <row r="16" spans="2:32" ht="19">
      <c r="B16" s="17" t="s">
        <v>14</v>
      </c>
      <c r="C16" s="22" t="s">
        <v>540</v>
      </c>
      <c r="D16" s="23"/>
      <c r="E16" s="23"/>
      <c r="F16" s="23"/>
      <c r="G16" s="23"/>
      <c r="H16" s="23"/>
      <c r="I16" s="23" t="s">
        <v>541</v>
      </c>
      <c r="J16" s="23"/>
      <c r="K16" s="23"/>
      <c r="L16" s="23" t="s">
        <v>542</v>
      </c>
      <c r="M16" s="23"/>
      <c r="N16" s="23"/>
      <c r="O16" s="23" t="s">
        <v>543</v>
      </c>
      <c r="P16" s="23"/>
      <c r="Q16" s="23"/>
      <c r="R16" s="23" t="s">
        <v>544</v>
      </c>
      <c r="S16" s="23"/>
      <c r="T16" s="23"/>
      <c r="U16" s="23" t="s">
        <v>545</v>
      </c>
      <c r="V16" s="23"/>
      <c r="W16" s="23"/>
      <c r="X16" s="23" t="s">
        <v>546</v>
      </c>
      <c r="Y16" s="23"/>
      <c r="Z16" s="23"/>
      <c r="AA16" s="23"/>
      <c r="AB16" s="23"/>
      <c r="AC16" s="23"/>
      <c r="AD16" s="23" t="s">
        <v>547</v>
      </c>
      <c r="AE16" s="23"/>
      <c r="AF16" s="9"/>
    </row>
    <row r="17" spans="2:32" ht="19">
      <c r="B17" s="17" t="s">
        <v>15</v>
      </c>
      <c r="C17" s="22" t="s">
        <v>548</v>
      </c>
      <c r="D17" s="23"/>
      <c r="E17" s="23"/>
      <c r="F17" s="23"/>
      <c r="G17" s="23"/>
      <c r="H17" s="23"/>
      <c r="I17" s="23" t="s">
        <v>549</v>
      </c>
      <c r="J17" s="23"/>
      <c r="K17" s="23"/>
      <c r="L17" s="23" t="s">
        <v>550</v>
      </c>
      <c r="M17" s="23"/>
      <c r="N17" s="23"/>
      <c r="O17" s="23"/>
      <c r="P17" s="23"/>
      <c r="Q17" s="23"/>
      <c r="R17" s="23"/>
      <c r="S17" s="23"/>
      <c r="T17" s="23"/>
      <c r="U17" s="23" t="s">
        <v>551</v>
      </c>
      <c r="V17" s="23"/>
      <c r="W17" s="23"/>
      <c r="X17" s="23" t="s">
        <v>552</v>
      </c>
      <c r="Y17" s="23"/>
      <c r="Z17" s="23"/>
      <c r="AA17" s="23" t="s">
        <v>553</v>
      </c>
      <c r="AB17" s="23"/>
      <c r="AC17" s="23"/>
      <c r="AD17" s="23" t="s">
        <v>554</v>
      </c>
      <c r="AE17" s="23"/>
      <c r="AF17" s="9"/>
    </row>
    <row r="18" spans="2:32" ht="19">
      <c r="B18" s="17" t="s">
        <v>16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 t="s">
        <v>555</v>
      </c>
      <c r="S18" s="23"/>
      <c r="T18" s="23"/>
      <c r="U18" s="23" t="s">
        <v>556</v>
      </c>
      <c r="V18" s="23"/>
      <c r="W18" s="23"/>
      <c r="X18" s="23"/>
      <c r="Y18" s="23"/>
      <c r="Z18" s="23"/>
      <c r="AA18" s="23" t="s">
        <v>557</v>
      </c>
      <c r="AB18" s="23"/>
      <c r="AC18" s="23"/>
      <c r="AD18" s="23" t="s">
        <v>558</v>
      </c>
      <c r="AE18" s="23"/>
      <c r="AF18" s="9"/>
    </row>
    <row r="19" spans="2:32" ht="19">
      <c r="B19" s="17" t="s">
        <v>17</v>
      </c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9"/>
    </row>
    <row r="20" spans="2:32" ht="19">
      <c r="B20" s="17" t="s">
        <v>18</v>
      </c>
      <c r="C20" s="22"/>
      <c r="D20" s="23"/>
      <c r="E20" s="23"/>
      <c r="F20" s="23" t="s">
        <v>559</v>
      </c>
      <c r="G20" s="23"/>
      <c r="H20" s="23"/>
      <c r="I20" s="23" t="s">
        <v>560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 t="s">
        <v>561</v>
      </c>
      <c r="AE20" s="23"/>
      <c r="AF20" s="9"/>
    </row>
    <row r="21" spans="2:32" ht="19">
      <c r="B21" s="17" t="s">
        <v>19</v>
      </c>
      <c r="C21" s="22" t="s">
        <v>562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 t="s">
        <v>562</v>
      </c>
      <c r="AE21" s="23"/>
      <c r="AF21" s="9"/>
    </row>
    <row r="22" spans="2:32" ht="19">
      <c r="B22" s="17" t="s">
        <v>20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9"/>
    </row>
    <row r="23" spans="2:32" ht="19">
      <c r="B23" s="17" t="s">
        <v>21</v>
      </c>
      <c r="C23" s="22"/>
      <c r="D23" s="23"/>
      <c r="E23" s="23"/>
      <c r="F23" s="23" t="s">
        <v>563</v>
      </c>
      <c r="G23" s="23"/>
      <c r="H23" s="23"/>
      <c r="I23" s="23" t="s">
        <v>564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>
        <v>-308</v>
      </c>
      <c r="V23" s="23"/>
      <c r="W23" s="23"/>
      <c r="X23" s="23"/>
      <c r="Y23" s="23"/>
      <c r="Z23" s="23"/>
      <c r="AA23" s="23"/>
      <c r="AB23" s="23"/>
      <c r="AC23" s="23"/>
      <c r="AD23" s="23" t="s">
        <v>565</v>
      </c>
      <c r="AE23" s="23"/>
      <c r="AF23" s="9"/>
    </row>
    <row r="24" spans="2:32" ht="19">
      <c r="B24" s="17" t="s">
        <v>22</v>
      </c>
      <c r="C24" s="22" t="s">
        <v>566</v>
      </c>
      <c r="D24" s="23"/>
      <c r="E24" s="23"/>
      <c r="F24" s="23"/>
      <c r="G24" s="23"/>
      <c r="H24" s="23"/>
      <c r="I24" s="23" t="s">
        <v>567</v>
      </c>
      <c r="J24" s="23"/>
      <c r="K24" s="23"/>
      <c r="L24" s="23" t="s">
        <v>568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 t="s">
        <v>569</v>
      </c>
      <c r="Y24" s="23"/>
      <c r="Z24" s="23"/>
      <c r="AA24" s="23" t="s">
        <v>570</v>
      </c>
      <c r="AB24" s="23"/>
      <c r="AC24" s="23"/>
      <c r="AD24" s="23" t="s">
        <v>571</v>
      </c>
      <c r="AE24" s="23"/>
      <c r="AF24" s="9"/>
    </row>
    <row r="25" spans="2:32" ht="19">
      <c r="B25" s="17" t="s">
        <v>23</v>
      </c>
      <c r="C25" s="22"/>
      <c r="D25" s="23"/>
      <c r="E25" s="23"/>
      <c r="F25" s="23"/>
      <c r="G25" s="23"/>
      <c r="H25" s="23"/>
      <c r="I25" s="23"/>
      <c r="J25" s="23"/>
      <c r="K25" s="23"/>
      <c r="L25" s="23" t="s">
        <v>572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 t="s">
        <v>573</v>
      </c>
      <c r="Y25" s="23"/>
      <c r="Z25" s="23"/>
      <c r="AA25" s="23">
        <v>-763</v>
      </c>
      <c r="AB25" s="23"/>
      <c r="AC25" s="23"/>
      <c r="AD25" s="23" t="s">
        <v>574</v>
      </c>
      <c r="AE25" s="23"/>
      <c r="AF25" s="9"/>
    </row>
    <row r="26" spans="2:32" s="7" customFormat="1" ht="19">
      <c r="B26" s="11" t="s">
        <v>24</v>
      </c>
      <c r="C26" s="24" t="s">
        <v>575</v>
      </c>
      <c r="D26" s="12"/>
      <c r="E26" s="12"/>
      <c r="F26" s="12"/>
      <c r="G26" s="12"/>
      <c r="H26" s="12"/>
      <c r="I26" s="12" t="s">
        <v>576</v>
      </c>
      <c r="J26" s="12"/>
      <c r="K26" s="12"/>
      <c r="L26" s="12" t="s">
        <v>577</v>
      </c>
      <c r="M26" s="12"/>
      <c r="N26" s="12"/>
      <c r="O26" s="12"/>
      <c r="P26" s="12"/>
      <c r="Q26" s="12"/>
      <c r="R26" s="12" t="s">
        <v>578</v>
      </c>
      <c r="S26" s="12"/>
      <c r="T26" s="12"/>
      <c r="U26" s="12" t="s">
        <v>579</v>
      </c>
      <c r="V26" s="12"/>
      <c r="W26" s="12"/>
      <c r="X26" s="12" t="s">
        <v>580</v>
      </c>
      <c r="Y26" s="12"/>
      <c r="Z26" s="12"/>
      <c r="AA26" s="12" t="s">
        <v>581</v>
      </c>
      <c r="AB26" s="12"/>
      <c r="AC26" s="12"/>
      <c r="AD26" s="12" t="s">
        <v>582</v>
      </c>
      <c r="AE26" s="12"/>
      <c r="AF26" s="13"/>
    </row>
    <row r="27" spans="2:32" ht="19">
      <c r="B27" s="17" t="s">
        <v>25</v>
      </c>
      <c r="C27" s="22" t="s">
        <v>583</v>
      </c>
      <c r="D27" s="23"/>
      <c r="E27" s="23"/>
      <c r="F27" s="23"/>
      <c r="G27" s="23"/>
      <c r="H27" s="23"/>
      <c r="I27" s="23" t="s">
        <v>584</v>
      </c>
      <c r="J27" s="23"/>
      <c r="K27" s="23"/>
      <c r="L27" s="23" t="s">
        <v>585</v>
      </c>
      <c r="M27" s="23"/>
      <c r="N27" s="23"/>
      <c r="O27" s="23"/>
      <c r="P27" s="23"/>
      <c r="Q27" s="23"/>
      <c r="R27" s="23">
        <v>458</v>
      </c>
      <c r="S27" s="23"/>
      <c r="T27" s="23"/>
      <c r="U27" s="23" t="s">
        <v>586</v>
      </c>
      <c r="V27" s="23"/>
      <c r="W27" s="23"/>
      <c r="X27" s="23" t="s">
        <v>587</v>
      </c>
      <c r="Y27" s="23"/>
      <c r="Z27" s="23"/>
      <c r="AA27" s="23" t="s">
        <v>588</v>
      </c>
      <c r="AB27" s="23"/>
      <c r="AC27" s="23"/>
      <c r="AD27" s="23" t="s">
        <v>589</v>
      </c>
      <c r="AE27" s="23"/>
      <c r="AF27" s="9"/>
    </row>
    <row r="28" spans="2:32" ht="19">
      <c r="B28" s="17" t="s">
        <v>26</v>
      </c>
      <c r="C28" s="22"/>
      <c r="D28" s="23"/>
      <c r="E28" s="23"/>
      <c r="F28" s="23"/>
      <c r="G28" s="23"/>
      <c r="H28" s="23"/>
      <c r="I28" s="23" t="s">
        <v>590</v>
      </c>
      <c r="J28" s="23"/>
      <c r="K28" s="23"/>
      <c r="L28" s="23" t="s">
        <v>309</v>
      </c>
      <c r="M28" s="23"/>
      <c r="N28" s="23"/>
      <c r="O28" s="23"/>
      <c r="P28" s="23"/>
      <c r="Q28" s="23"/>
      <c r="R28" s="23"/>
      <c r="S28" s="23"/>
      <c r="T28" s="23"/>
      <c r="U28" s="23" t="s">
        <v>591</v>
      </c>
      <c r="V28" s="23"/>
      <c r="W28" s="23"/>
      <c r="X28" s="23" t="s">
        <v>592</v>
      </c>
      <c r="Y28" s="23"/>
      <c r="Z28" s="23"/>
      <c r="AA28" s="23"/>
      <c r="AB28" s="23"/>
      <c r="AC28" s="23"/>
      <c r="AD28" s="23" t="s">
        <v>593</v>
      </c>
      <c r="AE28" s="23"/>
      <c r="AF28" s="9"/>
    </row>
    <row r="29" spans="2:32" ht="19">
      <c r="B29" s="17" t="s">
        <v>2</v>
      </c>
      <c r="C29" s="22"/>
      <c r="D29" s="23"/>
      <c r="E29" s="23"/>
      <c r="F29" s="23"/>
      <c r="G29" s="23"/>
      <c r="H29" s="23"/>
      <c r="I29" s="23" t="s">
        <v>594</v>
      </c>
      <c r="J29" s="23"/>
      <c r="K29" s="23"/>
      <c r="L29" s="23" t="s">
        <v>595</v>
      </c>
      <c r="M29" s="23"/>
      <c r="N29" s="23"/>
      <c r="O29" s="23"/>
      <c r="P29" s="23"/>
      <c r="Q29" s="23"/>
      <c r="R29" s="23" t="s">
        <v>596</v>
      </c>
      <c r="S29" s="23"/>
      <c r="T29" s="23"/>
      <c r="U29" s="23" t="s">
        <v>597</v>
      </c>
      <c r="V29" s="23"/>
      <c r="W29" s="23"/>
      <c r="X29" s="23" t="s">
        <v>598</v>
      </c>
      <c r="Y29" s="23"/>
      <c r="Z29" s="23"/>
      <c r="AA29" s="23" t="s">
        <v>599</v>
      </c>
      <c r="AB29" s="23"/>
      <c r="AC29" s="23"/>
      <c r="AD29" s="23" t="s">
        <v>600</v>
      </c>
      <c r="AE29" s="23"/>
      <c r="AF29" s="9"/>
    </row>
    <row r="30" spans="2:32" ht="19">
      <c r="B30" s="17" t="s">
        <v>27</v>
      </c>
      <c r="C30" s="22"/>
      <c r="D30" s="23"/>
      <c r="E30" s="23"/>
      <c r="F30" s="23"/>
      <c r="G30" s="23"/>
      <c r="H30" s="23"/>
      <c r="I30" s="23" t="s">
        <v>601</v>
      </c>
      <c r="J30" s="23"/>
      <c r="K30" s="23"/>
      <c r="L30" s="23" t="s">
        <v>602</v>
      </c>
      <c r="M30" s="23"/>
      <c r="N30" s="23"/>
      <c r="O30" s="23"/>
      <c r="P30" s="23"/>
      <c r="Q30" s="23"/>
      <c r="R30" s="23" t="s">
        <v>603</v>
      </c>
      <c r="S30" s="23"/>
      <c r="T30" s="23"/>
      <c r="U30" s="23" t="s">
        <v>604</v>
      </c>
      <c r="V30" s="23"/>
      <c r="W30" s="23"/>
      <c r="X30" s="23" t="s">
        <v>605</v>
      </c>
      <c r="Y30" s="23"/>
      <c r="Z30" s="23"/>
      <c r="AA30" s="23" t="s">
        <v>606</v>
      </c>
      <c r="AB30" s="23"/>
      <c r="AC30" s="23"/>
      <c r="AD30" s="23" t="s">
        <v>607</v>
      </c>
      <c r="AE30" s="23"/>
      <c r="AF30" s="9"/>
    </row>
    <row r="31" spans="2:32" ht="19">
      <c r="B31" s="17" t="s">
        <v>28</v>
      </c>
      <c r="C31" s="22"/>
      <c r="D31" s="23"/>
      <c r="E31" s="23"/>
      <c r="F31" s="23"/>
      <c r="G31" s="23"/>
      <c r="H31" s="23"/>
      <c r="I31" s="23" t="s">
        <v>608</v>
      </c>
      <c r="J31" s="23"/>
      <c r="K31" s="23"/>
      <c r="L31" s="23" t="s">
        <v>609</v>
      </c>
      <c r="M31" s="23"/>
      <c r="N31" s="23"/>
      <c r="O31" s="23"/>
      <c r="P31" s="23"/>
      <c r="Q31" s="23"/>
      <c r="R31" s="23">
        <v>666</v>
      </c>
      <c r="S31" s="23"/>
      <c r="T31" s="23"/>
      <c r="U31" s="23">
        <v>894</v>
      </c>
      <c r="V31" s="23"/>
      <c r="W31" s="23"/>
      <c r="X31" s="23" t="s">
        <v>610</v>
      </c>
      <c r="Y31" s="23"/>
      <c r="Z31" s="23"/>
      <c r="AA31" s="23">
        <v>941</v>
      </c>
      <c r="AB31" s="23"/>
      <c r="AC31" s="23"/>
      <c r="AD31" s="23" t="s">
        <v>611</v>
      </c>
      <c r="AE31" s="23"/>
      <c r="AF31" s="9"/>
    </row>
    <row r="32" spans="2:32" ht="19">
      <c r="B32" s="17" t="s">
        <v>3</v>
      </c>
      <c r="C32" s="22"/>
      <c r="D32" s="23"/>
      <c r="E32" s="23"/>
      <c r="F32" s="23"/>
      <c r="G32" s="23"/>
      <c r="H32" s="23"/>
      <c r="I32" s="23" t="s">
        <v>612</v>
      </c>
      <c r="J32" s="23"/>
      <c r="K32" s="23"/>
      <c r="L32" s="23"/>
      <c r="M32" s="23"/>
      <c r="N32" s="23"/>
      <c r="O32" s="23"/>
      <c r="P32" s="23"/>
      <c r="Q32" s="23"/>
      <c r="R32" s="23">
        <v>871</v>
      </c>
      <c r="S32" s="23"/>
      <c r="T32" s="23"/>
      <c r="U32" s="23"/>
      <c r="V32" s="23"/>
      <c r="W32" s="23"/>
      <c r="X32" s="23">
        <v>605</v>
      </c>
      <c r="Y32" s="23"/>
      <c r="Z32" s="23"/>
      <c r="AA32" s="23"/>
      <c r="AB32" s="23"/>
      <c r="AC32" s="23"/>
      <c r="AD32" s="23" t="s">
        <v>613</v>
      </c>
      <c r="AE32" s="23"/>
      <c r="AF32" s="9"/>
    </row>
    <row r="33" spans="2:32" ht="19">
      <c r="B33" s="17" t="s">
        <v>1</v>
      </c>
      <c r="C33" s="22"/>
      <c r="D33" s="23"/>
      <c r="E33" s="23"/>
      <c r="F33" s="23"/>
      <c r="G33" s="23"/>
      <c r="H33" s="23"/>
      <c r="I33" s="23" t="s">
        <v>614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>
        <v>446</v>
      </c>
      <c r="AB33" s="23"/>
      <c r="AC33" s="23"/>
      <c r="AD33" s="23" t="s">
        <v>615</v>
      </c>
      <c r="AE33" s="23"/>
      <c r="AF33" s="9"/>
    </row>
    <row r="34" spans="2:32" s="6" customFormat="1" ht="19">
      <c r="B34" s="18" t="s">
        <v>30</v>
      </c>
      <c r="C34" s="25" t="s">
        <v>616</v>
      </c>
      <c r="D34" s="26"/>
      <c r="E34" s="26"/>
      <c r="F34" s="26"/>
      <c r="G34" s="26"/>
      <c r="H34" s="26"/>
      <c r="I34" s="26" t="s">
        <v>617</v>
      </c>
      <c r="J34" s="26"/>
      <c r="K34" s="26"/>
      <c r="L34" s="26" t="s">
        <v>618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 t="s">
        <v>619</v>
      </c>
      <c r="AE34" s="26"/>
      <c r="AF34" s="27"/>
    </row>
  </sheetData>
  <mergeCells count="10">
    <mergeCell ref="U4:W4"/>
    <mergeCell ref="X4:Z4"/>
    <mergeCell ref="AA4:AC4"/>
    <mergeCell ref="AD4:AF4"/>
    <mergeCell ref="C4:E4"/>
    <mergeCell ref="F4:H4"/>
    <mergeCell ref="I4:K4"/>
    <mergeCell ref="L4:N4"/>
    <mergeCell ref="O4:Q4"/>
    <mergeCell ref="R4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8EB2-C361-EE45-B7B2-B721E20FD69C}">
  <dimension ref="B2:AF34"/>
  <sheetViews>
    <sheetView topLeftCell="A3" zoomScale="64" zoomScaleNormal="64" workbookViewId="0">
      <selection activeCell="T43" sqref="T43"/>
    </sheetView>
  </sheetViews>
  <sheetFormatPr baseColWidth="10" defaultRowHeight="16"/>
  <cols>
    <col min="2" max="2" width="31.33203125" customWidth="1"/>
    <col min="3" max="5" width="14.83203125" customWidth="1"/>
    <col min="6" max="8" width="14.33203125" customWidth="1"/>
    <col min="9" max="11" width="16.5" customWidth="1"/>
    <col min="12" max="14" width="15" customWidth="1"/>
    <col min="17" max="17" width="12.1640625" customWidth="1"/>
    <col min="18" max="18" width="11.5" customWidth="1"/>
    <col min="19" max="19" width="12.6640625" customWidth="1"/>
    <col min="20" max="20" width="15.1640625" customWidth="1"/>
    <col min="21" max="21" width="14.83203125" customWidth="1"/>
    <col min="22" max="22" width="14.1640625" customWidth="1"/>
    <col min="23" max="23" width="12.33203125" customWidth="1"/>
    <col min="24" max="24" width="10.6640625" customWidth="1"/>
    <col min="25" max="26" width="11.1640625" customWidth="1"/>
    <col min="32" max="32" width="12.1640625" customWidth="1"/>
  </cols>
  <sheetData>
    <row r="2" spans="2:32">
      <c r="B2" s="16" t="s">
        <v>42</v>
      </c>
    </row>
    <row r="4" spans="2:32" ht="18">
      <c r="C4" s="131" t="s">
        <v>31</v>
      </c>
      <c r="D4" s="131"/>
      <c r="E4" s="131"/>
      <c r="F4" s="131" t="s">
        <v>32</v>
      </c>
      <c r="G4" s="131"/>
      <c r="H4" s="131"/>
      <c r="I4" s="131" t="s">
        <v>33</v>
      </c>
      <c r="J4" s="131"/>
      <c r="K4" s="131"/>
      <c r="L4" s="131" t="s">
        <v>34</v>
      </c>
      <c r="M4" s="131"/>
      <c r="N4" s="131"/>
      <c r="O4" s="131" t="s">
        <v>35</v>
      </c>
      <c r="P4" s="131"/>
      <c r="Q4" s="131"/>
      <c r="R4" s="131" t="s">
        <v>36</v>
      </c>
      <c r="S4" s="131"/>
      <c r="T4" s="131"/>
      <c r="U4" s="131" t="s">
        <v>37</v>
      </c>
      <c r="V4" s="131"/>
      <c r="W4" s="131"/>
      <c r="X4" s="131" t="s">
        <v>38</v>
      </c>
      <c r="Y4" s="131"/>
      <c r="Z4" s="131"/>
      <c r="AA4" s="131" t="s">
        <v>39</v>
      </c>
      <c r="AB4" s="131"/>
      <c r="AC4" s="131"/>
      <c r="AD4" s="132" t="s">
        <v>40</v>
      </c>
      <c r="AE4" s="132"/>
      <c r="AF4" s="132"/>
    </row>
    <row r="5" spans="2:32" ht="19">
      <c r="B5" s="8"/>
      <c r="C5" s="10" t="s">
        <v>4</v>
      </c>
      <c r="D5" s="10" t="s">
        <v>4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10" t="s">
        <v>4</v>
      </c>
      <c r="Q5" s="10" t="s">
        <v>4</v>
      </c>
      <c r="R5" s="10" t="s">
        <v>4</v>
      </c>
      <c r="S5" s="10" t="s">
        <v>4</v>
      </c>
      <c r="T5" s="10" t="s">
        <v>4</v>
      </c>
      <c r="U5" s="10" t="s">
        <v>4</v>
      </c>
      <c r="V5" s="10" t="s">
        <v>4</v>
      </c>
      <c r="W5" s="10" t="s">
        <v>4</v>
      </c>
      <c r="X5" s="10" t="s">
        <v>4</v>
      </c>
      <c r="Y5" s="10" t="s">
        <v>4</v>
      </c>
      <c r="Z5" s="10" t="s">
        <v>4</v>
      </c>
      <c r="AA5" s="10" t="s">
        <v>4</v>
      </c>
      <c r="AB5" s="10" t="s">
        <v>4</v>
      </c>
      <c r="AC5" s="10" t="s">
        <v>4</v>
      </c>
      <c r="AD5" s="10" t="s">
        <v>4</v>
      </c>
      <c r="AE5" s="10" t="s">
        <v>4</v>
      </c>
      <c r="AF5" s="10" t="s">
        <v>4</v>
      </c>
    </row>
    <row r="6" spans="2:32" ht="19">
      <c r="B6" s="8"/>
      <c r="C6" s="14" t="s">
        <v>43</v>
      </c>
      <c r="D6" s="14" t="s">
        <v>44</v>
      </c>
      <c r="E6" s="14" t="s">
        <v>45</v>
      </c>
      <c r="F6" s="14" t="s">
        <v>43</v>
      </c>
      <c r="G6" s="14" t="s">
        <v>44</v>
      </c>
      <c r="H6" s="14" t="s">
        <v>45</v>
      </c>
      <c r="I6" s="14" t="s">
        <v>43</v>
      </c>
      <c r="J6" s="14" t="s">
        <v>44</v>
      </c>
      <c r="K6" s="14" t="s">
        <v>45</v>
      </c>
      <c r="L6" s="14" t="s">
        <v>43</v>
      </c>
      <c r="M6" s="15" t="s">
        <v>44</v>
      </c>
      <c r="N6" s="15" t="s">
        <v>45</v>
      </c>
      <c r="O6" s="14" t="s">
        <v>43</v>
      </c>
      <c r="P6" s="15" t="s">
        <v>44</v>
      </c>
      <c r="Q6" s="15" t="s">
        <v>45</v>
      </c>
      <c r="R6" s="14" t="s">
        <v>43</v>
      </c>
      <c r="S6" s="15" t="s">
        <v>44</v>
      </c>
      <c r="T6" s="15" t="s">
        <v>45</v>
      </c>
      <c r="U6" s="14" t="s">
        <v>43</v>
      </c>
      <c r="V6" s="15" t="s">
        <v>44</v>
      </c>
      <c r="W6" s="15" t="s">
        <v>45</v>
      </c>
      <c r="X6" s="14" t="s">
        <v>43</v>
      </c>
      <c r="Y6" s="15" t="s">
        <v>44</v>
      </c>
      <c r="Z6" s="15" t="s">
        <v>45</v>
      </c>
      <c r="AA6" s="14" t="s">
        <v>43</v>
      </c>
      <c r="AB6" s="15" t="s">
        <v>44</v>
      </c>
      <c r="AC6" s="15" t="s">
        <v>45</v>
      </c>
      <c r="AD6" s="14" t="s">
        <v>43</v>
      </c>
      <c r="AE6" s="15" t="s">
        <v>44</v>
      </c>
      <c r="AF6" s="15" t="s">
        <v>45</v>
      </c>
    </row>
    <row r="7" spans="2:32" ht="19">
      <c r="B7" s="17" t="s">
        <v>5</v>
      </c>
      <c r="C7" s="19" t="s">
        <v>46</v>
      </c>
      <c r="D7" s="20"/>
      <c r="E7" s="20"/>
      <c r="F7" s="20" t="s">
        <v>47</v>
      </c>
      <c r="G7" s="20"/>
      <c r="H7" s="20"/>
      <c r="I7" s="20"/>
      <c r="J7" s="20"/>
      <c r="K7" s="20"/>
      <c r="L7" s="20" t="s">
        <v>48</v>
      </c>
      <c r="M7" s="20"/>
      <c r="N7" s="20"/>
      <c r="O7" s="20" t="s">
        <v>49</v>
      </c>
      <c r="P7" s="20"/>
      <c r="Q7" s="20"/>
      <c r="R7" s="20" t="s">
        <v>50</v>
      </c>
      <c r="S7" s="20"/>
      <c r="T7" s="20"/>
      <c r="U7" s="20" t="s">
        <v>51</v>
      </c>
      <c r="V7" s="20"/>
      <c r="W7" s="20"/>
      <c r="X7" s="20"/>
      <c r="Y7" s="20"/>
      <c r="Z7" s="20"/>
      <c r="AA7" s="20"/>
      <c r="AB7" s="20"/>
      <c r="AC7" s="20"/>
      <c r="AD7" s="20" t="s">
        <v>52</v>
      </c>
      <c r="AE7" s="20"/>
      <c r="AF7" s="21"/>
    </row>
    <row r="8" spans="2:32" ht="19">
      <c r="B8" s="17" t="s">
        <v>6</v>
      </c>
      <c r="C8" s="22" t="s">
        <v>53</v>
      </c>
      <c r="D8" s="23"/>
      <c r="E8" s="23"/>
      <c r="F8" s="23" t="s">
        <v>54</v>
      </c>
      <c r="G8" s="23"/>
      <c r="H8" s="23"/>
      <c r="I8" s="23" t="s">
        <v>55</v>
      </c>
      <c r="J8" s="23"/>
      <c r="K8" s="23"/>
      <c r="L8" s="23" t="s">
        <v>56</v>
      </c>
      <c r="M8" s="23"/>
      <c r="N8" s="23"/>
      <c r="O8" s="23"/>
      <c r="P8" s="23"/>
      <c r="Q8" s="23"/>
      <c r="R8" s="23"/>
      <c r="S8" s="23"/>
      <c r="T8" s="23"/>
      <c r="U8" s="23" t="s">
        <v>57</v>
      </c>
      <c r="V8" s="23"/>
      <c r="W8" s="23"/>
      <c r="X8" s="23" t="s">
        <v>58</v>
      </c>
      <c r="Y8" s="23"/>
      <c r="Z8" s="23"/>
      <c r="AA8" s="23"/>
      <c r="AB8" s="23"/>
      <c r="AC8" s="23"/>
      <c r="AD8" s="23" t="s">
        <v>59</v>
      </c>
      <c r="AE8" s="23"/>
      <c r="AF8" s="9"/>
    </row>
    <row r="9" spans="2:32" ht="19">
      <c r="B9" s="17" t="s">
        <v>7</v>
      </c>
      <c r="C9" s="22" t="s">
        <v>60</v>
      </c>
      <c r="D9" s="23"/>
      <c r="E9" s="23"/>
      <c r="F9" s="23" t="s">
        <v>61</v>
      </c>
      <c r="G9" s="23"/>
      <c r="H9" s="23"/>
      <c r="I9" s="23" t="s">
        <v>62</v>
      </c>
      <c r="J9" s="23"/>
      <c r="K9" s="23"/>
      <c r="L9" s="23" t="s">
        <v>63</v>
      </c>
      <c r="M9" s="23"/>
      <c r="N9" s="23"/>
      <c r="O9" s="23"/>
      <c r="P9" s="23"/>
      <c r="Q9" s="23"/>
      <c r="R9" s="23"/>
      <c r="S9" s="23"/>
      <c r="T9" s="23"/>
      <c r="U9" s="23" t="s">
        <v>64</v>
      </c>
      <c r="V9" s="23"/>
      <c r="W9" s="23"/>
      <c r="X9" s="23" t="s">
        <v>65</v>
      </c>
      <c r="Y9" s="23"/>
      <c r="Z9" s="23"/>
      <c r="AA9" s="23"/>
      <c r="AB9" s="23"/>
      <c r="AC9" s="23"/>
      <c r="AD9" s="23" t="s">
        <v>66</v>
      </c>
      <c r="AE9" s="23"/>
      <c r="AF9" s="9"/>
    </row>
    <row r="10" spans="2:32" ht="19">
      <c r="B10" s="17" t="s">
        <v>8</v>
      </c>
      <c r="C10" s="22"/>
      <c r="D10" s="23"/>
      <c r="E10" s="23"/>
      <c r="F10" s="23"/>
      <c r="G10" s="23"/>
      <c r="H10" s="23"/>
      <c r="I10" s="23" t="s">
        <v>67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 t="s">
        <v>67</v>
      </c>
      <c r="AE10" s="23"/>
      <c r="AF10" s="9"/>
    </row>
    <row r="11" spans="2:32" ht="19">
      <c r="B11" s="17" t="s">
        <v>9</v>
      </c>
      <c r="C11" s="22"/>
      <c r="D11" s="23"/>
      <c r="E11" s="23"/>
      <c r="F11" s="23"/>
      <c r="G11" s="23"/>
      <c r="H11" s="23"/>
      <c r="I11" s="23" t="s">
        <v>68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 t="s">
        <v>68</v>
      </c>
      <c r="AE11" s="23"/>
      <c r="AF11" s="9"/>
    </row>
    <row r="12" spans="2:32" ht="19">
      <c r="B12" s="17" t="s">
        <v>10</v>
      </c>
      <c r="C12" s="22" t="s">
        <v>69</v>
      </c>
      <c r="D12" s="23"/>
      <c r="E12" s="23"/>
      <c r="F12" s="23" t="s">
        <v>70</v>
      </c>
      <c r="G12" s="23"/>
      <c r="H12" s="23"/>
      <c r="I12" s="23" t="s">
        <v>71</v>
      </c>
      <c r="J12" s="23"/>
      <c r="K12" s="23"/>
      <c r="L12" s="23" t="s">
        <v>72</v>
      </c>
      <c r="M12" s="23"/>
      <c r="N12" s="23"/>
      <c r="O12" s="23"/>
      <c r="P12" s="23"/>
      <c r="Q12" s="23"/>
      <c r="R12" s="23"/>
      <c r="S12" s="23"/>
      <c r="T12" s="23"/>
      <c r="U12" s="23" t="s">
        <v>73</v>
      </c>
      <c r="V12" s="23"/>
      <c r="W12" s="23"/>
      <c r="X12" s="23"/>
      <c r="Y12" s="23"/>
      <c r="Z12" s="23"/>
      <c r="AA12" s="23"/>
      <c r="AB12" s="23"/>
      <c r="AC12" s="23"/>
      <c r="AD12" s="23" t="s">
        <v>74</v>
      </c>
      <c r="AE12" s="23"/>
      <c r="AF12" s="9"/>
    </row>
    <row r="13" spans="2:32" s="7" customFormat="1" ht="19">
      <c r="B13" s="11" t="s">
        <v>11</v>
      </c>
      <c r="C13" s="24" t="s">
        <v>75</v>
      </c>
      <c r="D13" s="12"/>
      <c r="E13" s="12"/>
      <c r="F13" s="12" t="s">
        <v>76</v>
      </c>
      <c r="G13" s="12"/>
      <c r="H13" s="12"/>
      <c r="I13" s="12" t="s">
        <v>77</v>
      </c>
      <c r="J13" s="12"/>
      <c r="K13" s="12"/>
      <c r="L13" s="12" t="s">
        <v>78</v>
      </c>
      <c r="M13" s="12"/>
      <c r="N13" s="12"/>
      <c r="O13" s="12" t="s">
        <v>49</v>
      </c>
      <c r="P13" s="12"/>
      <c r="Q13" s="12"/>
      <c r="R13" s="12" t="s">
        <v>50</v>
      </c>
      <c r="S13" s="12"/>
      <c r="T13" s="12"/>
      <c r="U13" s="12" t="s">
        <v>79</v>
      </c>
      <c r="V13" s="12"/>
      <c r="W13" s="12"/>
      <c r="X13" s="12" t="s">
        <v>80</v>
      </c>
      <c r="Y13" s="12"/>
      <c r="Z13" s="12"/>
      <c r="AA13" s="12"/>
      <c r="AB13" s="12"/>
      <c r="AC13" s="12"/>
      <c r="AD13" s="12" t="s">
        <v>81</v>
      </c>
      <c r="AE13" s="12"/>
      <c r="AF13" s="13"/>
    </row>
    <row r="14" spans="2:32" ht="19">
      <c r="B14" s="17" t="s">
        <v>12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9"/>
    </row>
    <row r="15" spans="2:32" ht="19">
      <c r="B15" s="17" t="s">
        <v>13</v>
      </c>
      <c r="C15" s="22">
        <v>116</v>
      </c>
      <c r="D15" s="23"/>
      <c r="E15" s="23"/>
      <c r="F15" s="23" t="s">
        <v>82</v>
      </c>
      <c r="G15" s="23"/>
      <c r="H15" s="23"/>
      <c r="I15" s="23" t="s">
        <v>83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>
        <v>17</v>
      </c>
      <c r="Y15" s="23"/>
      <c r="Z15" s="23"/>
      <c r="AA15" s="23">
        <v>1</v>
      </c>
      <c r="AB15" s="23"/>
      <c r="AC15" s="23"/>
      <c r="AD15" s="23" t="s">
        <v>84</v>
      </c>
      <c r="AE15" s="23"/>
      <c r="AF15" s="9"/>
    </row>
    <row r="16" spans="2:32" ht="19">
      <c r="B16" s="17" t="s">
        <v>14</v>
      </c>
      <c r="C16" s="22" t="s">
        <v>85</v>
      </c>
      <c r="D16" s="23"/>
      <c r="E16" s="23"/>
      <c r="F16" s="23"/>
      <c r="G16" s="23"/>
      <c r="H16" s="23"/>
      <c r="I16" s="23" t="s">
        <v>86</v>
      </c>
      <c r="J16" s="23"/>
      <c r="K16" s="23"/>
      <c r="L16" s="23" t="s">
        <v>87</v>
      </c>
      <c r="M16" s="23"/>
      <c r="N16" s="23"/>
      <c r="O16" s="23" t="s">
        <v>88</v>
      </c>
      <c r="P16" s="23"/>
      <c r="Q16" s="23"/>
      <c r="R16" s="23" t="s">
        <v>89</v>
      </c>
      <c r="S16" s="23"/>
      <c r="T16" s="23"/>
      <c r="U16" s="23" t="s">
        <v>90</v>
      </c>
      <c r="V16" s="23"/>
      <c r="W16" s="23"/>
      <c r="X16" s="23" t="s">
        <v>91</v>
      </c>
      <c r="Y16" s="23"/>
      <c r="Z16" s="23"/>
      <c r="AA16" s="23"/>
      <c r="AB16" s="23"/>
      <c r="AC16" s="23"/>
      <c r="AD16" s="23" t="s">
        <v>92</v>
      </c>
      <c r="AE16" s="23"/>
      <c r="AF16" s="9"/>
    </row>
    <row r="17" spans="2:32" ht="19">
      <c r="B17" s="17" t="s">
        <v>15</v>
      </c>
      <c r="C17" s="22" t="s">
        <v>93</v>
      </c>
      <c r="D17" s="23"/>
      <c r="E17" s="23"/>
      <c r="F17" s="23"/>
      <c r="G17" s="23"/>
      <c r="H17" s="23"/>
      <c r="I17" s="23" t="s">
        <v>94</v>
      </c>
      <c r="J17" s="23"/>
      <c r="K17" s="23"/>
      <c r="L17" s="23" t="s">
        <v>95</v>
      </c>
      <c r="M17" s="23"/>
      <c r="N17" s="23"/>
      <c r="O17" s="23"/>
      <c r="P17" s="23"/>
      <c r="Q17" s="23"/>
      <c r="R17" s="23"/>
      <c r="S17" s="23"/>
      <c r="T17" s="23"/>
      <c r="U17" s="23" t="s">
        <v>96</v>
      </c>
      <c r="V17" s="23"/>
      <c r="W17" s="23"/>
      <c r="X17" s="23" t="s">
        <v>97</v>
      </c>
      <c r="Y17" s="23"/>
      <c r="Z17" s="23"/>
      <c r="AA17" s="23" t="s">
        <v>98</v>
      </c>
      <c r="AB17" s="23"/>
      <c r="AC17" s="23"/>
      <c r="AD17" s="23" t="s">
        <v>99</v>
      </c>
      <c r="AE17" s="23"/>
      <c r="AF17" s="9"/>
    </row>
    <row r="18" spans="2:32" ht="19">
      <c r="B18" s="17" t="s">
        <v>16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 t="s">
        <v>100</v>
      </c>
      <c r="S18" s="23"/>
      <c r="T18" s="23"/>
      <c r="U18" s="23" t="s">
        <v>101</v>
      </c>
      <c r="V18" s="23"/>
      <c r="W18" s="23"/>
      <c r="X18" s="23"/>
      <c r="Y18" s="23"/>
      <c r="Z18" s="23"/>
      <c r="AA18" s="23" t="s">
        <v>102</v>
      </c>
      <c r="AB18" s="23"/>
      <c r="AC18" s="23"/>
      <c r="AD18" s="23" t="s">
        <v>103</v>
      </c>
      <c r="AE18" s="23"/>
      <c r="AF18" s="9"/>
    </row>
    <row r="19" spans="2:32" ht="19">
      <c r="B19" s="17" t="s">
        <v>17</v>
      </c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9"/>
    </row>
    <row r="20" spans="2:32" ht="19">
      <c r="B20" s="17" t="s">
        <v>18</v>
      </c>
      <c r="C20" s="22"/>
      <c r="D20" s="23"/>
      <c r="E20" s="23"/>
      <c r="F20" s="23" t="s">
        <v>104</v>
      </c>
      <c r="G20" s="23"/>
      <c r="H20" s="23"/>
      <c r="I20" s="23" t="s">
        <v>105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 t="s">
        <v>106</v>
      </c>
      <c r="AE20" s="23"/>
      <c r="AF20" s="9"/>
    </row>
    <row r="21" spans="2:32" ht="19">
      <c r="B21" s="17" t="s">
        <v>19</v>
      </c>
      <c r="C21" s="22" t="s">
        <v>107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 t="s">
        <v>107</v>
      </c>
      <c r="AE21" s="23"/>
      <c r="AF21" s="9"/>
    </row>
    <row r="22" spans="2:32" ht="19">
      <c r="B22" s="17" t="s">
        <v>20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9"/>
    </row>
    <row r="23" spans="2:32" ht="19">
      <c r="B23" s="17" t="s">
        <v>21</v>
      </c>
      <c r="C23" s="22"/>
      <c r="D23" s="23"/>
      <c r="E23" s="23"/>
      <c r="F23" s="23" t="s">
        <v>108</v>
      </c>
      <c r="G23" s="23"/>
      <c r="H23" s="23"/>
      <c r="I23" s="23" t="s">
        <v>109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>
        <v>-308</v>
      </c>
      <c r="V23" s="23"/>
      <c r="W23" s="23"/>
      <c r="X23" s="23"/>
      <c r="Y23" s="23"/>
      <c r="Z23" s="23"/>
      <c r="AA23" s="23"/>
      <c r="AB23" s="23"/>
      <c r="AC23" s="23"/>
      <c r="AD23" s="23" t="s">
        <v>110</v>
      </c>
      <c r="AE23" s="23"/>
      <c r="AF23" s="9"/>
    </row>
    <row r="24" spans="2:32" ht="19">
      <c r="B24" s="17" t="s">
        <v>22</v>
      </c>
      <c r="C24" s="22" t="s">
        <v>111</v>
      </c>
      <c r="D24" s="23"/>
      <c r="E24" s="23"/>
      <c r="F24" s="23"/>
      <c r="G24" s="23"/>
      <c r="H24" s="23"/>
      <c r="I24" s="23" t="s">
        <v>112</v>
      </c>
      <c r="J24" s="23"/>
      <c r="K24" s="23"/>
      <c r="L24" s="23" t="s">
        <v>113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 t="s">
        <v>114</v>
      </c>
      <c r="Y24" s="23"/>
      <c r="Z24" s="23"/>
      <c r="AA24" s="23" t="s">
        <v>115</v>
      </c>
      <c r="AB24" s="23"/>
      <c r="AC24" s="23"/>
      <c r="AD24" s="23" t="s">
        <v>116</v>
      </c>
      <c r="AE24" s="23"/>
      <c r="AF24" s="9"/>
    </row>
    <row r="25" spans="2:32" ht="19">
      <c r="B25" s="17" t="s">
        <v>23</v>
      </c>
      <c r="C25" s="22"/>
      <c r="D25" s="23"/>
      <c r="E25" s="23"/>
      <c r="F25" s="23"/>
      <c r="G25" s="23"/>
      <c r="H25" s="23"/>
      <c r="I25" s="23"/>
      <c r="J25" s="23"/>
      <c r="K25" s="23"/>
      <c r="L25" s="23" t="s">
        <v>117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 t="s">
        <v>118</v>
      </c>
      <c r="Y25" s="23"/>
      <c r="Z25" s="23"/>
      <c r="AA25" s="23">
        <v>-863</v>
      </c>
      <c r="AB25" s="23"/>
      <c r="AC25" s="23"/>
      <c r="AD25" s="23" t="s">
        <v>119</v>
      </c>
      <c r="AE25" s="23"/>
      <c r="AF25" s="9"/>
    </row>
    <row r="26" spans="2:32" s="7" customFormat="1" ht="19">
      <c r="B26" s="11" t="s">
        <v>24</v>
      </c>
      <c r="C26" s="24" t="s">
        <v>120</v>
      </c>
      <c r="D26" s="12"/>
      <c r="E26" s="12"/>
      <c r="F26" s="12"/>
      <c r="G26" s="12"/>
      <c r="H26" s="12"/>
      <c r="I26" s="12" t="s">
        <v>121</v>
      </c>
      <c r="J26" s="12"/>
      <c r="K26" s="12"/>
      <c r="L26" s="12" t="s">
        <v>122</v>
      </c>
      <c r="M26" s="12"/>
      <c r="N26" s="12"/>
      <c r="O26" s="12"/>
      <c r="P26" s="12"/>
      <c r="Q26" s="12"/>
      <c r="R26" s="12" t="s">
        <v>123</v>
      </c>
      <c r="S26" s="12"/>
      <c r="T26" s="12"/>
      <c r="U26" s="12" t="s">
        <v>124</v>
      </c>
      <c r="V26" s="12"/>
      <c r="W26" s="12"/>
      <c r="X26" s="12" t="s">
        <v>125</v>
      </c>
      <c r="Y26" s="12"/>
      <c r="Z26" s="12"/>
      <c r="AA26" s="12" t="s">
        <v>126</v>
      </c>
      <c r="AB26" s="12"/>
      <c r="AC26" s="12"/>
      <c r="AD26" s="12" t="s">
        <v>127</v>
      </c>
      <c r="AE26" s="12"/>
      <c r="AF26" s="13"/>
    </row>
    <row r="27" spans="2:32" ht="19">
      <c r="B27" s="17" t="s">
        <v>25</v>
      </c>
      <c r="C27" s="22" t="s">
        <v>128</v>
      </c>
      <c r="D27" s="23"/>
      <c r="E27" s="23"/>
      <c r="F27" s="23"/>
      <c r="G27" s="23"/>
      <c r="H27" s="23"/>
      <c r="I27" s="23" t="s">
        <v>129</v>
      </c>
      <c r="J27" s="23"/>
      <c r="K27" s="23"/>
      <c r="L27" s="23" t="s">
        <v>130</v>
      </c>
      <c r="M27" s="23"/>
      <c r="N27" s="23"/>
      <c r="O27" s="23"/>
      <c r="P27" s="23"/>
      <c r="Q27" s="23"/>
      <c r="R27" s="23">
        <v>405</v>
      </c>
      <c r="S27" s="23"/>
      <c r="T27" s="23"/>
      <c r="U27" s="23" t="s">
        <v>131</v>
      </c>
      <c r="V27" s="23"/>
      <c r="W27" s="23"/>
      <c r="X27" s="23" t="s">
        <v>132</v>
      </c>
      <c r="Y27" s="23"/>
      <c r="Z27" s="23"/>
      <c r="AA27" s="23" t="s">
        <v>133</v>
      </c>
      <c r="AB27" s="23"/>
      <c r="AC27" s="23"/>
      <c r="AD27" s="23" t="s">
        <v>134</v>
      </c>
      <c r="AE27" s="23"/>
      <c r="AF27" s="9"/>
    </row>
    <row r="28" spans="2:32" ht="19">
      <c r="B28" s="17" t="s">
        <v>26</v>
      </c>
      <c r="C28" s="22"/>
      <c r="D28" s="23"/>
      <c r="E28" s="23"/>
      <c r="F28" s="23"/>
      <c r="G28" s="23"/>
      <c r="H28" s="23"/>
      <c r="I28" s="23" t="s">
        <v>135</v>
      </c>
      <c r="J28" s="23"/>
      <c r="K28" s="23"/>
      <c r="L28" s="23" t="s">
        <v>136</v>
      </c>
      <c r="M28" s="23"/>
      <c r="N28" s="23"/>
      <c r="O28" s="23"/>
      <c r="P28" s="23"/>
      <c r="Q28" s="23"/>
      <c r="R28" s="23"/>
      <c r="S28" s="23"/>
      <c r="T28" s="23"/>
      <c r="U28" s="23" t="s">
        <v>137</v>
      </c>
      <c r="V28" s="23"/>
      <c r="W28" s="23"/>
      <c r="X28" s="23" t="s">
        <v>138</v>
      </c>
      <c r="Y28" s="23"/>
      <c r="Z28" s="23"/>
      <c r="AA28" s="23"/>
      <c r="AB28" s="23"/>
      <c r="AC28" s="23"/>
      <c r="AD28" s="23" t="s">
        <v>139</v>
      </c>
      <c r="AE28" s="23"/>
      <c r="AF28" s="9"/>
    </row>
    <row r="29" spans="2:32" ht="19">
      <c r="B29" s="17" t="s">
        <v>2</v>
      </c>
      <c r="C29" s="22">
        <v>101</v>
      </c>
      <c r="D29" s="23"/>
      <c r="E29" s="23"/>
      <c r="F29" s="23"/>
      <c r="G29" s="23"/>
      <c r="H29" s="23"/>
      <c r="I29" s="23" t="s">
        <v>140</v>
      </c>
      <c r="J29" s="23"/>
      <c r="K29" s="23"/>
      <c r="L29" s="23" t="s">
        <v>141</v>
      </c>
      <c r="M29" s="23"/>
      <c r="N29" s="23"/>
      <c r="O29" s="23"/>
      <c r="P29" s="23"/>
      <c r="Q29" s="23"/>
      <c r="R29" s="23" t="s">
        <v>142</v>
      </c>
      <c r="S29" s="23"/>
      <c r="T29" s="23"/>
      <c r="U29" s="23" t="s">
        <v>143</v>
      </c>
      <c r="V29" s="23"/>
      <c r="W29" s="23"/>
      <c r="X29" s="23" t="s">
        <v>144</v>
      </c>
      <c r="Y29" s="23"/>
      <c r="Z29" s="23"/>
      <c r="AA29" s="23" t="s">
        <v>145</v>
      </c>
      <c r="AB29" s="23"/>
      <c r="AC29" s="23"/>
      <c r="AD29" s="23" t="s">
        <v>146</v>
      </c>
      <c r="AE29" s="23"/>
      <c r="AF29" s="9"/>
    </row>
    <row r="30" spans="2:32" ht="19">
      <c r="B30" s="17" t="s">
        <v>27</v>
      </c>
      <c r="C30" s="22"/>
      <c r="D30" s="23"/>
      <c r="E30" s="23"/>
      <c r="F30" s="23"/>
      <c r="G30" s="23"/>
      <c r="H30" s="23"/>
      <c r="I30" s="23" t="s">
        <v>147</v>
      </c>
      <c r="J30" s="23"/>
      <c r="K30" s="23"/>
      <c r="L30" s="23" t="s">
        <v>148</v>
      </c>
      <c r="M30" s="23"/>
      <c r="N30" s="23"/>
      <c r="O30" s="23"/>
      <c r="P30" s="23"/>
      <c r="Q30" s="23"/>
      <c r="R30" s="23" t="s">
        <v>149</v>
      </c>
      <c r="S30" s="23"/>
      <c r="T30" s="23"/>
      <c r="U30" s="23" t="s">
        <v>150</v>
      </c>
      <c r="V30" s="23"/>
      <c r="W30" s="23"/>
      <c r="X30" s="23" t="s">
        <v>151</v>
      </c>
      <c r="Y30" s="23"/>
      <c r="Z30" s="23"/>
      <c r="AA30" s="23" t="s">
        <v>152</v>
      </c>
      <c r="AB30" s="23"/>
      <c r="AC30" s="23"/>
      <c r="AD30" s="23" t="s">
        <v>153</v>
      </c>
      <c r="AE30" s="23"/>
      <c r="AF30" s="9"/>
    </row>
    <row r="31" spans="2:32" ht="19">
      <c r="B31" s="17" t="s">
        <v>28</v>
      </c>
      <c r="C31" s="22"/>
      <c r="D31" s="23"/>
      <c r="E31" s="23"/>
      <c r="F31" s="23"/>
      <c r="G31" s="23"/>
      <c r="H31" s="23"/>
      <c r="I31" s="23" t="s">
        <v>154</v>
      </c>
      <c r="J31" s="23"/>
      <c r="K31" s="23"/>
      <c r="L31" s="23" t="s">
        <v>155</v>
      </c>
      <c r="M31" s="23"/>
      <c r="N31" s="23"/>
      <c r="O31" s="23"/>
      <c r="P31" s="23"/>
      <c r="Q31" s="23"/>
      <c r="R31" s="23">
        <v>739</v>
      </c>
      <c r="S31" s="23"/>
      <c r="T31" s="23"/>
      <c r="U31" s="23">
        <v>67</v>
      </c>
      <c r="V31" s="23"/>
      <c r="W31" s="23"/>
      <c r="X31" s="23" t="s">
        <v>156</v>
      </c>
      <c r="Y31" s="23"/>
      <c r="Z31" s="23"/>
      <c r="AA31" s="23">
        <v>647</v>
      </c>
      <c r="AB31" s="23"/>
      <c r="AC31" s="23"/>
      <c r="AD31" s="23" t="s">
        <v>157</v>
      </c>
      <c r="AE31" s="23"/>
      <c r="AF31" s="9"/>
    </row>
    <row r="32" spans="2:32" ht="19">
      <c r="B32" s="17" t="s">
        <v>3</v>
      </c>
      <c r="C32" s="22"/>
      <c r="D32" s="23"/>
      <c r="E32" s="23"/>
      <c r="F32" s="23"/>
      <c r="G32" s="23"/>
      <c r="H32" s="23"/>
      <c r="I32" s="23" t="s">
        <v>158</v>
      </c>
      <c r="J32" s="23"/>
      <c r="K32" s="23"/>
      <c r="L32" s="23"/>
      <c r="M32" s="23"/>
      <c r="N32" s="23"/>
      <c r="O32" s="23"/>
      <c r="P32" s="23"/>
      <c r="Q32" s="23"/>
      <c r="R32" s="23">
        <v>908</v>
      </c>
      <c r="S32" s="23"/>
      <c r="T32" s="23"/>
      <c r="U32" s="23"/>
      <c r="V32" s="23"/>
      <c r="W32" s="23"/>
      <c r="X32" s="23">
        <v>364</v>
      </c>
      <c r="Y32" s="23"/>
      <c r="Z32" s="23"/>
      <c r="AA32" s="23"/>
      <c r="AB32" s="23"/>
      <c r="AC32" s="23"/>
      <c r="AD32" s="23" t="s">
        <v>159</v>
      </c>
      <c r="AE32" s="23"/>
      <c r="AF32" s="9"/>
    </row>
    <row r="33" spans="2:32" ht="19">
      <c r="B33" s="17" t="s">
        <v>1</v>
      </c>
      <c r="C33" s="22"/>
      <c r="D33" s="23"/>
      <c r="E33" s="23"/>
      <c r="F33" s="23"/>
      <c r="G33" s="23"/>
      <c r="H33" s="23"/>
      <c r="I33" s="23" t="s">
        <v>160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 t="s">
        <v>161</v>
      </c>
      <c r="AB33" s="23"/>
      <c r="AC33" s="23"/>
      <c r="AD33" s="23" t="s">
        <v>162</v>
      </c>
      <c r="AE33" s="23"/>
      <c r="AF33" s="9"/>
    </row>
    <row r="34" spans="2:32" s="6" customFormat="1" ht="19">
      <c r="B34" s="18" t="s">
        <v>30</v>
      </c>
      <c r="C34" s="25" t="s">
        <v>163</v>
      </c>
      <c r="D34" s="26"/>
      <c r="E34" s="26"/>
      <c r="F34" s="26"/>
      <c r="G34" s="26"/>
      <c r="H34" s="26"/>
      <c r="I34" s="26" t="s">
        <v>164</v>
      </c>
      <c r="J34" s="26"/>
      <c r="K34" s="26"/>
      <c r="L34" s="26" t="s">
        <v>165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 t="s">
        <v>166</v>
      </c>
      <c r="AE34" s="26"/>
      <c r="AF34" s="27"/>
    </row>
  </sheetData>
  <mergeCells count="10">
    <mergeCell ref="U4:W4"/>
    <mergeCell ref="X4:Z4"/>
    <mergeCell ref="AA4:AC4"/>
    <mergeCell ref="AD4:AF4"/>
    <mergeCell ref="C4:E4"/>
    <mergeCell ref="F4:H4"/>
    <mergeCell ref="I4:K4"/>
    <mergeCell ref="L4:N4"/>
    <mergeCell ref="O4:Q4"/>
    <mergeCell ref="R4:T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2F9E-C538-1742-9F92-C2A973969E81}">
  <dimension ref="B2:AF34"/>
  <sheetViews>
    <sheetView zoomScale="72" zoomScaleNormal="72" workbookViewId="0">
      <selection activeCell="G38" sqref="G38"/>
    </sheetView>
  </sheetViews>
  <sheetFormatPr baseColWidth="10" defaultRowHeight="16"/>
  <cols>
    <col min="2" max="2" width="31.33203125" customWidth="1"/>
    <col min="3" max="5" width="14.83203125" customWidth="1"/>
    <col min="6" max="8" width="14.33203125" customWidth="1"/>
    <col min="9" max="11" width="16.5" customWidth="1"/>
    <col min="12" max="14" width="15" customWidth="1"/>
    <col min="17" max="17" width="12.1640625" customWidth="1"/>
    <col min="18" max="18" width="11.5" customWidth="1"/>
    <col min="19" max="19" width="12.6640625" customWidth="1"/>
    <col min="20" max="20" width="15.1640625" customWidth="1"/>
    <col min="21" max="21" width="14.83203125" customWidth="1"/>
    <col min="22" max="22" width="14.1640625" customWidth="1"/>
    <col min="23" max="23" width="12.33203125" customWidth="1"/>
    <col min="24" max="24" width="10.6640625" customWidth="1"/>
    <col min="25" max="26" width="11.1640625" customWidth="1"/>
    <col min="32" max="32" width="12.1640625" customWidth="1"/>
  </cols>
  <sheetData>
    <row r="2" spans="2:32">
      <c r="B2" s="16" t="s">
        <v>42</v>
      </c>
    </row>
    <row r="4" spans="2:32" ht="18">
      <c r="C4" s="131" t="s">
        <v>31</v>
      </c>
      <c r="D4" s="131"/>
      <c r="E4" s="131"/>
      <c r="F4" s="131" t="s">
        <v>32</v>
      </c>
      <c r="G4" s="131"/>
      <c r="H4" s="131"/>
      <c r="I4" s="131" t="s">
        <v>33</v>
      </c>
      <c r="J4" s="131"/>
      <c r="K4" s="131"/>
      <c r="L4" s="131" t="s">
        <v>34</v>
      </c>
      <c r="M4" s="131"/>
      <c r="N4" s="131"/>
      <c r="O4" s="131" t="s">
        <v>35</v>
      </c>
      <c r="P4" s="131"/>
      <c r="Q4" s="131"/>
      <c r="R4" s="131" t="s">
        <v>36</v>
      </c>
      <c r="S4" s="131"/>
      <c r="T4" s="131"/>
      <c r="U4" s="131" t="s">
        <v>37</v>
      </c>
      <c r="V4" s="131"/>
      <c r="W4" s="131"/>
      <c r="X4" s="131" t="s">
        <v>38</v>
      </c>
      <c r="Y4" s="131"/>
      <c r="Z4" s="131"/>
      <c r="AA4" s="131" t="s">
        <v>39</v>
      </c>
      <c r="AB4" s="131"/>
      <c r="AC4" s="131"/>
      <c r="AD4" s="132" t="s">
        <v>40</v>
      </c>
      <c r="AE4" s="132"/>
      <c r="AF4" s="132"/>
    </row>
    <row r="5" spans="2:32" ht="19">
      <c r="B5" s="8"/>
      <c r="C5" s="10" t="s">
        <v>4</v>
      </c>
      <c r="D5" s="10" t="s">
        <v>4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10" t="s">
        <v>4</v>
      </c>
      <c r="Q5" s="10" t="s">
        <v>4</v>
      </c>
      <c r="R5" s="10" t="s">
        <v>4</v>
      </c>
      <c r="S5" s="10" t="s">
        <v>4</v>
      </c>
      <c r="T5" s="10" t="s">
        <v>4</v>
      </c>
      <c r="U5" s="10" t="s">
        <v>4</v>
      </c>
      <c r="V5" s="10" t="s">
        <v>4</v>
      </c>
      <c r="W5" s="10" t="s">
        <v>4</v>
      </c>
      <c r="X5" s="10" t="s">
        <v>4</v>
      </c>
      <c r="Y5" s="10" t="s">
        <v>4</v>
      </c>
      <c r="Z5" s="10" t="s">
        <v>4</v>
      </c>
      <c r="AA5" s="10" t="s">
        <v>4</v>
      </c>
      <c r="AB5" s="10" t="s">
        <v>4</v>
      </c>
      <c r="AC5" s="10" t="s">
        <v>4</v>
      </c>
      <c r="AD5" s="10" t="s">
        <v>4</v>
      </c>
      <c r="AE5" s="10" t="s">
        <v>4</v>
      </c>
      <c r="AF5" s="10" t="s">
        <v>4</v>
      </c>
    </row>
    <row r="6" spans="2:32" ht="19">
      <c r="B6" s="8"/>
      <c r="C6" s="14" t="s">
        <v>43</v>
      </c>
      <c r="D6" s="14" t="s">
        <v>44</v>
      </c>
      <c r="E6" s="14" t="s">
        <v>45</v>
      </c>
      <c r="F6" s="14" t="s">
        <v>43</v>
      </c>
      <c r="G6" s="14" t="s">
        <v>44</v>
      </c>
      <c r="H6" s="14" t="s">
        <v>45</v>
      </c>
      <c r="I6" s="14" t="s">
        <v>43</v>
      </c>
      <c r="J6" s="14" t="s">
        <v>44</v>
      </c>
      <c r="K6" s="14" t="s">
        <v>45</v>
      </c>
      <c r="L6" s="14" t="s">
        <v>43</v>
      </c>
      <c r="M6" s="15" t="s">
        <v>44</v>
      </c>
      <c r="N6" s="15" t="s">
        <v>45</v>
      </c>
      <c r="O6" s="14" t="s">
        <v>43</v>
      </c>
      <c r="P6" s="15" t="s">
        <v>44</v>
      </c>
      <c r="Q6" s="15" t="s">
        <v>45</v>
      </c>
      <c r="R6" s="14" t="s">
        <v>43</v>
      </c>
      <c r="S6" s="15" t="s">
        <v>44</v>
      </c>
      <c r="T6" s="15" t="s">
        <v>45</v>
      </c>
      <c r="U6" s="14" t="s">
        <v>43</v>
      </c>
      <c r="V6" s="15" t="s">
        <v>44</v>
      </c>
      <c r="W6" s="15" t="s">
        <v>45</v>
      </c>
      <c r="X6" s="14" t="s">
        <v>43</v>
      </c>
      <c r="Y6" s="15" t="s">
        <v>44</v>
      </c>
      <c r="Z6" s="15" t="s">
        <v>45</v>
      </c>
      <c r="AA6" s="14" t="s">
        <v>43</v>
      </c>
      <c r="AB6" s="15" t="s">
        <v>44</v>
      </c>
      <c r="AC6" s="15" t="s">
        <v>45</v>
      </c>
      <c r="AD6" s="14" t="s">
        <v>43</v>
      </c>
      <c r="AE6" s="15" t="s">
        <v>44</v>
      </c>
      <c r="AF6" s="15" t="s">
        <v>45</v>
      </c>
    </row>
    <row r="7" spans="2:32" ht="19">
      <c r="B7" s="17" t="s">
        <v>5</v>
      </c>
      <c r="C7" s="19" t="s">
        <v>384</v>
      </c>
      <c r="D7" s="20"/>
      <c r="E7" s="20"/>
      <c r="F7" s="20" t="s">
        <v>385</v>
      </c>
      <c r="G7" s="20"/>
      <c r="H7" s="20"/>
      <c r="I7" s="20"/>
      <c r="J7" s="20"/>
      <c r="K7" s="20"/>
      <c r="L7" s="20" t="s">
        <v>386</v>
      </c>
      <c r="M7" s="20"/>
      <c r="N7" s="20"/>
      <c r="O7" s="20" t="s">
        <v>387</v>
      </c>
      <c r="P7" s="20"/>
      <c r="Q7" s="20"/>
      <c r="R7" s="20" t="s">
        <v>388</v>
      </c>
      <c r="S7" s="20"/>
      <c r="T7" s="20"/>
      <c r="U7" s="20" t="s">
        <v>389</v>
      </c>
      <c r="V7" s="20"/>
      <c r="W7" s="20"/>
      <c r="X7" s="20"/>
      <c r="Y7" s="20"/>
      <c r="Z7" s="20"/>
      <c r="AA7" s="20"/>
      <c r="AB7" s="20"/>
      <c r="AC7" s="20"/>
      <c r="AD7" s="20" t="s">
        <v>390</v>
      </c>
      <c r="AE7" s="20"/>
      <c r="AF7" s="21"/>
    </row>
    <row r="8" spans="2:32" ht="19">
      <c r="B8" s="17" t="s">
        <v>6</v>
      </c>
      <c r="C8" s="22" t="s">
        <v>391</v>
      </c>
      <c r="D8" s="23"/>
      <c r="E8" s="23"/>
      <c r="F8" s="23" t="s">
        <v>392</v>
      </c>
      <c r="G8" s="23"/>
      <c r="H8" s="23"/>
      <c r="I8" s="23" t="s">
        <v>393</v>
      </c>
      <c r="J8" s="23"/>
      <c r="K8" s="23"/>
      <c r="L8" s="23" t="s">
        <v>394</v>
      </c>
      <c r="M8" s="23"/>
      <c r="N8" s="23"/>
      <c r="O8" s="23"/>
      <c r="P8" s="23"/>
      <c r="Q8" s="23"/>
      <c r="R8" s="23"/>
      <c r="S8" s="23"/>
      <c r="T8" s="23"/>
      <c r="U8" s="23" t="s">
        <v>395</v>
      </c>
      <c r="V8" s="23"/>
      <c r="W8" s="23"/>
      <c r="X8" s="23" t="s">
        <v>396</v>
      </c>
      <c r="Y8" s="23"/>
      <c r="Z8" s="23"/>
      <c r="AA8" s="23"/>
      <c r="AB8" s="23"/>
      <c r="AC8" s="23"/>
      <c r="AD8" s="23" t="s">
        <v>397</v>
      </c>
      <c r="AE8" s="23"/>
      <c r="AF8" s="9"/>
    </row>
    <row r="9" spans="2:32" ht="19">
      <c r="B9" s="17" t="s">
        <v>7</v>
      </c>
      <c r="C9" s="22" t="s">
        <v>398</v>
      </c>
      <c r="D9" s="23"/>
      <c r="E9" s="23"/>
      <c r="F9" s="23" t="s">
        <v>399</v>
      </c>
      <c r="G9" s="23"/>
      <c r="H9" s="23"/>
      <c r="I9" s="23" t="s">
        <v>400</v>
      </c>
      <c r="J9" s="23"/>
      <c r="K9" s="23"/>
      <c r="L9" s="23" t="s">
        <v>401</v>
      </c>
      <c r="M9" s="23"/>
      <c r="N9" s="23"/>
      <c r="O9" s="23"/>
      <c r="P9" s="23"/>
      <c r="Q9" s="23"/>
      <c r="R9" s="23"/>
      <c r="S9" s="23"/>
      <c r="T9" s="23"/>
      <c r="U9" s="23" t="s">
        <v>402</v>
      </c>
      <c r="V9" s="23"/>
      <c r="W9" s="23"/>
      <c r="X9" s="23" t="s">
        <v>403</v>
      </c>
      <c r="Y9" s="23"/>
      <c r="Z9" s="23"/>
      <c r="AA9" s="23"/>
      <c r="AB9" s="23"/>
      <c r="AC9" s="23"/>
      <c r="AD9" s="23" t="s">
        <v>404</v>
      </c>
      <c r="AE9" s="23"/>
      <c r="AF9" s="9"/>
    </row>
    <row r="10" spans="2:32" ht="19">
      <c r="B10" s="17" t="s">
        <v>8</v>
      </c>
      <c r="C10" s="22"/>
      <c r="D10" s="23"/>
      <c r="E10" s="23"/>
      <c r="F10" s="23"/>
      <c r="G10" s="23"/>
      <c r="H10" s="23"/>
      <c r="I10" s="23" t="s">
        <v>405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 t="s">
        <v>405</v>
      </c>
      <c r="AE10" s="23"/>
      <c r="AF10" s="9"/>
    </row>
    <row r="11" spans="2:32" ht="19">
      <c r="B11" s="17" t="s">
        <v>9</v>
      </c>
      <c r="C11" s="22"/>
      <c r="D11" s="23"/>
      <c r="E11" s="23"/>
      <c r="F11" s="23"/>
      <c r="G11" s="23"/>
      <c r="H11" s="23"/>
      <c r="I11" s="23" t="s">
        <v>406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 t="s">
        <v>406</v>
      </c>
      <c r="AE11" s="23"/>
      <c r="AF11" s="9"/>
    </row>
    <row r="12" spans="2:32" ht="19">
      <c r="B12" s="17" t="s">
        <v>10</v>
      </c>
      <c r="C12" s="22" t="s">
        <v>407</v>
      </c>
      <c r="D12" s="23"/>
      <c r="E12" s="23"/>
      <c r="F12" s="23" t="s">
        <v>408</v>
      </c>
      <c r="G12" s="23"/>
      <c r="H12" s="23"/>
      <c r="I12" s="23">
        <v>-424</v>
      </c>
      <c r="J12" s="23"/>
      <c r="K12" s="23"/>
      <c r="L12" s="23" t="s">
        <v>409</v>
      </c>
      <c r="M12" s="23"/>
      <c r="N12" s="23"/>
      <c r="O12" s="23"/>
      <c r="P12" s="23"/>
      <c r="Q12" s="23"/>
      <c r="R12" s="23"/>
      <c r="S12" s="23"/>
      <c r="T12" s="23"/>
      <c r="U12" s="23" t="s">
        <v>410</v>
      </c>
      <c r="V12" s="23"/>
      <c r="W12" s="23"/>
      <c r="X12" s="23"/>
      <c r="Y12" s="23"/>
      <c r="Z12" s="23"/>
      <c r="AA12" s="23"/>
      <c r="AB12" s="23"/>
      <c r="AC12" s="23"/>
      <c r="AD12" s="23" t="s">
        <v>411</v>
      </c>
      <c r="AE12" s="23"/>
      <c r="AF12" s="9"/>
    </row>
    <row r="13" spans="2:32" s="7" customFormat="1" ht="19">
      <c r="B13" s="11" t="s">
        <v>11</v>
      </c>
      <c r="C13" s="24" t="s">
        <v>412</v>
      </c>
      <c r="D13" s="12"/>
      <c r="E13" s="12"/>
      <c r="F13" s="12" t="s">
        <v>413</v>
      </c>
      <c r="G13" s="12"/>
      <c r="H13" s="12"/>
      <c r="I13" s="12" t="s">
        <v>414</v>
      </c>
      <c r="J13" s="12"/>
      <c r="K13" s="12"/>
      <c r="L13" s="12" t="s">
        <v>415</v>
      </c>
      <c r="M13" s="12"/>
      <c r="N13" s="12"/>
      <c r="O13" s="12" t="s">
        <v>387</v>
      </c>
      <c r="P13" s="12"/>
      <c r="Q13" s="12"/>
      <c r="R13" s="12" t="s">
        <v>388</v>
      </c>
      <c r="S13" s="12"/>
      <c r="T13" s="12"/>
      <c r="U13" s="12" t="s">
        <v>416</v>
      </c>
      <c r="V13" s="12"/>
      <c r="W13" s="12"/>
      <c r="X13" s="12" t="s">
        <v>417</v>
      </c>
      <c r="Y13" s="12"/>
      <c r="Z13" s="12"/>
      <c r="AA13" s="12"/>
      <c r="AB13" s="12"/>
      <c r="AC13" s="12"/>
      <c r="AD13" s="12" t="s">
        <v>418</v>
      </c>
      <c r="AE13" s="12"/>
      <c r="AF13" s="13"/>
    </row>
    <row r="14" spans="2:32" ht="19">
      <c r="B14" s="17" t="s">
        <v>12</v>
      </c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9"/>
    </row>
    <row r="15" spans="2:32" ht="19">
      <c r="B15" s="17" t="s">
        <v>13</v>
      </c>
      <c r="C15" s="22">
        <v>217</v>
      </c>
      <c r="D15" s="23"/>
      <c r="E15" s="23"/>
      <c r="F15" s="23" t="s">
        <v>419</v>
      </c>
      <c r="G15" s="23"/>
      <c r="H15" s="23"/>
      <c r="I15" s="23" t="s">
        <v>420</v>
      </c>
      <c r="J15" s="23"/>
      <c r="K15" s="23"/>
      <c r="L15" s="23">
        <v>-1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>
        <v>-1</v>
      </c>
      <c r="Y15" s="23"/>
      <c r="Z15" s="23"/>
      <c r="AA15" s="23">
        <v>1</v>
      </c>
      <c r="AB15" s="23"/>
      <c r="AC15" s="23"/>
      <c r="AD15" s="23" t="s">
        <v>421</v>
      </c>
      <c r="AE15" s="23"/>
      <c r="AF15" s="9"/>
    </row>
    <row r="16" spans="2:32" ht="19">
      <c r="B16" s="17" t="s">
        <v>14</v>
      </c>
      <c r="C16" s="22" t="s">
        <v>422</v>
      </c>
      <c r="D16" s="23"/>
      <c r="E16" s="23"/>
      <c r="F16" s="23"/>
      <c r="G16" s="23"/>
      <c r="H16" s="23"/>
      <c r="I16" s="23" t="s">
        <v>423</v>
      </c>
      <c r="J16" s="23"/>
      <c r="K16" s="23"/>
      <c r="L16" s="23" t="s">
        <v>424</v>
      </c>
      <c r="M16" s="23"/>
      <c r="N16" s="23"/>
      <c r="O16" s="23" t="s">
        <v>425</v>
      </c>
      <c r="P16" s="23"/>
      <c r="Q16" s="23"/>
      <c r="R16" s="23" t="s">
        <v>426</v>
      </c>
      <c r="S16" s="23"/>
      <c r="T16" s="23"/>
      <c r="U16" s="23" t="s">
        <v>427</v>
      </c>
      <c r="V16" s="23"/>
      <c r="W16" s="23"/>
      <c r="X16" s="23" t="s">
        <v>428</v>
      </c>
      <c r="Y16" s="23"/>
      <c r="Z16" s="23"/>
      <c r="AA16" s="23"/>
      <c r="AB16" s="23"/>
      <c r="AC16" s="23"/>
      <c r="AD16" s="23" t="s">
        <v>429</v>
      </c>
      <c r="AE16" s="23"/>
      <c r="AF16" s="9"/>
    </row>
    <row r="17" spans="2:32" ht="19">
      <c r="B17" s="17" t="s">
        <v>15</v>
      </c>
      <c r="C17" s="22" t="s">
        <v>430</v>
      </c>
      <c r="D17" s="23"/>
      <c r="E17" s="23"/>
      <c r="F17" s="23"/>
      <c r="G17" s="23"/>
      <c r="H17" s="23"/>
      <c r="I17" s="23" t="s">
        <v>431</v>
      </c>
      <c r="J17" s="23"/>
      <c r="K17" s="23"/>
      <c r="L17" s="23" t="s">
        <v>432</v>
      </c>
      <c r="M17" s="23"/>
      <c r="N17" s="23"/>
      <c r="O17" s="23"/>
      <c r="P17" s="23"/>
      <c r="Q17" s="23"/>
      <c r="R17" s="23"/>
      <c r="S17" s="23"/>
      <c r="T17" s="23"/>
      <c r="U17" s="23" t="s">
        <v>433</v>
      </c>
      <c r="V17" s="23"/>
      <c r="W17" s="23"/>
      <c r="X17" s="23" t="s">
        <v>434</v>
      </c>
      <c r="Y17" s="23"/>
      <c r="Z17" s="23"/>
      <c r="AA17" s="23" t="s">
        <v>435</v>
      </c>
      <c r="AB17" s="23"/>
      <c r="AC17" s="23"/>
      <c r="AD17" s="23" t="s">
        <v>436</v>
      </c>
      <c r="AE17" s="23"/>
      <c r="AF17" s="9"/>
    </row>
    <row r="18" spans="2:32" ht="19">
      <c r="B18" s="17" t="s">
        <v>16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 t="s">
        <v>437</v>
      </c>
      <c r="S18" s="23"/>
      <c r="T18" s="23"/>
      <c r="U18" s="23" t="s">
        <v>438</v>
      </c>
      <c r="V18" s="23"/>
      <c r="W18" s="23"/>
      <c r="X18" s="23"/>
      <c r="Y18" s="23"/>
      <c r="Z18" s="23"/>
      <c r="AA18" s="23" t="s">
        <v>439</v>
      </c>
      <c r="AB18" s="23"/>
      <c r="AC18" s="23"/>
      <c r="AD18" s="23" t="s">
        <v>440</v>
      </c>
      <c r="AE18" s="23"/>
      <c r="AF18" s="9"/>
    </row>
    <row r="19" spans="2:32" ht="19">
      <c r="B19" s="17" t="s">
        <v>17</v>
      </c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9"/>
    </row>
    <row r="20" spans="2:32" ht="19">
      <c r="B20" s="17" t="s">
        <v>18</v>
      </c>
      <c r="C20" s="22"/>
      <c r="D20" s="23"/>
      <c r="E20" s="23"/>
      <c r="F20" s="23" t="s">
        <v>441</v>
      </c>
      <c r="G20" s="23"/>
      <c r="H20" s="23"/>
      <c r="I20" s="23" t="s">
        <v>442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 t="s">
        <v>443</v>
      </c>
      <c r="AE20" s="23"/>
      <c r="AF20" s="9"/>
    </row>
    <row r="21" spans="2:32" ht="19">
      <c r="B21" s="17" t="s">
        <v>19</v>
      </c>
      <c r="C21" s="22" t="s">
        <v>444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 t="s">
        <v>444</v>
      </c>
      <c r="AE21" s="23"/>
      <c r="AF21" s="9"/>
    </row>
    <row r="22" spans="2:32" ht="19">
      <c r="B22" s="17" t="s">
        <v>20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9"/>
    </row>
    <row r="23" spans="2:32" ht="19">
      <c r="B23" s="17" t="s">
        <v>21</v>
      </c>
      <c r="C23" s="22"/>
      <c r="D23" s="23"/>
      <c r="E23" s="23"/>
      <c r="F23" s="23" t="s">
        <v>445</v>
      </c>
      <c r="G23" s="23"/>
      <c r="H23" s="23"/>
      <c r="I23" s="23" t="s">
        <v>446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>
        <v>-308</v>
      </c>
      <c r="V23" s="23"/>
      <c r="W23" s="23"/>
      <c r="X23" s="23"/>
      <c r="Y23" s="23"/>
      <c r="Z23" s="23"/>
      <c r="AA23" s="23"/>
      <c r="AB23" s="23"/>
      <c r="AC23" s="23"/>
      <c r="AD23" s="23" t="s">
        <v>447</v>
      </c>
      <c r="AE23" s="23"/>
      <c r="AF23" s="9"/>
    </row>
    <row r="24" spans="2:32" ht="19">
      <c r="B24" s="17" t="s">
        <v>22</v>
      </c>
      <c r="C24" s="22" t="s">
        <v>448</v>
      </c>
      <c r="D24" s="23"/>
      <c r="E24" s="23"/>
      <c r="F24" s="23"/>
      <c r="G24" s="23"/>
      <c r="H24" s="23"/>
      <c r="I24" s="23" t="s">
        <v>449</v>
      </c>
      <c r="J24" s="23"/>
      <c r="K24" s="23"/>
      <c r="L24" s="23" t="s">
        <v>450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 t="s">
        <v>451</v>
      </c>
      <c r="Y24" s="23"/>
      <c r="Z24" s="23"/>
      <c r="AA24" s="23" t="s">
        <v>452</v>
      </c>
      <c r="AB24" s="23"/>
      <c r="AC24" s="23"/>
      <c r="AD24" s="23" t="s">
        <v>453</v>
      </c>
      <c r="AE24" s="23"/>
      <c r="AF24" s="9"/>
    </row>
    <row r="25" spans="2:32" ht="19">
      <c r="B25" s="17" t="s">
        <v>23</v>
      </c>
      <c r="C25" s="22"/>
      <c r="D25" s="23"/>
      <c r="E25" s="23"/>
      <c r="F25" s="23"/>
      <c r="G25" s="23"/>
      <c r="H25" s="23"/>
      <c r="I25" s="23"/>
      <c r="J25" s="23"/>
      <c r="K25" s="23"/>
      <c r="L25" s="23" t="s">
        <v>454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 t="s">
        <v>455</v>
      </c>
      <c r="Y25" s="23"/>
      <c r="Z25" s="23"/>
      <c r="AA25" s="23"/>
      <c r="AB25" s="23"/>
      <c r="AC25" s="23"/>
      <c r="AD25" s="23" t="s">
        <v>456</v>
      </c>
      <c r="AE25" s="23"/>
      <c r="AF25" s="9"/>
    </row>
    <row r="26" spans="2:32" s="7" customFormat="1" ht="19">
      <c r="B26" s="11" t="s">
        <v>24</v>
      </c>
      <c r="C26" s="24" t="s">
        <v>457</v>
      </c>
      <c r="D26" s="12"/>
      <c r="E26" s="12"/>
      <c r="F26" s="12"/>
      <c r="G26" s="12"/>
      <c r="H26" s="12"/>
      <c r="I26" s="12" t="s">
        <v>458</v>
      </c>
      <c r="J26" s="12"/>
      <c r="K26" s="12"/>
      <c r="L26" s="12" t="s">
        <v>459</v>
      </c>
      <c r="M26" s="12"/>
      <c r="N26" s="12"/>
      <c r="O26" s="12"/>
      <c r="P26" s="12"/>
      <c r="Q26" s="12"/>
      <c r="R26" s="12" t="s">
        <v>460</v>
      </c>
      <c r="S26" s="12"/>
      <c r="T26" s="12"/>
      <c r="U26" s="12" t="s">
        <v>461</v>
      </c>
      <c r="V26" s="12"/>
      <c r="W26" s="12"/>
      <c r="X26" s="12" t="s">
        <v>462</v>
      </c>
      <c r="Y26" s="12"/>
      <c r="Z26" s="12"/>
      <c r="AA26" s="12" t="s">
        <v>463</v>
      </c>
      <c r="AB26" s="12"/>
      <c r="AC26" s="12"/>
      <c r="AD26" s="12" t="s">
        <v>464</v>
      </c>
      <c r="AE26" s="12"/>
      <c r="AF26" s="13"/>
    </row>
    <row r="27" spans="2:32" ht="19">
      <c r="B27" s="17" t="s">
        <v>25</v>
      </c>
      <c r="C27" s="22" t="s">
        <v>465</v>
      </c>
      <c r="D27" s="23"/>
      <c r="E27" s="23"/>
      <c r="F27" s="23"/>
      <c r="G27" s="23"/>
      <c r="H27" s="23"/>
      <c r="I27" s="23" t="s">
        <v>466</v>
      </c>
      <c r="J27" s="23"/>
      <c r="K27" s="23"/>
      <c r="L27" s="23" t="s">
        <v>467</v>
      </c>
      <c r="M27" s="23"/>
      <c r="N27" s="23"/>
      <c r="O27" s="23"/>
      <c r="P27" s="23"/>
      <c r="Q27" s="23"/>
      <c r="R27" s="23">
        <v>388</v>
      </c>
      <c r="S27" s="23"/>
      <c r="T27" s="23"/>
      <c r="U27" s="23" t="s">
        <v>468</v>
      </c>
      <c r="V27" s="23"/>
      <c r="W27" s="23"/>
      <c r="X27" s="23" t="s">
        <v>469</v>
      </c>
      <c r="Y27" s="23"/>
      <c r="Z27" s="23"/>
      <c r="AA27" s="23" t="s">
        <v>470</v>
      </c>
      <c r="AB27" s="23"/>
      <c r="AC27" s="23"/>
      <c r="AD27" s="23" t="s">
        <v>471</v>
      </c>
      <c r="AE27" s="23"/>
      <c r="AF27" s="9"/>
    </row>
    <row r="28" spans="2:32" ht="19">
      <c r="B28" s="17" t="s">
        <v>26</v>
      </c>
      <c r="C28" s="22"/>
      <c r="D28" s="23"/>
      <c r="E28" s="23"/>
      <c r="F28" s="23"/>
      <c r="G28" s="23"/>
      <c r="H28" s="23"/>
      <c r="I28" s="23" t="s">
        <v>472</v>
      </c>
      <c r="J28" s="23"/>
      <c r="K28" s="23"/>
      <c r="L28" s="23" t="s">
        <v>473</v>
      </c>
      <c r="M28" s="23"/>
      <c r="N28" s="23"/>
      <c r="O28" s="23"/>
      <c r="P28" s="23"/>
      <c r="Q28" s="23"/>
      <c r="R28" s="23"/>
      <c r="S28" s="23"/>
      <c r="T28" s="23"/>
      <c r="U28" s="23" t="s">
        <v>474</v>
      </c>
      <c r="V28" s="23"/>
      <c r="W28" s="23"/>
      <c r="X28" s="23" t="s">
        <v>475</v>
      </c>
      <c r="Y28" s="23"/>
      <c r="Z28" s="23"/>
      <c r="AA28" s="23"/>
      <c r="AB28" s="23"/>
      <c r="AC28" s="23"/>
      <c r="AD28" s="23" t="s">
        <v>476</v>
      </c>
      <c r="AE28" s="23"/>
      <c r="AF28" s="9"/>
    </row>
    <row r="29" spans="2:32" ht="19">
      <c r="B29" s="17" t="s">
        <v>2</v>
      </c>
      <c r="C29" s="22">
        <v>152</v>
      </c>
      <c r="D29" s="23"/>
      <c r="E29" s="23"/>
      <c r="F29" s="23"/>
      <c r="G29" s="23"/>
      <c r="H29" s="23"/>
      <c r="I29" s="23" t="s">
        <v>477</v>
      </c>
      <c r="J29" s="23"/>
      <c r="K29" s="23"/>
      <c r="L29" s="23" t="s">
        <v>478</v>
      </c>
      <c r="M29" s="23"/>
      <c r="N29" s="23"/>
      <c r="O29" s="23"/>
      <c r="P29" s="23"/>
      <c r="Q29" s="23"/>
      <c r="R29" s="23" t="s">
        <v>479</v>
      </c>
      <c r="S29" s="23"/>
      <c r="T29" s="23"/>
      <c r="U29" s="23" t="s">
        <v>480</v>
      </c>
      <c r="V29" s="23"/>
      <c r="W29" s="23"/>
      <c r="X29" s="23" t="s">
        <v>481</v>
      </c>
      <c r="Y29" s="23"/>
      <c r="Z29" s="23"/>
      <c r="AA29" s="23" t="s">
        <v>270</v>
      </c>
      <c r="AB29" s="23"/>
      <c r="AC29" s="23"/>
      <c r="AD29" s="23" t="s">
        <v>482</v>
      </c>
      <c r="AE29" s="23"/>
      <c r="AF29" s="9"/>
    </row>
    <row r="30" spans="2:32" ht="19">
      <c r="B30" s="17" t="s">
        <v>27</v>
      </c>
      <c r="C30" s="22"/>
      <c r="D30" s="23"/>
      <c r="E30" s="23"/>
      <c r="F30" s="23"/>
      <c r="G30" s="23"/>
      <c r="H30" s="23"/>
      <c r="I30" s="23" t="s">
        <v>483</v>
      </c>
      <c r="J30" s="23"/>
      <c r="K30" s="23"/>
      <c r="L30" s="23" t="s">
        <v>484</v>
      </c>
      <c r="M30" s="23"/>
      <c r="N30" s="23"/>
      <c r="O30" s="23"/>
      <c r="P30" s="23"/>
      <c r="Q30" s="23"/>
      <c r="R30" s="23" t="s">
        <v>485</v>
      </c>
      <c r="S30" s="23"/>
      <c r="T30" s="23"/>
      <c r="U30" s="23">
        <v>913</v>
      </c>
      <c r="V30" s="23"/>
      <c r="W30" s="23"/>
      <c r="X30" s="23" t="s">
        <v>486</v>
      </c>
      <c r="Y30" s="23"/>
      <c r="Z30" s="23"/>
      <c r="AA30" s="23" t="s">
        <v>487</v>
      </c>
      <c r="AB30" s="23"/>
      <c r="AC30" s="23"/>
      <c r="AD30" s="23" t="s">
        <v>488</v>
      </c>
      <c r="AE30" s="23"/>
      <c r="AF30" s="9"/>
    </row>
    <row r="31" spans="2:32" ht="19">
      <c r="B31" s="17" t="s">
        <v>28</v>
      </c>
      <c r="C31" s="22"/>
      <c r="D31" s="23"/>
      <c r="E31" s="23"/>
      <c r="F31" s="23"/>
      <c r="G31" s="23"/>
      <c r="H31" s="23"/>
      <c r="I31" s="23" t="s">
        <v>489</v>
      </c>
      <c r="J31" s="23"/>
      <c r="K31" s="23"/>
      <c r="L31" s="23" t="s">
        <v>490</v>
      </c>
      <c r="M31" s="23"/>
      <c r="N31" s="23"/>
      <c r="O31" s="23"/>
      <c r="P31" s="23"/>
      <c r="Q31" s="23"/>
      <c r="R31" s="23">
        <v>630</v>
      </c>
      <c r="S31" s="23"/>
      <c r="T31" s="23"/>
      <c r="U31" s="23">
        <v>65</v>
      </c>
      <c r="V31" s="23"/>
      <c r="W31" s="23"/>
      <c r="X31" s="23" t="s">
        <v>491</v>
      </c>
      <c r="Y31" s="23"/>
      <c r="Z31" s="23"/>
      <c r="AA31" s="23">
        <v>55</v>
      </c>
      <c r="AB31" s="23"/>
      <c r="AC31" s="23"/>
      <c r="AD31" s="23" t="s">
        <v>492</v>
      </c>
      <c r="AE31" s="23"/>
      <c r="AF31" s="9"/>
    </row>
    <row r="32" spans="2:32" ht="19">
      <c r="B32" s="17" t="s">
        <v>3</v>
      </c>
      <c r="C32" s="22"/>
      <c r="D32" s="23"/>
      <c r="E32" s="23"/>
      <c r="F32" s="23"/>
      <c r="G32" s="23"/>
      <c r="H32" s="23"/>
      <c r="I32" s="23" t="s">
        <v>493</v>
      </c>
      <c r="J32" s="23"/>
      <c r="K32" s="23"/>
      <c r="L32" s="23"/>
      <c r="M32" s="23"/>
      <c r="N32" s="23"/>
      <c r="O32" s="23"/>
      <c r="P32" s="23"/>
      <c r="Q32" s="23"/>
      <c r="R32" s="23" t="s">
        <v>494</v>
      </c>
      <c r="S32" s="23"/>
      <c r="T32" s="23"/>
      <c r="U32" s="23"/>
      <c r="V32" s="23"/>
      <c r="W32" s="23"/>
      <c r="X32" s="23">
        <v>248</v>
      </c>
      <c r="Y32" s="23"/>
      <c r="Z32" s="23"/>
      <c r="AA32" s="23"/>
      <c r="AB32" s="23"/>
      <c r="AC32" s="23"/>
      <c r="AD32" s="23" t="s">
        <v>495</v>
      </c>
      <c r="AE32" s="23"/>
      <c r="AF32" s="9"/>
    </row>
    <row r="33" spans="2:32" ht="19">
      <c r="B33" s="17" t="s">
        <v>1</v>
      </c>
      <c r="C33" s="22"/>
      <c r="D33" s="23"/>
      <c r="E33" s="23"/>
      <c r="F33" s="23"/>
      <c r="G33" s="23"/>
      <c r="H33" s="23"/>
      <c r="I33" s="23" t="s">
        <v>496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 t="s">
        <v>497</v>
      </c>
      <c r="AB33" s="23"/>
      <c r="AC33" s="23"/>
      <c r="AD33" s="23" t="s">
        <v>498</v>
      </c>
      <c r="AE33" s="23"/>
      <c r="AF33" s="9"/>
    </row>
    <row r="34" spans="2:32" s="6" customFormat="1" ht="19">
      <c r="B34" s="18" t="s">
        <v>30</v>
      </c>
      <c r="C34" s="25" t="s">
        <v>499</v>
      </c>
      <c r="D34" s="26"/>
      <c r="E34" s="26"/>
      <c r="F34" s="26"/>
      <c r="G34" s="26"/>
      <c r="H34" s="26"/>
      <c r="I34" s="26" t="s">
        <v>500</v>
      </c>
      <c r="J34" s="26"/>
      <c r="K34" s="26"/>
      <c r="L34" s="26" t="s">
        <v>501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</row>
  </sheetData>
  <mergeCells count="10">
    <mergeCell ref="U4:W4"/>
    <mergeCell ref="X4:Z4"/>
    <mergeCell ref="AA4:AC4"/>
    <mergeCell ref="AD4:AF4"/>
    <mergeCell ref="C4:E4"/>
    <mergeCell ref="F4:H4"/>
    <mergeCell ref="I4:K4"/>
    <mergeCell ref="L4:N4"/>
    <mergeCell ref="O4:Q4"/>
    <mergeCell ref="R4:T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0C32-1B82-F840-8D84-7A1D8398D34F}">
  <dimension ref="B2:AF45"/>
  <sheetViews>
    <sheetView tabSelected="1" topLeftCell="A2" zoomScale="76" zoomScaleNormal="76" workbookViewId="0">
      <selection activeCell="G37" sqref="G37"/>
    </sheetView>
  </sheetViews>
  <sheetFormatPr baseColWidth="10" defaultRowHeight="16"/>
  <cols>
    <col min="2" max="2" width="33.33203125" customWidth="1"/>
    <col min="3" max="5" width="14.83203125" customWidth="1"/>
    <col min="6" max="8" width="14.33203125" customWidth="1"/>
    <col min="9" max="11" width="16.5" customWidth="1"/>
    <col min="12" max="14" width="15" customWidth="1"/>
    <col min="17" max="17" width="12.1640625" customWidth="1"/>
    <col min="18" max="18" width="11.5" customWidth="1"/>
    <col min="19" max="19" width="12.6640625" customWidth="1"/>
    <col min="20" max="20" width="15.1640625" customWidth="1"/>
    <col min="21" max="21" width="14.83203125" customWidth="1"/>
    <col min="22" max="22" width="14.1640625" customWidth="1"/>
    <col min="23" max="23" width="12.33203125" customWidth="1"/>
    <col min="24" max="24" width="10.6640625" customWidth="1"/>
    <col min="25" max="26" width="11.1640625" customWidth="1"/>
    <col min="30" max="30" width="13.1640625" customWidth="1"/>
    <col min="32" max="32" width="12.1640625" customWidth="1"/>
  </cols>
  <sheetData>
    <row r="2" spans="2:32">
      <c r="B2" s="16" t="s">
        <v>42</v>
      </c>
    </row>
    <row r="4" spans="2:32" ht="18">
      <c r="C4" s="131" t="s">
        <v>31</v>
      </c>
      <c r="D4" s="131"/>
      <c r="E4" s="131"/>
      <c r="F4" s="131" t="s">
        <v>32</v>
      </c>
      <c r="G4" s="131"/>
      <c r="H4" s="131"/>
      <c r="I4" s="131" t="s">
        <v>33</v>
      </c>
      <c r="J4" s="131"/>
      <c r="K4" s="131"/>
      <c r="L4" s="131" t="s">
        <v>34</v>
      </c>
      <c r="M4" s="131"/>
      <c r="N4" s="131"/>
      <c r="O4" s="131" t="s">
        <v>35</v>
      </c>
      <c r="P4" s="131"/>
      <c r="Q4" s="131"/>
      <c r="R4" s="131" t="s">
        <v>36</v>
      </c>
      <c r="S4" s="131"/>
      <c r="T4" s="131"/>
      <c r="U4" s="131" t="s">
        <v>37</v>
      </c>
      <c r="V4" s="131"/>
      <c r="W4" s="131"/>
      <c r="X4" s="131" t="s">
        <v>38</v>
      </c>
      <c r="Y4" s="131"/>
      <c r="Z4" s="131"/>
      <c r="AA4" s="131" t="s">
        <v>39</v>
      </c>
      <c r="AB4" s="131"/>
      <c r="AC4" s="131"/>
      <c r="AD4" s="132" t="s">
        <v>40</v>
      </c>
      <c r="AE4" s="132"/>
      <c r="AF4" s="132"/>
    </row>
    <row r="5" spans="2:32" ht="19">
      <c r="B5" s="8"/>
      <c r="C5" s="10" t="s">
        <v>4</v>
      </c>
      <c r="D5" s="10" t="s">
        <v>4</v>
      </c>
      <c r="E5" s="10" t="s">
        <v>4</v>
      </c>
      <c r="F5" s="10" t="s">
        <v>4</v>
      </c>
      <c r="G5" s="10" t="s">
        <v>4</v>
      </c>
      <c r="H5" s="10" t="s">
        <v>4</v>
      </c>
      <c r="I5" s="10" t="s">
        <v>4</v>
      </c>
      <c r="J5" s="10" t="s">
        <v>4</v>
      </c>
      <c r="K5" s="10" t="s">
        <v>4</v>
      </c>
      <c r="L5" s="10" t="s">
        <v>4</v>
      </c>
      <c r="M5" s="10" t="s">
        <v>4</v>
      </c>
      <c r="N5" s="10" t="s">
        <v>4</v>
      </c>
      <c r="O5" s="10" t="s">
        <v>4</v>
      </c>
      <c r="P5" s="10" t="s">
        <v>4</v>
      </c>
      <c r="Q5" s="10" t="s">
        <v>4</v>
      </c>
      <c r="R5" s="10" t="s">
        <v>4</v>
      </c>
      <c r="S5" s="10" t="s">
        <v>4</v>
      </c>
      <c r="T5" s="10" t="s">
        <v>4</v>
      </c>
      <c r="U5" s="10" t="s">
        <v>4</v>
      </c>
      <c r="V5" s="10" t="s">
        <v>4</v>
      </c>
      <c r="W5" s="10" t="s">
        <v>4</v>
      </c>
      <c r="X5" s="10" t="s">
        <v>4</v>
      </c>
      <c r="Y5" s="10" t="s">
        <v>4</v>
      </c>
      <c r="Z5" s="10" t="s">
        <v>4</v>
      </c>
      <c r="AA5" s="10" t="s">
        <v>4</v>
      </c>
      <c r="AB5" s="10" t="s">
        <v>4</v>
      </c>
      <c r="AC5" s="10" t="s">
        <v>4</v>
      </c>
      <c r="AD5" s="10" t="s">
        <v>4</v>
      </c>
      <c r="AE5" s="10" t="s">
        <v>4</v>
      </c>
      <c r="AF5" s="10" t="s">
        <v>4</v>
      </c>
    </row>
    <row r="6" spans="2:32" ht="19">
      <c r="B6" s="8"/>
      <c r="C6" s="14" t="s">
        <v>43</v>
      </c>
      <c r="D6" s="14" t="s">
        <v>44</v>
      </c>
      <c r="E6" s="14" t="s">
        <v>45</v>
      </c>
      <c r="F6" s="14" t="s">
        <v>43</v>
      </c>
      <c r="G6" s="14" t="s">
        <v>44</v>
      </c>
      <c r="H6" s="14" t="s">
        <v>45</v>
      </c>
      <c r="I6" s="14" t="s">
        <v>43</v>
      </c>
      <c r="J6" s="14" t="s">
        <v>44</v>
      </c>
      <c r="K6" s="14" t="s">
        <v>45</v>
      </c>
      <c r="L6" s="14" t="s">
        <v>43</v>
      </c>
      <c r="M6" s="15" t="s">
        <v>44</v>
      </c>
      <c r="N6" s="15" t="s">
        <v>45</v>
      </c>
      <c r="O6" s="14" t="s">
        <v>43</v>
      </c>
      <c r="P6" s="15" t="s">
        <v>44</v>
      </c>
      <c r="Q6" s="15" t="s">
        <v>45</v>
      </c>
      <c r="R6" s="14" t="s">
        <v>43</v>
      </c>
      <c r="S6" s="15" t="s">
        <v>44</v>
      </c>
      <c r="T6" s="15" t="s">
        <v>45</v>
      </c>
      <c r="U6" s="14" t="s">
        <v>43</v>
      </c>
      <c r="V6" s="15" t="s">
        <v>44</v>
      </c>
      <c r="W6" s="15" t="s">
        <v>45</v>
      </c>
      <c r="X6" s="14" t="s">
        <v>43</v>
      </c>
      <c r="Y6" s="15" t="s">
        <v>44</v>
      </c>
      <c r="Z6" s="15" t="s">
        <v>45</v>
      </c>
      <c r="AA6" s="14" t="s">
        <v>43</v>
      </c>
      <c r="AB6" s="15" t="s">
        <v>44</v>
      </c>
      <c r="AC6" s="15" t="s">
        <v>45</v>
      </c>
      <c r="AD6" s="14" t="s">
        <v>43</v>
      </c>
      <c r="AE6" s="15" t="s">
        <v>44</v>
      </c>
      <c r="AF6" s="15" t="s">
        <v>45</v>
      </c>
    </row>
    <row r="7" spans="2:32" ht="19">
      <c r="B7" s="17" t="s">
        <v>5</v>
      </c>
      <c r="C7" s="36">
        <v>4201</v>
      </c>
      <c r="D7" s="50">
        <v>4201</v>
      </c>
      <c r="E7" s="33"/>
      <c r="F7" s="20" t="s">
        <v>289</v>
      </c>
      <c r="G7" s="20">
        <f>'Supply results'!E100*1000</f>
        <v>267599.99999999988</v>
      </c>
      <c r="H7" s="20" t="s">
        <v>768</v>
      </c>
      <c r="I7" s="20" t="s">
        <v>768</v>
      </c>
      <c r="J7" s="20" t="s">
        <v>768</v>
      </c>
      <c r="K7" s="20" t="s">
        <v>768</v>
      </c>
      <c r="L7" s="20" t="s">
        <v>290</v>
      </c>
      <c r="M7" s="20">
        <f>'Supply results'!AA18*1000</f>
        <v>376300</v>
      </c>
      <c r="N7" s="20" t="s">
        <v>768</v>
      </c>
      <c r="O7" s="20" t="s">
        <v>291</v>
      </c>
      <c r="P7" s="20">
        <f>'Supply results'!AA57*1000</f>
        <v>146600</v>
      </c>
      <c r="Q7" s="20" t="s">
        <v>768</v>
      </c>
      <c r="R7" s="20" t="s">
        <v>292</v>
      </c>
      <c r="S7" s="20">
        <f>'Supply results'!AA67*1000</f>
        <v>235600</v>
      </c>
      <c r="T7" s="20" t="s">
        <v>768</v>
      </c>
      <c r="U7" s="20" t="s">
        <v>293</v>
      </c>
      <c r="V7" s="108">
        <f>'Supply results'!AA105*1000</f>
        <v>247563.84443041802</v>
      </c>
      <c r="W7" s="20" t="s">
        <v>768</v>
      </c>
      <c r="X7" s="20" t="s">
        <v>768</v>
      </c>
      <c r="Y7" s="20" t="s">
        <v>768</v>
      </c>
      <c r="Z7" s="20" t="s">
        <v>768</v>
      </c>
      <c r="AA7" s="20" t="s">
        <v>768</v>
      </c>
      <c r="AB7" s="20" t="s">
        <v>768</v>
      </c>
      <c r="AC7" s="20" t="s">
        <v>768</v>
      </c>
      <c r="AD7" s="20" t="s">
        <v>294</v>
      </c>
      <c r="AE7" s="33">
        <f t="shared" ref="AE7:AE12" si="0">SUM(D7,G7,J7,M7,P7,S7,V7,Y7,AB7)</f>
        <v>1277864.844430418</v>
      </c>
      <c r="AF7" s="21" t="s">
        <v>768</v>
      </c>
    </row>
    <row r="8" spans="2:32" ht="19">
      <c r="B8" s="17" t="s">
        <v>6</v>
      </c>
      <c r="C8" s="37">
        <v>684661</v>
      </c>
      <c r="D8" s="51">
        <f>'Supply results'!E27*1000</f>
        <v>681381.36572196183</v>
      </c>
      <c r="E8" s="34">
        <f>C8-D8</f>
        <v>3279.6342780381674</v>
      </c>
      <c r="F8" s="23" t="s">
        <v>295</v>
      </c>
      <c r="G8" s="44">
        <f>'Supply results'!E89*1000</f>
        <v>3171088.9456461654</v>
      </c>
      <c r="H8" s="23" t="s">
        <v>768</v>
      </c>
      <c r="I8" s="23" t="s">
        <v>296</v>
      </c>
      <c r="J8" s="34">
        <f>'Supply results'!E113*1000</f>
        <v>501711.84750494827</v>
      </c>
      <c r="K8" s="23" t="s">
        <v>768</v>
      </c>
      <c r="L8" s="23" t="s">
        <v>297</v>
      </c>
      <c r="M8" s="23">
        <f>'Supply results'!AA15*1000</f>
        <v>2530000</v>
      </c>
      <c r="N8" s="23" t="s">
        <v>768</v>
      </c>
      <c r="O8" s="23" t="s">
        <v>768</v>
      </c>
      <c r="P8" s="23" t="s">
        <v>768</v>
      </c>
      <c r="Q8" s="23" t="s">
        <v>768</v>
      </c>
      <c r="R8" s="23" t="s">
        <v>768</v>
      </c>
      <c r="S8" s="23" t="s">
        <v>768</v>
      </c>
      <c r="T8" s="23" t="s">
        <v>768</v>
      </c>
      <c r="U8" s="23" t="s">
        <v>298</v>
      </c>
      <c r="V8" s="23">
        <f>'Supply results'!AA93*1000</f>
        <v>39700</v>
      </c>
      <c r="W8" s="23" t="s">
        <v>768</v>
      </c>
      <c r="X8" s="23" t="s">
        <v>299</v>
      </c>
      <c r="Y8" s="23">
        <f>'Supply results'!AA145*1000</f>
        <v>176000.00000000012</v>
      </c>
      <c r="Z8" s="23" t="s">
        <v>768</v>
      </c>
      <c r="AA8" s="23" t="s">
        <v>768</v>
      </c>
      <c r="AB8" s="23" t="s">
        <v>768</v>
      </c>
      <c r="AC8" s="23" t="s">
        <v>768</v>
      </c>
      <c r="AD8" s="23" t="s">
        <v>300</v>
      </c>
      <c r="AE8" s="34">
        <f t="shared" si="0"/>
        <v>7099882.1588730756</v>
      </c>
      <c r="AF8" s="9" t="s">
        <v>768</v>
      </c>
    </row>
    <row r="9" spans="2:32" ht="19">
      <c r="B9" s="17" t="s">
        <v>7</v>
      </c>
      <c r="C9" s="37">
        <v>-6235</v>
      </c>
      <c r="D9" s="39">
        <v>-6235</v>
      </c>
      <c r="E9" s="34">
        <f t="shared" ref="E9:E12" si="1">C9-D9</f>
        <v>0</v>
      </c>
      <c r="F9" s="23" t="s">
        <v>301</v>
      </c>
      <c r="G9" s="54">
        <v>-84433</v>
      </c>
      <c r="H9" s="23" t="s">
        <v>768</v>
      </c>
      <c r="I9" s="23" t="s">
        <v>302</v>
      </c>
      <c r="J9" s="54">
        <v>-1243718</v>
      </c>
      <c r="K9" s="23" t="s">
        <v>768</v>
      </c>
      <c r="L9" s="23" t="s">
        <v>303</v>
      </c>
      <c r="M9" s="23">
        <v>-2332</v>
      </c>
      <c r="N9" s="23" t="s">
        <v>768</v>
      </c>
      <c r="O9" s="23" t="s">
        <v>768</v>
      </c>
      <c r="P9" s="23" t="s">
        <v>768</v>
      </c>
      <c r="Q9" s="23" t="s">
        <v>768</v>
      </c>
      <c r="R9" s="23" t="s">
        <v>768</v>
      </c>
      <c r="S9" s="23" t="s">
        <v>768</v>
      </c>
      <c r="T9" s="23" t="s">
        <v>768</v>
      </c>
      <c r="U9" s="23" t="s">
        <v>769</v>
      </c>
      <c r="V9" s="23">
        <v>-77</v>
      </c>
      <c r="W9" s="23" t="s">
        <v>768</v>
      </c>
      <c r="X9" s="23">
        <v>-9533</v>
      </c>
      <c r="Y9" s="23">
        <v>-9533</v>
      </c>
      <c r="Z9" s="23" t="s">
        <v>768</v>
      </c>
      <c r="AA9" s="23" t="s">
        <v>768</v>
      </c>
      <c r="AB9" s="23" t="s">
        <v>768</v>
      </c>
      <c r="AC9" s="23" t="s">
        <v>768</v>
      </c>
      <c r="AD9" s="23" t="s">
        <v>304</v>
      </c>
      <c r="AE9" s="34">
        <f t="shared" si="0"/>
        <v>-1346328</v>
      </c>
      <c r="AF9" s="9" t="s">
        <v>768</v>
      </c>
    </row>
    <row r="10" spans="2:32" ht="19">
      <c r="B10" s="17" t="s">
        <v>8</v>
      </c>
      <c r="C10" s="22" t="s">
        <v>768</v>
      </c>
      <c r="D10" s="39"/>
      <c r="E10" s="34"/>
      <c r="F10" s="23" t="s">
        <v>768</v>
      </c>
      <c r="G10" s="54" t="s">
        <v>768</v>
      </c>
      <c r="H10" s="23" t="s">
        <v>768</v>
      </c>
      <c r="I10" s="23" t="s">
        <v>305</v>
      </c>
      <c r="J10" s="54">
        <v>-100648</v>
      </c>
      <c r="K10" s="23" t="s">
        <v>768</v>
      </c>
      <c r="L10" s="23" t="s">
        <v>768</v>
      </c>
      <c r="M10" s="23" t="s">
        <v>768</v>
      </c>
      <c r="N10" s="23" t="s">
        <v>768</v>
      </c>
      <c r="O10" s="23" t="s">
        <v>768</v>
      </c>
      <c r="P10" s="23" t="s">
        <v>768</v>
      </c>
      <c r="Q10" s="23" t="s">
        <v>768</v>
      </c>
      <c r="R10" s="23" t="s">
        <v>768</v>
      </c>
      <c r="S10" s="23" t="s">
        <v>768</v>
      </c>
      <c r="T10" s="23" t="s">
        <v>768</v>
      </c>
      <c r="U10" s="23" t="s">
        <v>768</v>
      </c>
      <c r="V10" s="23"/>
      <c r="W10" s="23" t="s">
        <v>768</v>
      </c>
      <c r="X10" s="23" t="s">
        <v>768</v>
      </c>
      <c r="Y10" s="23" t="s">
        <v>768</v>
      </c>
      <c r="Z10" s="23" t="s">
        <v>768</v>
      </c>
      <c r="AA10" s="23" t="s">
        <v>768</v>
      </c>
      <c r="AB10" s="23" t="s">
        <v>768</v>
      </c>
      <c r="AC10" s="23" t="s">
        <v>768</v>
      </c>
      <c r="AD10" s="23" t="s">
        <v>305</v>
      </c>
      <c r="AE10" s="34">
        <f t="shared" si="0"/>
        <v>-100648</v>
      </c>
      <c r="AF10" s="9" t="s">
        <v>768</v>
      </c>
    </row>
    <row r="11" spans="2:32" ht="19">
      <c r="B11" s="17" t="s">
        <v>9</v>
      </c>
      <c r="C11" s="22" t="s">
        <v>768</v>
      </c>
      <c r="D11" s="39"/>
      <c r="E11" s="34"/>
      <c r="F11" s="23" t="s">
        <v>768</v>
      </c>
      <c r="G11" s="54" t="s">
        <v>768</v>
      </c>
      <c r="H11" s="23" t="s">
        <v>768</v>
      </c>
      <c r="I11" s="23" t="s">
        <v>306</v>
      </c>
      <c r="J11" s="54">
        <v>-142847</v>
      </c>
      <c r="K11" s="23" t="s">
        <v>768</v>
      </c>
      <c r="L11" s="23" t="s">
        <v>768</v>
      </c>
      <c r="M11" s="23" t="s">
        <v>768</v>
      </c>
      <c r="N11" s="23" t="s">
        <v>768</v>
      </c>
      <c r="O11" s="23" t="s">
        <v>768</v>
      </c>
      <c r="P11" s="23" t="s">
        <v>768</v>
      </c>
      <c r="Q11" s="23" t="s">
        <v>768</v>
      </c>
      <c r="R11" s="23" t="s">
        <v>768</v>
      </c>
      <c r="S11" s="23" t="s">
        <v>768</v>
      </c>
      <c r="T11" s="23" t="s">
        <v>768</v>
      </c>
      <c r="U11" s="23" t="s">
        <v>768</v>
      </c>
      <c r="V11" s="23" t="s">
        <v>768</v>
      </c>
      <c r="W11" s="23" t="s">
        <v>768</v>
      </c>
      <c r="X11" s="23" t="s">
        <v>768</v>
      </c>
      <c r="Y11" s="23" t="s">
        <v>768</v>
      </c>
      <c r="Z11" s="23" t="s">
        <v>768</v>
      </c>
      <c r="AA11" s="23" t="s">
        <v>768</v>
      </c>
      <c r="AB11" s="23" t="s">
        <v>768</v>
      </c>
      <c r="AC11" s="23" t="s">
        <v>768</v>
      </c>
      <c r="AD11" s="23" t="s">
        <v>306</v>
      </c>
      <c r="AE11" s="34">
        <f t="shared" si="0"/>
        <v>-142847</v>
      </c>
      <c r="AF11" s="9" t="s">
        <v>768</v>
      </c>
    </row>
    <row r="12" spans="2:32" ht="19">
      <c r="B12" s="17" t="s">
        <v>10</v>
      </c>
      <c r="C12" s="37">
        <v>988</v>
      </c>
      <c r="D12" s="52">
        <v>988</v>
      </c>
      <c r="E12" s="34">
        <f t="shared" si="1"/>
        <v>0</v>
      </c>
      <c r="F12" s="23" t="s">
        <v>307</v>
      </c>
      <c r="G12" s="54" t="s">
        <v>307</v>
      </c>
      <c r="H12" s="23" t="s">
        <v>768</v>
      </c>
      <c r="I12" s="23" t="s">
        <v>308</v>
      </c>
      <c r="J12" s="54">
        <v>-24082</v>
      </c>
      <c r="K12" s="23" t="s">
        <v>768</v>
      </c>
      <c r="L12" s="23" t="s">
        <v>309</v>
      </c>
      <c r="M12" s="23">
        <v>44886</v>
      </c>
      <c r="N12" s="23" t="s">
        <v>768</v>
      </c>
      <c r="O12" s="23" t="s">
        <v>768</v>
      </c>
      <c r="P12" s="23" t="s">
        <v>768</v>
      </c>
      <c r="Q12" s="23" t="s">
        <v>768</v>
      </c>
      <c r="R12" s="23" t="s">
        <v>768</v>
      </c>
      <c r="S12" s="23" t="s">
        <v>768</v>
      </c>
      <c r="T12" s="23" t="s">
        <v>768</v>
      </c>
      <c r="U12" s="23" t="s">
        <v>768</v>
      </c>
      <c r="V12" s="23" t="s">
        <v>768</v>
      </c>
      <c r="W12" s="23" t="s">
        <v>768</v>
      </c>
      <c r="X12" s="23" t="s">
        <v>768</v>
      </c>
      <c r="Y12" s="23" t="s">
        <v>768</v>
      </c>
      <c r="Z12" s="23" t="s">
        <v>768</v>
      </c>
      <c r="AA12" s="23" t="s">
        <v>768</v>
      </c>
      <c r="AB12" s="23" t="s">
        <v>768</v>
      </c>
      <c r="AC12" s="23" t="s">
        <v>768</v>
      </c>
      <c r="AD12" s="23" t="s">
        <v>310</v>
      </c>
      <c r="AE12" s="23">
        <f t="shared" si="0"/>
        <v>21792</v>
      </c>
      <c r="AF12" s="9" t="s">
        <v>768</v>
      </c>
    </row>
    <row r="13" spans="2:32" s="7" customFormat="1" ht="19">
      <c r="B13" s="11" t="s">
        <v>11</v>
      </c>
      <c r="C13" s="38">
        <v>683614</v>
      </c>
      <c r="D13" s="53">
        <f>SUM(D7:D12)</f>
        <v>680335.36572196183</v>
      </c>
      <c r="E13" s="40">
        <f>C13-D13</f>
        <v>3278.6342780381674</v>
      </c>
      <c r="F13" s="12" t="s">
        <v>311</v>
      </c>
      <c r="G13" s="53">
        <f>SUM(G7:G12)</f>
        <v>3354255.9456461654</v>
      </c>
      <c r="H13" s="12" t="s">
        <v>768</v>
      </c>
      <c r="I13" s="12" t="s">
        <v>312</v>
      </c>
      <c r="J13" s="35">
        <f>SUM(J8:J12)</f>
        <v>-1009583.1524950517</v>
      </c>
      <c r="K13" s="12" t="s">
        <v>768</v>
      </c>
      <c r="L13" s="12">
        <v>2911118</v>
      </c>
      <c r="M13" s="12">
        <f>SUM(M7:M12)</f>
        <v>2948854</v>
      </c>
      <c r="N13" s="12" t="s">
        <v>768</v>
      </c>
      <c r="O13" s="12" t="s">
        <v>291</v>
      </c>
      <c r="P13" s="12">
        <f>SUM(P7:P12)</f>
        <v>146600</v>
      </c>
      <c r="Q13" s="12" t="s">
        <v>768</v>
      </c>
      <c r="R13" s="12" t="s">
        <v>292</v>
      </c>
      <c r="S13" s="12">
        <f>SUM(S7:S12)</f>
        <v>235600</v>
      </c>
      <c r="T13" s="12" t="s">
        <v>768</v>
      </c>
      <c r="U13" s="12" t="s">
        <v>313</v>
      </c>
      <c r="V13" s="35">
        <f>SUM(V7:V12)</f>
        <v>287186.84443041799</v>
      </c>
      <c r="W13" s="12" t="s">
        <v>768</v>
      </c>
      <c r="X13" s="12" t="s">
        <v>314</v>
      </c>
      <c r="Y13" s="12">
        <f>SUM(Y8:Y9)</f>
        <v>166467.00000000012</v>
      </c>
      <c r="Z13" s="12" t="s">
        <v>768</v>
      </c>
      <c r="AA13" s="12" t="s">
        <v>768</v>
      </c>
      <c r="AB13" s="12" t="s">
        <v>768</v>
      </c>
      <c r="AC13" s="12" t="s">
        <v>768</v>
      </c>
      <c r="AD13" s="12" t="s">
        <v>315</v>
      </c>
      <c r="AE13" s="12" t="s">
        <v>768</v>
      </c>
      <c r="AF13" s="13" t="s">
        <v>768</v>
      </c>
    </row>
    <row r="14" spans="2:32" ht="19">
      <c r="B14" s="17" t="s">
        <v>12</v>
      </c>
      <c r="C14" s="22" t="s">
        <v>768</v>
      </c>
      <c r="D14" s="45"/>
      <c r="E14" s="20" t="s">
        <v>768</v>
      </c>
      <c r="F14" s="23" t="s">
        <v>768</v>
      </c>
      <c r="G14" s="54" t="s">
        <v>768</v>
      </c>
      <c r="H14" s="23" t="s">
        <v>768</v>
      </c>
      <c r="I14" s="23" t="s">
        <v>316</v>
      </c>
      <c r="J14" s="23" t="s">
        <v>768</v>
      </c>
      <c r="K14" s="23" t="s">
        <v>768</v>
      </c>
      <c r="L14" s="23" t="s">
        <v>768</v>
      </c>
      <c r="M14" s="23" t="s">
        <v>768</v>
      </c>
      <c r="N14" s="23" t="s">
        <v>768</v>
      </c>
      <c r="O14" s="23" t="s">
        <v>768</v>
      </c>
      <c r="P14" s="23" t="s">
        <v>768</v>
      </c>
      <c r="Q14" s="23" t="s">
        <v>768</v>
      </c>
      <c r="R14" s="23" t="s">
        <v>768</v>
      </c>
      <c r="S14" s="23" t="s">
        <v>768</v>
      </c>
      <c r="T14" s="23" t="s">
        <v>768</v>
      </c>
      <c r="U14" s="23" t="s">
        <v>768</v>
      </c>
      <c r="V14" s="23" t="s">
        <v>768</v>
      </c>
      <c r="W14" s="23" t="s">
        <v>768</v>
      </c>
      <c r="X14" s="23" t="s">
        <v>768</v>
      </c>
      <c r="Y14" s="23" t="s">
        <v>768</v>
      </c>
      <c r="Z14" s="23" t="s">
        <v>768</v>
      </c>
      <c r="AA14" s="23" t="s">
        <v>768</v>
      </c>
      <c r="AB14" s="23" t="s">
        <v>768</v>
      </c>
      <c r="AC14" s="23" t="s">
        <v>768</v>
      </c>
      <c r="AD14" s="23" t="s">
        <v>316</v>
      </c>
      <c r="AE14" s="23" t="s">
        <v>768</v>
      </c>
      <c r="AF14" s="9" t="s">
        <v>768</v>
      </c>
    </row>
    <row r="15" spans="2:32" ht="19">
      <c r="B15" s="17" t="s">
        <v>13</v>
      </c>
      <c r="C15" s="37">
        <v>244</v>
      </c>
      <c r="D15" s="45"/>
      <c r="E15" s="23" t="s">
        <v>768</v>
      </c>
      <c r="F15" s="23" t="s">
        <v>317</v>
      </c>
      <c r="G15" s="54" t="s">
        <v>768</v>
      </c>
      <c r="H15" s="23" t="s">
        <v>768</v>
      </c>
      <c r="I15" s="23" t="s">
        <v>318</v>
      </c>
      <c r="J15" s="23" t="s">
        <v>768</v>
      </c>
      <c r="K15" s="23" t="s">
        <v>768</v>
      </c>
      <c r="L15" s="23" t="s">
        <v>768</v>
      </c>
      <c r="M15" s="23" t="s">
        <v>768</v>
      </c>
      <c r="N15" s="23" t="s">
        <v>768</v>
      </c>
      <c r="O15" s="23" t="s">
        <v>768</v>
      </c>
      <c r="P15" s="23" t="s">
        <v>768</v>
      </c>
      <c r="Q15" s="23" t="s">
        <v>768</v>
      </c>
      <c r="R15" s="23" t="s">
        <v>768</v>
      </c>
      <c r="S15" s="23" t="s">
        <v>768</v>
      </c>
      <c r="T15" s="23" t="s">
        <v>768</v>
      </c>
      <c r="U15" s="23" t="s">
        <v>768</v>
      </c>
      <c r="V15" s="23" t="s">
        <v>768</v>
      </c>
      <c r="W15" s="23" t="s">
        <v>768</v>
      </c>
      <c r="X15" s="23" t="s">
        <v>770</v>
      </c>
      <c r="Y15" s="23" t="s">
        <v>768</v>
      </c>
      <c r="Z15" s="23" t="s">
        <v>768</v>
      </c>
      <c r="AA15" s="23" t="s">
        <v>771</v>
      </c>
      <c r="AB15" s="23" t="s">
        <v>768</v>
      </c>
      <c r="AC15" s="23" t="s">
        <v>768</v>
      </c>
      <c r="AD15" s="23" t="s">
        <v>319</v>
      </c>
      <c r="AE15" s="23" t="s">
        <v>768</v>
      </c>
      <c r="AF15" s="9" t="s">
        <v>768</v>
      </c>
    </row>
    <row r="16" spans="2:32" ht="19">
      <c r="B16" s="17" t="s">
        <v>14</v>
      </c>
      <c r="C16" s="37">
        <v>-442768</v>
      </c>
      <c r="D16" s="45">
        <f>-'Supply results'!E48*1000</f>
        <v>-435025.21960784303</v>
      </c>
      <c r="E16" s="23" t="s">
        <v>768</v>
      </c>
      <c r="F16" s="23" t="s">
        <v>768</v>
      </c>
      <c r="G16" s="23" t="s">
        <v>768</v>
      </c>
      <c r="H16" s="23" t="s">
        <v>768</v>
      </c>
      <c r="I16" s="23">
        <v>-177452</v>
      </c>
      <c r="J16" s="96">
        <f>-'Supply results'!E123*1000</f>
        <v>-297147.11047138047</v>
      </c>
      <c r="K16" s="23" t="s">
        <v>768</v>
      </c>
      <c r="L16" s="23">
        <v>-642686</v>
      </c>
      <c r="M16" s="34">
        <f>-'Supply results'!AA26*1000</f>
        <v>-628451.0018188071</v>
      </c>
      <c r="N16" s="23" t="s">
        <v>768</v>
      </c>
      <c r="O16" s="23" t="s">
        <v>320</v>
      </c>
      <c r="P16" s="23">
        <f>-'Supply results'!AA58*1000</f>
        <v>-146600</v>
      </c>
      <c r="Q16" s="23" t="s">
        <v>768</v>
      </c>
      <c r="R16" s="23" t="s">
        <v>321</v>
      </c>
      <c r="S16" s="34">
        <f>-'Supply results'!AA72*1000</f>
        <v>-206600</v>
      </c>
      <c r="T16" s="23" t="s">
        <v>768</v>
      </c>
      <c r="U16" s="23" t="s">
        <v>322</v>
      </c>
      <c r="V16" s="45">
        <f>-'Supply results'!AA116*1000</f>
        <v>-56450.687963278877</v>
      </c>
      <c r="W16" s="23" t="s">
        <v>768</v>
      </c>
      <c r="X16" s="23" t="s">
        <v>323</v>
      </c>
      <c r="Y16" s="23">
        <f>'Supply results'!AA182*1000</f>
        <v>746784.4361560829</v>
      </c>
      <c r="Z16" s="23" t="s">
        <v>768</v>
      </c>
      <c r="AA16" s="23" t="s">
        <v>768</v>
      </c>
      <c r="AB16" s="23" t="s">
        <v>768</v>
      </c>
      <c r="AC16" s="23" t="s">
        <v>768</v>
      </c>
      <c r="AD16" s="23" t="s">
        <v>324</v>
      </c>
      <c r="AE16" s="23" t="s">
        <v>768</v>
      </c>
      <c r="AF16" s="9" t="s">
        <v>768</v>
      </c>
    </row>
    <row r="17" spans="2:32" ht="19">
      <c r="B17" s="17" t="s">
        <v>15</v>
      </c>
      <c r="C17" s="37">
        <v>-46776</v>
      </c>
      <c r="D17" s="45">
        <f>-'Supply results'!E35*1000/'Supply results'!O17</f>
        <v>-35957.446808510642</v>
      </c>
      <c r="E17" s="23" t="s">
        <v>768</v>
      </c>
      <c r="F17" s="23" t="s">
        <v>768</v>
      </c>
      <c r="G17" s="23" t="s">
        <v>768</v>
      </c>
      <c r="H17" s="23" t="s">
        <v>768</v>
      </c>
      <c r="I17" s="23">
        <v>-265273</v>
      </c>
      <c r="J17" s="96">
        <f>-'Supply results'!E128*1000</f>
        <v>-99778.815454545445</v>
      </c>
      <c r="K17" s="23" t="s">
        <v>768</v>
      </c>
      <c r="L17" s="23">
        <v>-670032</v>
      </c>
      <c r="M17" s="34">
        <f>-('Supply results'!AA35+'Supply results'!AA36/0.8)*1000</f>
        <v>-482497.64839915984</v>
      </c>
      <c r="N17" s="23" t="s">
        <v>768</v>
      </c>
      <c r="O17" s="23" t="s">
        <v>768</v>
      </c>
      <c r="P17" s="23" t="s">
        <v>768</v>
      </c>
      <c r="Q17" s="23" t="s">
        <v>768</v>
      </c>
      <c r="R17" s="23" t="s">
        <v>768</v>
      </c>
      <c r="S17" s="23" t="s">
        <v>768</v>
      </c>
      <c r="T17" s="23" t="s">
        <v>768</v>
      </c>
      <c r="U17" s="23" t="s">
        <v>325</v>
      </c>
      <c r="V17" s="107">
        <f>-'Supply results'!AA123*1000</f>
        <v>-37206.428900254454</v>
      </c>
      <c r="W17" s="23" t="s">
        <v>768</v>
      </c>
      <c r="X17" s="23" t="s">
        <v>326</v>
      </c>
      <c r="Y17" s="23">
        <f>'Supply results'!AA205*1000</f>
        <v>286848.74858574459</v>
      </c>
      <c r="Z17" s="23" t="s">
        <v>768</v>
      </c>
      <c r="AA17" s="23" t="s">
        <v>327</v>
      </c>
      <c r="AB17" s="23">
        <f>'Supply results'!P205*1000</f>
        <v>149892.82400211375</v>
      </c>
      <c r="AC17" s="23" t="s">
        <v>768</v>
      </c>
      <c r="AD17" s="23" t="s">
        <v>328</v>
      </c>
      <c r="AE17" s="23" t="s">
        <v>768</v>
      </c>
      <c r="AF17" s="9" t="s">
        <v>768</v>
      </c>
    </row>
    <row r="18" spans="2:32" ht="19">
      <c r="B18" s="17" t="s">
        <v>16</v>
      </c>
      <c r="C18" s="22" t="s">
        <v>768</v>
      </c>
      <c r="D18" s="45" t="s">
        <v>768</v>
      </c>
      <c r="E18" s="23" t="s">
        <v>768</v>
      </c>
      <c r="F18" s="23" t="s">
        <v>768</v>
      </c>
      <c r="G18" s="23" t="s">
        <v>768</v>
      </c>
      <c r="H18" s="23" t="s">
        <v>768</v>
      </c>
      <c r="I18" s="23" t="s">
        <v>768</v>
      </c>
      <c r="J18" s="23" t="s">
        <v>768</v>
      </c>
      <c r="K18" s="23" t="s">
        <v>768</v>
      </c>
      <c r="L18" s="23" t="s">
        <v>768</v>
      </c>
      <c r="M18" s="23"/>
      <c r="N18" s="23" t="s">
        <v>768</v>
      </c>
      <c r="O18" s="23" t="s">
        <v>768</v>
      </c>
      <c r="P18" s="23" t="s">
        <v>768</v>
      </c>
      <c r="Q18" s="23" t="s">
        <v>768</v>
      </c>
      <c r="R18" s="23" t="s">
        <v>768</v>
      </c>
      <c r="S18" s="23" t="s">
        <v>768</v>
      </c>
      <c r="T18" s="23" t="s">
        <v>768</v>
      </c>
      <c r="U18" s="23" t="s">
        <v>768</v>
      </c>
      <c r="V18" s="23" t="s">
        <v>768</v>
      </c>
      <c r="W18" s="23" t="s">
        <v>768</v>
      </c>
      <c r="X18" s="23" t="s">
        <v>768</v>
      </c>
      <c r="Y18" s="23" t="s">
        <v>768</v>
      </c>
      <c r="Z18" s="23" t="s">
        <v>768</v>
      </c>
      <c r="AA18" s="23" t="s">
        <v>768</v>
      </c>
      <c r="AB18" s="23" t="s">
        <v>768</v>
      </c>
      <c r="AC18" s="23" t="s">
        <v>768</v>
      </c>
      <c r="AD18" s="23" t="s">
        <v>768</v>
      </c>
      <c r="AE18" s="23" t="s">
        <v>768</v>
      </c>
      <c r="AF18" s="9" t="s">
        <v>768</v>
      </c>
    </row>
    <row r="19" spans="2:32" ht="19">
      <c r="B19" s="17" t="s">
        <v>17</v>
      </c>
      <c r="C19" s="22" t="s">
        <v>768</v>
      </c>
      <c r="D19" s="45"/>
      <c r="E19" s="23" t="s">
        <v>768</v>
      </c>
      <c r="F19" s="23" t="s">
        <v>768</v>
      </c>
      <c r="G19" s="23" t="s">
        <v>768</v>
      </c>
      <c r="H19" s="23" t="s">
        <v>768</v>
      </c>
      <c r="I19" s="23" t="s">
        <v>768</v>
      </c>
      <c r="J19" s="23" t="s">
        <v>768</v>
      </c>
      <c r="K19" s="23" t="s">
        <v>768</v>
      </c>
      <c r="L19" s="23" t="s">
        <v>768</v>
      </c>
      <c r="M19" s="23" t="s">
        <v>768</v>
      </c>
      <c r="N19" s="23" t="s">
        <v>768</v>
      </c>
      <c r="O19" s="23" t="s">
        <v>768</v>
      </c>
      <c r="P19" s="23" t="s">
        <v>768</v>
      </c>
      <c r="Q19" s="23" t="s">
        <v>768</v>
      </c>
      <c r="R19" s="23" t="s">
        <v>768</v>
      </c>
      <c r="S19" s="23" t="s">
        <v>768</v>
      </c>
      <c r="T19" s="23" t="s">
        <v>768</v>
      </c>
      <c r="U19" s="23" t="s">
        <v>768</v>
      </c>
      <c r="V19" s="23" t="s">
        <v>768</v>
      </c>
      <c r="W19" s="23" t="s">
        <v>768</v>
      </c>
      <c r="X19" s="23" t="s">
        <v>768</v>
      </c>
      <c r="Y19" s="23" t="s">
        <v>768</v>
      </c>
      <c r="Z19" s="23" t="s">
        <v>768</v>
      </c>
      <c r="AA19" s="23" t="s">
        <v>768</v>
      </c>
      <c r="AB19" s="23" t="s">
        <v>768</v>
      </c>
      <c r="AC19" s="23" t="s">
        <v>768</v>
      </c>
      <c r="AD19" s="23" t="s">
        <v>768</v>
      </c>
      <c r="AE19" s="23" t="s">
        <v>768</v>
      </c>
      <c r="AF19" s="9" t="s">
        <v>768</v>
      </c>
    </row>
    <row r="20" spans="2:32" ht="19">
      <c r="B20" s="17" t="s">
        <v>18</v>
      </c>
      <c r="C20" s="22" t="s">
        <v>768</v>
      </c>
      <c r="D20" s="45" t="s">
        <v>768</v>
      </c>
      <c r="E20" s="23" t="s">
        <v>768</v>
      </c>
      <c r="F20" s="23" t="s">
        <v>329</v>
      </c>
      <c r="G20" s="34">
        <f>-'Supply results'!E88*1000</f>
        <v>-3708734.6606949158</v>
      </c>
      <c r="H20" s="23" t="s">
        <v>768</v>
      </c>
      <c r="I20" s="23" t="s">
        <v>330</v>
      </c>
      <c r="J20" s="45">
        <f>-'Supply results'!E88*1000/0.9</f>
        <v>-4120816.2896610172</v>
      </c>
      <c r="K20" s="23" t="s">
        <v>768</v>
      </c>
      <c r="L20" s="23" t="s">
        <v>768</v>
      </c>
      <c r="M20" s="23" t="s">
        <v>768</v>
      </c>
      <c r="N20" s="23" t="s">
        <v>768</v>
      </c>
      <c r="O20" s="23" t="s">
        <v>768</v>
      </c>
      <c r="P20" s="23" t="s">
        <v>768</v>
      </c>
      <c r="Q20" s="23" t="s">
        <v>768</v>
      </c>
      <c r="R20" s="23" t="s">
        <v>768</v>
      </c>
      <c r="S20" s="23" t="s">
        <v>768</v>
      </c>
      <c r="T20" s="23" t="s">
        <v>768</v>
      </c>
      <c r="U20" s="23" t="s">
        <v>768</v>
      </c>
      <c r="V20" s="23" t="s">
        <v>768</v>
      </c>
      <c r="W20" s="23" t="s">
        <v>768</v>
      </c>
      <c r="X20" s="23" t="s">
        <v>768</v>
      </c>
      <c r="Y20" s="23" t="s">
        <v>768</v>
      </c>
      <c r="Z20" s="23" t="s">
        <v>768</v>
      </c>
      <c r="AA20" s="23" t="s">
        <v>768</v>
      </c>
      <c r="AB20" s="23" t="s">
        <v>768</v>
      </c>
      <c r="AC20" s="23" t="s">
        <v>768</v>
      </c>
      <c r="AD20" s="23" t="s">
        <v>331</v>
      </c>
      <c r="AE20" s="23" t="s">
        <v>768</v>
      </c>
      <c r="AF20" s="9" t="s">
        <v>768</v>
      </c>
    </row>
    <row r="21" spans="2:32" ht="19">
      <c r="B21" s="17" t="s">
        <v>19</v>
      </c>
      <c r="C21" s="22" t="s">
        <v>332</v>
      </c>
      <c r="D21" s="45">
        <f>-'Supply results'!E26*1000/'Supply results'!C26</f>
        <v>-138381.12305854241</v>
      </c>
      <c r="E21" s="23" t="s">
        <v>768</v>
      </c>
      <c r="F21" s="23" t="s">
        <v>768</v>
      </c>
      <c r="G21" s="23" t="s">
        <v>768</v>
      </c>
      <c r="H21" s="23" t="s">
        <v>768</v>
      </c>
      <c r="I21" s="23" t="s">
        <v>768</v>
      </c>
      <c r="J21" s="23" t="s">
        <v>768</v>
      </c>
      <c r="K21" s="23" t="s">
        <v>768</v>
      </c>
      <c r="L21" s="23" t="s">
        <v>768</v>
      </c>
      <c r="M21" s="23" t="s">
        <v>768</v>
      </c>
      <c r="N21" s="23" t="s">
        <v>768</v>
      </c>
      <c r="O21" s="23" t="s">
        <v>768</v>
      </c>
      <c r="P21" s="23" t="s">
        <v>768</v>
      </c>
      <c r="Q21" s="23" t="s">
        <v>768</v>
      </c>
      <c r="R21" s="23" t="s">
        <v>768</v>
      </c>
      <c r="S21" s="23" t="s">
        <v>768</v>
      </c>
      <c r="T21" s="23" t="s">
        <v>768</v>
      </c>
      <c r="U21" s="23" t="s">
        <v>768</v>
      </c>
      <c r="V21" s="23" t="s">
        <v>768</v>
      </c>
      <c r="W21" s="23" t="s">
        <v>768</v>
      </c>
      <c r="X21" s="23" t="s">
        <v>768</v>
      </c>
      <c r="Y21" s="23" t="s">
        <v>768</v>
      </c>
      <c r="Z21" s="23" t="s">
        <v>768</v>
      </c>
      <c r="AA21" s="23" t="s">
        <v>768</v>
      </c>
      <c r="AB21" s="23" t="s">
        <v>768</v>
      </c>
      <c r="AC21" s="23" t="s">
        <v>768</v>
      </c>
      <c r="AD21" s="23" t="s">
        <v>332</v>
      </c>
      <c r="AE21" s="23" t="s">
        <v>768</v>
      </c>
      <c r="AF21" s="9" t="s">
        <v>768</v>
      </c>
    </row>
    <row r="22" spans="2:32" ht="19">
      <c r="B22" s="17" t="s">
        <v>20</v>
      </c>
      <c r="C22" s="22" t="s">
        <v>768</v>
      </c>
      <c r="D22" s="34" t="s">
        <v>768</v>
      </c>
      <c r="E22" s="23" t="s">
        <v>768</v>
      </c>
      <c r="F22" s="23" t="s">
        <v>768</v>
      </c>
      <c r="G22" s="23" t="s">
        <v>768</v>
      </c>
      <c r="H22" s="23" t="s">
        <v>768</v>
      </c>
      <c r="I22" s="23" t="s">
        <v>768</v>
      </c>
      <c r="J22" s="23" t="s">
        <v>768</v>
      </c>
      <c r="K22" s="23" t="s">
        <v>768</v>
      </c>
      <c r="L22" s="23" t="s">
        <v>768</v>
      </c>
      <c r="M22" s="23" t="s">
        <v>768</v>
      </c>
      <c r="N22" s="23" t="s">
        <v>768</v>
      </c>
      <c r="O22" s="23" t="s">
        <v>768</v>
      </c>
      <c r="P22" s="23" t="s">
        <v>768</v>
      </c>
      <c r="Q22" s="23" t="s">
        <v>768</v>
      </c>
      <c r="R22" s="23" t="s">
        <v>768</v>
      </c>
      <c r="S22" s="23" t="s">
        <v>768</v>
      </c>
      <c r="T22" s="23" t="s">
        <v>768</v>
      </c>
      <c r="U22" s="23" t="s">
        <v>768</v>
      </c>
      <c r="V22" s="23" t="s">
        <v>768</v>
      </c>
      <c r="W22" s="23" t="s">
        <v>768</v>
      </c>
      <c r="X22" s="23" t="s">
        <v>768</v>
      </c>
      <c r="Y22" s="23" t="s">
        <v>768</v>
      </c>
      <c r="Z22" s="23" t="s">
        <v>768</v>
      </c>
      <c r="AA22" s="23" t="s">
        <v>768</v>
      </c>
      <c r="AB22" s="23" t="s">
        <v>768</v>
      </c>
      <c r="AC22" s="23" t="s">
        <v>768</v>
      </c>
      <c r="AD22" s="23" t="s">
        <v>768</v>
      </c>
      <c r="AE22" s="23" t="s">
        <v>768</v>
      </c>
      <c r="AF22" s="9" t="s">
        <v>768</v>
      </c>
    </row>
    <row r="23" spans="2:32" ht="19">
      <c r="B23" s="17" t="s">
        <v>21</v>
      </c>
      <c r="C23" s="22" t="s">
        <v>768</v>
      </c>
      <c r="D23" s="34" t="s">
        <v>768</v>
      </c>
      <c r="E23" s="23" t="s">
        <v>768</v>
      </c>
      <c r="F23" s="23" t="s">
        <v>333</v>
      </c>
      <c r="G23" s="46" t="s">
        <v>768</v>
      </c>
      <c r="H23" s="23" t="s">
        <v>768</v>
      </c>
      <c r="I23" s="23" t="s">
        <v>334</v>
      </c>
      <c r="J23" s="46">
        <f>-'Supply results'!E164*1000</f>
        <v>-46700.4</v>
      </c>
      <c r="K23" s="23" t="s">
        <v>768</v>
      </c>
      <c r="L23" s="23" t="s">
        <v>768</v>
      </c>
      <c r="M23" s="23" t="s">
        <v>768</v>
      </c>
      <c r="N23" s="23" t="s">
        <v>768</v>
      </c>
      <c r="O23" s="23" t="s">
        <v>768</v>
      </c>
      <c r="P23" s="23" t="s">
        <v>768</v>
      </c>
      <c r="Q23" s="23" t="s">
        <v>768</v>
      </c>
      <c r="R23" s="23" t="s">
        <v>768</v>
      </c>
      <c r="S23" s="23" t="s">
        <v>768</v>
      </c>
      <c r="T23" s="23" t="s">
        <v>768</v>
      </c>
      <c r="U23" s="23" t="s">
        <v>772</v>
      </c>
      <c r="V23" s="97" t="s">
        <v>768</v>
      </c>
      <c r="W23" s="23" t="s">
        <v>768</v>
      </c>
      <c r="X23" s="23" t="s">
        <v>768</v>
      </c>
      <c r="Y23" s="23" t="s">
        <v>768</v>
      </c>
      <c r="Z23" s="23" t="s">
        <v>768</v>
      </c>
      <c r="AA23" s="23" t="s">
        <v>768</v>
      </c>
      <c r="AB23" s="23" t="s">
        <v>768</v>
      </c>
      <c r="AC23" s="23" t="s">
        <v>768</v>
      </c>
      <c r="AD23" s="23" t="s">
        <v>41</v>
      </c>
      <c r="AE23" s="23" t="s">
        <v>768</v>
      </c>
      <c r="AF23" s="9" t="s">
        <v>768</v>
      </c>
    </row>
    <row r="24" spans="2:32" ht="19">
      <c r="B24" s="17" t="s">
        <v>22</v>
      </c>
      <c r="C24" s="22" t="s">
        <v>335</v>
      </c>
      <c r="D24" s="44">
        <f>-'Supply results'!E42*1000</f>
        <v>0</v>
      </c>
      <c r="E24" s="23" t="s">
        <v>768</v>
      </c>
      <c r="F24" s="23" t="s">
        <v>768</v>
      </c>
      <c r="G24" s="23"/>
      <c r="H24" s="23" t="s">
        <v>768</v>
      </c>
      <c r="I24" s="23" t="s">
        <v>336</v>
      </c>
      <c r="J24" s="46"/>
      <c r="K24" s="23" t="s">
        <v>768</v>
      </c>
      <c r="L24" s="23">
        <v>-26222</v>
      </c>
      <c r="M24" s="97"/>
      <c r="N24" s="23" t="s">
        <v>768</v>
      </c>
      <c r="O24" s="23" t="s">
        <v>768</v>
      </c>
      <c r="P24" s="23" t="s">
        <v>768</v>
      </c>
      <c r="Q24" s="23" t="s">
        <v>768</v>
      </c>
      <c r="R24" s="23" t="s">
        <v>768</v>
      </c>
      <c r="S24" s="23" t="s">
        <v>768</v>
      </c>
      <c r="T24" s="23" t="s">
        <v>768</v>
      </c>
      <c r="U24" s="23" t="s">
        <v>768</v>
      </c>
      <c r="V24" s="23" t="s">
        <v>768</v>
      </c>
      <c r="W24" s="23" t="s">
        <v>768</v>
      </c>
      <c r="X24" s="23" t="s">
        <v>337</v>
      </c>
      <c r="Y24" s="23" t="s">
        <v>768</v>
      </c>
      <c r="Z24" s="23" t="s">
        <v>768</v>
      </c>
      <c r="AA24" s="23" t="s">
        <v>338</v>
      </c>
      <c r="AB24" s="23" t="s">
        <v>768</v>
      </c>
      <c r="AC24" s="23" t="s">
        <v>768</v>
      </c>
      <c r="AD24" s="23" t="s">
        <v>339</v>
      </c>
      <c r="AE24" s="23" t="s">
        <v>768</v>
      </c>
      <c r="AF24" s="9" t="s">
        <v>768</v>
      </c>
    </row>
    <row r="25" spans="2:32" ht="19">
      <c r="B25" s="17" t="s">
        <v>23</v>
      </c>
      <c r="C25" s="22" t="s">
        <v>768</v>
      </c>
      <c r="D25" s="34" t="s">
        <v>768</v>
      </c>
      <c r="E25" s="23" t="s">
        <v>768</v>
      </c>
      <c r="F25" s="23" t="s">
        <v>768</v>
      </c>
      <c r="G25" s="23" t="s">
        <v>768</v>
      </c>
      <c r="H25" s="23" t="s">
        <v>768</v>
      </c>
      <c r="I25" s="23" t="s">
        <v>768</v>
      </c>
      <c r="J25" s="23" t="s">
        <v>768</v>
      </c>
      <c r="K25" s="23" t="s">
        <v>768</v>
      </c>
      <c r="L25" s="23">
        <v>-23255</v>
      </c>
      <c r="M25" s="107">
        <f>-'Supply results'!X36*1000</f>
        <v>-32707.267175931633</v>
      </c>
      <c r="N25" s="23" t="s">
        <v>768</v>
      </c>
      <c r="O25" s="23" t="s">
        <v>768</v>
      </c>
      <c r="P25" s="23" t="s">
        <v>768</v>
      </c>
      <c r="Q25" s="23" t="s">
        <v>768</v>
      </c>
      <c r="R25" s="23" t="s">
        <v>768</v>
      </c>
      <c r="S25" s="23" t="s">
        <v>768</v>
      </c>
      <c r="T25" s="23" t="s">
        <v>768</v>
      </c>
      <c r="U25" s="23" t="s">
        <v>768</v>
      </c>
      <c r="V25" s="23" t="s">
        <v>768</v>
      </c>
      <c r="W25" s="23" t="s">
        <v>768</v>
      </c>
      <c r="X25" s="23" t="s">
        <v>340</v>
      </c>
      <c r="Y25" s="23" t="s">
        <v>768</v>
      </c>
      <c r="Z25" s="23" t="s">
        <v>768</v>
      </c>
      <c r="AA25" s="23" t="s">
        <v>768</v>
      </c>
      <c r="AB25" s="23" t="s">
        <v>768</v>
      </c>
      <c r="AC25" s="23" t="s">
        <v>768</v>
      </c>
      <c r="AD25" s="23" t="s">
        <v>341</v>
      </c>
      <c r="AE25" s="23" t="s">
        <v>768</v>
      </c>
      <c r="AF25" s="9" t="s">
        <v>768</v>
      </c>
    </row>
    <row r="26" spans="2:32" s="7" customFormat="1" ht="19">
      <c r="B26" s="11" t="s">
        <v>24</v>
      </c>
      <c r="C26" s="24">
        <v>99160</v>
      </c>
      <c r="D26" s="35">
        <f>SUM(D27:D34)</f>
        <v>122606.48077237792</v>
      </c>
      <c r="E26" s="31" t="s">
        <v>768</v>
      </c>
      <c r="F26" s="12" t="s">
        <v>768</v>
      </c>
      <c r="G26" s="12" t="s">
        <v>768</v>
      </c>
      <c r="H26" s="12" t="s">
        <v>768</v>
      </c>
      <c r="I26" s="12" t="s">
        <v>342</v>
      </c>
      <c r="J26" s="12" t="s">
        <v>768</v>
      </c>
      <c r="K26" s="12" t="s">
        <v>768</v>
      </c>
      <c r="L26" s="12">
        <v>1548923</v>
      </c>
      <c r="M26" s="12" t="s">
        <v>768</v>
      </c>
      <c r="N26" s="12" t="s">
        <v>768</v>
      </c>
      <c r="O26" s="12" t="s">
        <v>768</v>
      </c>
      <c r="P26" s="12" t="s">
        <v>768</v>
      </c>
      <c r="Q26" s="12" t="s">
        <v>768</v>
      </c>
      <c r="R26" s="12" t="s">
        <v>343</v>
      </c>
      <c r="S26" s="12" t="s">
        <v>768</v>
      </c>
      <c r="T26" s="12" t="s">
        <v>768</v>
      </c>
      <c r="U26" s="12" t="s">
        <v>344</v>
      </c>
      <c r="V26" s="12" t="s">
        <v>768</v>
      </c>
      <c r="W26" s="12" t="s">
        <v>768</v>
      </c>
      <c r="X26" s="12" t="s">
        <v>345</v>
      </c>
      <c r="Y26" s="12" t="s">
        <v>768</v>
      </c>
      <c r="Z26" s="12" t="s">
        <v>768</v>
      </c>
      <c r="AA26" s="12" t="s">
        <v>346</v>
      </c>
      <c r="AB26" s="12" t="s">
        <v>768</v>
      </c>
      <c r="AC26" s="12" t="s">
        <v>768</v>
      </c>
      <c r="AD26" s="12" t="s">
        <v>347</v>
      </c>
      <c r="AE26" s="12" t="s">
        <v>768</v>
      </c>
      <c r="AF26" s="13" t="s">
        <v>768</v>
      </c>
    </row>
    <row r="27" spans="2:32" ht="19">
      <c r="B27" s="17" t="s">
        <v>25</v>
      </c>
      <c r="C27" s="22" t="s">
        <v>348</v>
      </c>
      <c r="D27" s="34">
        <f>'Supply results'!E55*1000</f>
        <v>122008.3256148582</v>
      </c>
      <c r="E27" s="23" t="s">
        <v>768</v>
      </c>
      <c r="F27" s="23" t="s">
        <v>768</v>
      </c>
      <c r="G27" s="23" t="s">
        <v>768</v>
      </c>
      <c r="H27" s="23" t="s">
        <v>768</v>
      </c>
      <c r="I27" s="23" t="s">
        <v>349</v>
      </c>
      <c r="J27" s="34">
        <f>'Supply results'!E142*1000</f>
        <v>275246.44310250395</v>
      </c>
      <c r="K27" s="23" t="s">
        <v>768</v>
      </c>
      <c r="L27" s="23" t="s">
        <v>350</v>
      </c>
      <c r="M27" s="34">
        <f>'Supply results'!AA37*1000</f>
        <v>631282.38353963348</v>
      </c>
      <c r="N27" s="23" t="s">
        <v>768</v>
      </c>
      <c r="O27" s="23" t="s">
        <v>768</v>
      </c>
      <c r="P27" s="23" t="s">
        <v>768</v>
      </c>
      <c r="Q27" s="23" t="s">
        <v>768</v>
      </c>
      <c r="R27" s="23" t="s">
        <v>768</v>
      </c>
      <c r="S27" s="23" t="s">
        <v>768</v>
      </c>
      <c r="T27" s="23" t="s">
        <v>768</v>
      </c>
      <c r="U27" s="23" t="s">
        <v>351</v>
      </c>
      <c r="V27" s="34">
        <f>'Supply results'!AA137*1000</f>
        <v>11946.55867635844</v>
      </c>
      <c r="W27" s="23" t="s">
        <v>768</v>
      </c>
      <c r="X27" s="23" t="s">
        <v>352</v>
      </c>
      <c r="Y27" s="23">
        <f>'Supply results'!AA206*1000</f>
        <v>540086.37443796871</v>
      </c>
      <c r="Z27" s="23" t="s">
        <v>768</v>
      </c>
      <c r="AA27" s="23" t="s">
        <v>353</v>
      </c>
      <c r="AB27" s="23">
        <f>'Supply results'!P206*1000</f>
        <v>86114.013593544514</v>
      </c>
      <c r="AC27" s="23" t="s">
        <v>768</v>
      </c>
      <c r="AD27" s="23" t="s">
        <v>354</v>
      </c>
      <c r="AE27" s="23" t="s">
        <v>768</v>
      </c>
      <c r="AF27" s="9" t="s">
        <v>768</v>
      </c>
    </row>
    <row r="28" spans="2:32" ht="19">
      <c r="B28" s="17" t="s">
        <v>26</v>
      </c>
      <c r="C28" s="22" t="s">
        <v>768</v>
      </c>
      <c r="D28" s="34" t="s">
        <v>768</v>
      </c>
      <c r="E28" s="23" t="s">
        <v>768</v>
      </c>
      <c r="F28" s="23" t="s">
        <v>768</v>
      </c>
      <c r="G28" s="23" t="s">
        <v>768</v>
      </c>
      <c r="H28" s="23" t="s">
        <v>768</v>
      </c>
      <c r="I28" s="23" t="s">
        <v>355</v>
      </c>
      <c r="J28" s="34">
        <f>'Supply results'!E191*1000</f>
        <v>1970234.7263371607</v>
      </c>
      <c r="K28" s="23" t="s">
        <v>768</v>
      </c>
      <c r="L28" s="23" t="s">
        <v>356</v>
      </c>
      <c r="M28" s="34">
        <f>'Supply results'!AA49*1000</f>
        <v>16465.94314252786</v>
      </c>
      <c r="N28" s="23" t="s">
        <v>768</v>
      </c>
      <c r="O28" s="23" t="s">
        <v>768</v>
      </c>
      <c r="P28" s="23" t="s">
        <v>768</v>
      </c>
      <c r="Q28" s="23" t="s">
        <v>768</v>
      </c>
      <c r="R28" s="23" t="s">
        <v>768</v>
      </c>
      <c r="S28" s="23" t="s">
        <v>768</v>
      </c>
      <c r="T28" s="23" t="s">
        <v>768</v>
      </c>
      <c r="U28" s="23" t="s">
        <v>357</v>
      </c>
      <c r="V28" s="34">
        <f>'Supply results'!AA138*1000</f>
        <v>5570.3245789211269</v>
      </c>
      <c r="W28" s="23" t="s">
        <v>768</v>
      </c>
      <c r="X28" s="23" t="s">
        <v>358</v>
      </c>
      <c r="Y28" s="34">
        <f>'Supply results'!AA207*1000</f>
        <v>37748.842640000003</v>
      </c>
      <c r="Z28" s="23" t="s">
        <v>768</v>
      </c>
      <c r="AA28" s="23" t="s">
        <v>768</v>
      </c>
      <c r="AB28" s="23" t="s">
        <v>768</v>
      </c>
      <c r="AC28" s="23" t="s">
        <v>768</v>
      </c>
      <c r="AD28" s="23" t="s">
        <v>359</v>
      </c>
      <c r="AE28" s="23" t="s">
        <v>768</v>
      </c>
      <c r="AF28" s="9" t="s">
        <v>768</v>
      </c>
    </row>
    <row r="29" spans="2:32" ht="19">
      <c r="B29" s="17" t="s">
        <v>2</v>
      </c>
      <c r="C29" s="37">
        <v>230</v>
      </c>
      <c r="D29" s="34">
        <f>'Supply results'!E56*1000</f>
        <v>276.15515751972902</v>
      </c>
      <c r="E29" s="23" t="s">
        <v>768</v>
      </c>
      <c r="F29" s="23" t="s">
        <v>768</v>
      </c>
      <c r="G29" s="23" t="s">
        <v>768</v>
      </c>
      <c r="H29" s="23"/>
      <c r="I29" s="23" t="s">
        <v>360</v>
      </c>
      <c r="J29" s="34">
        <f>'Supply results'!E196*1000</f>
        <v>210519.24196879155</v>
      </c>
      <c r="K29" s="23" t="s">
        <v>768</v>
      </c>
      <c r="L29" s="23" t="s">
        <v>361</v>
      </c>
      <c r="M29" s="34">
        <f>'Supply results'!AA52*1000</f>
        <v>721149.58041815308</v>
      </c>
      <c r="N29" s="23" t="s">
        <v>768</v>
      </c>
      <c r="O29" s="23" t="s">
        <v>768</v>
      </c>
      <c r="P29" s="23" t="s">
        <v>768</v>
      </c>
      <c r="Q29" s="23" t="s">
        <v>768</v>
      </c>
      <c r="R29" s="23" t="s">
        <v>362</v>
      </c>
      <c r="S29" s="107">
        <f>'Supply results'!AA80*1000</f>
        <v>2919.5965864192904</v>
      </c>
      <c r="T29" s="23" t="s">
        <v>768</v>
      </c>
      <c r="U29" s="23" t="s">
        <v>363</v>
      </c>
      <c r="V29" s="107">
        <f>'Supply results'!AA142*1000</f>
        <v>63038.961175138487</v>
      </c>
      <c r="W29" s="23" t="s">
        <v>768</v>
      </c>
      <c r="X29" s="23" t="s">
        <v>364</v>
      </c>
      <c r="Y29" s="23">
        <f>'Supply results'!AA208*1000</f>
        <v>239236.3477144152</v>
      </c>
      <c r="Z29" s="23" t="s">
        <v>768</v>
      </c>
      <c r="AA29" s="23" t="s">
        <v>365</v>
      </c>
      <c r="AB29" s="107">
        <f>'Supply results'!P207*1000</f>
        <v>27278.080440122809</v>
      </c>
      <c r="AC29" s="23" t="s">
        <v>768</v>
      </c>
      <c r="AD29" s="23" t="s">
        <v>366</v>
      </c>
      <c r="AE29" s="23" t="s">
        <v>768</v>
      </c>
      <c r="AF29" s="9" t="s">
        <v>768</v>
      </c>
    </row>
    <row r="30" spans="2:32" ht="19">
      <c r="B30" s="17" t="s">
        <v>27</v>
      </c>
      <c r="C30" s="22" t="s">
        <v>768</v>
      </c>
      <c r="D30" s="34" t="s">
        <v>768</v>
      </c>
      <c r="E30" s="23" t="s">
        <v>768</v>
      </c>
      <c r="F30" s="23" t="s">
        <v>768</v>
      </c>
      <c r="G30" s="23" t="s">
        <v>768</v>
      </c>
      <c r="H30" s="23" t="s">
        <v>768</v>
      </c>
      <c r="I30" s="23" t="s">
        <v>367</v>
      </c>
      <c r="J30" s="34">
        <f>'Supply results'!E201*1000</f>
        <v>18882.786666666667</v>
      </c>
      <c r="K30" s="23" t="s">
        <v>768</v>
      </c>
      <c r="L30" s="23" t="s">
        <v>368</v>
      </c>
      <c r="M30" s="34">
        <f>'Supply results'!AA55*1000</f>
        <v>344159.34379416006</v>
      </c>
      <c r="N30" s="23" t="s">
        <v>768</v>
      </c>
      <c r="O30" s="23" t="s">
        <v>768</v>
      </c>
      <c r="P30" s="23" t="s">
        <v>768</v>
      </c>
      <c r="Q30" s="23" t="s">
        <v>768</v>
      </c>
      <c r="R30" s="23" t="s">
        <v>369</v>
      </c>
      <c r="S30" s="107">
        <f>'Supply results'!AA86*1000</f>
        <v>3492.2222222222217</v>
      </c>
      <c r="T30" s="23" t="s">
        <v>768</v>
      </c>
      <c r="U30" s="23" t="s">
        <v>773</v>
      </c>
      <c r="V30" s="97">
        <f>'Supply results'!AA143*1000</f>
        <v>0</v>
      </c>
      <c r="W30" s="23" t="s">
        <v>768</v>
      </c>
      <c r="X30" s="23" t="s">
        <v>370</v>
      </c>
      <c r="Y30" s="23">
        <f>'Supply results'!AA209*1000</f>
        <v>281319.62126820191</v>
      </c>
      <c r="Z30" s="23" t="s">
        <v>768</v>
      </c>
      <c r="AA30" s="23" t="s">
        <v>371</v>
      </c>
      <c r="AB30" s="34">
        <f>'Supply results'!P208*1000</f>
        <v>6440.2878529657573</v>
      </c>
      <c r="AC30" s="23" t="s">
        <v>768</v>
      </c>
      <c r="AD30" s="23" t="s">
        <v>372</v>
      </c>
      <c r="AE30" s="23" t="s">
        <v>768</v>
      </c>
      <c r="AF30" s="9" t="s">
        <v>768</v>
      </c>
    </row>
    <row r="31" spans="2:32" ht="19">
      <c r="B31" s="17" t="s">
        <v>28</v>
      </c>
      <c r="C31" s="22" t="s">
        <v>768</v>
      </c>
      <c r="D31" s="34" t="s">
        <v>768</v>
      </c>
      <c r="E31" s="23" t="s">
        <v>768</v>
      </c>
      <c r="F31" s="23" t="s">
        <v>768</v>
      </c>
      <c r="G31" s="23" t="s">
        <v>768</v>
      </c>
      <c r="H31" s="23" t="s">
        <v>768</v>
      </c>
      <c r="I31" s="23" t="s">
        <v>373</v>
      </c>
      <c r="J31" s="34">
        <f>'Supply results'!E205*1000</f>
        <v>108491.33279999999</v>
      </c>
      <c r="K31" s="23" t="s">
        <v>768</v>
      </c>
      <c r="L31" s="23" t="s">
        <v>374</v>
      </c>
      <c r="M31" s="34">
        <f>'Supply results'!AA56*1000</f>
        <v>6220.0152000000007</v>
      </c>
      <c r="N31" s="23" t="s">
        <v>768</v>
      </c>
      <c r="O31" s="23" t="s">
        <v>768</v>
      </c>
      <c r="P31" s="23" t="s">
        <v>768</v>
      </c>
      <c r="Q31" s="23" t="s">
        <v>768</v>
      </c>
      <c r="R31" s="23" t="s">
        <v>375</v>
      </c>
      <c r="S31" s="107">
        <f>'Supply results'!AA89*1000</f>
        <v>5331.4416000000001</v>
      </c>
      <c r="T31" s="23" t="s">
        <v>768</v>
      </c>
      <c r="U31" s="23" t="s">
        <v>774</v>
      </c>
      <c r="V31" s="107">
        <f>'Supply results'!AA144*1000</f>
        <v>8208</v>
      </c>
      <c r="W31" s="23" t="s">
        <v>768</v>
      </c>
      <c r="X31" s="23" t="s">
        <v>376</v>
      </c>
      <c r="Y31" s="34">
        <f>'Supply results'!AA210*1000</f>
        <v>19844.810399999998</v>
      </c>
      <c r="Z31" s="23" t="s">
        <v>768</v>
      </c>
      <c r="AA31" s="23" t="s">
        <v>775</v>
      </c>
      <c r="AB31" s="23" t="s">
        <v>768</v>
      </c>
      <c r="AC31" s="23" t="s">
        <v>768</v>
      </c>
      <c r="AD31" s="23" t="s">
        <v>377</v>
      </c>
      <c r="AE31" s="23" t="s">
        <v>768</v>
      </c>
      <c r="AF31" s="9" t="s">
        <v>768</v>
      </c>
    </row>
    <row r="32" spans="2:32" ht="19">
      <c r="B32" s="17" t="s">
        <v>3</v>
      </c>
      <c r="C32" s="22" t="s">
        <v>768</v>
      </c>
      <c r="D32" s="34" t="s">
        <v>768</v>
      </c>
      <c r="E32" s="23" t="s">
        <v>768</v>
      </c>
      <c r="F32" s="23" t="s">
        <v>768</v>
      </c>
      <c r="G32" s="23" t="s">
        <v>768</v>
      </c>
      <c r="H32" s="23" t="s">
        <v>768</v>
      </c>
      <c r="I32" s="23" t="s">
        <v>378</v>
      </c>
      <c r="J32" s="23" t="s">
        <v>378</v>
      </c>
      <c r="K32" s="23" t="s">
        <v>768</v>
      </c>
      <c r="L32" s="23" t="s">
        <v>768</v>
      </c>
      <c r="M32" s="23" t="s">
        <v>768</v>
      </c>
      <c r="N32" s="23" t="s">
        <v>768</v>
      </c>
      <c r="O32" s="23" t="s">
        <v>768</v>
      </c>
      <c r="P32" s="23" t="s">
        <v>768</v>
      </c>
      <c r="Q32" s="23" t="s">
        <v>768</v>
      </c>
      <c r="R32" s="23" t="s">
        <v>29</v>
      </c>
      <c r="S32" s="23" t="s">
        <v>768</v>
      </c>
      <c r="T32" s="23" t="s">
        <v>768</v>
      </c>
      <c r="U32" s="23" t="s">
        <v>768</v>
      </c>
      <c r="V32" s="23" t="s">
        <v>768</v>
      </c>
      <c r="W32" s="23" t="s">
        <v>768</v>
      </c>
      <c r="X32" s="23" t="s">
        <v>776</v>
      </c>
      <c r="Y32" s="97" t="s">
        <v>768</v>
      </c>
      <c r="Z32" s="23" t="s">
        <v>768</v>
      </c>
      <c r="AA32" s="23" t="s">
        <v>768</v>
      </c>
      <c r="AB32" s="23" t="s">
        <v>768</v>
      </c>
      <c r="AC32" s="23" t="s">
        <v>768</v>
      </c>
      <c r="AD32" s="23" t="s">
        <v>379</v>
      </c>
      <c r="AE32" s="23" t="s">
        <v>768</v>
      </c>
      <c r="AF32" s="9" t="s">
        <v>768</v>
      </c>
    </row>
    <row r="33" spans="2:32" ht="19">
      <c r="B33" s="17" t="s">
        <v>1</v>
      </c>
      <c r="C33" s="22" t="s">
        <v>768</v>
      </c>
      <c r="D33" s="34" t="s">
        <v>768</v>
      </c>
      <c r="E33" s="23" t="s">
        <v>768</v>
      </c>
      <c r="F33" s="23" t="s">
        <v>768</v>
      </c>
      <c r="G33" s="23" t="s">
        <v>768</v>
      </c>
      <c r="H33" s="23" t="s">
        <v>768</v>
      </c>
      <c r="I33" s="23" t="s">
        <v>380</v>
      </c>
      <c r="J33" s="23" t="s">
        <v>380</v>
      </c>
      <c r="K33" s="23" t="s">
        <v>768</v>
      </c>
      <c r="L33" s="23" t="s">
        <v>768</v>
      </c>
      <c r="M33" s="23" t="s">
        <v>768</v>
      </c>
      <c r="N33" s="23" t="s">
        <v>768</v>
      </c>
      <c r="O33" s="23" t="s">
        <v>768</v>
      </c>
      <c r="P33" s="23" t="s">
        <v>768</v>
      </c>
      <c r="Q33" s="23" t="s">
        <v>768</v>
      </c>
      <c r="R33" s="23" t="s">
        <v>768</v>
      </c>
      <c r="S33" s="23" t="s">
        <v>768</v>
      </c>
      <c r="T33" s="23" t="s">
        <v>768</v>
      </c>
      <c r="U33" s="23" t="s">
        <v>768</v>
      </c>
      <c r="V33" s="23" t="s">
        <v>768</v>
      </c>
      <c r="W33" s="23" t="s">
        <v>768</v>
      </c>
      <c r="X33" s="23" t="s">
        <v>768</v>
      </c>
      <c r="Y33" s="23" t="s">
        <v>768</v>
      </c>
      <c r="Z33" s="23" t="s">
        <v>768</v>
      </c>
      <c r="AA33" s="23" t="s">
        <v>768</v>
      </c>
      <c r="AB33" s="23" t="s">
        <v>768</v>
      </c>
      <c r="AC33" s="23" t="s">
        <v>768</v>
      </c>
      <c r="AD33" s="23" t="s">
        <v>380</v>
      </c>
      <c r="AE33" s="23" t="s">
        <v>768</v>
      </c>
      <c r="AF33" s="9" t="s">
        <v>768</v>
      </c>
    </row>
    <row r="34" spans="2:32" s="6" customFormat="1" ht="19">
      <c r="B34" s="18" t="s">
        <v>30</v>
      </c>
      <c r="C34" s="25" t="s">
        <v>381</v>
      </c>
      <c r="D34" s="43">
        <f>('Supply results'!E51+'Supply results'!E52)*1000</f>
        <v>322</v>
      </c>
      <c r="E34" s="32" t="s">
        <v>768</v>
      </c>
      <c r="F34" s="26" t="s">
        <v>768</v>
      </c>
      <c r="G34" s="26" t="s">
        <v>768</v>
      </c>
      <c r="H34" s="26" t="s">
        <v>768</v>
      </c>
      <c r="I34" s="26" t="s">
        <v>382</v>
      </c>
      <c r="J34" s="55">
        <f>'Supply results'!E178*1000</f>
        <v>198882.60172830522</v>
      </c>
      <c r="K34" s="26" t="s">
        <v>768</v>
      </c>
      <c r="L34" s="26" t="s">
        <v>383</v>
      </c>
      <c r="M34" s="98" t="s">
        <v>768</v>
      </c>
      <c r="N34" s="26" t="s">
        <v>768</v>
      </c>
      <c r="O34" s="26" t="s">
        <v>768</v>
      </c>
      <c r="P34" s="26" t="s">
        <v>768</v>
      </c>
      <c r="Q34" s="26" t="s">
        <v>768</v>
      </c>
      <c r="R34" s="26" t="s">
        <v>768</v>
      </c>
      <c r="S34" s="26" t="s">
        <v>768</v>
      </c>
      <c r="T34" s="26" t="s">
        <v>768</v>
      </c>
      <c r="U34" s="26" t="s">
        <v>768</v>
      </c>
      <c r="V34" s="26" t="s">
        <v>768</v>
      </c>
      <c r="W34" s="26" t="s">
        <v>768</v>
      </c>
      <c r="X34" s="26" t="s">
        <v>768</v>
      </c>
      <c r="Y34" s="26" t="s">
        <v>768</v>
      </c>
      <c r="Z34" s="26" t="s">
        <v>768</v>
      </c>
      <c r="AA34" s="26" t="s">
        <v>768</v>
      </c>
      <c r="AB34" s="26" t="s">
        <v>768</v>
      </c>
      <c r="AC34" s="26" t="s">
        <v>768</v>
      </c>
      <c r="AD34" s="26" t="s">
        <v>768</v>
      </c>
      <c r="AE34" s="26" t="s">
        <v>768</v>
      </c>
      <c r="AF34" s="27" t="s">
        <v>768</v>
      </c>
    </row>
    <row r="39" spans="2:32">
      <c r="J39" s="111"/>
    </row>
    <row r="45" spans="2:32" ht="18">
      <c r="D45" s="3"/>
      <c r="E45" s="3"/>
      <c r="F45" s="3"/>
      <c r="G45" s="3"/>
      <c r="H45" s="3"/>
      <c r="I45" s="3"/>
      <c r="J45" s="3"/>
      <c r="K45" s="3"/>
      <c r="L45" s="3"/>
      <c r="M45" s="3"/>
    </row>
  </sheetData>
  <mergeCells count="10">
    <mergeCell ref="U4:W4"/>
    <mergeCell ref="X4:Z4"/>
    <mergeCell ref="AA4:AC4"/>
    <mergeCell ref="AD4:AF4"/>
    <mergeCell ref="C4:E4"/>
    <mergeCell ref="F4:H4"/>
    <mergeCell ref="I4:K4"/>
    <mergeCell ref="L4:N4"/>
    <mergeCell ref="O4:Q4"/>
    <mergeCell ref="R4:T4"/>
  </mergeCells>
  <phoneticPr fontId="20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3F84-4CB6-ED40-A752-7A3852E0D68E}">
  <dimension ref="B3:AG223"/>
  <sheetViews>
    <sheetView topLeftCell="B185" zoomScale="70" zoomScaleNormal="70" workbookViewId="0">
      <selection activeCell="I225" sqref="I225"/>
    </sheetView>
  </sheetViews>
  <sheetFormatPr baseColWidth="10" defaultRowHeight="16"/>
  <cols>
    <col min="2" max="2" width="14.83203125" customWidth="1"/>
    <col min="3" max="3" width="16.6640625" customWidth="1"/>
    <col min="4" max="4" width="39" customWidth="1"/>
    <col min="13" max="13" width="14.6640625" customWidth="1"/>
    <col min="14" max="14" width="30.33203125" customWidth="1"/>
    <col min="15" max="15" width="27.5" customWidth="1"/>
    <col min="24" max="24" width="19.5" customWidth="1"/>
    <col min="26" max="26" width="27.6640625" customWidth="1"/>
  </cols>
  <sheetData>
    <row r="3" spans="2:33">
      <c r="D3" s="30"/>
    </row>
    <row r="4" spans="2:33">
      <c r="D4" s="30"/>
    </row>
    <row r="5" spans="2:33">
      <c r="D5" s="30"/>
    </row>
    <row r="6" spans="2:33" ht="18">
      <c r="B6" s="4"/>
      <c r="C6" s="4"/>
      <c r="D6" s="30"/>
      <c r="E6" s="28"/>
      <c r="F6" s="28"/>
      <c r="G6" s="28"/>
      <c r="H6" s="28"/>
      <c r="I6" s="28"/>
      <c r="J6" s="28"/>
      <c r="K6" s="28"/>
      <c r="L6" s="28"/>
      <c r="M6" s="28"/>
    </row>
    <row r="7" spans="2:33" ht="18">
      <c r="B7" s="5"/>
      <c r="C7" s="5"/>
      <c r="D7" s="30"/>
      <c r="E7" s="1"/>
      <c r="F7" s="1"/>
      <c r="G7" s="1"/>
      <c r="H7" s="1"/>
      <c r="I7" s="1"/>
      <c r="J7" s="1"/>
      <c r="K7" s="1"/>
      <c r="L7" s="1"/>
      <c r="M7" s="1"/>
    </row>
    <row r="8" spans="2:33" ht="18">
      <c r="B8" s="2"/>
      <c r="C8" s="2"/>
      <c r="D8" s="30"/>
      <c r="E8" s="2"/>
      <c r="F8" s="2"/>
      <c r="G8" s="2"/>
      <c r="H8" s="2"/>
      <c r="I8" s="2"/>
      <c r="J8" s="2"/>
      <c r="K8" s="2"/>
      <c r="L8" s="2"/>
      <c r="M8" s="2"/>
    </row>
    <row r="9" spans="2:33" ht="18">
      <c r="B9" s="2"/>
      <c r="C9" s="2"/>
      <c r="D9" s="30"/>
      <c r="E9" s="2"/>
      <c r="F9" s="2"/>
      <c r="G9" s="2"/>
      <c r="H9" s="2"/>
      <c r="I9" s="2"/>
      <c r="J9" s="2"/>
      <c r="K9" s="2"/>
      <c r="L9" s="2"/>
      <c r="M9" s="2"/>
    </row>
    <row r="10" spans="2:33" ht="18">
      <c r="B10" s="2"/>
      <c r="C10" s="2"/>
      <c r="D10" s="30"/>
      <c r="E10" s="2"/>
      <c r="F10" s="2"/>
      <c r="G10" s="2"/>
      <c r="H10" s="2"/>
      <c r="I10" s="2"/>
      <c r="J10" s="2"/>
      <c r="K10" s="2"/>
      <c r="L10" s="2"/>
      <c r="M10" s="2"/>
    </row>
    <row r="11" spans="2:33" ht="18">
      <c r="B11" s="2"/>
      <c r="C11" s="2"/>
      <c r="D11" s="30"/>
      <c r="E11" s="2"/>
      <c r="F11" s="2"/>
      <c r="G11" s="2"/>
      <c r="H11" s="2"/>
      <c r="I11" s="2"/>
      <c r="J11" s="2"/>
      <c r="K11" s="2"/>
      <c r="L11" s="2"/>
      <c r="M11" s="2"/>
    </row>
    <row r="12" spans="2:33" ht="18">
      <c r="B12" s="2"/>
      <c r="C12" s="2"/>
      <c r="D12" s="30"/>
      <c r="E12" s="2"/>
      <c r="F12" s="2"/>
      <c r="G12" s="2"/>
      <c r="H12" s="2"/>
      <c r="I12" s="2"/>
      <c r="J12" s="2"/>
      <c r="K12" s="2"/>
      <c r="L12" s="2"/>
      <c r="M12" s="2"/>
    </row>
    <row r="13" spans="2:33" ht="18">
      <c r="B13" s="2"/>
      <c r="C13" s="2"/>
      <c r="D13" s="2"/>
      <c r="E13" s="133" t="s">
        <v>742</v>
      </c>
      <c r="F13" s="133"/>
      <c r="G13" s="133"/>
      <c r="H13" s="133"/>
      <c r="I13" s="133"/>
      <c r="J13" s="133"/>
      <c r="K13" s="133"/>
      <c r="L13" s="2"/>
      <c r="M13" s="2"/>
      <c r="O13" s="134" t="s">
        <v>780</v>
      </c>
      <c r="P13" s="134"/>
      <c r="Q13" s="134"/>
      <c r="R13" s="134"/>
      <c r="S13" s="134"/>
      <c r="T13" s="134"/>
      <c r="X13" s="2"/>
      <c r="Y13" s="2"/>
      <c r="Z13" s="2"/>
      <c r="AA13" s="133" t="s">
        <v>742</v>
      </c>
      <c r="AB13" s="133"/>
      <c r="AC13" s="133"/>
      <c r="AD13" s="133"/>
      <c r="AE13" s="133"/>
      <c r="AF13" s="133"/>
      <c r="AG13" s="133"/>
    </row>
    <row r="14" spans="2:33" ht="19">
      <c r="B14" s="29" t="s">
        <v>740</v>
      </c>
      <c r="C14" s="29" t="s">
        <v>738</v>
      </c>
      <c r="D14" s="2" t="s">
        <v>737</v>
      </c>
      <c r="E14" s="2">
        <v>2007</v>
      </c>
      <c r="F14" s="41">
        <f>E14+1</f>
        <v>2008</v>
      </c>
      <c r="G14" s="2">
        <v>2010</v>
      </c>
      <c r="H14" s="2">
        <v>2012</v>
      </c>
      <c r="I14" s="2">
        <f>H14+2</f>
        <v>2014</v>
      </c>
      <c r="J14" s="2">
        <f>I14+2</f>
        <v>2016</v>
      </c>
      <c r="K14" s="2">
        <f>J14+2</f>
        <v>2018</v>
      </c>
      <c r="L14" s="2"/>
      <c r="M14" s="2"/>
      <c r="N14" t="s">
        <v>737</v>
      </c>
      <c r="O14" s="2">
        <v>2007</v>
      </c>
      <c r="P14" s="2">
        <v>2010</v>
      </c>
      <c r="Q14" s="2">
        <v>2012</v>
      </c>
      <c r="R14" s="2">
        <f>Q14+2</f>
        <v>2014</v>
      </c>
      <c r="S14" s="2">
        <f>R14+2</f>
        <v>2016</v>
      </c>
      <c r="T14" s="2">
        <f>S14+2</f>
        <v>2018</v>
      </c>
      <c r="U14">
        <v>2022</v>
      </c>
      <c r="X14" s="29" t="s">
        <v>740</v>
      </c>
      <c r="Y14" s="29" t="s">
        <v>738</v>
      </c>
      <c r="Z14" s="2" t="s">
        <v>737</v>
      </c>
      <c r="AA14" s="2">
        <v>2007</v>
      </c>
      <c r="AB14" s="41">
        <f>AA14+1</f>
        <v>2008</v>
      </c>
      <c r="AC14" s="2">
        <v>2010</v>
      </c>
      <c r="AD14" s="2">
        <v>2012</v>
      </c>
      <c r="AE14" s="2">
        <f>AD14+2</f>
        <v>2014</v>
      </c>
      <c r="AF14" s="2">
        <f>AE14+2</f>
        <v>2016</v>
      </c>
      <c r="AG14" s="2">
        <f>AF14+2</f>
        <v>2018</v>
      </c>
    </row>
    <row r="15" spans="2:33" ht="19">
      <c r="B15" s="116" t="s">
        <v>31</v>
      </c>
      <c r="C15" s="56" t="s">
        <v>739</v>
      </c>
      <c r="D15" s="57" t="s">
        <v>741</v>
      </c>
      <c r="E15" s="58">
        <v>340.92585398047379</v>
      </c>
      <c r="F15" s="58">
        <v>266.47523809436848</v>
      </c>
      <c r="G15" s="58">
        <v>223.3125765268766</v>
      </c>
      <c r="H15" s="58">
        <v>183.6310330339538</v>
      </c>
      <c r="I15" s="58">
        <v>156.47087650580781</v>
      </c>
      <c r="J15" s="58">
        <v>134.30657931130901</v>
      </c>
      <c r="K15" s="59">
        <v>120.6544738906146</v>
      </c>
      <c r="L15" s="2"/>
      <c r="M15" s="2"/>
      <c r="N15" s="29" t="s">
        <v>746</v>
      </c>
      <c r="O15" s="2">
        <v>0.34</v>
      </c>
      <c r="P15">
        <v>0.32</v>
      </c>
      <c r="Q15">
        <f>$O$15+(Q14-$O$14)/($P$14-$O$14)*($P$15-$O$15)</f>
        <v>0.30666666666666664</v>
      </c>
      <c r="R15">
        <f t="shared" ref="R15:T15" si="0">$O$15+(R14-$O$14)/($P$14-$O$14)*($P$15-$O$15)</f>
        <v>0.29333333333333333</v>
      </c>
      <c r="S15">
        <f t="shared" si="0"/>
        <v>0.27999999999999997</v>
      </c>
      <c r="T15">
        <f t="shared" si="0"/>
        <v>0.26666666666666661</v>
      </c>
      <c r="X15" s="116" t="s">
        <v>912</v>
      </c>
      <c r="Y15" s="91" t="s">
        <v>739</v>
      </c>
      <c r="Z15" s="58" t="s">
        <v>913</v>
      </c>
      <c r="AA15" s="58">
        <v>2530</v>
      </c>
      <c r="AB15" s="58">
        <v>2371.391245694404</v>
      </c>
      <c r="AC15" s="58">
        <v>2335.0099631485718</v>
      </c>
      <c r="AD15" s="58">
        <v>2205.3801977496182</v>
      </c>
      <c r="AE15" s="58">
        <v>2104.1288254517958</v>
      </c>
      <c r="AF15" s="58">
        <v>2029.0417222413821</v>
      </c>
      <c r="AG15" s="59">
        <v>1932.207102404951</v>
      </c>
    </row>
    <row r="16" spans="2:33" ht="19">
      <c r="B16" s="2"/>
      <c r="C16" s="60"/>
      <c r="D16" s="61" t="s">
        <v>744</v>
      </c>
      <c r="E16" s="61">
        <v>72.699999999999989</v>
      </c>
      <c r="F16" s="62">
        <v>53.076894206549127</v>
      </c>
      <c r="G16" s="61">
        <v>47.983613100581067</v>
      </c>
      <c r="H16" s="61">
        <v>42.615821212358192</v>
      </c>
      <c r="I16" s="61">
        <v>40.877715100815813</v>
      </c>
      <c r="J16" s="61">
        <v>41.200126713516887</v>
      </c>
      <c r="K16" s="63">
        <v>40.72034923882061</v>
      </c>
      <c r="M16" s="2"/>
      <c r="N16" s="29" t="s">
        <v>747</v>
      </c>
      <c r="O16" s="2">
        <v>0.27</v>
      </c>
      <c r="P16">
        <v>0.27</v>
      </c>
      <c r="Q16">
        <f>$O$16+(Q14-$O$14)/($P$14-$O$14)*($P$16-$O$16)</f>
        <v>0.27</v>
      </c>
      <c r="R16">
        <f t="shared" ref="R16:T16" si="1">$O$16+(R15-$O$14)/($P$14-$O$14)*($P$16-$O$16)</f>
        <v>0.27</v>
      </c>
      <c r="S16">
        <f t="shared" si="1"/>
        <v>0.27</v>
      </c>
      <c r="T16">
        <f t="shared" si="1"/>
        <v>0.27</v>
      </c>
      <c r="Y16" s="89"/>
      <c r="Z16" s="64" t="s">
        <v>914</v>
      </c>
      <c r="AA16" s="64">
        <v>301</v>
      </c>
      <c r="AB16" s="64">
        <v>301</v>
      </c>
      <c r="AC16" s="64">
        <v>301</v>
      </c>
      <c r="AD16" s="64">
        <v>267.98549999999989</v>
      </c>
      <c r="AE16" s="64">
        <v>219.64949999999999</v>
      </c>
      <c r="AF16" s="64">
        <v>216.20099999999999</v>
      </c>
      <c r="AG16" s="66">
        <v>212.43899999999999</v>
      </c>
    </row>
    <row r="17" spans="2:33" ht="19">
      <c r="B17" s="2"/>
      <c r="C17" s="60"/>
      <c r="D17" s="61" t="s">
        <v>743</v>
      </c>
      <c r="E17" s="61">
        <v>315.45551174148801</v>
      </c>
      <c r="F17" s="62">
        <v>363.33054773732158</v>
      </c>
      <c r="G17" s="61">
        <v>360.92460982692859</v>
      </c>
      <c r="H17" s="61">
        <v>361.11098588191572</v>
      </c>
      <c r="I17" s="61">
        <v>357.52249386666671</v>
      </c>
      <c r="J17" s="61">
        <v>351.1735667538461</v>
      </c>
      <c r="K17" s="63">
        <v>312.32017951428583</v>
      </c>
      <c r="L17" s="2"/>
      <c r="M17" s="2"/>
      <c r="N17" s="29" t="s">
        <v>748</v>
      </c>
      <c r="O17" s="2">
        <v>0.47</v>
      </c>
      <c r="P17">
        <v>0.47</v>
      </c>
      <c r="Q17">
        <f>$O$17+(Q15-$O$14)/($P$14-$O$14)*($P$17-$O$17)</f>
        <v>0.47</v>
      </c>
      <c r="R17">
        <f t="shared" ref="R17:T17" si="2">$O$17+(R15-$O$14)/($P$14-$O$14)*($P$17-$O$17)</f>
        <v>0.47</v>
      </c>
      <c r="S17">
        <f t="shared" si="2"/>
        <v>0.47</v>
      </c>
      <c r="T17">
        <f t="shared" si="2"/>
        <v>0.47</v>
      </c>
      <c r="Y17" s="89"/>
      <c r="Z17" s="64" t="s">
        <v>915</v>
      </c>
      <c r="AA17" s="64">
        <v>75.3</v>
      </c>
      <c r="AB17" s="64">
        <v>62.320849999999993</v>
      </c>
      <c r="AC17" s="64">
        <v>15.304399999999999</v>
      </c>
      <c r="AD17" s="64"/>
      <c r="AE17" s="64"/>
      <c r="AF17" s="64"/>
      <c r="AG17" s="66"/>
    </row>
    <row r="18" spans="2:33" ht="19">
      <c r="B18" s="2"/>
      <c r="C18" s="60"/>
      <c r="D18" s="61" t="s">
        <v>761</v>
      </c>
      <c r="E18" s="61"/>
      <c r="F18" s="62"/>
      <c r="G18" s="61"/>
      <c r="H18" s="61"/>
      <c r="I18" s="61"/>
      <c r="J18" s="61"/>
      <c r="K18" s="63"/>
      <c r="L18" s="2"/>
      <c r="M18" s="2"/>
      <c r="N18" s="29" t="s">
        <v>749</v>
      </c>
      <c r="O18" s="2">
        <v>0.42</v>
      </c>
      <c r="P18">
        <v>0.42</v>
      </c>
      <c r="Q18">
        <f>$O$18+(Q15-$O$14)/($P$14-$O$14)*($P$18-$O$18)</f>
        <v>0.42</v>
      </c>
      <c r="R18">
        <f t="shared" ref="R18:T18" si="3">$O$18+(R15-$O$14)/($P$14-$O$14)*($P$18-$O$18)</f>
        <v>0.42</v>
      </c>
      <c r="S18">
        <f t="shared" si="3"/>
        <v>0.42</v>
      </c>
      <c r="T18">
        <f t="shared" si="3"/>
        <v>0.42</v>
      </c>
      <c r="Y18" s="90"/>
      <c r="Z18" s="80" t="s">
        <v>916</v>
      </c>
      <c r="AA18" s="80">
        <f>SUM(AA16:AA17)</f>
        <v>376.3</v>
      </c>
      <c r="AB18" s="80">
        <f t="shared" ref="AB18:AG18" si="4">SUM(AB16:AB17)</f>
        <v>363.32085000000001</v>
      </c>
      <c r="AC18" s="80">
        <f t="shared" si="4"/>
        <v>316.30439999999999</v>
      </c>
      <c r="AD18" s="80">
        <f t="shared" si="4"/>
        <v>267.98549999999989</v>
      </c>
      <c r="AE18" s="80">
        <f t="shared" si="4"/>
        <v>219.64949999999999</v>
      </c>
      <c r="AF18" s="80">
        <f t="shared" si="4"/>
        <v>216.20099999999999</v>
      </c>
      <c r="AG18" s="81">
        <f t="shared" si="4"/>
        <v>212.43899999999999</v>
      </c>
    </row>
    <row r="19" spans="2:33" ht="19">
      <c r="B19" s="2"/>
      <c r="C19" s="60"/>
      <c r="D19" s="61" t="s">
        <v>766</v>
      </c>
      <c r="E19" s="61"/>
      <c r="F19" s="62"/>
      <c r="G19" s="61"/>
      <c r="H19" s="61"/>
      <c r="I19" s="61"/>
      <c r="J19" s="61"/>
      <c r="K19" s="63"/>
      <c r="L19" s="2"/>
      <c r="M19" s="2"/>
      <c r="N19" s="29" t="s">
        <v>750</v>
      </c>
      <c r="O19" s="2">
        <v>0.35</v>
      </c>
      <c r="P19">
        <v>0.4</v>
      </c>
      <c r="Q19">
        <f>$O$19+(Q14-$O$14)/($P$14-$O$14)*($P$19-$O$19)</f>
        <v>0.4333333333333334</v>
      </c>
      <c r="R19">
        <f t="shared" ref="R19:T19" si="5">$O$19+(R14-$O$14)/($P$14-$O$14)*($P$19-$O$19)</f>
        <v>0.46666666666666679</v>
      </c>
      <c r="S19">
        <f t="shared" si="5"/>
        <v>0.50000000000000011</v>
      </c>
      <c r="T19">
        <f t="shared" si="5"/>
        <v>0.53333333333333344</v>
      </c>
      <c r="Y19" s="91" t="s">
        <v>0</v>
      </c>
      <c r="Z19" t="s">
        <v>1017</v>
      </c>
      <c r="AA19">
        <v>725.16493731503829</v>
      </c>
      <c r="AB19">
        <v>403.81775146353539</v>
      </c>
      <c r="AC19">
        <v>402.83003989175529</v>
      </c>
      <c r="AD19">
        <v>505.53719887748588</v>
      </c>
      <c r="AE19">
        <v>388.96080165955038</v>
      </c>
      <c r="AF19">
        <v>578.32492736518986</v>
      </c>
      <c r="AG19">
        <v>408.83845927276639</v>
      </c>
    </row>
    <row r="20" spans="2:33" ht="19">
      <c r="B20" s="2"/>
      <c r="C20" s="60"/>
      <c r="D20" s="61" t="s">
        <v>762</v>
      </c>
      <c r="E20" s="61">
        <v>340.92585398047379</v>
      </c>
      <c r="F20" s="62">
        <v>266.47455311107501</v>
      </c>
      <c r="G20" s="61">
        <v>223.31256006940129</v>
      </c>
      <c r="H20" s="61">
        <v>183.63007283988151</v>
      </c>
      <c r="I20" s="61">
        <v>156.46315285281281</v>
      </c>
      <c r="J20" s="61">
        <v>134.32964382743799</v>
      </c>
      <c r="K20" s="63">
        <v>120.6544738906145</v>
      </c>
      <c r="L20" s="2"/>
      <c r="M20" s="2"/>
      <c r="N20" s="48" t="s">
        <v>844</v>
      </c>
      <c r="O20" s="47">
        <f>SUM(O15:O16,O18:O19)/4</f>
        <v>0.34499999999999997</v>
      </c>
      <c r="P20" s="47">
        <f t="shared" ref="P20:T20" si="6">SUM(P15:P16,P18:P19)/4</f>
        <v>0.35250000000000004</v>
      </c>
      <c r="Q20" s="47">
        <f t="shared" si="6"/>
        <v>0.35749999999999998</v>
      </c>
      <c r="R20" s="47">
        <f t="shared" si="6"/>
        <v>0.36250000000000004</v>
      </c>
      <c r="S20" s="47">
        <f t="shared" si="6"/>
        <v>0.36750000000000005</v>
      </c>
      <c r="T20" s="47">
        <f t="shared" si="6"/>
        <v>0.3725</v>
      </c>
      <c r="Y20" s="89"/>
      <c r="Z20" t="s">
        <v>1018</v>
      </c>
      <c r="AA20">
        <v>418.49098007886028</v>
      </c>
      <c r="AB20">
        <v>666.1822485364645</v>
      </c>
      <c r="AC20">
        <v>627.16996010824482</v>
      </c>
      <c r="AD20">
        <v>449.46280112251418</v>
      </c>
      <c r="AE20">
        <v>490.03919834044962</v>
      </c>
      <c r="AF20">
        <v>225.67507263481019</v>
      </c>
      <c r="AG20">
        <v>348.16154072723361</v>
      </c>
    </row>
    <row r="21" spans="2:33" ht="19">
      <c r="B21" s="2"/>
      <c r="C21" s="60"/>
      <c r="D21" s="61" t="s">
        <v>760</v>
      </c>
      <c r="E21" s="61"/>
      <c r="F21" s="62">
        <v>1.0847610050696039</v>
      </c>
      <c r="G21" s="61">
        <v>3.0714984039490969</v>
      </c>
      <c r="H21" s="61">
        <v>4.6502918232537374</v>
      </c>
      <c r="I21" s="61">
        <v>5.8605538901764431</v>
      </c>
      <c r="J21" s="61"/>
      <c r="K21" s="63"/>
      <c r="M21" s="2"/>
      <c r="N21" t="s">
        <v>835</v>
      </c>
      <c r="O21" s="2">
        <v>0.36</v>
      </c>
      <c r="P21">
        <v>0.27</v>
      </c>
      <c r="Q21">
        <v>0.27</v>
      </c>
      <c r="R21">
        <v>0.27</v>
      </c>
      <c r="S21">
        <v>0.27</v>
      </c>
      <c r="T21">
        <v>0.27</v>
      </c>
      <c r="Y21" s="89"/>
      <c r="Z21" s="58" t="s">
        <v>917</v>
      </c>
      <c r="AA21" s="58">
        <v>256.27258799999998</v>
      </c>
      <c r="AB21" s="58">
        <v>256.27258799999998</v>
      </c>
      <c r="AC21" s="58">
        <v>245.5604917765053</v>
      </c>
      <c r="AD21" s="58">
        <v>213.43059104122261</v>
      </c>
      <c r="AE21" s="58">
        <v>185.27539716292151</v>
      </c>
      <c r="AF21" s="58">
        <v>158.1728169943336</v>
      </c>
      <c r="AG21" s="59">
        <v>102.0439131921033</v>
      </c>
    </row>
    <row r="22" spans="2:33" ht="19">
      <c r="B22" s="2"/>
      <c r="C22" s="60"/>
      <c r="D22" s="61"/>
      <c r="E22" s="61"/>
      <c r="F22" s="62"/>
      <c r="G22" s="61"/>
      <c r="H22" s="61"/>
      <c r="I22" s="61"/>
      <c r="J22" s="61"/>
      <c r="K22" s="63"/>
      <c r="M22" s="2"/>
      <c r="N22" t="s">
        <v>918</v>
      </c>
      <c r="O22" s="2">
        <v>0.39</v>
      </c>
      <c r="P22" s="2">
        <v>0.3</v>
      </c>
      <c r="Q22">
        <f>$O$32+(Q5-$O$14)/($P$14-$O$14)*($P$32-$O$32)</f>
        <v>60.600000000000016</v>
      </c>
      <c r="R22">
        <v>0.24</v>
      </c>
      <c r="S22">
        <v>0.24</v>
      </c>
      <c r="T22">
        <v>0.24</v>
      </c>
      <c r="Y22" s="89"/>
      <c r="Z22" s="64" t="s">
        <v>918</v>
      </c>
      <c r="AA22" s="64">
        <v>16.100000000000001</v>
      </c>
      <c r="AB22" s="64">
        <v>16.100000000000001</v>
      </c>
      <c r="AC22" s="64">
        <v>15.1</v>
      </c>
      <c r="AD22" s="64">
        <v>13.6</v>
      </c>
      <c r="AE22" s="64"/>
      <c r="AF22" s="64"/>
      <c r="AG22" s="66"/>
    </row>
    <row r="23" spans="2:33" ht="19">
      <c r="B23" s="2"/>
      <c r="C23" s="60"/>
      <c r="D23" s="61"/>
      <c r="E23" s="61"/>
      <c r="F23" s="62"/>
      <c r="G23" s="61"/>
      <c r="H23" s="61"/>
      <c r="I23" s="61"/>
      <c r="J23" s="61"/>
      <c r="K23" s="63"/>
      <c r="M23" s="2"/>
      <c r="N23" s="29" t="s">
        <v>747</v>
      </c>
      <c r="O23" s="2">
        <v>0.27</v>
      </c>
      <c r="P23">
        <v>0.27</v>
      </c>
      <c r="Q23">
        <f>$O$16+(Q21-$O$14)/($P$14-$O$14)*($P$16-$O$16)</f>
        <v>0.27</v>
      </c>
      <c r="R23">
        <f t="shared" ref="R23:T23" si="7">$O$16+(R22-$O$14)/($P$14-$O$14)*($P$16-$O$16)</f>
        <v>0.27</v>
      </c>
      <c r="S23">
        <f t="shared" si="7"/>
        <v>0.27</v>
      </c>
      <c r="T23">
        <f t="shared" si="7"/>
        <v>0.27</v>
      </c>
      <c r="Y23" s="89"/>
      <c r="Z23" s="64" t="s">
        <v>919</v>
      </c>
      <c r="AA23" s="64">
        <v>30.561985305437421</v>
      </c>
      <c r="AB23" s="64"/>
      <c r="AC23" s="64"/>
      <c r="AD23" s="64"/>
      <c r="AE23" s="64"/>
      <c r="AF23" s="64"/>
      <c r="AG23" s="66"/>
    </row>
    <row r="24" spans="2:33" ht="18">
      <c r="B24" s="2"/>
      <c r="C24" s="60"/>
      <c r="D24" s="64" t="s">
        <v>778</v>
      </c>
      <c r="E24" s="64">
        <v>25</v>
      </c>
      <c r="F24" s="65">
        <v>23.1</v>
      </c>
      <c r="G24" s="64">
        <v>19.2</v>
      </c>
      <c r="H24" s="64">
        <v>15.4</v>
      </c>
      <c r="I24" s="64">
        <v>11.5</v>
      </c>
      <c r="J24" s="64">
        <v>7.6899999999999977</v>
      </c>
      <c r="K24" s="66">
        <v>3.85</v>
      </c>
      <c r="M24" s="2"/>
      <c r="N24" t="s">
        <v>836</v>
      </c>
      <c r="O24" s="2">
        <v>0.43</v>
      </c>
      <c r="P24">
        <f>$O$24+(P14-$O$14)/($R$14-$O$14)*($R$24-$O$24)</f>
        <v>0.43428571428571427</v>
      </c>
      <c r="Q24">
        <f>$O$24+(Q14-$O$14)/($R$14-$O$14)*($R$24-$O$24)</f>
        <v>0.43714285714285717</v>
      </c>
      <c r="R24">
        <v>0.44</v>
      </c>
      <c r="S24">
        <f>$R$24+(S14-$R$14)/($U$14-$R$14)*($U$24-$R$24)</f>
        <v>0.44500000000000001</v>
      </c>
      <c r="T24">
        <f>$R$24+(T14-$R$14)/($U$14-$R$14)*($U$24-$R$24)</f>
        <v>0.45</v>
      </c>
      <c r="U24">
        <v>0.46</v>
      </c>
      <c r="Y24" s="89"/>
      <c r="Z24" s="64" t="s">
        <v>920</v>
      </c>
      <c r="AA24" s="64">
        <v>0.78</v>
      </c>
      <c r="AB24" s="64">
        <v>0.66900000000000004</v>
      </c>
      <c r="AC24" s="64">
        <v>0.44600000000000001</v>
      </c>
      <c r="AD24" s="64">
        <v>0.223</v>
      </c>
      <c r="AE24" s="64"/>
      <c r="AF24" s="64"/>
      <c r="AG24" s="66"/>
    </row>
    <row r="25" spans="2:33" ht="20" customHeight="1">
      <c r="B25" s="2"/>
      <c r="C25" s="60"/>
      <c r="D25" s="61" t="s">
        <v>767</v>
      </c>
      <c r="E25" s="61"/>
      <c r="F25" s="62"/>
      <c r="G25" s="61"/>
      <c r="H25" s="61"/>
      <c r="I25" s="61"/>
      <c r="J25" s="61"/>
      <c r="K25" s="63"/>
      <c r="M25" s="2"/>
      <c r="N25" s="47" t="s">
        <v>845</v>
      </c>
      <c r="O25" s="47">
        <f>SUM(O21:O24)/4</f>
        <v>0.36249999999999999</v>
      </c>
      <c r="P25" s="47">
        <f t="shared" ref="P25:T25" si="8">SUM(P21:P24)/4</f>
        <v>0.31857142857142862</v>
      </c>
      <c r="Q25" s="47">
        <f t="shared" si="8"/>
        <v>15.39428571428572</v>
      </c>
      <c r="R25" s="47">
        <f t="shared" si="8"/>
        <v>0.30499999999999999</v>
      </c>
      <c r="S25" s="47">
        <f t="shared" si="8"/>
        <v>0.30625000000000002</v>
      </c>
      <c r="T25" s="47">
        <f t="shared" si="8"/>
        <v>0.3075</v>
      </c>
      <c r="Y25" s="89"/>
      <c r="Z25" s="64" t="s">
        <v>921</v>
      </c>
      <c r="AA25" s="64"/>
      <c r="AB25" s="64"/>
      <c r="AC25" s="64"/>
      <c r="AD25" s="64"/>
      <c r="AE25" s="64"/>
      <c r="AF25" s="64"/>
      <c r="AG25" s="66"/>
    </row>
    <row r="26" spans="2:33" ht="19">
      <c r="B26" s="2"/>
      <c r="C26" s="60">
        <v>0.83699999999999997</v>
      </c>
      <c r="D26" s="61" t="s">
        <v>763</v>
      </c>
      <c r="E26" s="61">
        <v>115.825</v>
      </c>
      <c r="F26" s="62">
        <v>94.009155211618705</v>
      </c>
      <c r="G26" s="61">
        <v>84.175111504530179</v>
      </c>
      <c r="H26" s="61">
        <v>73.831113035611921</v>
      </c>
      <c r="I26" s="61">
        <v>66.575768990992245</v>
      </c>
      <c r="J26" s="61">
        <v>54.465376713516903</v>
      </c>
      <c r="K26" s="63">
        <v>47.361599238820602</v>
      </c>
      <c r="M26" s="2"/>
      <c r="N26" t="s">
        <v>837</v>
      </c>
      <c r="O26" s="2">
        <v>0.55000000000000004</v>
      </c>
      <c r="P26" s="2">
        <v>0.55000000000000004</v>
      </c>
      <c r="Q26" s="2">
        <v>0.55000000000000004</v>
      </c>
      <c r="R26" s="2">
        <v>0.55000000000000004</v>
      </c>
      <c r="S26" s="2">
        <v>0.55000000000000004</v>
      </c>
      <c r="T26" s="2">
        <v>0.55000000000000004</v>
      </c>
      <c r="Y26" s="89"/>
      <c r="Z26" s="64" t="s">
        <v>922</v>
      </c>
      <c r="AA26" s="64">
        <f>AA21/O31+AA22/O32+AA23/O33+AA24/O35+AA25/O36</f>
        <v>628.45100181880707</v>
      </c>
      <c r="AB26" s="64">
        <f>SUM(AB21:AB25)</f>
        <v>273.04158799999999</v>
      </c>
      <c r="AC26" s="64">
        <f>SUM(AC21:AC25)/P37</f>
        <v>669.50382506796245</v>
      </c>
      <c r="AD26" s="64">
        <f>SUM(AD21:AD25)/Q37</f>
        <v>609.80391155963139</v>
      </c>
      <c r="AE26" s="64">
        <f>SUM(AE21:AE25)/R37</f>
        <v>504.37948410958671</v>
      </c>
      <c r="AF26" s="64">
        <f>SUM(AF21:AF25)/S37</f>
        <v>436.94148340976136</v>
      </c>
      <c r="AG26" s="66">
        <f>SUM(AG21:AG25)/T37</f>
        <v>286.10442951057001</v>
      </c>
    </row>
    <row r="27" spans="2:33" s="7" customFormat="1" ht="19">
      <c r="B27" s="4"/>
      <c r="C27" s="67" t="s">
        <v>757</v>
      </c>
      <c r="D27" s="68"/>
      <c r="E27" s="68">
        <f>SUM(E15,E17,E24)</f>
        <v>681.38136572196186</v>
      </c>
      <c r="F27" s="69">
        <f t="shared" ref="F27:J27" si="9">SUM(F15,F17,F24)</f>
        <v>652.90578583169008</v>
      </c>
      <c r="G27" s="68">
        <f>SUM(G15,G17,G24)</f>
        <v>603.43718635380526</v>
      </c>
      <c r="H27" s="68">
        <f t="shared" si="9"/>
        <v>560.14201891586947</v>
      </c>
      <c r="I27" s="68">
        <f t="shared" si="9"/>
        <v>525.49337037247449</v>
      </c>
      <c r="J27" s="68">
        <f t="shared" si="9"/>
        <v>493.17014606515511</v>
      </c>
      <c r="K27" s="70">
        <f>SUM(K15,K17,K24)</f>
        <v>436.82465340490046</v>
      </c>
      <c r="M27" s="4"/>
      <c r="N27" t="s">
        <v>838</v>
      </c>
      <c r="O27" s="2">
        <v>0.55000000000000004</v>
      </c>
      <c r="P27" s="2">
        <v>0.55000000000000004</v>
      </c>
      <c r="Q27" s="2">
        <v>0.55000000000000004</v>
      </c>
      <c r="R27" s="2">
        <v>0.55000000000000004</v>
      </c>
      <c r="S27" s="2">
        <v>0.55000000000000004</v>
      </c>
      <c r="T27" s="2">
        <v>0.55000000000000004</v>
      </c>
      <c r="Y27" s="95"/>
      <c r="Z27" s="64" t="s">
        <v>924</v>
      </c>
      <c r="AA27" s="64">
        <v>178.13343599999999</v>
      </c>
      <c r="AB27" s="64">
        <v>178.13343599999999</v>
      </c>
      <c r="AC27" s="64">
        <v>169</v>
      </c>
      <c r="AD27" s="64">
        <v>150.07849728780539</v>
      </c>
      <c r="AE27" s="64">
        <v>140</v>
      </c>
      <c r="AF27" s="64">
        <v>128</v>
      </c>
      <c r="AG27" s="66">
        <v>118</v>
      </c>
    </row>
    <row r="28" spans="2:33" ht="19">
      <c r="B28" s="2"/>
      <c r="C28" s="56" t="s">
        <v>0</v>
      </c>
      <c r="D28" s="71" t="s">
        <v>758</v>
      </c>
      <c r="E28" s="71">
        <v>159.537154674866</v>
      </c>
      <c r="F28" s="72">
        <v>121.12777777777779</v>
      </c>
      <c r="G28" s="71">
        <v>89.445000000000007</v>
      </c>
      <c r="H28" s="71">
        <v>63.931818181818187</v>
      </c>
      <c r="I28" s="71">
        <v>42.295833333333327</v>
      </c>
      <c r="J28" s="71">
        <v>24.29615384615385</v>
      </c>
      <c r="K28" s="73">
        <v>8.798214285714284</v>
      </c>
      <c r="L28" s="2"/>
      <c r="M28" s="2"/>
      <c r="N28" t="s">
        <v>839</v>
      </c>
      <c r="O28" s="2">
        <v>0.85</v>
      </c>
      <c r="P28" s="2">
        <v>0.85</v>
      </c>
      <c r="Q28" s="2">
        <v>0.85</v>
      </c>
      <c r="R28" s="2">
        <v>0.85</v>
      </c>
      <c r="S28" s="2">
        <v>0.85</v>
      </c>
      <c r="T28" s="2">
        <v>0.85</v>
      </c>
      <c r="Y28" s="89"/>
      <c r="Z28" s="64" t="s">
        <v>925</v>
      </c>
      <c r="AA28" s="64">
        <v>25.6</v>
      </c>
      <c r="AB28" s="64">
        <v>25.6</v>
      </c>
      <c r="AC28" s="64">
        <v>24.6</v>
      </c>
      <c r="AD28" s="64">
        <v>24.6</v>
      </c>
      <c r="AE28" s="64">
        <v>24.6</v>
      </c>
      <c r="AF28" s="64">
        <v>24.6</v>
      </c>
      <c r="AG28" s="66">
        <v>24.6</v>
      </c>
    </row>
    <row r="29" spans="2:33" ht="19">
      <c r="B29" s="2"/>
      <c r="C29" s="60"/>
      <c r="D29" s="61" t="s">
        <v>759</v>
      </c>
      <c r="E29" s="61"/>
      <c r="F29" s="62"/>
      <c r="G29" s="61"/>
      <c r="H29" s="61"/>
      <c r="I29" s="61"/>
      <c r="J29" s="61"/>
      <c r="K29" s="63"/>
      <c r="L29" s="2"/>
      <c r="M29" s="2"/>
      <c r="N29" t="s">
        <v>840</v>
      </c>
      <c r="O29" s="2">
        <v>0.8</v>
      </c>
      <c r="P29" s="2">
        <v>0.8</v>
      </c>
      <c r="Q29" s="2">
        <v>0.8</v>
      </c>
      <c r="R29" s="2">
        <v>0.8</v>
      </c>
      <c r="S29" s="2">
        <v>0.8</v>
      </c>
      <c r="T29" s="2">
        <v>0.8</v>
      </c>
      <c r="Y29" s="89"/>
      <c r="Z29" s="64" t="s">
        <v>926</v>
      </c>
      <c r="AA29" s="64">
        <v>25.2</v>
      </c>
      <c r="AB29" s="64">
        <v>25.2</v>
      </c>
      <c r="AC29" s="64">
        <v>24.2</v>
      </c>
      <c r="AD29" s="64">
        <v>24.2</v>
      </c>
      <c r="AE29" s="64">
        <v>24.2</v>
      </c>
      <c r="AF29" s="64">
        <v>24.2</v>
      </c>
      <c r="AG29" s="66">
        <v>24.2</v>
      </c>
    </row>
    <row r="30" spans="2:33" ht="19">
      <c r="B30" s="2"/>
      <c r="C30" s="60"/>
      <c r="D30" s="61" t="s">
        <v>745</v>
      </c>
      <c r="E30" s="61">
        <v>311.44551174148768</v>
      </c>
      <c r="F30" s="62">
        <v>359.87222222222209</v>
      </c>
      <c r="G30" s="61">
        <v>357.55500000000012</v>
      </c>
      <c r="H30" s="61">
        <v>358.0681818181817</v>
      </c>
      <c r="I30" s="61">
        <v>354.70416666666671</v>
      </c>
      <c r="J30" s="61">
        <v>348.70384615384609</v>
      </c>
      <c r="K30" s="63">
        <v>310.20178571428579</v>
      </c>
      <c r="L30" s="2"/>
      <c r="M30" s="2"/>
      <c r="N30" s="47" t="s">
        <v>846</v>
      </c>
      <c r="O30" s="47">
        <f>SUM(O26:O29)/4</f>
        <v>0.6875</v>
      </c>
      <c r="P30" s="47">
        <f t="shared" ref="P30:T30" si="10">SUM(P26:P29)/4</f>
        <v>0.6875</v>
      </c>
      <c r="Q30" s="47">
        <f t="shared" si="10"/>
        <v>0.6875</v>
      </c>
      <c r="R30" s="47">
        <f t="shared" si="10"/>
        <v>0.6875</v>
      </c>
      <c r="S30" s="47">
        <f t="shared" si="10"/>
        <v>0.6875</v>
      </c>
      <c r="T30" s="47">
        <f t="shared" si="10"/>
        <v>0.6875</v>
      </c>
      <c r="Y30" s="89"/>
      <c r="Z30" s="64" t="s">
        <v>927</v>
      </c>
      <c r="AA30" s="64">
        <v>12.244517999999999</v>
      </c>
      <c r="AB30" s="64">
        <v>12.244517999999999</v>
      </c>
      <c r="AC30" s="64">
        <v>12.244517999999999</v>
      </c>
      <c r="AD30" s="64">
        <v>12.244517999999999</v>
      </c>
      <c r="AE30" s="64">
        <v>9.4899999999999984</v>
      </c>
      <c r="AF30" s="64">
        <v>6.58</v>
      </c>
      <c r="AG30" s="66">
        <v>6.58</v>
      </c>
    </row>
    <row r="31" spans="2:33" ht="19">
      <c r="B31" s="2"/>
      <c r="C31" s="60"/>
      <c r="D31" s="119" t="s">
        <v>1024</v>
      </c>
      <c r="E31" s="119">
        <f>SUM(E28:E30)</f>
        <v>470.98266641635371</v>
      </c>
      <c r="F31" s="119">
        <f t="shared" ref="F31:K31" si="11">SUM(F28:F30)</f>
        <v>480.99999999999989</v>
      </c>
      <c r="G31" s="119">
        <f t="shared" si="11"/>
        <v>447.00000000000011</v>
      </c>
      <c r="H31" s="119">
        <f t="shared" si="11"/>
        <v>421.99999999999989</v>
      </c>
      <c r="I31" s="119">
        <f t="shared" si="11"/>
        <v>397.00000000000006</v>
      </c>
      <c r="J31" s="119">
        <f t="shared" si="11"/>
        <v>372.99999999999994</v>
      </c>
      <c r="K31" s="120">
        <f t="shared" si="11"/>
        <v>319.00000000000006</v>
      </c>
      <c r="L31" s="2"/>
      <c r="M31" s="2"/>
      <c r="N31" t="s">
        <v>917</v>
      </c>
      <c r="O31" s="2">
        <v>0.5</v>
      </c>
      <c r="P31" s="2">
        <v>0.46</v>
      </c>
      <c r="Q31">
        <f>$O$31+(Q14-$O$14)/($P$14-$O$14)*($P$31-$O$31)</f>
        <v>0.43333333333333335</v>
      </c>
      <c r="R31">
        <f t="shared" ref="R31:T31" si="12">$O$31+(R14-$O$14)/($P$14-$O$14)*($P$31-$O$31)</f>
        <v>0.40666666666666673</v>
      </c>
      <c r="S31">
        <f t="shared" si="12"/>
        <v>0.38000000000000006</v>
      </c>
      <c r="T31">
        <f t="shared" si="12"/>
        <v>0.35333333333333339</v>
      </c>
      <c r="Y31" s="89"/>
      <c r="Z31" s="64" t="s">
        <v>928</v>
      </c>
      <c r="AA31" s="64">
        <v>51.157314000000007</v>
      </c>
      <c r="AB31" s="64">
        <v>51.157313999999992</v>
      </c>
      <c r="AC31" s="64">
        <v>51.157314000000007</v>
      </c>
      <c r="AD31" s="64">
        <v>58.874979913043482</v>
      </c>
      <c r="AE31" s="64">
        <v>66.663264991304345</v>
      </c>
      <c r="AF31" s="64">
        <v>66.663264991304345</v>
      </c>
      <c r="AG31" s="66">
        <v>66.663264991304374</v>
      </c>
    </row>
    <row r="32" spans="2:33" ht="19">
      <c r="B32" s="2"/>
      <c r="C32" s="60"/>
      <c r="D32" s="61" t="s">
        <v>746</v>
      </c>
      <c r="E32" s="64">
        <v>93.754439999999988</v>
      </c>
      <c r="F32" s="64">
        <v>93.754439999999988</v>
      </c>
      <c r="G32" s="64">
        <v>58.5</v>
      </c>
      <c r="H32" s="64">
        <v>68.799217894767125</v>
      </c>
      <c r="I32" s="64">
        <v>61.402553191489389</v>
      </c>
      <c r="J32" s="64">
        <v>53.676595744680903</v>
      </c>
      <c r="K32" s="66">
        <v>35.316595744680882</v>
      </c>
      <c r="L32" s="2"/>
      <c r="M32" s="2"/>
      <c r="N32" t="s">
        <v>918</v>
      </c>
      <c r="O32" s="2">
        <v>0.39</v>
      </c>
      <c r="P32" s="2">
        <v>0.3</v>
      </c>
      <c r="Q32">
        <f>$O$32+(Q14-$O$14)/($P$14-$O$14)*($P$32-$O$32)</f>
        <v>0.23999999999999996</v>
      </c>
      <c r="R32">
        <v>0.24</v>
      </c>
      <c r="S32">
        <v>0.24</v>
      </c>
      <c r="T32">
        <v>0.24</v>
      </c>
      <c r="Y32" s="89"/>
      <c r="Z32" s="64" t="s">
        <v>929</v>
      </c>
      <c r="AA32" s="64">
        <v>1.8813599999999999</v>
      </c>
      <c r="AB32" s="64">
        <v>1.8813599999999999</v>
      </c>
      <c r="AC32" s="64">
        <v>1.8813599999999999</v>
      </c>
      <c r="AD32" s="64">
        <v>1.8813599999999999</v>
      </c>
      <c r="AE32" s="64">
        <v>1.8813599999999999</v>
      </c>
      <c r="AF32" s="64">
        <v>1.8813599999999999</v>
      </c>
      <c r="AG32" s="66">
        <v>1.8813599999999999</v>
      </c>
    </row>
    <row r="33" spans="2:33" ht="19">
      <c r="B33" s="2"/>
      <c r="C33" s="60"/>
      <c r="D33" s="61" t="s">
        <v>747</v>
      </c>
      <c r="E33" s="64">
        <v>31.716593999999997</v>
      </c>
      <c r="F33" s="64">
        <v>25.444865556946166</v>
      </c>
      <c r="G33" s="64">
        <v>15.493382220978912</v>
      </c>
      <c r="H33" s="64">
        <v>5.0490000000000013</v>
      </c>
      <c r="I33" s="64"/>
      <c r="J33" s="64"/>
      <c r="K33" s="66"/>
      <c r="L33" s="2"/>
      <c r="M33" s="2"/>
      <c r="N33" t="s">
        <v>919</v>
      </c>
      <c r="O33" s="2">
        <v>0.42</v>
      </c>
      <c r="P33" s="2">
        <v>0.42</v>
      </c>
      <c r="Q33" s="2">
        <v>0.42</v>
      </c>
      <c r="R33" s="2">
        <v>0.42</v>
      </c>
      <c r="S33" s="2">
        <v>0.42</v>
      </c>
      <c r="T33" s="2">
        <v>0.42</v>
      </c>
      <c r="Y33" s="89"/>
      <c r="Z33" s="64" t="s">
        <v>930</v>
      </c>
      <c r="AA33" s="64">
        <v>12.960439710894621</v>
      </c>
      <c r="AB33" s="64">
        <v>12.960439710894621</v>
      </c>
      <c r="AC33" s="64">
        <v>12.960439710894621</v>
      </c>
      <c r="AD33" s="64">
        <v>12.960439710894629</v>
      </c>
      <c r="AE33" s="64">
        <v>12.960439710894629</v>
      </c>
      <c r="AF33" s="64">
        <v>12.960439710894629</v>
      </c>
      <c r="AG33" s="66">
        <v>12.960439710894621</v>
      </c>
    </row>
    <row r="34" spans="2:33" ht="19">
      <c r="B34" s="2"/>
      <c r="C34" s="60"/>
      <c r="D34" s="61"/>
      <c r="E34" s="64"/>
      <c r="F34" s="64"/>
      <c r="G34" s="64"/>
      <c r="H34" s="64"/>
      <c r="I34" s="64"/>
      <c r="J34" s="64"/>
      <c r="K34" s="66"/>
      <c r="L34" s="2"/>
      <c r="M34" s="2"/>
      <c r="O34" s="2"/>
      <c r="P34" s="2"/>
      <c r="Q34" s="2"/>
      <c r="R34" s="2"/>
      <c r="S34" s="2"/>
      <c r="T34" s="2"/>
      <c r="Y34" s="89"/>
      <c r="Z34" s="88" t="s">
        <v>839</v>
      </c>
      <c r="AA34" s="88">
        <v>27.499999999999989</v>
      </c>
      <c r="AB34" s="88">
        <v>27.5</v>
      </c>
      <c r="AC34" s="88">
        <v>27.5</v>
      </c>
      <c r="AD34" s="88">
        <v>27.5</v>
      </c>
      <c r="AE34" s="88">
        <v>27.499999999999989</v>
      </c>
      <c r="AF34" s="88">
        <v>27.5</v>
      </c>
      <c r="AG34" s="125">
        <v>27.5</v>
      </c>
    </row>
    <row r="35" spans="2:33" ht="19">
      <c r="B35" s="2"/>
      <c r="C35" s="60"/>
      <c r="D35" s="61" t="s">
        <v>748</v>
      </c>
      <c r="E35" s="61">
        <v>16.899999999999999</v>
      </c>
      <c r="F35" s="62">
        <v>16.899999999999999</v>
      </c>
      <c r="G35" s="61">
        <v>16.399999999999999</v>
      </c>
      <c r="H35" s="61">
        <v>8.5893154701708596</v>
      </c>
      <c r="I35" s="61">
        <v>13.3</v>
      </c>
      <c r="J35" s="61">
        <v>12.7</v>
      </c>
      <c r="K35" s="63">
        <v>12.7</v>
      </c>
      <c r="M35" s="2"/>
      <c r="N35" t="s">
        <v>920</v>
      </c>
      <c r="O35" s="2">
        <v>0.42</v>
      </c>
      <c r="P35" s="2">
        <v>0.42</v>
      </c>
      <c r="Q35" s="2">
        <v>0.42</v>
      </c>
      <c r="R35" s="2">
        <v>0.42</v>
      </c>
      <c r="S35" s="2">
        <v>0.42</v>
      </c>
      <c r="T35" s="2">
        <v>0.42</v>
      </c>
      <c r="X35" s="112" t="s">
        <v>1009</v>
      </c>
      <c r="Y35" s="89"/>
      <c r="Z35" s="64" t="s">
        <v>931</v>
      </c>
      <c r="AA35" s="64">
        <f>AA27/O47+AA28/O48+AA29/O49+AA30/O50+AA31/O51+AA32/O52+AA33/O53+AA34/O46</f>
        <v>467.37264839915986</v>
      </c>
      <c r="AB35" s="64"/>
      <c r="AC35" s="64">
        <f>AC27/P47+AC28/P48+AC29/P49+AC30/P50+AC31/P51+AC32/P52+AC33/P53+AC34/P46</f>
        <v>451.46773982773135</v>
      </c>
      <c r="AD35" s="64">
        <f t="shared" ref="AD35:AG35" si="13">AD27/Q47+AD28/Q48+AD29/Q49+AD30/Q50+AD31/Q51+AD32/Q52+AD33/Q53+AD34/Q46</f>
        <v>435.4622586860869</v>
      </c>
      <c r="AE35" s="64">
        <f t="shared" si="13"/>
        <v>428.41721462939893</v>
      </c>
      <c r="AF35" s="64">
        <f t="shared" si="13"/>
        <v>407.28805611667883</v>
      </c>
      <c r="AG35" s="64">
        <f t="shared" si="13"/>
        <v>393.00234183096455</v>
      </c>
    </row>
    <row r="36" spans="2:33" ht="19">
      <c r="B36" s="2"/>
      <c r="C36" s="60"/>
      <c r="D36" s="61" t="s">
        <v>749</v>
      </c>
      <c r="E36" s="61">
        <v>17.559360000000002</v>
      </c>
      <c r="F36" s="62">
        <v>17.559360000000002</v>
      </c>
      <c r="G36" s="61">
        <v>17.559360000000002</v>
      </c>
      <c r="H36" s="61">
        <v>17.559360000000002</v>
      </c>
      <c r="I36" s="61">
        <v>17.559360000000002</v>
      </c>
      <c r="J36" s="61">
        <v>17.559360000000002</v>
      </c>
      <c r="K36" s="63">
        <v>17.559360000000002</v>
      </c>
      <c r="N36" t="s">
        <v>921</v>
      </c>
      <c r="O36" s="2">
        <v>0.35</v>
      </c>
      <c r="P36" s="2">
        <v>0.35</v>
      </c>
      <c r="Q36" s="2">
        <v>0.35</v>
      </c>
      <c r="R36" s="2">
        <v>0.35</v>
      </c>
      <c r="S36" s="2">
        <v>0.35</v>
      </c>
      <c r="T36" s="2">
        <v>0.35</v>
      </c>
      <c r="X36" s="112">
        <f>SUM(AA19:AA20)-AA26-AA35-AA36/0.8</f>
        <v>32.707267175931634</v>
      </c>
      <c r="Y36" s="90"/>
      <c r="Z36" s="80" t="s">
        <v>933</v>
      </c>
      <c r="AA36" s="80">
        <v>12.1</v>
      </c>
      <c r="AB36" s="80">
        <v>11.6</v>
      </c>
      <c r="AC36" s="80">
        <v>10.5</v>
      </c>
      <c r="AD36" s="80">
        <v>9.4700000000000006</v>
      </c>
      <c r="AE36" s="80">
        <v>8.42</v>
      </c>
      <c r="AF36" s="80">
        <v>7.37</v>
      </c>
      <c r="AG36" s="81">
        <v>6.31</v>
      </c>
    </row>
    <row r="37" spans="2:33" ht="19">
      <c r="B37" s="2"/>
      <c r="C37" s="60"/>
      <c r="D37" s="61" t="s">
        <v>750</v>
      </c>
      <c r="E37" s="64">
        <v>0</v>
      </c>
      <c r="F37" s="64">
        <v>15.039837892603847</v>
      </c>
      <c r="G37" s="64">
        <v>65.668112382657753</v>
      </c>
      <c r="H37" s="64">
        <v>65.668112382657753</v>
      </c>
      <c r="I37" s="64">
        <v>68.425250842359645</v>
      </c>
      <c r="J37" s="64">
        <v>68.425250842359645</v>
      </c>
      <c r="K37" s="66">
        <v>68.425250842359645</v>
      </c>
      <c r="N37" s="47" t="s">
        <v>923</v>
      </c>
      <c r="O37" s="47">
        <f>SUM(O31:O36)/5</f>
        <v>0.41600000000000004</v>
      </c>
      <c r="P37" s="47">
        <f t="shared" ref="P37:T37" si="14">SUM(P31:P36)/5</f>
        <v>0.38999999999999996</v>
      </c>
      <c r="Q37" s="47">
        <f t="shared" si="14"/>
        <v>0.37266666666666665</v>
      </c>
      <c r="R37" s="47">
        <f t="shared" si="14"/>
        <v>0.36733333333333329</v>
      </c>
      <c r="S37" s="47">
        <f t="shared" si="14"/>
        <v>0.36199999999999999</v>
      </c>
      <c r="T37" s="47">
        <f t="shared" si="14"/>
        <v>0.35666666666666663</v>
      </c>
      <c r="Y37" s="91" t="s">
        <v>751</v>
      </c>
      <c r="Z37" s="58" t="s">
        <v>934</v>
      </c>
      <c r="AA37" s="58">
        <v>631.28238353963343</v>
      </c>
      <c r="AB37" s="58">
        <v>532.41892710567845</v>
      </c>
      <c r="AC37" s="58">
        <v>451.21768140796468</v>
      </c>
      <c r="AD37" s="58">
        <v>382.78459423937238</v>
      </c>
      <c r="AE37" s="58">
        <v>363.64566800742489</v>
      </c>
      <c r="AF37" s="58">
        <v>379.3236391969495</v>
      </c>
      <c r="AG37" s="59">
        <v>353</v>
      </c>
    </row>
    <row r="38" spans="2:33" ht="19">
      <c r="B38" s="2"/>
      <c r="C38" s="60"/>
      <c r="D38" s="61"/>
      <c r="E38" s="64"/>
      <c r="F38" s="64"/>
      <c r="G38" s="64"/>
      <c r="H38" s="64"/>
      <c r="I38" s="64"/>
      <c r="J38" s="64"/>
      <c r="K38" s="66"/>
      <c r="N38" s="121" t="s">
        <v>1025</v>
      </c>
      <c r="O38" s="121"/>
      <c r="P38" s="121"/>
      <c r="Q38" s="121"/>
      <c r="R38" s="121"/>
      <c r="S38" s="121"/>
      <c r="T38" s="121"/>
      <c r="Y38" s="89"/>
      <c r="Z38" s="64" t="s">
        <v>938</v>
      </c>
      <c r="AA38" s="64">
        <v>19.8</v>
      </c>
      <c r="AB38" s="64">
        <v>18.3</v>
      </c>
      <c r="AC38" s="64">
        <v>16.2</v>
      </c>
      <c r="AD38" s="64">
        <v>14</v>
      </c>
      <c r="AE38" s="64">
        <v>13.8</v>
      </c>
      <c r="AF38" s="64">
        <v>12.1</v>
      </c>
      <c r="AG38" s="66">
        <v>10.3</v>
      </c>
    </row>
    <row r="39" spans="2:33" ht="19">
      <c r="B39" s="2"/>
      <c r="C39" s="60"/>
      <c r="D39" s="61"/>
      <c r="E39" s="64"/>
      <c r="F39" s="64"/>
      <c r="G39" s="64"/>
      <c r="H39" s="64"/>
      <c r="I39" s="64"/>
      <c r="J39" s="64"/>
      <c r="K39" s="66"/>
      <c r="N39" s="121" t="s">
        <v>816</v>
      </c>
      <c r="O39" s="122">
        <v>0.9</v>
      </c>
      <c r="P39" s="122">
        <v>0.9</v>
      </c>
      <c r="Q39" s="122">
        <v>0.9</v>
      </c>
      <c r="R39" s="122">
        <v>0.9</v>
      </c>
      <c r="S39" s="122">
        <v>0.9</v>
      </c>
      <c r="T39" s="122">
        <v>0.9</v>
      </c>
      <c r="Y39" s="89"/>
      <c r="Z39" s="64" t="s">
        <v>939</v>
      </c>
      <c r="AA39" s="64">
        <v>2.890000000000001</v>
      </c>
      <c r="AB39" s="64">
        <v>2.39</v>
      </c>
      <c r="AC39" s="64">
        <v>2.11</v>
      </c>
      <c r="AD39" s="64">
        <v>1.83</v>
      </c>
      <c r="AE39" s="64">
        <v>1.55</v>
      </c>
      <c r="AF39" s="64">
        <v>1.76</v>
      </c>
      <c r="AG39" s="66">
        <v>1.51</v>
      </c>
    </row>
    <row r="40" spans="2:33" ht="19">
      <c r="B40" s="2"/>
      <c r="C40" s="60"/>
      <c r="D40" s="61"/>
      <c r="E40" s="64"/>
      <c r="F40" s="64"/>
      <c r="G40" s="64"/>
      <c r="H40" s="64"/>
      <c r="I40" s="64"/>
      <c r="J40" s="64"/>
      <c r="K40" s="66"/>
      <c r="N40" s="121" t="s">
        <v>831</v>
      </c>
      <c r="O40" s="122">
        <v>1</v>
      </c>
      <c r="P40" s="122">
        <v>1</v>
      </c>
      <c r="Q40" s="122">
        <v>1</v>
      </c>
      <c r="R40" s="122">
        <v>1</v>
      </c>
      <c r="S40" s="122">
        <v>1</v>
      </c>
      <c r="T40" s="122">
        <v>1</v>
      </c>
      <c r="Y40" s="89"/>
      <c r="Z40" s="64" t="s">
        <v>940</v>
      </c>
      <c r="AA40" s="64">
        <v>7.0620243440251746</v>
      </c>
      <c r="AB40" s="64">
        <v>6.24</v>
      </c>
      <c r="AC40" s="64">
        <v>5.5100000000000007</v>
      </c>
      <c r="AD40" s="64">
        <v>4.7699999999999996</v>
      </c>
      <c r="AE40" s="64">
        <v>4.3148240307091674</v>
      </c>
      <c r="AF40" s="64">
        <v>3.849589834515367</v>
      </c>
      <c r="AG40" s="66">
        <v>3.2136347907404148</v>
      </c>
    </row>
    <row r="41" spans="2:33" ht="19">
      <c r="B41" s="2"/>
      <c r="C41" s="60"/>
      <c r="D41" s="61"/>
      <c r="J41" s="64"/>
      <c r="K41" s="66"/>
      <c r="N41" s="121" t="s">
        <v>817</v>
      </c>
      <c r="O41" s="121">
        <v>0.96</v>
      </c>
      <c r="P41" s="121">
        <v>0.96</v>
      </c>
      <c r="Q41" s="121">
        <v>0.96</v>
      </c>
      <c r="R41" s="121">
        <v>0.96</v>
      </c>
      <c r="S41" s="121">
        <v>0.96</v>
      </c>
      <c r="T41" s="121">
        <v>0.96</v>
      </c>
      <c r="Y41" s="89"/>
      <c r="Z41" s="64" t="s">
        <v>941</v>
      </c>
      <c r="AA41" s="64">
        <v>164</v>
      </c>
      <c r="AB41" s="64">
        <v>145</v>
      </c>
      <c r="AC41" s="64">
        <v>116</v>
      </c>
      <c r="AD41" s="64">
        <v>90.709880548251263</v>
      </c>
      <c r="AE41" s="64">
        <v>75.7</v>
      </c>
      <c r="AF41" s="64">
        <v>50.500000000000007</v>
      </c>
      <c r="AG41" s="66">
        <v>25.2</v>
      </c>
    </row>
    <row r="42" spans="2:33" ht="19">
      <c r="B42" s="2"/>
      <c r="C42" s="60"/>
      <c r="D42" s="117" t="s">
        <v>1009</v>
      </c>
      <c r="E42" s="118">
        <f>E31-E35/O17-E48</f>
        <v>0</v>
      </c>
      <c r="F42" s="64"/>
      <c r="G42" s="64"/>
      <c r="H42" s="64"/>
      <c r="I42" s="64"/>
      <c r="J42" s="64"/>
      <c r="K42" s="66"/>
      <c r="N42" s="121"/>
      <c r="O42" s="121"/>
      <c r="P42" s="121"/>
      <c r="Q42" s="121"/>
      <c r="R42" s="121"/>
      <c r="S42" s="121"/>
      <c r="T42" s="121"/>
      <c r="Y42" s="89"/>
      <c r="Z42" s="64" t="s">
        <v>942</v>
      </c>
      <c r="AA42" s="64">
        <v>2.0087638024937711</v>
      </c>
      <c r="AB42" s="64">
        <v>0.22738605380846219</v>
      </c>
      <c r="AC42" s="64">
        <v>0.36785703585678708</v>
      </c>
      <c r="AD42" s="64">
        <v>1.7664170197311679</v>
      </c>
      <c r="AE42" s="64">
        <v>2.01613708701609</v>
      </c>
      <c r="AF42" s="64">
        <v>4.3019109853500099</v>
      </c>
      <c r="AG42" s="66">
        <v>6.3584417295507523</v>
      </c>
    </row>
    <row r="43" spans="2:33" ht="19">
      <c r="B43" s="2"/>
      <c r="C43" s="60"/>
      <c r="D43" s="61"/>
      <c r="E43" s="64"/>
      <c r="F43" s="64"/>
      <c r="G43" s="64"/>
      <c r="H43" s="64"/>
      <c r="I43" s="64"/>
      <c r="J43" s="64"/>
      <c r="K43" s="66"/>
      <c r="N43" s="121"/>
      <c r="O43" s="121"/>
      <c r="P43" s="121"/>
      <c r="Q43" s="121"/>
      <c r="R43" s="121"/>
      <c r="S43" s="121"/>
      <c r="T43" s="121"/>
      <c r="Y43" s="89"/>
      <c r="Z43" s="64" t="s">
        <v>943</v>
      </c>
      <c r="AA43" s="64">
        <v>0.97893068357392432</v>
      </c>
      <c r="AB43" s="64"/>
      <c r="AC43" s="64"/>
      <c r="AD43" s="64"/>
      <c r="AE43" s="64"/>
      <c r="AF43" s="64">
        <v>0.97893068357392432</v>
      </c>
      <c r="AG43" s="66">
        <v>0.97893068357392432</v>
      </c>
    </row>
    <row r="44" spans="2:33" ht="19">
      <c r="B44" s="2"/>
      <c r="C44" s="60"/>
      <c r="D44" s="61"/>
      <c r="E44" s="64"/>
      <c r="F44" s="64"/>
      <c r="G44" s="64"/>
      <c r="H44" s="64"/>
      <c r="I44" s="64"/>
      <c r="J44" s="64"/>
      <c r="K44" s="66"/>
      <c r="N44" s="121"/>
      <c r="O44" s="121"/>
      <c r="P44" s="121"/>
      <c r="Q44" s="121"/>
      <c r="R44" s="121"/>
      <c r="S44" s="121"/>
      <c r="T44" s="121"/>
      <c r="Y44" s="89"/>
      <c r="Z44" s="64" t="s">
        <v>944</v>
      </c>
      <c r="AA44" s="64"/>
      <c r="AB44" s="64"/>
      <c r="AC44" s="64"/>
      <c r="AD44" s="64"/>
      <c r="AE44" s="64"/>
      <c r="AF44" s="64"/>
      <c r="AG44" s="66"/>
    </row>
    <row r="45" spans="2:33" ht="19">
      <c r="B45" s="2"/>
      <c r="C45" s="60"/>
      <c r="D45" s="61"/>
      <c r="E45" s="64"/>
      <c r="F45" s="64"/>
      <c r="G45" s="64"/>
      <c r="H45" s="64"/>
      <c r="I45" s="64"/>
      <c r="J45" s="64"/>
      <c r="K45" s="66"/>
      <c r="N45" s="121"/>
      <c r="O45" s="121"/>
      <c r="P45" s="121"/>
      <c r="Q45" s="121"/>
      <c r="R45" s="121"/>
      <c r="S45" s="121"/>
      <c r="T45" s="121"/>
      <c r="Y45" s="89"/>
      <c r="Z45" s="64" t="s">
        <v>945</v>
      </c>
      <c r="AA45" s="64">
        <v>22.118613301147729</v>
      </c>
      <c r="AB45" s="64"/>
      <c r="AC45" s="64"/>
      <c r="AD45" s="64"/>
      <c r="AE45" s="64">
        <v>22.78130254860276</v>
      </c>
      <c r="AF45" s="64">
        <v>67.744740368128916</v>
      </c>
      <c r="AG45" s="66">
        <v>99.370964231903884</v>
      </c>
    </row>
    <row r="46" spans="2:33" ht="19">
      <c r="B46" s="2"/>
      <c r="C46" s="60"/>
      <c r="D46" s="61"/>
      <c r="E46" s="64"/>
      <c r="F46" s="64"/>
      <c r="G46" s="64"/>
      <c r="H46" s="64"/>
      <c r="I46" s="64"/>
      <c r="J46" s="64"/>
      <c r="K46" s="66"/>
      <c r="N46" t="s">
        <v>839</v>
      </c>
      <c r="O46" s="2">
        <v>0.85</v>
      </c>
      <c r="P46" s="2">
        <v>0.85</v>
      </c>
      <c r="Q46" s="2">
        <v>0.85</v>
      </c>
      <c r="R46" s="2">
        <v>0.85</v>
      </c>
      <c r="S46" s="2">
        <v>0.85</v>
      </c>
      <c r="T46" s="2">
        <v>0.85</v>
      </c>
      <c r="Y46" s="90"/>
      <c r="Z46" s="80" t="s">
        <v>946</v>
      </c>
      <c r="AA46" s="80">
        <f>SUM(AA38:AA45)</f>
        <v>218.85833213124062</v>
      </c>
      <c r="AB46" s="80">
        <f t="shared" ref="AB46:AG46" si="15">SUM(AB38:AB45)</f>
        <v>172.15738605380847</v>
      </c>
      <c r="AC46" s="80">
        <f t="shared" si="15"/>
        <v>140.18785703585678</v>
      </c>
      <c r="AD46" s="80">
        <f t="shared" si="15"/>
        <v>113.07629756798244</v>
      </c>
      <c r="AE46" s="80">
        <f t="shared" si="15"/>
        <v>120.16226366632802</v>
      </c>
      <c r="AF46" s="80">
        <f t="shared" si="15"/>
        <v>141.23517187156821</v>
      </c>
      <c r="AG46" s="81">
        <f t="shared" si="15"/>
        <v>146.93197143576896</v>
      </c>
    </row>
    <row r="47" spans="2:33" ht="19">
      <c r="B47" s="2"/>
      <c r="C47" s="60"/>
      <c r="D47" s="61" t="s">
        <v>779</v>
      </c>
      <c r="E47" s="74">
        <f>SUM(E32:E33,E36:E37)</f>
        <v>143.030394</v>
      </c>
      <c r="F47" s="62">
        <f t="shared" ref="F47:K47" si="16">SUM(F32:F37)</f>
        <v>168.69850344955</v>
      </c>
      <c r="G47" s="74">
        <f t="shared" si="16"/>
        <v>173.62085460363664</v>
      </c>
      <c r="H47" s="74">
        <f t="shared" si="16"/>
        <v>165.66500574759573</v>
      </c>
      <c r="I47" s="74">
        <f t="shared" si="16"/>
        <v>160.68716403384903</v>
      </c>
      <c r="J47" s="74">
        <f t="shared" si="16"/>
        <v>152.36120658704056</v>
      </c>
      <c r="K47" s="75">
        <f t="shared" si="16"/>
        <v>134.00120658704054</v>
      </c>
      <c r="M47" s="49"/>
      <c r="N47" t="s">
        <v>924</v>
      </c>
      <c r="O47" s="49">
        <v>0.7</v>
      </c>
      <c r="P47" s="49">
        <v>0.7</v>
      </c>
      <c r="Q47" s="49">
        <v>0.7</v>
      </c>
      <c r="R47" s="49">
        <v>0.7</v>
      </c>
      <c r="S47" s="49">
        <v>0.7</v>
      </c>
      <c r="T47" s="49">
        <v>0.7</v>
      </c>
      <c r="Y47" s="91" t="s">
        <v>883</v>
      </c>
      <c r="Z47" s="58" t="s">
        <v>935</v>
      </c>
      <c r="AA47" s="58"/>
      <c r="AB47" s="58"/>
      <c r="AC47" s="58">
        <v>18.892484212535059</v>
      </c>
      <c r="AD47" s="58">
        <v>21.24933033528432</v>
      </c>
      <c r="AE47" s="58">
        <v>23.574597019240521</v>
      </c>
      <c r="AF47" s="58">
        <v>25.859220919767569</v>
      </c>
      <c r="AG47" s="59">
        <v>28.17513665658349</v>
      </c>
    </row>
    <row r="48" spans="2:33" ht="19">
      <c r="B48" s="2"/>
      <c r="C48" s="76"/>
      <c r="D48" s="77" t="s">
        <v>781</v>
      </c>
      <c r="E48" s="78">
        <f>E32/O15+E33/O16+E36/O18+E37/O19</f>
        <v>435.02521960784304</v>
      </c>
      <c r="F48" s="79" t="e">
        <f>F47/$C$48</f>
        <v>#DIV/0!</v>
      </c>
      <c r="G48" s="78">
        <f>G32/P15+G33/P16+G36/P18+G37/P19</f>
        <v>446.17367807138106</v>
      </c>
      <c r="H48" s="78">
        <f t="shared" ref="H48:J48" si="17">H32/Q15+H33/Q16+H36/Q18+H37/Q19</f>
        <v>436.39507354993907</v>
      </c>
      <c r="I48" s="78">
        <f t="shared" si="17"/>
        <v>397.76042339941955</v>
      </c>
      <c r="J48" s="78">
        <f t="shared" si="17"/>
        <v>370.3606293442939</v>
      </c>
      <c r="K48" s="78">
        <f>K32/T15+K33/T16+K36/T18+K37/T19</f>
        <v>302.54257937197769</v>
      </c>
      <c r="M48" s="2"/>
      <c r="N48" t="s">
        <v>925</v>
      </c>
      <c r="O48" s="49">
        <v>0.7</v>
      </c>
      <c r="P48" s="49">
        <v>0.7</v>
      </c>
      <c r="Q48" s="49">
        <v>0.7</v>
      </c>
      <c r="R48" s="49">
        <v>0.7</v>
      </c>
      <c r="S48" s="49">
        <v>0.7</v>
      </c>
      <c r="T48" s="49">
        <v>0.7</v>
      </c>
      <c r="Y48" s="89"/>
      <c r="Z48" s="64" t="s">
        <v>936</v>
      </c>
      <c r="AA48" s="64">
        <v>16.465943142527859</v>
      </c>
      <c r="AB48" s="64">
        <v>15.30000000000001</v>
      </c>
      <c r="AC48" s="64">
        <v>12.8</v>
      </c>
      <c r="AD48" s="64">
        <v>10.199999999999999</v>
      </c>
      <c r="AE48" s="64">
        <v>7.66</v>
      </c>
      <c r="AF48" s="64">
        <v>5.1099999999999994</v>
      </c>
      <c r="AG48" s="66">
        <v>2.5499999999999989</v>
      </c>
    </row>
    <row r="49" spans="2:33" ht="19">
      <c r="B49" s="2"/>
      <c r="C49" s="56" t="s">
        <v>751</v>
      </c>
      <c r="D49" s="71" t="s">
        <v>752</v>
      </c>
      <c r="E49" s="71">
        <v>40.1</v>
      </c>
      <c r="F49" s="72">
        <v>34.521675430786672</v>
      </c>
      <c r="G49" s="71">
        <v>33.530672269286683</v>
      </c>
      <c r="H49" s="71">
        <v>30.188462637338329</v>
      </c>
      <c r="I49" s="71">
        <v>27.9</v>
      </c>
      <c r="J49" s="71">
        <v>24.4</v>
      </c>
      <c r="K49" s="73">
        <v>20.9</v>
      </c>
      <c r="L49" s="2"/>
      <c r="M49" s="2"/>
      <c r="N49" t="s">
        <v>926</v>
      </c>
      <c r="O49" s="49">
        <v>0.7</v>
      </c>
      <c r="P49" s="49">
        <v>0.7</v>
      </c>
      <c r="Q49" s="49">
        <v>0.7</v>
      </c>
      <c r="R49" s="49">
        <v>0.7</v>
      </c>
      <c r="S49" s="49">
        <v>0.7</v>
      </c>
      <c r="T49" s="49">
        <v>0.7</v>
      </c>
      <c r="Y49" s="90"/>
      <c r="Z49" s="80" t="s">
        <v>937</v>
      </c>
      <c r="AA49" s="80">
        <f>SUM(AA47:AA48)</f>
        <v>16.465943142527859</v>
      </c>
      <c r="AB49" s="80">
        <f t="shared" ref="AB49:AG49" si="18">SUM(AB47:AB48)</f>
        <v>15.30000000000001</v>
      </c>
      <c r="AC49" s="80">
        <f t="shared" si="18"/>
        <v>31.69248421253506</v>
      </c>
      <c r="AD49" s="80">
        <f t="shared" si="18"/>
        <v>31.449330335284319</v>
      </c>
      <c r="AE49" s="80">
        <f t="shared" si="18"/>
        <v>31.234597019240521</v>
      </c>
      <c r="AF49" s="80">
        <f t="shared" si="18"/>
        <v>30.969220919767569</v>
      </c>
      <c r="AG49" s="81">
        <f t="shared" si="18"/>
        <v>30.725136656583487</v>
      </c>
    </row>
    <row r="50" spans="2:33" ht="19">
      <c r="B50" s="2"/>
      <c r="C50" s="60"/>
      <c r="D50" s="61" t="s">
        <v>753</v>
      </c>
      <c r="E50" s="61">
        <v>9.2083256148582038</v>
      </c>
      <c r="F50" s="62"/>
      <c r="G50" s="61"/>
      <c r="H50" s="61"/>
      <c r="I50" s="61">
        <v>4.0113215891705503</v>
      </c>
      <c r="J50" s="61">
        <v>15.92664443950504</v>
      </c>
      <c r="K50" s="63">
        <v>23.963349393329821</v>
      </c>
      <c r="L50" s="2"/>
      <c r="M50" s="2"/>
      <c r="N50" t="s">
        <v>927</v>
      </c>
      <c r="O50" s="49">
        <v>0.73</v>
      </c>
      <c r="P50" s="49">
        <v>0.73</v>
      </c>
      <c r="Q50" s="49">
        <v>0.73</v>
      </c>
      <c r="R50" s="49">
        <v>0.73</v>
      </c>
      <c r="S50" s="49">
        <v>0.73</v>
      </c>
      <c r="T50" s="49">
        <v>0.73</v>
      </c>
      <c r="Y50" s="91" t="s">
        <v>754</v>
      </c>
      <c r="Z50" s="58" t="s">
        <v>947</v>
      </c>
      <c r="AA50" s="58">
        <v>25.149580418152929</v>
      </c>
      <c r="AB50" s="58">
        <v>68.280254617186159</v>
      </c>
      <c r="AC50" s="58">
        <v>163.93736999739241</v>
      </c>
      <c r="AD50" s="58">
        <v>250.78418421596751</v>
      </c>
      <c r="AE50" s="58">
        <v>309.72239021474451</v>
      </c>
      <c r="AF50" s="58">
        <v>396.72309014554543</v>
      </c>
      <c r="AG50" s="59">
        <v>483.96580007085032</v>
      </c>
    </row>
    <row r="51" spans="2:33" ht="19">
      <c r="B51" s="2"/>
      <c r="C51" s="60" t="s">
        <v>827</v>
      </c>
      <c r="D51" s="64" t="s">
        <v>822</v>
      </c>
      <c r="E51" s="64">
        <v>0.16500000000000001</v>
      </c>
      <c r="F51" s="64">
        <v>0.156</v>
      </c>
      <c r="G51" s="64">
        <v>0.13800000000000001</v>
      </c>
      <c r="H51" s="64">
        <v>0.11899999999999999</v>
      </c>
      <c r="I51" s="64">
        <v>0.10100000000000001</v>
      </c>
      <c r="J51" s="64">
        <v>0.10199999999999999</v>
      </c>
      <c r="K51" s="66">
        <v>6.4199999999999993E-2</v>
      </c>
      <c r="L51" s="2"/>
      <c r="M51" s="2"/>
      <c r="N51" t="s">
        <v>928</v>
      </c>
      <c r="O51" s="49">
        <v>0.7</v>
      </c>
      <c r="P51" s="49">
        <v>0.7</v>
      </c>
      <c r="Q51" s="49">
        <v>0.7</v>
      </c>
      <c r="R51" s="49">
        <v>0.7</v>
      </c>
      <c r="S51" s="49">
        <v>0.7</v>
      </c>
      <c r="T51" s="49">
        <v>0.7</v>
      </c>
      <c r="Y51" s="89"/>
      <c r="Z51" s="64" t="s">
        <v>948</v>
      </c>
      <c r="AA51" s="64">
        <v>696.00000000000011</v>
      </c>
      <c r="AB51" s="64">
        <v>657.00000000000011</v>
      </c>
      <c r="AC51" s="64">
        <v>579.99999999999977</v>
      </c>
      <c r="AD51" s="64">
        <v>502.99999999999989</v>
      </c>
      <c r="AE51" s="64">
        <v>425.00000000000011</v>
      </c>
      <c r="AF51" s="64">
        <v>348</v>
      </c>
      <c r="AG51" s="66">
        <v>271</v>
      </c>
    </row>
    <row r="52" spans="2:33" ht="19">
      <c r="B52" s="2"/>
      <c r="C52" s="60" t="s">
        <v>827</v>
      </c>
      <c r="D52" s="64" t="s">
        <v>828</v>
      </c>
      <c r="E52" s="64">
        <v>0.157</v>
      </c>
      <c r="F52" s="64">
        <v>0.14799999999999999</v>
      </c>
      <c r="G52" s="64">
        <v>0.13100000000000001</v>
      </c>
      <c r="H52" s="64">
        <v>0.113</v>
      </c>
      <c r="I52" s="64">
        <v>0.11700000000000001</v>
      </c>
      <c r="J52" s="64">
        <v>7.85E-2</v>
      </c>
      <c r="K52" s="66">
        <v>6.1099999999999988E-2</v>
      </c>
      <c r="L52" s="2"/>
      <c r="M52" s="2"/>
      <c r="N52" t="s">
        <v>929</v>
      </c>
      <c r="O52" s="49">
        <v>0.7</v>
      </c>
      <c r="P52" s="49">
        <v>0.7</v>
      </c>
      <c r="Q52" s="49">
        <v>0.7</v>
      </c>
      <c r="R52" s="49">
        <v>0.7</v>
      </c>
      <c r="S52" s="49">
        <v>0.7</v>
      </c>
      <c r="T52" s="49">
        <v>0.7</v>
      </c>
      <c r="Y52" s="90"/>
      <c r="Z52" s="80" t="s">
        <v>900</v>
      </c>
      <c r="AA52" s="80">
        <f>SUM(AA50:AA51)</f>
        <v>721.14958041815305</v>
      </c>
      <c r="AB52" s="80">
        <f t="shared" ref="AB52:AG52" si="19">SUM(AB50:AB51)</f>
        <v>725.2802546171863</v>
      </c>
      <c r="AC52" s="80">
        <f t="shared" si="19"/>
        <v>743.93736999739212</v>
      </c>
      <c r="AD52" s="80">
        <f t="shared" si="19"/>
        <v>753.78418421596734</v>
      </c>
      <c r="AE52" s="80">
        <f t="shared" si="19"/>
        <v>734.72239021474456</v>
      </c>
      <c r="AF52" s="80">
        <f t="shared" si="19"/>
        <v>744.72309014554548</v>
      </c>
      <c r="AG52" s="81">
        <f t="shared" si="19"/>
        <v>754.96580007085026</v>
      </c>
    </row>
    <row r="53" spans="2:33" ht="19">
      <c r="B53" s="2"/>
      <c r="C53" s="60"/>
      <c r="D53" s="64" t="s">
        <v>764</v>
      </c>
      <c r="E53" s="64">
        <v>72.699999999999989</v>
      </c>
      <c r="F53" s="64">
        <v>53.076894206549127</v>
      </c>
      <c r="G53" s="64">
        <v>47.983613100581067</v>
      </c>
      <c r="H53" s="64">
        <v>42.615821212358192</v>
      </c>
      <c r="I53" s="64">
        <v>40.877715100815813</v>
      </c>
      <c r="J53" s="64">
        <v>41.200126713516887</v>
      </c>
      <c r="K53" s="66">
        <v>37.900000000000013</v>
      </c>
      <c r="L53" s="2"/>
      <c r="M53" s="2"/>
      <c r="N53" t="s">
        <v>930</v>
      </c>
      <c r="O53" s="49">
        <v>0.84</v>
      </c>
      <c r="P53" s="49">
        <v>0.84</v>
      </c>
      <c r="Q53" s="49">
        <v>0.84</v>
      </c>
      <c r="R53" s="49">
        <v>0.84</v>
      </c>
      <c r="S53" s="49">
        <v>0.84</v>
      </c>
      <c r="T53" s="49">
        <v>0.84</v>
      </c>
      <c r="Y53" s="91" t="s">
        <v>901</v>
      </c>
      <c r="Z53" s="58" t="s">
        <v>949</v>
      </c>
      <c r="AA53" s="58">
        <v>33.159343794160087</v>
      </c>
      <c r="AB53" s="58">
        <v>57.655727441374999</v>
      </c>
      <c r="AC53" s="58">
        <v>101</v>
      </c>
      <c r="AD53" s="58">
        <v>96.778359851240367</v>
      </c>
      <c r="AE53" s="58">
        <v>101</v>
      </c>
      <c r="AF53" s="58">
        <v>101</v>
      </c>
      <c r="AG53" s="59">
        <v>101</v>
      </c>
    </row>
    <row r="54" spans="2:33" ht="18">
      <c r="B54" s="2"/>
      <c r="C54" s="60"/>
      <c r="D54" s="64" t="s">
        <v>765</v>
      </c>
      <c r="E54" s="64"/>
      <c r="F54" s="64"/>
      <c r="G54" s="64"/>
      <c r="H54" s="64"/>
      <c r="I54" s="64"/>
      <c r="J54" s="64"/>
      <c r="K54" s="66">
        <v>2.820349238820608</v>
      </c>
      <c r="L54" s="2"/>
      <c r="N54" s="47" t="s">
        <v>932</v>
      </c>
      <c r="O54" s="47">
        <f>SUM(O47:O53)/7</f>
        <v>0.7242857142857142</v>
      </c>
      <c r="P54" s="47">
        <f t="shared" ref="P54:T54" si="20">SUM(P47:P53)/7</f>
        <v>0.7242857142857142</v>
      </c>
      <c r="Q54" s="47">
        <f t="shared" si="20"/>
        <v>0.7242857142857142</v>
      </c>
      <c r="R54" s="47">
        <f t="shared" si="20"/>
        <v>0.7242857142857142</v>
      </c>
      <c r="S54" s="47">
        <f t="shared" si="20"/>
        <v>0.7242857142857142</v>
      </c>
      <c r="T54" s="47">
        <f t="shared" si="20"/>
        <v>0.7242857142857142</v>
      </c>
      <c r="Y54" s="89"/>
      <c r="Z54" s="64" t="s">
        <v>950</v>
      </c>
      <c r="AA54" s="64">
        <v>311</v>
      </c>
      <c r="AB54" s="64">
        <v>294</v>
      </c>
      <c r="AC54" s="64">
        <v>259</v>
      </c>
      <c r="AD54" s="64">
        <v>225</v>
      </c>
      <c r="AE54" s="64">
        <v>190</v>
      </c>
      <c r="AF54" s="64">
        <v>156</v>
      </c>
      <c r="AG54" s="66">
        <v>121</v>
      </c>
    </row>
    <row r="55" spans="2:33" ht="19">
      <c r="B55" s="2"/>
      <c r="C55" s="76"/>
      <c r="D55" s="77" t="s">
        <v>777</v>
      </c>
      <c r="E55" s="80">
        <f>SUM(E49:E50,E53)</f>
        <v>122.00832561485819</v>
      </c>
      <c r="F55" s="80">
        <f t="shared" ref="F55:K55" si="21">SUM(F49:F50,F53)</f>
        <v>87.5985696373358</v>
      </c>
      <c r="G55" s="80">
        <f t="shared" si="21"/>
        <v>81.51428536986775</v>
      </c>
      <c r="H55" s="80">
        <f t="shared" si="21"/>
        <v>72.804283849696517</v>
      </c>
      <c r="I55" s="80">
        <f t="shared" si="21"/>
        <v>72.789036689986361</v>
      </c>
      <c r="J55" s="80">
        <f t="shared" si="21"/>
        <v>81.526771153021926</v>
      </c>
      <c r="K55" s="81">
        <f t="shared" si="21"/>
        <v>82.763349393329833</v>
      </c>
      <c r="L55" s="2"/>
      <c r="M55" s="2"/>
      <c r="N55" t="s">
        <v>990</v>
      </c>
      <c r="O55" s="49">
        <v>0.23</v>
      </c>
      <c r="P55" s="49">
        <v>0.23</v>
      </c>
      <c r="Q55" s="49">
        <v>0.23</v>
      </c>
      <c r="R55" s="49">
        <v>0.23</v>
      </c>
      <c r="S55" s="49">
        <v>0.23</v>
      </c>
      <c r="T55" s="49">
        <v>0.23</v>
      </c>
      <c r="Y55" s="90"/>
      <c r="Z55" s="80" t="s">
        <v>906</v>
      </c>
      <c r="AA55" s="80">
        <f>SUM(AA53:AA54)</f>
        <v>344.15934379416007</v>
      </c>
      <c r="AB55" s="80">
        <f t="shared" ref="AB55:AE55" si="22">SUM(AB53:AB54)</f>
        <v>351.65572744137501</v>
      </c>
      <c r="AC55" s="80">
        <f t="shared" si="22"/>
        <v>360</v>
      </c>
      <c r="AD55" s="80">
        <f t="shared" si="22"/>
        <v>321.77835985124034</v>
      </c>
      <c r="AE55" s="80">
        <f t="shared" si="22"/>
        <v>291</v>
      </c>
      <c r="AF55" s="80">
        <f>SUM(AF53:AF54)</f>
        <v>257</v>
      </c>
      <c r="AG55" s="81">
        <f>SUM(AG53:AG54)</f>
        <v>222</v>
      </c>
    </row>
    <row r="56" spans="2:33" ht="19">
      <c r="B56" s="2"/>
      <c r="C56" s="56" t="s">
        <v>754</v>
      </c>
      <c r="D56" s="71" t="s">
        <v>755</v>
      </c>
      <c r="E56" s="71">
        <v>0.27615515751972902</v>
      </c>
      <c r="F56" s="72">
        <v>0.26429064467130448</v>
      </c>
      <c r="G56" s="71">
        <v>0.23699999999999999</v>
      </c>
      <c r="H56" s="71">
        <v>0.20599999999999991</v>
      </c>
      <c r="I56" s="71">
        <v>0.1739999999999999</v>
      </c>
      <c r="J56" s="71">
        <v>0.14199999999999999</v>
      </c>
      <c r="K56" s="73">
        <v>0.111</v>
      </c>
      <c r="L56" s="2"/>
      <c r="M56" s="2"/>
      <c r="N56" t="s">
        <v>991</v>
      </c>
      <c r="O56" s="49">
        <v>0.23</v>
      </c>
      <c r="P56" s="49">
        <v>0.23</v>
      </c>
      <c r="Q56" s="49">
        <v>0.23</v>
      </c>
      <c r="R56" s="49">
        <v>0.23</v>
      </c>
      <c r="S56" s="49">
        <v>0.23</v>
      </c>
      <c r="T56" s="49">
        <v>0.23</v>
      </c>
      <c r="Y56" s="99" t="s">
        <v>907</v>
      </c>
      <c r="Z56" s="100" t="s">
        <v>951</v>
      </c>
      <c r="AA56" s="100">
        <v>6.2200152000000006</v>
      </c>
      <c r="AB56" s="100">
        <v>5.6902999999999988</v>
      </c>
      <c r="AC56" s="100">
        <v>6.2310000000000008</v>
      </c>
      <c r="AD56" s="100">
        <v>5.9510306796116517</v>
      </c>
      <c r="AE56" s="100">
        <v>5.742448301886796</v>
      </c>
      <c r="AF56" s="100">
        <v>5.6755200000000041</v>
      </c>
      <c r="AG56" s="101">
        <v>5.6121771428571439</v>
      </c>
    </row>
    <row r="57" spans="2:33" ht="19">
      <c r="B57" s="2"/>
      <c r="C57" s="76"/>
      <c r="D57" s="77" t="s">
        <v>756</v>
      </c>
      <c r="E57" s="77"/>
      <c r="F57" s="79"/>
      <c r="G57" s="77"/>
      <c r="H57" s="77"/>
      <c r="I57" s="77"/>
      <c r="J57" s="77"/>
      <c r="K57" s="82"/>
      <c r="L57" s="2"/>
      <c r="M57" s="2"/>
      <c r="N57" t="s">
        <v>992</v>
      </c>
      <c r="O57" s="49">
        <v>0.26</v>
      </c>
      <c r="P57">
        <f>$O$57+(P14-$O$14)/($R$14-$O$14)*($R$57-$O$57)</f>
        <v>0.26857142857142857</v>
      </c>
      <c r="Q57">
        <f>$O$57+(Q14-$O$14)/($R$14-$O$14)*($R$57-$O$57)</f>
        <v>0.2742857142857143</v>
      </c>
      <c r="R57" s="49">
        <v>0.28000000000000003</v>
      </c>
      <c r="S57" s="49">
        <v>0.28000000000000003</v>
      </c>
      <c r="T57" s="49">
        <v>0.28000000000000003</v>
      </c>
      <c r="X57" s="116" t="s">
        <v>35</v>
      </c>
      <c r="Y57" s="91" t="s">
        <v>739</v>
      </c>
      <c r="Z57" s="58" t="s">
        <v>952</v>
      </c>
      <c r="AA57" s="58">
        <v>146.6</v>
      </c>
      <c r="AB57" s="58">
        <v>150</v>
      </c>
      <c r="AC57" s="58">
        <v>156</v>
      </c>
      <c r="AD57" s="58">
        <v>156</v>
      </c>
      <c r="AE57" s="58">
        <v>158.1</v>
      </c>
      <c r="AF57" s="58">
        <v>159.80000000000001</v>
      </c>
      <c r="AG57" s="59">
        <v>161.5</v>
      </c>
    </row>
    <row r="58" spans="2:33" ht="19">
      <c r="B58" s="42" t="s">
        <v>782</v>
      </c>
      <c r="C58" s="56" t="s">
        <v>739</v>
      </c>
      <c r="D58" s="83" t="s">
        <v>783</v>
      </c>
      <c r="E58" s="58">
        <v>2669.586652163955</v>
      </c>
      <c r="F58" s="58">
        <v>2833.049503787483</v>
      </c>
      <c r="G58" s="58">
        <v>2672.8280551178791</v>
      </c>
      <c r="H58" s="58">
        <v>2581.117956047734</v>
      </c>
      <c r="I58" s="58">
        <v>2440.9089687153328</v>
      </c>
      <c r="J58" s="58">
        <v>2393.312244128314</v>
      </c>
      <c r="K58" s="59">
        <v>2369.0858871692808</v>
      </c>
      <c r="L58" s="2"/>
      <c r="M58" s="2"/>
      <c r="N58" t="s">
        <v>993</v>
      </c>
      <c r="O58">
        <v>0.26</v>
      </c>
      <c r="P58">
        <v>0.26857142857142857</v>
      </c>
      <c r="Q58">
        <v>0.2742857142857143</v>
      </c>
      <c r="R58">
        <v>0.28000000000000003</v>
      </c>
      <c r="S58">
        <v>0.28000000000000003</v>
      </c>
      <c r="T58">
        <v>0.28000000000000003</v>
      </c>
      <c r="Y58" s="91" t="s">
        <v>0</v>
      </c>
      <c r="Z58" s="58" t="s">
        <v>953</v>
      </c>
      <c r="AA58" s="58">
        <v>146.6</v>
      </c>
      <c r="AB58" s="58">
        <v>150</v>
      </c>
      <c r="AC58" s="58">
        <v>156</v>
      </c>
      <c r="AD58" s="58">
        <v>156</v>
      </c>
      <c r="AE58" s="58">
        <v>158.1</v>
      </c>
      <c r="AF58" s="58">
        <v>159.80000000000001</v>
      </c>
      <c r="AG58" s="59">
        <v>161.5</v>
      </c>
    </row>
    <row r="59" spans="2:33" ht="19">
      <c r="B59" s="124"/>
      <c r="C59" s="60"/>
      <c r="D59" s="113"/>
      <c r="E59" s="64"/>
      <c r="F59" s="64"/>
      <c r="G59" s="64"/>
      <c r="H59" s="64"/>
      <c r="I59" s="64"/>
      <c r="J59" s="64"/>
      <c r="K59" s="66"/>
      <c r="L59" s="2"/>
      <c r="M59" s="2"/>
      <c r="Y59" s="89"/>
      <c r="Z59" t="s">
        <v>1019</v>
      </c>
      <c r="AA59">
        <v>34.899999999999991</v>
      </c>
      <c r="AB59">
        <v>34.899999999999991</v>
      </c>
      <c r="AC59">
        <v>35.100000000000023</v>
      </c>
      <c r="AD59">
        <v>35.100000000000023</v>
      </c>
      <c r="AE59">
        <v>38.899999999999977</v>
      </c>
      <c r="AF59">
        <v>39.399999999999977</v>
      </c>
      <c r="AG59">
        <v>39.999999999999993</v>
      </c>
    </row>
    <row r="60" spans="2:33" ht="19">
      <c r="B60" s="124"/>
      <c r="C60" s="60"/>
      <c r="D60" s="113"/>
      <c r="E60" s="64"/>
      <c r="F60" s="64"/>
      <c r="G60" s="64"/>
      <c r="H60" s="64"/>
      <c r="I60" s="64"/>
      <c r="J60" s="64"/>
      <c r="K60" s="66"/>
      <c r="L60" s="2"/>
      <c r="M60" s="2"/>
      <c r="Y60" s="89"/>
      <c r="Z60" t="s">
        <v>1020</v>
      </c>
      <c r="AA60">
        <v>26.6</v>
      </c>
      <c r="AB60">
        <v>26.6</v>
      </c>
      <c r="AC60">
        <v>28.3</v>
      </c>
      <c r="AD60">
        <v>28.3</v>
      </c>
      <c r="AE60">
        <v>27.2</v>
      </c>
      <c r="AF60">
        <v>27.8</v>
      </c>
      <c r="AG60">
        <v>28.3</v>
      </c>
    </row>
    <row r="61" spans="2:33" ht="19">
      <c r="B61" s="124"/>
      <c r="C61" s="60"/>
      <c r="D61" s="113"/>
      <c r="E61" s="64"/>
      <c r="F61" s="64"/>
      <c r="G61" s="64"/>
      <c r="H61" s="64"/>
      <c r="I61" s="64"/>
      <c r="J61" s="64"/>
      <c r="K61" s="66"/>
      <c r="L61" s="2"/>
      <c r="M61" s="2"/>
      <c r="Y61" s="89"/>
      <c r="Z61" t="s">
        <v>1021</v>
      </c>
      <c r="AA61">
        <v>85.1</v>
      </c>
      <c r="AB61">
        <v>88.499999999999986</v>
      </c>
      <c r="AC61">
        <v>92.59999999999998</v>
      </c>
      <c r="AD61">
        <v>92.59999999999998</v>
      </c>
      <c r="AE61">
        <v>92</v>
      </c>
      <c r="AF61">
        <v>92.59999999999998</v>
      </c>
      <c r="AG61">
        <v>93.2</v>
      </c>
    </row>
    <row r="62" spans="2:33" ht="19">
      <c r="B62" s="124"/>
      <c r="C62" s="60"/>
      <c r="D62" s="113"/>
      <c r="E62" s="64"/>
      <c r="F62" s="64"/>
      <c r="G62" s="64"/>
      <c r="H62" s="64"/>
      <c r="I62" s="64"/>
      <c r="J62" s="64"/>
      <c r="K62" s="66"/>
      <c r="L62" s="2"/>
      <c r="M62" s="2"/>
      <c r="Y62" s="89"/>
      <c r="Z62" t="s">
        <v>1022</v>
      </c>
      <c r="AA62">
        <v>25.2</v>
      </c>
      <c r="AB62">
        <v>22.2</v>
      </c>
      <c r="AC62">
        <v>16.2</v>
      </c>
      <c r="AD62">
        <v>16.600000000000001</v>
      </c>
      <c r="AE62">
        <v>17.100000000000001</v>
      </c>
      <c r="AF62">
        <v>17.5</v>
      </c>
      <c r="AG62">
        <v>17.899999999999999</v>
      </c>
    </row>
    <row r="63" spans="2:33" ht="19">
      <c r="B63" s="124"/>
      <c r="C63" s="60"/>
      <c r="D63" s="113"/>
      <c r="E63" s="64"/>
      <c r="F63" s="64"/>
      <c r="G63" s="64"/>
      <c r="H63" s="64"/>
      <c r="I63" s="64"/>
      <c r="J63" s="64"/>
      <c r="K63" s="66"/>
      <c r="L63" s="2"/>
      <c r="M63" s="2"/>
      <c r="Y63" s="90"/>
      <c r="Z63" s="80" t="s">
        <v>1023</v>
      </c>
      <c r="AA63" s="115">
        <f>AA59+AA60+AA61</f>
        <v>146.6</v>
      </c>
      <c r="AB63" s="80">
        <f t="shared" ref="AB63:AG63" si="23">AB59+AB60+AB61</f>
        <v>149.99999999999997</v>
      </c>
      <c r="AC63" s="80">
        <f t="shared" si="23"/>
        <v>156</v>
      </c>
      <c r="AD63" s="80">
        <f t="shared" si="23"/>
        <v>156</v>
      </c>
      <c r="AE63" s="80">
        <f t="shared" si="23"/>
        <v>158.09999999999997</v>
      </c>
      <c r="AF63" s="80">
        <f t="shared" si="23"/>
        <v>159.79999999999995</v>
      </c>
      <c r="AG63" s="80">
        <f t="shared" si="23"/>
        <v>161.5</v>
      </c>
    </row>
    <row r="64" spans="2:33" ht="19">
      <c r="B64" s="2"/>
      <c r="C64" s="60" t="s">
        <v>6</v>
      </c>
      <c r="D64" s="84" t="s">
        <v>784</v>
      </c>
      <c r="E64" s="64">
        <v>252.5</v>
      </c>
      <c r="F64" s="64">
        <v>252.5</v>
      </c>
      <c r="G64" s="64">
        <v>252.5</v>
      </c>
      <c r="H64" s="64">
        <v>252.5</v>
      </c>
      <c r="I64" s="64">
        <v>252.5</v>
      </c>
      <c r="J64" s="64">
        <v>252.5</v>
      </c>
      <c r="K64" s="66">
        <v>252.5</v>
      </c>
      <c r="L64" s="2"/>
      <c r="M64" s="2"/>
      <c r="N64" t="s">
        <v>994</v>
      </c>
      <c r="O64" s="49">
        <v>0.35</v>
      </c>
      <c r="P64">
        <f>$O$64+(P14-$O$14)/($R$14-$O$14)*($R$64-$O$64)</f>
        <v>0.37142857142857144</v>
      </c>
      <c r="Q64">
        <f>$O$64+(Q14-$O$14)/($R$14-$O$14)*($R$64-$O$64)</f>
        <v>0.38571428571428573</v>
      </c>
      <c r="R64" s="49">
        <v>0.4</v>
      </c>
      <c r="S64" s="49">
        <v>0.4</v>
      </c>
      <c r="T64" s="49">
        <v>0.4</v>
      </c>
      <c r="X64" s="116" t="s">
        <v>954</v>
      </c>
      <c r="Y64" s="114" t="s">
        <v>739</v>
      </c>
      <c r="Z64" s="64" t="s">
        <v>955</v>
      </c>
      <c r="AA64" s="64">
        <v>13.6</v>
      </c>
      <c r="AB64" s="64">
        <v>21.82503024</v>
      </c>
      <c r="AC64" s="64">
        <v>21.82503024</v>
      </c>
      <c r="AD64" s="64">
        <v>21.82503024</v>
      </c>
      <c r="AE64" s="64">
        <v>20.392888240000001</v>
      </c>
      <c r="AF64" s="64">
        <v>18.192888239999998</v>
      </c>
      <c r="AG64" s="66">
        <v>17.822888240000001</v>
      </c>
    </row>
    <row r="65" spans="2:33" ht="18">
      <c r="B65" s="2"/>
      <c r="C65" s="85"/>
      <c r="D65" s="64" t="s">
        <v>785</v>
      </c>
      <c r="E65" s="64">
        <v>10.220301238046069</v>
      </c>
      <c r="F65" s="64">
        <v>10.35330083812803</v>
      </c>
      <c r="G65" s="64">
        <v>10.55635554543692</v>
      </c>
      <c r="H65" s="64">
        <v>10.776945713076451</v>
      </c>
      <c r="I65" s="64">
        <v>10.993617352273249</v>
      </c>
      <c r="J65" s="64">
        <v>11.205771715275</v>
      </c>
      <c r="K65" s="66">
        <v>11.43181431641063</v>
      </c>
      <c r="L65" s="2"/>
      <c r="M65" s="2"/>
      <c r="N65" t="s">
        <v>750</v>
      </c>
      <c r="O65">
        <v>0.35</v>
      </c>
      <c r="P65">
        <v>0.37142857142857144</v>
      </c>
      <c r="Q65">
        <v>0.38571428571428573</v>
      </c>
      <c r="R65">
        <v>0.4</v>
      </c>
      <c r="S65">
        <v>0.4</v>
      </c>
      <c r="T65">
        <v>0.4</v>
      </c>
      <c r="X65" s="116" t="s">
        <v>957</v>
      </c>
      <c r="Y65" s="89"/>
      <c r="Z65" s="64" t="s">
        <v>956</v>
      </c>
      <c r="AA65" s="64">
        <v>3</v>
      </c>
      <c r="AB65" s="64">
        <v>8.8152793632537811</v>
      </c>
      <c r="AC65" s="64">
        <v>40.522799999999961</v>
      </c>
      <c r="AD65" s="64">
        <v>105</v>
      </c>
      <c r="AE65" s="64">
        <v>131.1163</v>
      </c>
      <c r="AF65" s="64">
        <v>143.1139</v>
      </c>
      <c r="AG65" s="66">
        <v>165.89982035714289</v>
      </c>
    </row>
    <row r="66" spans="2:33" ht="19">
      <c r="B66" s="2"/>
      <c r="C66" s="60"/>
      <c r="D66" s="64" t="s">
        <v>786</v>
      </c>
      <c r="E66" s="64">
        <v>163.37520491763399</v>
      </c>
      <c r="F66" s="64">
        <v>175.94000500315991</v>
      </c>
      <c r="G66" s="64">
        <v>160.63187349939949</v>
      </c>
      <c r="H66" s="64">
        <v>150.9998745145632</v>
      </c>
      <c r="I66" s="64">
        <v>137.27897628513139</v>
      </c>
      <c r="J66" s="64">
        <v>131.46613767826531</v>
      </c>
      <c r="K66" s="66">
        <v>127.52363451544301</v>
      </c>
      <c r="L66" s="2"/>
      <c r="M66" s="2"/>
      <c r="N66" t="s">
        <v>995</v>
      </c>
      <c r="O66" s="49">
        <v>0.31</v>
      </c>
      <c r="P66">
        <f>$O$66+(P14-$O$14)/($R$14-$O$14)*($R$66-$O$66)</f>
        <v>0.31428571428571428</v>
      </c>
      <c r="Q66">
        <f>$O$66+(Q14-$O$14)/($R$14-$O$14)*($R$66-$O$66)</f>
        <v>0.31714285714285717</v>
      </c>
      <c r="R66" s="49">
        <v>0.32</v>
      </c>
      <c r="S66" s="49">
        <v>0.32</v>
      </c>
      <c r="T66" s="49">
        <v>0.32</v>
      </c>
      <c r="Y66" s="89"/>
      <c r="Z66" s="64" t="s">
        <v>958</v>
      </c>
      <c r="AA66" s="64">
        <v>219</v>
      </c>
      <c r="AB66" s="64">
        <v>233</v>
      </c>
      <c r="AC66" s="64">
        <v>206.49950307561741</v>
      </c>
      <c r="AD66" s="64">
        <v>172.02714626871349</v>
      </c>
      <c r="AE66" s="64">
        <v>182.67387359972639</v>
      </c>
      <c r="AF66" s="64">
        <v>159.18084529783971</v>
      </c>
      <c r="AG66" s="66">
        <v>141.2152212899031</v>
      </c>
    </row>
    <row r="67" spans="2:33" ht="18">
      <c r="B67" s="2"/>
      <c r="C67" s="60"/>
      <c r="D67" s="64" t="s">
        <v>787</v>
      </c>
      <c r="E67" s="64">
        <v>6.4298714300017963</v>
      </c>
      <c r="F67" s="64">
        <v>6.5175230603502534</v>
      </c>
      <c r="G67" s="64">
        <v>6.6385777676591484</v>
      </c>
      <c r="H67" s="64">
        <v>6.7726123797431237</v>
      </c>
      <c r="I67" s="64">
        <v>6.9027284633843644</v>
      </c>
      <c r="J67" s="64">
        <v>7.0328828263861176</v>
      </c>
      <c r="K67" s="66">
        <v>7.1723698719661906</v>
      </c>
      <c r="L67" s="2"/>
      <c r="M67" s="2"/>
      <c r="N67" t="s">
        <v>996</v>
      </c>
      <c r="O67">
        <v>0.35</v>
      </c>
      <c r="P67">
        <v>0.35</v>
      </c>
      <c r="Q67">
        <v>0.35</v>
      </c>
      <c r="R67">
        <v>0.35</v>
      </c>
      <c r="S67">
        <v>0.35</v>
      </c>
      <c r="T67">
        <v>0.35</v>
      </c>
      <c r="Y67" s="90"/>
      <c r="Z67" s="103" t="s">
        <v>916</v>
      </c>
      <c r="AA67" s="103">
        <f>SUM(AA64:AA66)</f>
        <v>235.6</v>
      </c>
      <c r="AB67" s="103">
        <f t="shared" ref="AB67:AG67" si="24">SUM(AB64:AB66)</f>
        <v>263.6403096032538</v>
      </c>
      <c r="AC67" s="103">
        <f t="shared" si="24"/>
        <v>268.84733331561739</v>
      </c>
      <c r="AD67" s="103">
        <f t="shared" si="24"/>
        <v>298.85217650871351</v>
      </c>
      <c r="AE67" s="103">
        <f t="shared" si="24"/>
        <v>334.18306183972641</v>
      </c>
      <c r="AF67" s="103">
        <f t="shared" si="24"/>
        <v>320.48763353783971</v>
      </c>
      <c r="AG67" s="104">
        <f t="shared" si="24"/>
        <v>324.93792988704598</v>
      </c>
    </row>
    <row r="68" spans="2:33" s="6" customFormat="1" ht="18">
      <c r="B68" s="3"/>
      <c r="C68" s="86"/>
      <c r="D68" s="64" t="s">
        <v>788</v>
      </c>
      <c r="E68" s="64"/>
      <c r="F68" s="64"/>
      <c r="G68" s="64"/>
      <c r="H68" s="64"/>
      <c r="I68" s="64"/>
      <c r="J68" s="64"/>
      <c r="K68" s="66"/>
      <c r="L68" s="3"/>
      <c r="M68" s="3"/>
      <c r="N68" t="s">
        <v>997</v>
      </c>
      <c r="O68">
        <v>0.32</v>
      </c>
      <c r="P68">
        <v>0.32</v>
      </c>
      <c r="Q68">
        <v>0.32</v>
      </c>
      <c r="R68">
        <v>0.32</v>
      </c>
      <c r="S68">
        <v>0.32</v>
      </c>
      <c r="T68">
        <v>0.32</v>
      </c>
      <c r="Y68" s="105" t="s">
        <v>0</v>
      </c>
      <c r="Z68" s="58" t="s">
        <v>960</v>
      </c>
      <c r="AA68" s="58">
        <v>13.6</v>
      </c>
      <c r="AB68" s="58">
        <v>21.82503024</v>
      </c>
      <c r="AC68" s="58">
        <v>21.82503024</v>
      </c>
      <c r="AD68" s="58">
        <v>21.82503024</v>
      </c>
      <c r="AE68" s="58">
        <v>20.392888240000001</v>
      </c>
      <c r="AF68" s="58">
        <v>18.192888239999998</v>
      </c>
      <c r="AG68" s="59">
        <v>17.822888240000001</v>
      </c>
    </row>
    <row r="69" spans="2:33" ht="18">
      <c r="B69" s="2"/>
      <c r="C69" s="60"/>
      <c r="D69" s="64" t="s">
        <v>789</v>
      </c>
      <c r="E69" s="64">
        <v>61.761325862279989</v>
      </c>
      <c r="F69" s="64">
        <v>64.721794102397283</v>
      </c>
      <c r="G69" s="64">
        <v>62.115405198172994</v>
      </c>
      <c r="H69" s="64">
        <v>60.729814021692967</v>
      </c>
      <c r="I69" s="64">
        <v>58.488677468548957</v>
      </c>
      <c r="J69" s="64">
        <v>57.869046723931497</v>
      </c>
      <c r="K69" s="66">
        <v>57.673903527432643</v>
      </c>
      <c r="L69" s="2"/>
      <c r="M69" s="2"/>
      <c r="N69" t="s">
        <v>998</v>
      </c>
      <c r="O69">
        <v>0.32</v>
      </c>
      <c r="P69">
        <v>0.32</v>
      </c>
      <c r="Q69">
        <v>0.32</v>
      </c>
      <c r="R69">
        <v>0.32</v>
      </c>
      <c r="S69">
        <v>0.32</v>
      </c>
      <c r="T69">
        <v>0.32</v>
      </c>
      <c r="Y69" s="89"/>
      <c r="Z69" s="64" t="s">
        <v>959</v>
      </c>
      <c r="AA69" s="64"/>
      <c r="AB69" s="64"/>
      <c r="AC69" s="64">
        <v>6.8400000000000007</v>
      </c>
      <c r="AD69" s="64">
        <v>67.900000000000006</v>
      </c>
      <c r="AE69" s="64">
        <v>73.800000000000011</v>
      </c>
      <c r="AF69" s="64">
        <v>79.599999999999994</v>
      </c>
      <c r="AG69" s="66">
        <v>96.300000000000011</v>
      </c>
    </row>
    <row r="70" spans="2:33" s="6" customFormat="1" ht="18">
      <c r="B70" s="2"/>
      <c r="C70" s="60"/>
      <c r="D70" s="64" t="s">
        <v>790</v>
      </c>
      <c r="E70" s="64">
        <v>17.72470068534362</v>
      </c>
      <c r="F70" s="64">
        <v>5.0999999999999996</v>
      </c>
      <c r="G70" s="64">
        <v>5.34</v>
      </c>
      <c r="H70" s="64">
        <v>5.59</v>
      </c>
      <c r="I70" s="64">
        <v>5.83</v>
      </c>
      <c r="J70" s="64">
        <v>6.07</v>
      </c>
      <c r="K70" s="66">
        <v>6.32</v>
      </c>
      <c r="L70" s="2"/>
      <c r="M70" s="2"/>
      <c r="N70" s="109" t="s">
        <v>999</v>
      </c>
      <c r="O70" s="109">
        <f>SUM(O55:O69)/10</f>
        <v>0.29799999999999999</v>
      </c>
      <c r="P70" s="109">
        <f t="shared" ref="P70:T70" si="25">SUM(P55:P69)/10</f>
        <v>0.30442857142857138</v>
      </c>
      <c r="Q70" s="109">
        <f t="shared" si="25"/>
        <v>0.30871428571428566</v>
      </c>
      <c r="R70" s="109">
        <f t="shared" si="25"/>
        <v>0.31299999999999994</v>
      </c>
      <c r="S70" s="109">
        <f t="shared" si="25"/>
        <v>0.31299999999999994</v>
      </c>
      <c r="T70" s="109">
        <f t="shared" si="25"/>
        <v>0.31299999999999994</v>
      </c>
      <c r="Y70" s="106"/>
      <c r="Z70" t="s">
        <v>1006</v>
      </c>
      <c r="AA70">
        <v>19.3</v>
      </c>
      <c r="AB70">
        <v>19.48552234521604</v>
      </c>
      <c r="AC70">
        <v>16.8</v>
      </c>
      <c r="AD70">
        <v>12.9</v>
      </c>
      <c r="AE70">
        <v>13.5</v>
      </c>
      <c r="AF70">
        <v>10.7</v>
      </c>
      <c r="AG70">
        <v>8.44</v>
      </c>
    </row>
    <row r="71" spans="2:33" s="6" customFormat="1" ht="18">
      <c r="B71" s="2"/>
      <c r="C71" s="60"/>
      <c r="D71" s="64"/>
      <c r="E71" s="64"/>
      <c r="F71" s="64"/>
      <c r="G71" s="64"/>
      <c r="H71" s="64"/>
      <c r="I71" s="64"/>
      <c r="J71" s="64"/>
      <c r="K71" s="66"/>
      <c r="L71" s="2"/>
      <c r="M71" s="2"/>
      <c r="N71" s="109"/>
      <c r="O71" s="109"/>
      <c r="P71" s="109"/>
      <c r="Q71" s="109"/>
      <c r="R71" s="109"/>
      <c r="S71" s="109"/>
      <c r="T71" s="109"/>
      <c r="Y71" s="106"/>
      <c r="Z71" s="64" t="s">
        <v>1007</v>
      </c>
      <c r="AA71" s="64">
        <f>AA70/0.1</f>
        <v>193</v>
      </c>
      <c r="AB71" s="64">
        <f t="shared" ref="AB71:AG71" si="26">AB70/0.1</f>
        <v>194.8552234521604</v>
      </c>
      <c r="AC71" s="64">
        <f t="shared" si="26"/>
        <v>168</v>
      </c>
      <c r="AD71" s="64">
        <f t="shared" si="26"/>
        <v>129</v>
      </c>
      <c r="AE71" s="64">
        <f t="shared" si="26"/>
        <v>135</v>
      </c>
      <c r="AF71" s="64">
        <f t="shared" si="26"/>
        <v>106.99999999999999</v>
      </c>
      <c r="AG71" s="64">
        <f t="shared" si="26"/>
        <v>84.399999999999991</v>
      </c>
    </row>
    <row r="72" spans="2:33" s="6" customFormat="1" ht="18">
      <c r="B72" s="2"/>
      <c r="C72" s="60"/>
      <c r="D72" s="64" t="s">
        <v>791</v>
      </c>
      <c r="E72" s="64">
        <v>12.060573515510869</v>
      </c>
      <c r="F72" s="64">
        <v>11.58507295694767</v>
      </c>
      <c r="G72" s="64">
        <v>10.6373756122712</v>
      </c>
      <c r="H72" s="64">
        <v>9.6834560453725214</v>
      </c>
      <c r="I72" s="64">
        <v>8.7395364784738341</v>
      </c>
      <c r="J72" s="64">
        <v>7.79183913379737</v>
      </c>
      <c r="K72" s="66">
        <v>6.8379195668986874</v>
      </c>
      <c r="L72" s="2"/>
      <c r="M72" s="2"/>
      <c r="N72" t="s">
        <v>1000</v>
      </c>
      <c r="O72" s="6">
        <v>0.48</v>
      </c>
      <c r="P72" s="6">
        <v>0.48</v>
      </c>
      <c r="Q72" s="6">
        <v>0.48</v>
      </c>
      <c r="R72" s="6">
        <v>0.48</v>
      </c>
      <c r="S72" s="6">
        <v>0.48</v>
      </c>
      <c r="T72" s="6">
        <v>0.48</v>
      </c>
      <c r="Y72" s="106"/>
      <c r="Z72" s="64" t="s">
        <v>922</v>
      </c>
      <c r="AA72" s="64">
        <f>SUM(AA68,AA69,AA71)</f>
        <v>206.6</v>
      </c>
      <c r="AB72" s="64">
        <f t="shared" ref="AB72:AG72" si="27">SUM(AB68,AB69,AB71)</f>
        <v>216.68025369216039</v>
      </c>
      <c r="AC72" s="64">
        <f t="shared" si="27"/>
        <v>196.66503023999999</v>
      </c>
      <c r="AD72" s="64">
        <f t="shared" si="27"/>
        <v>218.72503024000002</v>
      </c>
      <c r="AE72" s="64">
        <f t="shared" si="27"/>
        <v>229.19288824</v>
      </c>
      <c r="AF72" s="64">
        <f t="shared" si="27"/>
        <v>204.79288823999997</v>
      </c>
      <c r="AG72" s="64">
        <f t="shared" si="27"/>
        <v>198.52288823999999</v>
      </c>
    </row>
    <row r="73" spans="2:33" s="6" customFormat="1" ht="18">
      <c r="B73" s="2"/>
      <c r="C73" s="60"/>
      <c r="D73" s="64"/>
      <c r="E73" s="64"/>
      <c r="F73" s="64"/>
      <c r="G73" s="64"/>
      <c r="H73" s="64"/>
      <c r="I73" s="64"/>
      <c r="J73" s="64"/>
      <c r="K73" s="66"/>
      <c r="L73" s="2"/>
      <c r="M73" s="2"/>
      <c r="N73"/>
      <c r="Y73" s="106"/>
      <c r="Z73" t="s">
        <v>1005</v>
      </c>
      <c r="AA73">
        <v>13.805391673086801</v>
      </c>
      <c r="AB73">
        <v>17.100000000000001</v>
      </c>
      <c r="AC73">
        <v>15.5</v>
      </c>
      <c r="AD73">
        <v>14</v>
      </c>
      <c r="AE73">
        <v>12.4</v>
      </c>
      <c r="AF73">
        <v>10.9</v>
      </c>
      <c r="AG73">
        <v>9.3000000000000007</v>
      </c>
    </row>
    <row r="74" spans="2:33" ht="18">
      <c r="B74" s="2"/>
      <c r="C74" s="60"/>
      <c r="D74" s="64" t="s">
        <v>792</v>
      </c>
      <c r="E74" s="64">
        <v>52.764958489193937</v>
      </c>
      <c r="F74" s="64">
        <v>35.274576022071528</v>
      </c>
      <c r="G74" s="64">
        <v>60.566522879554647</v>
      </c>
      <c r="H74" s="64">
        <v>45.200998123656333</v>
      </c>
      <c r="I74" s="64">
        <v>41.844392921168811</v>
      </c>
      <c r="J74" s="64">
        <v>32.299219800497532</v>
      </c>
      <c r="K74" s="66">
        <v>21.79022753960237</v>
      </c>
      <c r="L74" s="2"/>
      <c r="M74" s="2"/>
      <c r="N74" t="s">
        <v>1001</v>
      </c>
      <c r="O74" s="6">
        <v>0.66</v>
      </c>
      <c r="P74" s="6">
        <v>0.66</v>
      </c>
      <c r="Q74" s="6">
        <v>0.66</v>
      </c>
      <c r="R74" s="6">
        <v>0.66</v>
      </c>
      <c r="S74" s="6">
        <v>0.66</v>
      </c>
      <c r="T74" s="6">
        <v>0.66</v>
      </c>
      <c r="Y74" s="89"/>
      <c r="Z74" s="64" t="s">
        <v>961</v>
      </c>
      <c r="AA74" s="64"/>
      <c r="AB74" s="64">
        <v>7.4791061913584942</v>
      </c>
      <c r="AC74" s="64">
        <v>10.49801230246959</v>
      </c>
      <c r="AD74" s="64">
        <v>15.70858507485368</v>
      </c>
      <c r="AE74" s="64">
        <v>21.095494398905689</v>
      </c>
      <c r="AF74" s="64">
        <v>26.223381191358541</v>
      </c>
      <c r="AG74" s="66">
        <v>31.560885159612461</v>
      </c>
    </row>
    <row r="75" spans="2:33" ht="18">
      <c r="B75" s="2"/>
      <c r="C75" s="60"/>
      <c r="D75" s="64"/>
      <c r="E75" s="64"/>
      <c r="F75" s="64"/>
      <c r="G75" s="64"/>
      <c r="H75" s="64"/>
      <c r="I75" s="64"/>
      <c r="J75" s="64"/>
      <c r="K75" s="66"/>
      <c r="L75" s="2"/>
      <c r="M75" s="2"/>
      <c r="O75" s="6"/>
      <c r="P75" s="6"/>
      <c r="Q75" s="6"/>
      <c r="R75" s="6"/>
      <c r="S75" s="6"/>
      <c r="T75" s="6"/>
      <c r="X75" s="112" t="s">
        <v>1009</v>
      </c>
      <c r="Y75" s="90"/>
      <c r="Z75" s="110" t="s">
        <v>1008</v>
      </c>
      <c r="AA75" s="80">
        <f>SUM(AA73:AA74)/0.8</f>
        <v>17.2567395913585</v>
      </c>
      <c r="AB75" s="80">
        <f t="shared" ref="AB75:AG75" si="28">SUM(AB73:AB74)/0.8</f>
        <v>30.723882739198118</v>
      </c>
      <c r="AC75" s="80">
        <f t="shared" si="28"/>
        <v>32.497515378086987</v>
      </c>
      <c r="AD75" s="80">
        <f t="shared" si="28"/>
        <v>37.135731343567095</v>
      </c>
      <c r="AE75" s="80">
        <f t="shared" si="28"/>
        <v>41.869367998632114</v>
      </c>
      <c r="AF75" s="80">
        <f t="shared" si="28"/>
        <v>46.404226489198173</v>
      </c>
      <c r="AG75" s="80">
        <f t="shared" si="28"/>
        <v>51.076106449515578</v>
      </c>
    </row>
    <row r="76" spans="2:33" ht="18">
      <c r="B76" s="2"/>
      <c r="C76" s="60"/>
      <c r="D76" s="64" t="s">
        <v>793</v>
      </c>
      <c r="E76" s="64">
        <v>63.005222775699913</v>
      </c>
      <c r="F76" s="64">
        <v>50.800124736606342</v>
      </c>
      <c r="G76" s="64">
        <v>51.831288858532957</v>
      </c>
      <c r="H76" s="64">
        <v>52.938503805896033</v>
      </c>
      <c r="I76" s="64">
        <v>54.033963167930878</v>
      </c>
      <c r="J76" s="64">
        <v>55.092426256936122</v>
      </c>
      <c r="K76" s="66">
        <v>56.215998504787457</v>
      </c>
      <c r="L76" s="2"/>
      <c r="M76" s="2"/>
      <c r="N76" t="s">
        <v>1002</v>
      </c>
      <c r="O76" s="6">
        <v>0.49</v>
      </c>
      <c r="P76" s="6">
        <v>0.49</v>
      </c>
      <c r="Q76" s="6">
        <v>0.49</v>
      </c>
      <c r="R76" s="6">
        <v>0.49</v>
      </c>
      <c r="S76" s="6">
        <v>0.49</v>
      </c>
      <c r="T76" s="6">
        <v>0.49</v>
      </c>
      <c r="Y76" s="89" t="s">
        <v>754</v>
      </c>
      <c r="Z76" s="64" t="s">
        <v>962</v>
      </c>
      <c r="AA76" s="64">
        <v>1.1299999999999999</v>
      </c>
      <c r="AB76" s="64">
        <v>1.35</v>
      </c>
      <c r="AC76" s="64">
        <v>1.19</v>
      </c>
      <c r="AD76" s="64">
        <v>1.03</v>
      </c>
      <c r="AE76" s="64">
        <v>0.874</v>
      </c>
      <c r="AF76" s="64">
        <v>0.71499999999999997</v>
      </c>
      <c r="AG76" s="66">
        <v>0.55600000000000005</v>
      </c>
    </row>
    <row r="77" spans="2:33" ht="18">
      <c r="B77" s="2"/>
      <c r="C77" s="60"/>
      <c r="D77" s="64" t="s">
        <v>794</v>
      </c>
      <c r="E77" s="64">
        <v>0.71220082536404417</v>
      </c>
      <c r="F77" s="64">
        <v>0.72753389208535235</v>
      </c>
      <c r="G77" s="64">
        <v>0.73090369695794888</v>
      </c>
      <c r="H77" s="64">
        <v>0.73863047538430393</v>
      </c>
      <c r="I77" s="64">
        <v>0.74374490151550143</v>
      </c>
      <c r="J77" s="64">
        <v>0.75318114351666954</v>
      </c>
      <c r="K77" s="66">
        <v>0.7645428776070885</v>
      </c>
      <c r="L77" s="2"/>
      <c r="M77" s="2"/>
      <c r="N77" t="s">
        <v>1003</v>
      </c>
      <c r="O77" s="6">
        <v>0.38</v>
      </c>
      <c r="P77" s="6">
        <v>0.38</v>
      </c>
      <c r="Q77" s="6">
        <v>0.38</v>
      </c>
      <c r="R77" s="6">
        <v>0.38</v>
      </c>
      <c r="S77" s="6">
        <v>0.38</v>
      </c>
      <c r="T77" s="6">
        <v>0.38</v>
      </c>
      <c r="Y77" s="89"/>
      <c r="Z77" s="64" t="s">
        <v>963</v>
      </c>
      <c r="AA77" s="64"/>
      <c r="AB77" s="64">
        <v>5.5952793632537814</v>
      </c>
      <c r="AC77" s="64">
        <v>31.197899999999962</v>
      </c>
      <c r="AD77" s="64">
        <v>31.23189999999996</v>
      </c>
      <c r="AE77" s="64">
        <v>31.26089999999996</v>
      </c>
      <c r="AF77" s="64">
        <v>31.293899999999969</v>
      </c>
      <c r="AG77" s="66">
        <v>31.32689999999997</v>
      </c>
    </row>
    <row r="78" spans="2:33" ht="18">
      <c r="B78" s="2"/>
      <c r="C78" s="60"/>
      <c r="D78" s="87" t="s">
        <v>795</v>
      </c>
      <c r="E78" s="64">
        <v>108.0000000000001</v>
      </c>
      <c r="F78" s="64">
        <v>27.350447190886641</v>
      </c>
      <c r="G78" s="64">
        <v>25.93709518999265</v>
      </c>
      <c r="H78" s="64">
        <v>25.129064629692561</v>
      </c>
      <c r="I78" s="64">
        <v>23.892608292986679</v>
      </c>
      <c r="J78" s="64">
        <v>23.474151981178242</v>
      </c>
      <c r="K78" s="66">
        <v>23.262254149784741</v>
      </c>
      <c r="L78" s="2"/>
      <c r="M78" s="2"/>
      <c r="N78" s="47" t="s">
        <v>1004</v>
      </c>
      <c r="O78" s="47">
        <f t="shared" ref="O78:T78" si="29">SUM(O72:O77)/4</f>
        <v>0.50250000000000006</v>
      </c>
      <c r="P78" s="47">
        <f t="shared" si="29"/>
        <v>0.50250000000000006</v>
      </c>
      <c r="Q78" s="47">
        <f t="shared" si="29"/>
        <v>0.50250000000000006</v>
      </c>
      <c r="R78" s="47">
        <f t="shared" si="29"/>
        <v>0.50250000000000006</v>
      </c>
      <c r="S78" s="47">
        <f t="shared" si="29"/>
        <v>0.50250000000000006</v>
      </c>
      <c r="T78" s="47">
        <f t="shared" si="29"/>
        <v>0.50250000000000006</v>
      </c>
      <c r="Y78" s="89"/>
      <c r="Z78" s="64" t="s">
        <v>964</v>
      </c>
      <c r="AA78" s="64">
        <v>1.7400000000000011</v>
      </c>
      <c r="AB78" s="64">
        <v>1.639999999999999</v>
      </c>
      <c r="AC78" s="64">
        <v>1.45</v>
      </c>
      <c r="AD78" s="64">
        <v>1.26</v>
      </c>
      <c r="AE78" s="64">
        <v>1.06</v>
      </c>
      <c r="AF78" s="64">
        <v>0.87</v>
      </c>
      <c r="AG78" s="66">
        <v>0.67700000000000027</v>
      </c>
    </row>
    <row r="79" spans="2:33" ht="18">
      <c r="B79" s="2"/>
      <c r="C79" s="60"/>
      <c r="D79" s="64" t="s">
        <v>796</v>
      </c>
      <c r="E79" s="64">
        <v>5.4479337431361783</v>
      </c>
      <c r="F79" s="64">
        <v>5.9783337502633271</v>
      </c>
      <c r="G79" s="64">
        <v>3.552656124949972</v>
      </c>
      <c r="H79" s="64">
        <v>1.70832287621359</v>
      </c>
      <c r="I79" s="64">
        <v>0.31513157569564731</v>
      </c>
      <c r="J79" s="64"/>
      <c r="K79" s="66"/>
      <c r="L79" s="2"/>
      <c r="M79" s="2"/>
      <c r="Y79" s="89"/>
      <c r="Z79" s="64" t="s">
        <v>965</v>
      </c>
      <c r="AA79" s="64">
        <v>4.9596586419289303E-2</v>
      </c>
      <c r="AB79" s="64">
        <v>0.14959658641929011</v>
      </c>
      <c r="AC79" s="64">
        <v>0.33959658641928958</v>
      </c>
      <c r="AD79" s="64">
        <v>0.52959658641928942</v>
      </c>
      <c r="AE79" s="64">
        <v>0.72959658641928937</v>
      </c>
      <c r="AF79" s="64">
        <v>0.91959658641928976</v>
      </c>
      <c r="AG79" s="66">
        <v>1.112596586419289</v>
      </c>
    </row>
    <row r="80" spans="2:33" ht="18">
      <c r="B80" s="2"/>
      <c r="C80" s="60"/>
      <c r="D80" s="123" t="s">
        <v>806</v>
      </c>
      <c r="E80" s="64">
        <v>78.767079348688711</v>
      </c>
      <c r="F80" s="64">
        <v>83.100279376009368</v>
      </c>
      <c r="G80" s="64">
        <v>78.785181812308224</v>
      </c>
      <c r="H80" s="64">
        <v>76.31523769215211</v>
      </c>
      <c r="I80" s="64">
        <v>72.539117424417398</v>
      </c>
      <c r="J80" s="64">
        <v>71.257238425001432</v>
      </c>
      <c r="K80" s="66">
        <v>70.604772136877671</v>
      </c>
      <c r="L80" s="2"/>
      <c r="Y80" s="90"/>
      <c r="Z80" s="80" t="s">
        <v>900</v>
      </c>
      <c r="AA80" s="80">
        <f>SUM(AA76:AA79)</f>
        <v>2.9195965864192903</v>
      </c>
      <c r="AB80" s="80"/>
      <c r="AC80" s="80"/>
      <c r="AD80" s="80"/>
      <c r="AE80" s="80"/>
      <c r="AF80" s="80"/>
      <c r="AG80" s="81"/>
    </row>
    <row r="81" spans="2:33" ht="18">
      <c r="B81" s="2"/>
      <c r="C81" s="60"/>
      <c r="D81" s="123" t="s">
        <v>807</v>
      </c>
      <c r="E81" s="64">
        <v>89.041046220256789</v>
      </c>
      <c r="F81" s="64">
        <v>93.939446251141078</v>
      </c>
      <c r="G81" s="64">
        <v>89.061509874783269</v>
      </c>
      <c r="H81" s="64">
        <v>86.269399130258975</v>
      </c>
      <c r="I81" s="64">
        <v>82.000741436297972</v>
      </c>
      <c r="J81" s="64">
        <v>80.551660828262555</v>
      </c>
      <c r="K81" s="66">
        <v>79.81409024168785</v>
      </c>
      <c r="L81" s="2"/>
      <c r="Y81" s="91" t="s">
        <v>901</v>
      </c>
      <c r="Z81" s="58" t="s">
        <v>966</v>
      </c>
      <c r="AA81" s="58">
        <v>1.87</v>
      </c>
      <c r="AB81" s="58">
        <v>1.869999999999999</v>
      </c>
      <c r="AC81" s="58">
        <v>1.26</v>
      </c>
      <c r="AD81" s="58">
        <v>4.7799999999999976</v>
      </c>
      <c r="AE81" s="58">
        <v>25.099999999999991</v>
      </c>
      <c r="AF81" s="58">
        <v>31.399999999999991</v>
      </c>
      <c r="AG81" s="59">
        <v>37.600000000000023</v>
      </c>
    </row>
    <row r="82" spans="2:33" ht="18">
      <c r="B82" s="2"/>
      <c r="C82" s="60"/>
      <c r="D82" s="87" t="s">
        <v>812</v>
      </c>
      <c r="E82" s="87">
        <v>237.99999999999989</v>
      </c>
      <c r="F82" s="64">
        <v>237.99999999999989</v>
      </c>
      <c r="G82" s="64">
        <v>237.99999999999989</v>
      </c>
      <c r="H82" s="64">
        <v>237.99999999999989</v>
      </c>
      <c r="I82" s="64">
        <v>238</v>
      </c>
      <c r="J82" s="64">
        <v>237.99999999999989</v>
      </c>
      <c r="K82" s="66">
        <v>237.99999999999989</v>
      </c>
      <c r="L82" s="2"/>
      <c r="Y82" s="89"/>
      <c r="Z82" s="64" t="s">
        <v>967</v>
      </c>
      <c r="AA82" s="64">
        <v>1.622222222222222</v>
      </c>
      <c r="AB82" s="64">
        <v>1.622222222222222</v>
      </c>
      <c r="AC82" s="64">
        <v>1.45</v>
      </c>
      <c r="AD82" s="64">
        <v>1.26</v>
      </c>
      <c r="AE82" s="64">
        <v>1.06</v>
      </c>
      <c r="AF82" s="64">
        <v>0.87000000000000022</v>
      </c>
      <c r="AG82" s="66">
        <v>0.67700000000000016</v>
      </c>
    </row>
    <row r="83" spans="2:33" ht="18">
      <c r="B83" s="2"/>
      <c r="C83" s="60"/>
      <c r="D83" s="87" t="s">
        <v>813</v>
      </c>
      <c r="E83" s="87">
        <v>14.5</v>
      </c>
      <c r="F83" s="64">
        <v>14.5</v>
      </c>
      <c r="G83" s="64">
        <v>14.500000000000011</v>
      </c>
      <c r="H83" s="64">
        <v>14.5</v>
      </c>
      <c r="I83" s="64">
        <v>14.5</v>
      </c>
      <c r="J83" s="64">
        <v>14.5</v>
      </c>
      <c r="K83" s="66">
        <v>14.5</v>
      </c>
      <c r="L83" s="2"/>
      <c r="Y83" s="89"/>
      <c r="Z83" s="64" t="s">
        <v>968</v>
      </c>
      <c r="AA83" s="64"/>
      <c r="AB83" s="64"/>
      <c r="AC83" s="64">
        <v>0.1611111111111114</v>
      </c>
      <c r="AD83" s="64">
        <v>0.36222222222222228</v>
      </c>
      <c r="AE83" s="64">
        <v>0.56222222222222229</v>
      </c>
      <c r="AF83" s="64">
        <v>0.75222222222222257</v>
      </c>
      <c r="AG83" s="66">
        <v>0.93411111111111156</v>
      </c>
    </row>
    <row r="84" spans="2:33" ht="18">
      <c r="B84" s="2"/>
      <c r="C84" s="60"/>
      <c r="D84" s="87" t="s">
        <v>814</v>
      </c>
      <c r="E84" s="87">
        <v>15.1</v>
      </c>
      <c r="F84" s="64">
        <v>15.7</v>
      </c>
      <c r="G84" s="64">
        <v>17</v>
      </c>
      <c r="H84" s="64">
        <v>18.199999999999989</v>
      </c>
      <c r="I84" s="64">
        <v>18.60811644806541</v>
      </c>
      <c r="J84" s="64">
        <v>18.588844806522111</v>
      </c>
      <c r="K84" s="66">
        <v>18.418636209620271</v>
      </c>
      <c r="L84" s="2"/>
      <c r="M84" s="2"/>
      <c r="Y84" s="89"/>
      <c r="Z84" s="64" t="s">
        <v>969</v>
      </c>
      <c r="AA84" s="64"/>
      <c r="AB84" s="64"/>
      <c r="AC84" s="64"/>
      <c r="AD84" s="64"/>
      <c r="AE84" s="64"/>
      <c r="AF84" s="64"/>
      <c r="AG84" s="66"/>
    </row>
    <row r="85" spans="2:33" ht="18">
      <c r="B85" s="2"/>
      <c r="C85" s="60"/>
      <c r="D85" s="123" t="s">
        <v>816</v>
      </c>
      <c r="E85" s="87">
        <v>83.200000000000017</v>
      </c>
      <c r="F85" s="64">
        <v>84.200000000000074</v>
      </c>
      <c r="G85" s="64">
        <v>85.999999999999929</v>
      </c>
      <c r="H85" s="64">
        <v>87.899999999999991</v>
      </c>
      <c r="I85" s="64">
        <v>89.800000000000011</v>
      </c>
      <c r="J85" s="64">
        <v>91.600000000000009</v>
      </c>
      <c r="K85" s="66">
        <v>93.5</v>
      </c>
      <c r="L85" s="2"/>
      <c r="M85" s="2"/>
      <c r="Y85" s="89"/>
      <c r="Z85" s="64" t="s">
        <v>970</v>
      </c>
      <c r="AA85" s="64"/>
      <c r="AB85" s="64"/>
      <c r="AC85" s="64"/>
      <c r="AD85" s="64"/>
      <c r="AE85" s="64"/>
      <c r="AF85" s="64"/>
      <c r="AG85" s="66"/>
    </row>
    <row r="86" spans="2:33" ht="18">
      <c r="B86" s="2"/>
      <c r="C86" s="60"/>
      <c r="D86" s="123" t="s">
        <v>831</v>
      </c>
      <c r="E86" s="87">
        <v>23.826466825495871</v>
      </c>
      <c r="F86" s="64">
        <v>46.050868468944593</v>
      </c>
      <c r="G86" s="64">
        <v>43.299579999999999</v>
      </c>
      <c r="H86" s="64">
        <v>33.408461915902087</v>
      </c>
      <c r="I86" s="64">
        <v>19.906282642701711</v>
      </c>
      <c r="J86" s="64">
        <v>23.53329464180495</v>
      </c>
      <c r="K86" s="66">
        <v>20.96</v>
      </c>
      <c r="L86" s="2"/>
      <c r="M86" s="2"/>
      <c r="Y86" s="90"/>
      <c r="Z86" s="80" t="s">
        <v>906</v>
      </c>
      <c r="AA86" s="80">
        <f>SUM(AA81:AA85)</f>
        <v>3.4922222222222219</v>
      </c>
      <c r="AB86" s="80">
        <f t="shared" ref="AB86:AG86" si="30">SUM(AB81:AB85)</f>
        <v>3.492222222222221</v>
      </c>
      <c r="AC86" s="80">
        <f t="shared" si="30"/>
        <v>2.8711111111111114</v>
      </c>
      <c r="AD86" s="80">
        <f t="shared" si="30"/>
        <v>6.4022222222222194</v>
      </c>
      <c r="AE86" s="80">
        <f t="shared" si="30"/>
        <v>26.722222222222211</v>
      </c>
      <c r="AF86" s="80">
        <f t="shared" si="30"/>
        <v>33.022222222222211</v>
      </c>
      <c r="AG86" s="81">
        <f t="shared" si="30"/>
        <v>39.211111111111137</v>
      </c>
    </row>
    <row r="87" spans="2:33" ht="18">
      <c r="B87" s="2"/>
      <c r="C87" s="60"/>
      <c r="D87" s="123" t="s">
        <v>817</v>
      </c>
      <c r="E87" s="87">
        <v>3287.669398901789</v>
      </c>
      <c r="F87" s="64">
        <v>3468.5334000421321</v>
      </c>
      <c r="G87" s="64">
        <v>3288.4249799919949</v>
      </c>
      <c r="H87" s="64">
        <v>3185.3316601941751</v>
      </c>
      <c r="I87" s="64">
        <v>3027.719683801769</v>
      </c>
      <c r="J87" s="64">
        <v>2974.2151690435398</v>
      </c>
      <c r="K87" s="66">
        <v>2946.9817935392412</v>
      </c>
      <c r="L87" s="2"/>
      <c r="M87" s="2"/>
      <c r="Y87" s="91" t="s">
        <v>907</v>
      </c>
      <c r="Z87" s="58" t="s">
        <v>971</v>
      </c>
      <c r="AA87" s="58"/>
      <c r="AB87" s="58"/>
      <c r="AC87" s="58">
        <v>3.49E-2</v>
      </c>
      <c r="AD87" s="58">
        <v>5.8099999999999999E-2</v>
      </c>
      <c r="AE87" s="58">
        <v>8.14E-2</v>
      </c>
      <c r="AF87" s="58">
        <v>0.105</v>
      </c>
      <c r="AG87" s="59">
        <v>0.1169203571428572</v>
      </c>
    </row>
    <row r="88" spans="2:33" ht="18">
      <c r="B88" s="2"/>
      <c r="C88" s="60"/>
      <c r="D88" s="123" t="s">
        <v>815</v>
      </c>
      <c r="E88" s="123">
        <f>E85/O39+E86+E87/O41+E80+E81</f>
        <v>3708.7346606949159</v>
      </c>
      <c r="F88" s="123">
        <f t="shared" ref="F88" si="31">SUM(F82:F87)</f>
        <v>3866.9842685110766</v>
      </c>
      <c r="G88" s="123">
        <f>G85/P39+G86+G87/P41+G80+G81</f>
        <v>3732.1445147343084</v>
      </c>
      <c r="H88" s="123">
        <f t="shared" ref="H88:J88" si="32">H85/Q39+H86+H87/Q41+H80+H81</f>
        <v>3611.7135781072457</v>
      </c>
      <c r="I88" s="123">
        <f t="shared" si="32"/>
        <v>3428.0985899080379</v>
      </c>
      <c r="J88" s="123">
        <f t="shared" si="32"/>
        <v>3375.2607727598675</v>
      </c>
      <c r="K88" s="123">
        <f>K85/T39+K86+K87/T41+K80+K81</f>
        <v>3345.0404528708309</v>
      </c>
      <c r="L88" s="2"/>
      <c r="M88" s="2"/>
      <c r="Y88" s="89"/>
      <c r="Z88" s="64" t="s">
        <v>972</v>
      </c>
      <c r="AA88" s="64">
        <v>5.3314415999999998</v>
      </c>
      <c r="AB88" s="64">
        <v>4.0090749999999993</v>
      </c>
      <c r="AC88" s="64">
        <v>2.6012799999999969</v>
      </c>
      <c r="AD88" s="64">
        <v>2.4795961165048581</v>
      </c>
      <c r="AE88" s="64">
        <v>2.392686792452833</v>
      </c>
      <c r="AF88" s="64">
        <v>2.3648000000000011</v>
      </c>
      <c r="AG88" s="66">
        <v>2.3384071428571409</v>
      </c>
    </row>
    <row r="89" spans="2:33" ht="18">
      <c r="B89" s="2"/>
      <c r="C89" s="60"/>
      <c r="D89" s="64" t="s">
        <v>808</v>
      </c>
      <c r="E89" s="64">
        <f>SUM(E58,E65:E79)</f>
        <v>3171.0889456461655</v>
      </c>
      <c r="F89" s="64"/>
      <c r="G89" s="64"/>
      <c r="H89" s="64"/>
      <c r="I89" s="64"/>
      <c r="J89" s="64"/>
      <c r="K89" s="66"/>
      <c r="L89" s="2"/>
      <c r="M89" s="2"/>
      <c r="Y89" s="90"/>
      <c r="Z89" s="80" t="s">
        <v>911</v>
      </c>
      <c r="AA89" s="80">
        <f>SUM(AA87:AA88)</f>
        <v>5.3314415999999998</v>
      </c>
      <c r="AB89" s="80">
        <f t="shared" ref="AB89:AG89" si="33">SUM(AB87:AB88)</f>
        <v>4.0090749999999993</v>
      </c>
      <c r="AC89" s="80">
        <f t="shared" si="33"/>
        <v>2.6361799999999969</v>
      </c>
      <c r="AD89" s="80">
        <f t="shared" si="33"/>
        <v>2.5376961165048582</v>
      </c>
      <c r="AE89" s="80">
        <f t="shared" si="33"/>
        <v>2.4740867924528329</v>
      </c>
      <c r="AF89" s="80">
        <f t="shared" si="33"/>
        <v>2.4698000000000011</v>
      </c>
      <c r="AG89" s="81">
        <f t="shared" si="33"/>
        <v>2.4553274999999983</v>
      </c>
    </row>
    <row r="90" spans="2:33" s="6" customFormat="1" ht="18">
      <c r="B90" s="3"/>
      <c r="C90" s="86" t="s">
        <v>797</v>
      </c>
      <c r="D90" s="65" t="s">
        <v>798</v>
      </c>
      <c r="E90" s="65">
        <v>88.5</v>
      </c>
      <c r="F90" s="65">
        <v>87.4</v>
      </c>
      <c r="G90" s="65">
        <v>85.3</v>
      </c>
      <c r="H90" s="65">
        <v>83.1</v>
      </c>
      <c r="I90" s="65">
        <v>81</v>
      </c>
      <c r="J90" s="65">
        <v>39.784999999999982</v>
      </c>
      <c r="K90" s="94"/>
      <c r="X90" s="116" t="s">
        <v>973</v>
      </c>
      <c r="Y90" s="105" t="s">
        <v>739</v>
      </c>
      <c r="Z90" s="58" t="s">
        <v>975</v>
      </c>
      <c r="AA90" s="58"/>
      <c r="AB90" s="58"/>
      <c r="AC90" s="58"/>
      <c r="AD90" s="58"/>
      <c r="AE90" s="58"/>
      <c r="AF90" s="58"/>
      <c r="AG90" s="59"/>
    </row>
    <row r="91" spans="2:33" ht="18">
      <c r="C91" s="89"/>
      <c r="D91" s="65" t="s">
        <v>799</v>
      </c>
      <c r="E91" s="65">
        <v>82.260000000000048</v>
      </c>
      <c r="F91" s="65">
        <v>82.820000000000022</v>
      </c>
      <c r="G91" s="65">
        <v>84.080000000000041</v>
      </c>
      <c r="H91" s="65">
        <v>83.1</v>
      </c>
      <c r="I91" s="65">
        <v>81</v>
      </c>
      <c r="J91" s="65">
        <v>28.804999999999929</v>
      </c>
      <c r="K91" s="94">
        <v>19.900000000000031</v>
      </c>
      <c r="X91" s="116" t="s">
        <v>974</v>
      </c>
      <c r="Y91" s="89"/>
      <c r="Z91" s="64" t="s">
        <v>976</v>
      </c>
      <c r="AA91" s="64"/>
      <c r="AB91" s="64"/>
      <c r="AC91" s="64"/>
      <c r="AD91" s="64"/>
      <c r="AE91" s="64"/>
      <c r="AF91" s="64"/>
      <c r="AG91" s="66"/>
    </row>
    <row r="92" spans="2:33">
      <c r="C92" s="89"/>
      <c r="D92" s="65" t="s">
        <v>800</v>
      </c>
      <c r="E92" s="65">
        <v>71.099999999999994</v>
      </c>
      <c r="F92" s="65">
        <v>61</v>
      </c>
      <c r="G92" s="65">
        <v>40.6</v>
      </c>
      <c r="H92" s="65">
        <v>22.50000000000005</v>
      </c>
      <c r="I92" s="65">
        <v>5.3000000000000398</v>
      </c>
      <c r="J92" s="65">
        <v>54.11000000000012</v>
      </c>
      <c r="K92" s="94">
        <v>76.7</v>
      </c>
      <c r="Y92" s="89"/>
      <c r="Z92" s="64" t="s">
        <v>977</v>
      </c>
      <c r="AA92" s="64">
        <v>39.700000000000003</v>
      </c>
      <c r="AB92" s="64">
        <v>42</v>
      </c>
      <c r="AC92" s="64">
        <v>46.599999999999987</v>
      </c>
      <c r="AD92" s="64">
        <v>33.087848165966342</v>
      </c>
      <c r="AE92" s="64"/>
      <c r="AF92" s="64"/>
      <c r="AG92" s="66"/>
    </row>
    <row r="93" spans="2:33">
      <c r="C93" s="89"/>
      <c r="D93" s="65" t="s">
        <v>801</v>
      </c>
      <c r="E93" s="65">
        <v>15.1</v>
      </c>
      <c r="F93" s="65">
        <v>15.7</v>
      </c>
      <c r="G93" s="65">
        <v>17</v>
      </c>
      <c r="H93" s="65">
        <v>18.2</v>
      </c>
      <c r="I93" s="65">
        <v>18.60811644806541</v>
      </c>
      <c r="J93" s="65">
        <v>18.588844806522118</v>
      </c>
      <c r="K93" s="94">
        <v>18.418636209620271</v>
      </c>
      <c r="Y93" s="89"/>
      <c r="Z93" s="64" t="s">
        <v>978</v>
      </c>
      <c r="AA93" s="64">
        <f>SUM(AA90:AA92)</f>
        <v>39.700000000000003</v>
      </c>
      <c r="AB93" s="64">
        <f t="shared" ref="AB93:AG93" si="34">SUM(AB90:AB92)</f>
        <v>42</v>
      </c>
      <c r="AC93" s="64">
        <f t="shared" si="34"/>
        <v>46.599999999999987</v>
      </c>
      <c r="AD93" s="64">
        <f t="shared" si="34"/>
        <v>33.087848165966342</v>
      </c>
      <c r="AE93" s="64">
        <f t="shared" si="34"/>
        <v>0</v>
      </c>
      <c r="AF93" s="64">
        <f t="shared" si="34"/>
        <v>0</v>
      </c>
      <c r="AG93" s="66">
        <f t="shared" si="34"/>
        <v>0</v>
      </c>
    </row>
    <row r="94" spans="2:33">
      <c r="C94" s="89"/>
      <c r="D94" s="65" t="s">
        <v>802</v>
      </c>
      <c r="E94" s="65">
        <v>2.34</v>
      </c>
      <c r="F94" s="65">
        <v>4.68</v>
      </c>
      <c r="G94" s="65">
        <v>9.36</v>
      </c>
      <c r="H94" s="65">
        <v>14</v>
      </c>
      <c r="I94" s="65">
        <v>18.7</v>
      </c>
      <c r="J94" s="65">
        <v>23.4</v>
      </c>
      <c r="K94" s="94">
        <v>28.1</v>
      </c>
      <c r="Y94" s="89"/>
      <c r="Z94" s="64" t="s">
        <v>979</v>
      </c>
      <c r="AA94" s="64">
        <v>1.582345525701806E-2</v>
      </c>
      <c r="AB94" s="64">
        <v>2.675105691396291E-3</v>
      </c>
      <c r="AC94" s="64">
        <v>2.9911122384497561E-2</v>
      </c>
      <c r="AD94" s="64">
        <v>4.0700897840637518E-2</v>
      </c>
      <c r="AE94" s="64">
        <v>0.1069375460778131</v>
      </c>
      <c r="AF94" s="64">
        <v>0.18435818968102349</v>
      </c>
      <c r="AG94" s="66">
        <v>0.21125499515996021</v>
      </c>
    </row>
    <row r="95" spans="2:33">
      <c r="C95" s="89"/>
      <c r="D95" s="65" t="s">
        <v>803</v>
      </c>
      <c r="E95" s="65">
        <v>2.34</v>
      </c>
      <c r="F95" s="65">
        <v>4.68</v>
      </c>
      <c r="G95" s="65">
        <v>9.36</v>
      </c>
      <c r="H95" s="65">
        <v>14</v>
      </c>
      <c r="I95" s="65">
        <v>18.7</v>
      </c>
      <c r="J95" s="65">
        <v>23.4</v>
      </c>
      <c r="K95" s="94">
        <v>28.1</v>
      </c>
      <c r="Y95" s="89"/>
      <c r="Z95" s="64" t="s">
        <v>980</v>
      </c>
      <c r="AA95" s="64">
        <v>19.100000000000001</v>
      </c>
      <c r="AB95" s="64">
        <v>17.670502417061769</v>
      </c>
      <c r="AC95" s="64">
        <v>13.120312612024231</v>
      </c>
      <c r="AD95" s="64">
        <v>13.47257962362019</v>
      </c>
      <c r="AE95" s="64">
        <v>16.60581268676242</v>
      </c>
      <c r="AF95" s="64">
        <v>12.681449847575109</v>
      </c>
      <c r="AG95" s="66">
        <v>11.34183733019769</v>
      </c>
    </row>
    <row r="96" spans="2:33">
      <c r="C96" s="89"/>
      <c r="D96" s="65" t="s">
        <v>804</v>
      </c>
      <c r="E96" s="65"/>
      <c r="F96" s="65"/>
      <c r="G96" s="65"/>
      <c r="H96" s="65"/>
      <c r="I96" s="65"/>
      <c r="J96" s="65">
        <v>23.4</v>
      </c>
      <c r="K96" s="94">
        <v>28.1</v>
      </c>
      <c r="Y96" s="89"/>
      <c r="Z96" s="64" t="s">
        <v>981</v>
      </c>
      <c r="AA96" s="64">
        <v>38.300000000000011</v>
      </c>
      <c r="AB96" s="64">
        <v>49.2</v>
      </c>
      <c r="AC96" s="64">
        <v>70.999999999999986</v>
      </c>
      <c r="AD96" s="64">
        <v>92.8</v>
      </c>
      <c r="AE96" s="64">
        <v>111.18545527046849</v>
      </c>
      <c r="AF96" s="64">
        <v>102.6345832888918</v>
      </c>
      <c r="AG96" s="66">
        <v>97.283768069405326</v>
      </c>
    </row>
    <row r="97" spans="2:33">
      <c r="C97" s="89"/>
      <c r="D97" s="65" t="s">
        <v>809</v>
      </c>
      <c r="E97" s="65">
        <v>2.98</v>
      </c>
      <c r="F97" s="65">
        <v>5.96</v>
      </c>
      <c r="G97" s="65">
        <v>11.9</v>
      </c>
      <c r="H97" s="65">
        <v>17.899999999999999</v>
      </c>
      <c r="I97" s="65">
        <v>23.9</v>
      </c>
      <c r="J97" s="65">
        <v>29.8</v>
      </c>
      <c r="K97" s="94">
        <v>35.799999999999997</v>
      </c>
      <c r="Y97" s="89"/>
      <c r="Z97" s="64" t="s">
        <v>982</v>
      </c>
      <c r="AA97" s="64">
        <v>38.1</v>
      </c>
      <c r="AB97" s="64">
        <v>36.602009668247092</v>
      </c>
      <c r="AC97" s="64">
        <v>44.490931953616197</v>
      </c>
      <c r="AD97" s="64">
        <v>24.1</v>
      </c>
      <c r="AE97" s="64">
        <v>24.1</v>
      </c>
      <c r="AF97" s="64">
        <v>24.1</v>
      </c>
      <c r="AG97" s="66">
        <v>24.1</v>
      </c>
    </row>
    <row r="98" spans="2:33">
      <c r="C98" s="89"/>
      <c r="D98" s="65" t="s">
        <v>810</v>
      </c>
      <c r="E98" s="65">
        <v>2.98</v>
      </c>
      <c r="F98" s="65">
        <v>5.96</v>
      </c>
      <c r="G98" s="65">
        <v>11.9</v>
      </c>
      <c r="H98" s="65">
        <v>17.899999999999999</v>
      </c>
      <c r="I98" s="65">
        <v>23.9</v>
      </c>
      <c r="J98" s="65">
        <v>29.8</v>
      </c>
      <c r="K98" s="94">
        <v>35.799999999999997</v>
      </c>
      <c r="Y98" s="89"/>
      <c r="Z98" s="64" t="s">
        <v>983</v>
      </c>
      <c r="AA98" s="64">
        <v>95.500000000000014</v>
      </c>
      <c r="AB98" s="64">
        <v>88.352512085308874</v>
      </c>
      <c r="AC98" s="64">
        <v>65.60156306012118</v>
      </c>
      <c r="AD98" s="64">
        <v>67.362898118100944</v>
      </c>
      <c r="AE98" s="64">
        <v>83.029063433812112</v>
      </c>
      <c r="AF98" s="64">
        <v>63.407249237875583</v>
      </c>
      <c r="AG98" s="66">
        <v>56.709186650988471</v>
      </c>
    </row>
    <row r="99" spans="2:33">
      <c r="C99" s="89"/>
      <c r="D99" s="65" t="s">
        <v>811</v>
      </c>
      <c r="E99" s="65"/>
      <c r="F99" s="65"/>
      <c r="G99" s="65"/>
      <c r="H99" s="65"/>
      <c r="I99" s="65"/>
      <c r="J99" s="65"/>
      <c r="K99" s="94"/>
      <c r="Y99" s="89"/>
      <c r="Z99" s="64" t="s">
        <v>984</v>
      </c>
      <c r="AA99" s="64">
        <v>5.5000000000000009</v>
      </c>
      <c r="AB99" s="64">
        <v>4.7496496843549618</v>
      </c>
      <c r="AC99" s="64">
        <v>4.2558174677438387</v>
      </c>
      <c r="AD99" s="64">
        <v>3.962119892749941</v>
      </c>
      <c r="AE99" s="64">
        <v>4.1785377023425294</v>
      </c>
      <c r="AF99" s="64">
        <v>4.5738004821176013</v>
      </c>
      <c r="AG99" s="66">
        <v>17.82687357064523</v>
      </c>
    </row>
    <row r="100" spans="2:33">
      <c r="C100" s="90"/>
      <c r="D100" s="80" t="s">
        <v>805</v>
      </c>
      <c r="E100" s="80">
        <f>SUM(E82:E84)</f>
        <v>267.59999999999991</v>
      </c>
      <c r="F100" s="80">
        <f t="shared" ref="F100:K100" si="35">SUM(F82:F84)</f>
        <v>268.19999999999987</v>
      </c>
      <c r="G100" s="80">
        <f t="shared" si="35"/>
        <v>269.49999999999989</v>
      </c>
      <c r="H100" s="80">
        <f t="shared" si="35"/>
        <v>270.69999999999987</v>
      </c>
      <c r="I100" s="80">
        <f t="shared" si="35"/>
        <v>271.1081164480654</v>
      </c>
      <c r="J100" s="80">
        <f>SUM(J82:J84)</f>
        <v>271.08884480652199</v>
      </c>
      <c r="K100" s="80">
        <f t="shared" si="35"/>
        <v>270.91863620962016</v>
      </c>
      <c r="Y100" s="89"/>
      <c r="Z100" s="64" t="s">
        <v>985</v>
      </c>
      <c r="AA100" s="64">
        <v>29.45427429267999</v>
      </c>
      <c r="AB100" s="64">
        <v>29.979152307799289</v>
      </c>
      <c r="AC100" s="64">
        <v>17.915563724053801</v>
      </c>
      <c r="AD100" s="64">
        <v>19.84462625044603</v>
      </c>
      <c r="AE100" s="64">
        <v>21.14625179440079</v>
      </c>
      <c r="AF100" s="64">
        <v>23.01102966588876</v>
      </c>
      <c r="AG100" s="66">
        <v>20.818283361989099</v>
      </c>
    </row>
    <row r="101" spans="2:33" ht="18">
      <c r="B101" s="116" t="s">
        <v>33</v>
      </c>
      <c r="C101" s="91" t="s">
        <v>739</v>
      </c>
      <c r="D101" s="58" t="s">
        <v>785</v>
      </c>
      <c r="E101" s="58">
        <v>10.220301238046069</v>
      </c>
      <c r="F101" s="58">
        <v>10.35330083812803</v>
      </c>
      <c r="G101" s="58">
        <v>10.55635554543692</v>
      </c>
      <c r="H101" s="58">
        <v>10.776945713076451</v>
      </c>
      <c r="I101" s="58">
        <v>10.993617352273249</v>
      </c>
      <c r="J101" s="58">
        <v>11.205771715275</v>
      </c>
      <c r="K101" s="59">
        <v>11.43181431641063</v>
      </c>
      <c r="Y101" s="89"/>
      <c r="Z101" s="64" t="s">
        <v>986</v>
      </c>
      <c r="AA101" s="64">
        <v>15.8</v>
      </c>
      <c r="AB101" s="64">
        <v>15.757970776497229</v>
      </c>
      <c r="AC101" s="64">
        <v>15</v>
      </c>
      <c r="AD101" s="64">
        <v>15</v>
      </c>
      <c r="AE101" s="64">
        <v>15.60501521161807</v>
      </c>
      <c r="AF101" s="64">
        <v>16.05306705924448</v>
      </c>
      <c r="AG101" s="66">
        <v>15</v>
      </c>
    </row>
    <row r="102" spans="2:33">
      <c r="C102" s="89"/>
      <c r="D102" s="64" t="s">
        <v>786</v>
      </c>
      <c r="E102" s="64">
        <v>163.37520491763399</v>
      </c>
      <c r="F102" s="64">
        <v>175.94000500315991</v>
      </c>
      <c r="G102" s="64">
        <v>160.63187349939949</v>
      </c>
      <c r="H102" s="64">
        <v>150.9998745145632</v>
      </c>
      <c r="I102" s="64">
        <v>137.27897628513139</v>
      </c>
      <c r="J102" s="64">
        <v>131.46613767826531</v>
      </c>
      <c r="K102" s="66">
        <v>127.52363451544301</v>
      </c>
      <c r="Y102" s="89"/>
      <c r="Z102" s="64" t="s">
        <v>987</v>
      </c>
      <c r="AA102" s="64">
        <v>5.6903245789211274</v>
      </c>
      <c r="AB102" s="64">
        <v>1.616439099050992</v>
      </c>
      <c r="AC102" s="64"/>
      <c r="AD102" s="64"/>
      <c r="AE102" s="64"/>
      <c r="AF102" s="64"/>
      <c r="AG102" s="66"/>
    </row>
    <row r="103" spans="2:33">
      <c r="C103" s="89"/>
      <c r="D103" s="64" t="s">
        <v>787</v>
      </c>
      <c r="E103" s="64">
        <v>6.4300790158238446</v>
      </c>
      <c r="F103" s="64">
        <v>6.5175230603502534</v>
      </c>
      <c r="G103" s="64">
        <v>6.6385777676591449</v>
      </c>
      <c r="H103" s="64">
        <v>6.7726123797431237</v>
      </c>
      <c r="I103" s="64">
        <v>6.9027284633843653</v>
      </c>
      <c r="J103" s="64">
        <v>7.0328828263861158</v>
      </c>
      <c r="K103" s="66">
        <v>7.1723698719661888</v>
      </c>
      <c r="Y103" s="89"/>
      <c r="Z103" s="64" t="s">
        <v>988</v>
      </c>
      <c r="AA103" s="64"/>
      <c r="AB103" s="64">
        <v>3.48</v>
      </c>
      <c r="AC103" s="64">
        <v>4.4795876240128152</v>
      </c>
      <c r="AD103" s="64">
        <v>3.7353657786042689</v>
      </c>
      <c r="AE103" s="64">
        <v>2.9483105500282609</v>
      </c>
      <c r="AF103" s="64">
        <v>2.167087381868392</v>
      </c>
      <c r="AG103" s="66">
        <v>1.3822231681598689</v>
      </c>
    </row>
    <row r="104" spans="2:33">
      <c r="C104" s="89"/>
      <c r="D104" s="64"/>
      <c r="E104" s="64"/>
      <c r="F104" s="64"/>
      <c r="G104" s="64"/>
      <c r="H104" s="64"/>
      <c r="I104" s="64"/>
      <c r="J104" s="64"/>
      <c r="K104" s="66"/>
      <c r="Y104" s="89"/>
      <c r="Z104" s="64" t="s">
        <v>989</v>
      </c>
      <c r="AA104" s="64">
        <v>0.1034221035598698</v>
      </c>
      <c r="AB104" s="64">
        <v>1.741483147307386E-2</v>
      </c>
      <c r="AC104" s="64">
        <v>0.1104756772992255</v>
      </c>
      <c r="AD104" s="64">
        <v>0.17929788828734661</v>
      </c>
      <c r="AE104" s="64">
        <v>0.36295477676704219</v>
      </c>
      <c r="AF104" s="64">
        <v>0.54989008169484521</v>
      </c>
      <c r="AG104" s="66">
        <v>0.60899677406651209</v>
      </c>
    </row>
    <row r="105" spans="2:33">
      <c r="C105" s="89"/>
      <c r="D105" s="64" t="s">
        <v>789</v>
      </c>
      <c r="E105" s="64">
        <v>61.761325862279989</v>
      </c>
      <c r="F105" s="64">
        <v>64.721794102397283</v>
      </c>
      <c r="G105" s="64">
        <v>62.115405198172994</v>
      </c>
      <c r="H105" s="64">
        <v>60.729814021692967</v>
      </c>
      <c r="I105" s="64">
        <v>58.488677468548957</v>
      </c>
      <c r="J105" s="64">
        <v>57.869046723931497</v>
      </c>
      <c r="K105" s="66">
        <v>57.673903527432643</v>
      </c>
      <c r="Y105" s="90"/>
      <c r="Z105" s="80" t="s">
        <v>916</v>
      </c>
      <c r="AA105" s="80">
        <f>SUM(AA94:AA104)</f>
        <v>247.56384443041802</v>
      </c>
      <c r="AB105" s="80">
        <f t="shared" ref="AB105:AG105" si="36">SUM(AB94:AB104)</f>
        <v>247.42832597548465</v>
      </c>
      <c r="AC105" s="80">
        <f t="shared" si="36"/>
        <v>236.00416324125581</v>
      </c>
      <c r="AD105" s="80">
        <f t="shared" si="36"/>
        <v>240.49758844964933</v>
      </c>
      <c r="AE105" s="80">
        <f t="shared" si="36"/>
        <v>279.26833897227755</v>
      </c>
      <c r="AF105" s="80">
        <f t="shared" si="36"/>
        <v>249.36251523483762</v>
      </c>
      <c r="AG105" s="81">
        <f t="shared" si="36"/>
        <v>245.28242392061219</v>
      </c>
    </row>
    <row r="106" spans="2:33">
      <c r="C106" s="89"/>
      <c r="D106" s="64" t="s">
        <v>790</v>
      </c>
      <c r="E106" s="64">
        <v>17.857555611453211</v>
      </c>
      <c r="F106" s="64">
        <v>5.0999999999999996</v>
      </c>
      <c r="G106" s="64">
        <v>5.34</v>
      </c>
      <c r="H106" s="64">
        <v>5.59</v>
      </c>
      <c r="I106" s="64">
        <v>5.83</v>
      </c>
      <c r="J106" s="64">
        <v>6.07</v>
      </c>
      <c r="K106" s="66">
        <v>6.32</v>
      </c>
      <c r="Y106" s="91" t="s">
        <v>0</v>
      </c>
      <c r="Z106" s="58" t="s">
        <v>990</v>
      </c>
      <c r="AA106" s="58">
        <v>4.67</v>
      </c>
      <c r="AB106" s="58">
        <v>4.67</v>
      </c>
      <c r="AC106" s="58">
        <v>3.79</v>
      </c>
      <c r="AD106" s="58">
        <v>3.57</v>
      </c>
      <c r="AE106" s="58"/>
      <c r="AF106" s="58"/>
      <c r="AG106" s="59"/>
    </row>
    <row r="107" spans="2:33">
      <c r="C107" s="89"/>
      <c r="D107" s="64" t="s">
        <v>791</v>
      </c>
      <c r="E107" s="64">
        <v>12.060573515510869</v>
      </c>
      <c r="F107" s="64">
        <v>11.58507295694767</v>
      </c>
      <c r="G107" s="64">
        <v>10.6373756122712</v>
      </c>
      <c r="H107" s="64">
        <v>9.6834560453725214</v>
      </c>
      <c r="I107" s="64">
        <v>8.7395364784738341</v>
      </c>
      <c r="J107" s="64">
        <v>7.79183913379737</v>
      </c>
      <c r="K107" s="66">
        <v>6.8379195668986874</v>
      </c>
      <c r="Y107" s="89"/>
      <c r="Z107" s="64" t="s">
        <v>991</v>
      </c>
      <c r="AA107" s="64">
        <v>5.1599999999999984</v>
      </c>
      <c r="AB107" s="64">
        <v>5.1599999999999984</v>
      </c>
      <c r="AC107" s="64">
        <v>5.1599999999999984</v>
      </c>
      <c r="AD107" s="64">
        <v>5.1599999999999984</v>
      </c>
      <c r="AE107" s="64">
        <v>2.580000000000001</v>
      </c>
      <c r="AF107" s="64"/>
      <c r="AG107" s="66"/>
    </row>
    <row r="108" spans="2:33">
      <c r="C108" s="89"/>
      <c r="D108" s="64" t="s">
        <v>792</v>
      </c>
      <c r="E108" s="92">
        <v>52.841450000000002</v>
      </c>
      <c r="F108" s="92">
        <v>35.274619999999999</v>
      </c>
      <c r="G108" s="92">
        <v>60.566519999999997</v>
      </c>
      <c r="H108" s="92">
        <v>44.724550000000001</v>
      </c>
      <c r="I108" s="92">
        <v>41.844389999999997</v>
      </c>
      <c r="J108" s="92">
        <v>32.299219999999998</v>
      </c>
      <c r="K108" s="93">
        <v>21.790230000000001</v>
      </c>
      <c r="Y108" s="89"/>
      <c r="Z108" s="64" t="s">
        <v>992</v>
      </c>
      <c r="AA108" s="64">
        <v>0.12784997976217535</v>
      </c>
      <c r="AB108" s="64">
        <v>0.12784997976217546</v>
      </c>
      <c r="AC108" s="64">
        <v>0.12784997976217577</v>
      </c>
      <c r="AD108" s="64">
        <v>0.12784997976217535</v>
      </c>
      <c r="AE108" s="64">
        <v>0.36014036878026995</v>
      </c>
      <c r="AF108" s="64">
        <v>0.36014036878027</v>
      </c>
      <c r="AG108" s="66">
        <v>0.36014036878027006</v>
      </c>
    </row>
    <row r="109" spans="2:33">
      <c r="C109" s="89"/>
      <c r="D109" s="64" t="s">
        <v>793</v>
      </c>
      <c r="E109" s="64">
        <v>63.005222775699913</v>
      </c>
      <c r="F109" s="64">
        <v>50.800124736606342</v>
      </c>
      <c r="G109" s="64">
        <v>51.831288858532957</v>
      </c>
      <c r="H109" s="64">
        <v>52.938503805896033</v>
      </c>
      <c r="I109" s="64">
        <v>54.033963167930878</v>
      </c>
      <c r="J109" s="64">
        <v>55.092426256936122</v>
      </c>
      <c r="K109" s="66">
        <v>56.215998504787457</v>
      </c>
      <c r="Y109" s="89"/>
      <c r="Z109" s="64" t="s">
        <v>993</v>
      </c>
      <c r="AA109" s="64">
        <v>0</v>
      </c>
      <c r="AB109" s="64">
        <v>0.12737050455927024</v>
      </c>
      <c r="AC109" s="64">
        <v>0.51474009600000004</v>
      </c>
      <c r="AD109" s="64">
        <v>0.51474009600000004</v>
      </c>
      <c r="AE109" s="64">
        <v>0.57908260800000022</v>
      </c>
      <c r="AF109" s="64">
        <v>0.61125386400000004</v>
      </c>
      <c r="AG109" s="66">
        <v>0.61125386400000004</v>
      </c>
    </row>
    <row r="110" spans="2:33">
      <c r="C110" s="89"/>
      <c r="D110" s="64" t="s">
        <v>794</v>
      </c>
      <c r="E110" s="64">
        <v>0.71220082536404417</v>
      </c>
      <c r="F110" s="64">
        <v>0.72753389208535235</v>
      </c>
      <c r="G110" s="64">
        <v>0.73090369695794888</v>
      </c>
      <c r="H110" s="64">
        <v>0.73863047538430393</v>
      </c>
      <c r="I110" s="64">
        <v>0.74374490151550143</v>
      </c>
      <c r="J110" s="64">
        <v>0.75318114351666954</v>
      </c>
      <c r="K110" s="66">
        <v>0.7645428776070885</v>
      </c>
      <c r="Y110" s="89"/>
      <c r="Z110" s="64" t="s">
        <v>994</v>
      </c>
      <c r="AA110" s="64">
        <v>0</v>
      </c>
      <c r="AB110" s="64">
        <v>0.79157041540020256</v>
      </c>
      <c r="AC110" s="64">
        <v>3.456216441192514</v>
      </c>
      <c r="AD110" s="64">
        <v>3.456216441192514</v>
      </c>
      <c r="AE110" s="64">
        <v>3.6013289917031397</v>
      </c>
      <c r="AF110" s="64">
        <v>3.6013289917031397</v>
      </c>
      <c r="AG110" s="66">
        <v>3.6013289917031397</v>
      </c>
    </row>
    <row r="111" spans="2:33" ht="18">
      <c r="C111" s="89"/>
      <c r="D111" s="87" t="s">
        <v>795</v>
      </c>
      <c r="E111" s="64">
        <v>108.0000000000001</v>
      </c>
      <c r="F111" s="64">
        <v>27.350447190886641</v>
      </c>
      <c r="G111" s="64">
        <v>25.93709518999265</v>
      </c>
      <c r="H111" s="64">
        <v>25.129064629692561</v>
      </c>
      <c r="I111" s="64">
        <v>23.892608292986679</v>
      </c>
      <c r="J111" s="64">
        <v>23.474151981178242</v>
      </c>
      <c r="K111" s="66">
        <v>23.262254149784741</v>
      </c>
      <c r="L111" s="3"/>
      <c r="Y111" s="89"/>
      <c r="Z111" s="64" t="s">
        <v>750</v>
      </c>
      <c r="AA111" s="64">
        <v>0</v>
      </c>
      <c r="AB111" s="64">
        <v>1.8997689969604861</v>
      </c>
      <c r="AC111" s="64">
        <v>8.294919458862033</v>
      </c>
      <c r="AD111" s="64">
        <v>8.294919458862033</v>
      </c>
      <c r="AE111" s="64">
        <v>8.6431895800875349</v>
      </c>
      <c r="AF111" s="64">
        <v>8.6431895800875349</v>
      </c>
      <c r="AG111" s="66">
        <v>8.6431895800875349</v>
      </c>
    </row>
    <row r="112" spans="2:33">
      <c r="C112" s="89"/>
      <c r="D112" s="64" t="s">
        <v>796</v>
      </c>
      <c r="E112" s="64">
        <v>5.4479337431361783</v>
      </c>
      <c r="F112" s="64">
        <v>5.9783337502633271</v>
      </c>
      <c r="G112" s="64">
        <v>3.552656124949972</v>
      </c>
      <c r="H112" s="64">
        <v>1.70832287621359</v>
      </c>
      <c r="I112" s="64">
        <v>0.31513157569564731</v>
      </c>
      <c r="J112" s="64"/>
      <c r="K112" s="66"/>
      <c r="Y112" s="89"/>
      <c r="Z112" s="64" t="s">
        <v>995</v>
      </c>
      <c r="AA112" s="64">
        <v>3.7199999999999997E-2</v>
      </c>
      <c r="AB112" s="64"/>
      <c r="AC112" s="64"/>
      <c r="AD112" s="64"/>
      <c r="AE112" s="64"/>
      <c r="AF112" s="64"/>
      <c r="AG112" s="66"/>
    </row>
    <row r="113" spans="3:33">
      <c r="C113" s="90"/>
      <c r="D113" s="80" t="s">
        <v>779</v>
      </c>
      <c r="E113" s="80">
        <f>SUM(E101:E112)</f>
        <v>501.71184750494825</v>
      </c>
      <c r="F113" s="80">
        <f t="shared" ref="F113:K113" si="37">SUM(F101:F112)</f>
        <v>394.34875553082492</v>
      </c>
      <c r="G113" s="80">
        <f t="shared" si="37"/>
        <v>398.5380514933733</v>
      </c>
      <c r="H113" s="80">
        <f t="shared" si="37"/>
        <v>369.79177446163476</v>
      </c>
      <c r="I113" s="80">
        <f t="shared" si="37"/>
        <v>349.06337398594053</v>
      </c>
      <c r="J113" s="80">
        <f t="shared" si="37"/>
        <v>333.05465745928632</v>
      </c>
      <c r="K113" s="81">
        <f t="shared" si="37"/>
        <v>318.99266733033045</v>
      </c>
      <c r="Y113" s="89"/>
      <c r="Z113" s="64" t="s">
        <v>996</v>
      </c>
      <c r="AA113" s="64">
        <v>3.910000000000001</v>
      </c>
      <c r="AB113" s="64">
        <v>3.910000000000001</v>
      </c>
      <c r="AC113" s="64"/>
      <c r="AD113" s="64"/>
      <c r="AE113" s="64"/>
      <c r="AF113" s="64"/>
      <c r="AG113" s="66"/>
    </row>
    <row r="114" spans="3:33">
      <c r="C114" s="91" t="s">
        <v>0</v>
      </c>
      <c r="D114" s="58" t="s">
        <v>829</v>
      </c>
      <c r="E114" s="58">
        <v>130.77899298129341</v>
      </c>
      <c r="F114" s="58">
        <v>269.61825985258969</v>
      </c>
      <c r="G114" s="58">
        <v>279.29819643114308</v>
      </c>
      <c r="H114" s="58">
        <v>269.63989100329849</v>
      </c>
      <c r="I114" s="58">
        <v>160.61373965858689</v>
      </c>
      <c r="J114" s="58">
        <v>176.94863798463959</v>
      </c>
      <c r="K114" s="59">
        <v>147.30965051930309</v>
      </c>
      <c r="Y114" s="89"/>
      <c r="Z114" s="64" t="s">
        <v>997</v>
      </c>
      <c r="AA114" s="64"/>
      <c r="AB114" s="64"/>
      <c r="AC114" s="64"/>
      <c r="AD114" s="64"/>
      <c r="AE114" s="64"/>
      <c r="AF114" s="64"/>
      <c r="AG114" s="66"/>
    </row>
    <row r="115" spans="3:33">
      <c r="C115" s="89"/>
      <c r="D115" s="64" t="s">
        <v>830</v>
      </c>
      <c r="E115" s="64">
        <v>54.324269999999999</v>
      </c>
      <c r="F115" s="64">
        <v>53.375</v>
      </c>
      <c r="G115" s="64">
        <v>50.874999999999993</v>
      </c>
      <c r="H115" s="64">
        <v>48.25</v>
      </c>
      <c r="I115" s="64">
        <v>45.749999999999993</v>
      </c>
      <c r="J115" s="64">
        <v>43.249999999999993</v>
      </c>
      <c r="K115" s="66">
        <v>40.625</v>
      </c>
      <c r="Y115" s="89"/>
      <c r="Z115" s="64" t="s">
        <v>998</v>
      </c>
      <c r="AA115" s="64">
        <v>0.6170874450159114</v>
      </c>
      <c r="AB115" s="64">
        <v>0.61708744501591151</v>
      </c>
      <c r="AC115" s="64">
        <v>4.4042843450443234</v>
      </c>
      <c r="AD115" s="64">
        <v>4.527068390759065</v>
      </c>
      <c r="AE115" s="64">
        <v>4.7751043234057127</v>
      </c>
      <c r="AF115" s="64">
        <v>4.9658779108814386</v>
      </c>
      <c r="AG115" s="66">
        <v>4.6684830142945337</v>
      </c>
    </row>
    <row r="116" spans="3:33">
      <c r="C116" s="89"/>
      <c r="D116" s="64" t="s">
        <v>832</v>
      </c>
      <c r="E116" s="64"/>
      <c r="F116" s="64">
        <v>23.499580000000009</v>
      </c>
      <c r="G116" s="64">
        <v>23.499580000000009</v>
      </c>
      <c r="H116" s="64">
        <v>8.2741946200485526</v>
      </c>
      <c r="I116" s="64"/>
      <c r="J116" s="64"/>
      <c r="K116" s="66"/>
      <c r="Y116" s="89"/>
      <c r="Z116" s="64" t="s">
        <v>922</v>
      </c>
      <c r="AA116" s="64">
        <f>AA106/O55+AA107/O56+AA108/O57+AA109/O58+AA110/O64+AA111/O65+AA112/O66+AA113/O67+AA114/O68+AA115/O69</f>
        <v>56.450687963278874</v>
      </c>
      <c r="AB116" s="64"/>
      <c r="AC116" s="64">
        <f>AC106/P55+AC107/P56+AC108/P57+AC109/P58+AC110/P64+AC111/P65+AC112/P66+AC113/P67+AC114/P68+AC115/P69</f>
        <v>86.706728256113053</v>
      </c>
      <c r="AD116" s="64">
        <f t="shared" ref="AD116:AG116" si="38">AD106/Q55+AD107/Q56+AD108/Q57+AD109/Q58+AD110/Q64+AD111/Q65+AD112/Q66+AD113/Q67+AD114/Q68+AD115/Q69</f>
        <v>84.912294667165739</v>
      </c>
      <c r="AE116" s="64">
        <f>AE106/R55+AE107/R56+AE108/R57+AE109/R58+AE110/R64+AE111/R65+AE112/R66+AE113/R67+AE114/R68+AE115/R69</f>
        <v>60.105256518682616</v>
      </c>
      <c r="AF116" s="64">
        <f t="shared" si="38"/>
        <v>49.598930018053572</v>
      </c>
      <c r="AG116" s="66">
        <f t="shared" si="38"/>
        <v>48.669570966219496</v>
      </c>
    </row>
    <row r="117" spans="3:33">
      <c r="C117" s="89"/>
      <c r="D117" s="64" t="s">
        <v>833</v>
      </c>
      <c r="E117" s="64">
        <v>212.89673701870649</v>
      </c>
      <c r="F117" s="64">
        <v>167.3788941463157</v>
      </c>
      <c r="G117" s="64">
        <v>149.5793354778892</v>
      </c>
      <c r="H117" s="64">
        <v>148.51742963343321</v>
      </c>
      <c r="I117" s="64">
        <v>145.11804349179971</v>
      </c>
      <c r="J117" s="64">
        <v>59.741946927734993</v>
      </c>
      <c r="K117" s="66">
        <v>47.632452572716701</v>
      </c>
      <c r="Y117" s="89"/>
      <c r="Z117" s="64" t="s">
        <v>1000</v>
      </c>
      <c r="AA117" s="64">
        <v>7.1742528000000014</v>
      </c>
      <c r="AB117" s="64">
        <v>7.1742528000000014</v>
      </c>
      <c r="AC117" s="64">
        <v>7.1742528000000014</v>
      </c>
      <c r="AD117" s="64">
        <v>7.1742528000000014</v>
      </c>
      <c r="AE117" s="64">
        <v>7.1742528000000014</v>
      </c>
      <c r="AF117" s="64">
        <v>7.1742528000000014</v>
      </c>
      <c r="AG117" s="66">
        <v>7.1742528000000014</v>
      </c>
    </row>
    <row r="118" spans="3:33">
      <c r="C118" s="90"/>
      <c r="D118" s="80" t="s">
        <v>841</v>
      </c>
      <c r="E118" s="126">
        <f t="shared" ref="E118:K118" si="39">SUM(E114:E117)</f>
        <v>397.99999999999989</v>
      </c>
      <c r="F118" s="80">
        <f t="shared" si="39"/>
        <v>513.87173399890537</v>
      </c>
      <c r="G118" s="80">
        <f t="shared" si="39"/>
        <v>503.25211190903235</v>
      </c>
      <c r="H118" s="80">
        <f t="shared" si="39"/>
        <v>474.68151525678024</v>
      </c>
      <c r="I118" s="80">
        <f t="shared" si="39"/>
        <v>351.4817831503866</v>
      </c>
      <c r="J118" s="80">
        <f t="shared" si="39"/>
        <v>279.94058491237456</v>
      </c>
      <c r="K118" s="81">
        <f t="shared" si="39"/>
        <v>235.56710309201981</v>
      </c>
      <c r="Y118" s="89"/>
      <c r="Z118" s="64" t="s">
        <v>1001</v>
      </c>
      <c r="AA118" s="64">
        <v>0.9500000000000004</v>
      </c>
      <c r="AB118" s="64">
        <v>0.95000000000000018</v>
      </c>
      <c r="AC118" s="64"/>
      <c r="AD118" s="64"/>
      <c r="AE118" s="64"/>
      <c r="AF118" s="64"/>
      <c r="AG118" s="66"/>
    </row>
    <row r="119" spans="3:33">
      <c r="C119" s="91" t="s">
        <v>834</v>
      </c>
      <c r="D119" s="58" t="s">
        <v>835</v>
      </c>
      <c r="E119" s="58">
        <v>51.3</v>
      </c>
      <c r="F119" s="58">
        <v>53.500000000000007</v>
      </c>
      <c r="G119" s="58">
        <v>53.499999999999993</v>
      </c>
      <c r="H119" s="58">
        <v>53.5</v>
      </c>
      <c r="I119" s="58">
        <v>24.656081096990452</v>
      </c>
      <c r="J119" s="58">
        <v>9.33</v>
      </c>
      <c r="K119" s="59"/>
      <c r="Y119" s="89"/>
      <c r="Z119" s="64" t="s">
        <v>1002</v>
      </c>
      <c r="AA119" s="64">
        <v>2.98</v>
      </c>
      <c r="AB119" s="64">
        <v>2.98</v>
      </c>
      <c r="AC119" s="64">
        <v>1.92</v>
      </c>
      <c r="AD119" s="64">
        <v>0.49999999999999989</v>
      </c>
      <c r="AE119" s="64">
        <v>0.49999999999999989</v>
      </c>
      <c r="AF119" s="64"/>
      <c r="AG119" s="66"/>
    </row>
    <row r="120" spans="3:33">
      <c r="C120" s="89"/>
      <c r="D120" s="64" t="s">
        <v>918</v>
      </c>
      <c r="E120" s="64">
        <v>10.143000000000001</v>
      </c>
      <c r="F120" s="64">
        <v>10.143000000000001</v>
      </c>
      <c r="G120" s="64">
        <v>9.5129999999999999</v>
      </c>
      <c r="H120" s="64">
        <v>8.5679999999999996</v>
      </c>
      <c r="I120" s="64"/>
      <c r="J120" s="64"/>
      <c r="K120" s="66"/>
      <c r="L120" s="64"/>
      <c r="M120" s="64"/>
      <c r="N120" s="64"/>
      <c r="O120" s="64"/>
      <c r="P120" s="64"/>
      <c r="Q120" s="64"/>
      <c r="R120" s="64"/>
      <c r="S120" s="66"/>
      <c r="Y120" s="89"/>
      <c r="Z120" s="64"/>
      <c r="AA120" s="64"/>
      <c r="AB120" s="64"/>
      <c r="AC120" s="64"/>
      <c r="AD120" s="64"/>
      <c r="AE120" s="64"/>
      <c r="AF120" s="64"/>
      <c r="AG120" s="66"/>
    </row>
    <row r="121" spans="3:33" ht="19">
      <c r="C121" s="89"/>
      <c r="D121" s="61" t="s">
        <v>747</v>
      </c>
      <c r="E121" s="64">
        <v>5.5970460000000006</v>
      </c>
      <c r="F121" s="64">
        <v>4.4902703924022642</v>
      </c>
      <c r="G121" s="64">
        <v>2.734126274290396</v>
      </c>
      <c r="H121" s="64">
        <v>0.89100000000000013</v>
      </c>
      <c r="I121" s="64"/>
      <c r="J121" s="64"/>
      <c r="K121" s="66"/>
      <c r="L121" s="61"/>
      <c r="M121" s="64"/>
      <c r="N121" s="64"/>
      <c r="O121" s="64"/>
      <c r="P121" s="64"/>
      <c r="Q121" s="64"/>
      <c r="R121" s="64"/>
      <c r="S121" s="66"/>
      <c r="Y121" s="89"/>
      <c r="Z121" s="64"/>
      <c r="AA121" s="64"/>
      <c r="AB121" s="64"/>
      <c r="AC121" s="64"/>
      <c r="AD121" s="64"/>
      <c r="AE121" s="64"/>
      <c r="AF121" s="64"/>
      <c r="AG121" s="66"/>
    </row>
    <row r="122" spans="3:33">
      <c r="C122" s="89"/>
      <c r="D122" s="64" t="s">
        <v>836</v>
      </c>
      <c r="E122" s="64">
        <v>46.40113581038591</v>
      </c>
      <c r="F122" s="64">
        <v>85.491057219725903</v>
      </c>
      <c r="G122" s="64">
        <v>85.491057219725903</v>
      </c>
      <c r="H122" s="64">
        <v>85.491057219725903</v>
      </c>
      <c r="I122" s="64">
        <v>85.491057219725903</v>
      </c>
      <c r="J122" s="64">
        <v>77.002221671513155</v>
      </c>
      <c r="K122" s="66">
        <v>73.634541155427243</v>
      </c>
      <c r="Y122" s="89"/>
      <c r="Z122" s="64" t="s">
        <v>1003</v>
      </c>
      <c r="AA122" s="64">
        <v>5.6008360769637289</v>
      </c>
      <c r="AB122" s="64">
        <v>5.6008360769637289</v>
      </c>
      <c r="AC122" s="64">
        <v>0.90574720000000164</v>
      </c>
      <c r="AD122" s="64">
        <v>1.436523896379222</v>
      </c>
      <c r="AE122" s="64">
        <v>1.9857472</v>
      </c>
      <c r="AF122" s="64">
        <v>2.5257471999999992</v>
      </c>
      <c r="AG122" s="66">
        <v>2.0878823966881241</v>
      </c>
    </row>
    <row r="123" spans="3:33">
      <c r="C123" s="89"/>
      <c r="D123" s="64" t="s">
        <v>842</v>
      </c>
      <c r="E123" s="64">
        <f>E119/O21+E120/O22+E121/O23+E122/O24</f>
        <v>297.14711047138047</v>
      </c>
      <c r="F123" s="64"/>
      <c r="G123" s="64">
        <f>G119/P21+G120/P22+G121/P23+G122/P24</f>
        <v>436.8389498283683</v>
      </c>
      <c r="H123" s="64">
        <f t="shared" ref="H123:K123" si="40">H119/Q21+H120/Q22+H121/Q23+H122/Q24</f>
        <v>397.15731224038336</v>
      </c>
      <c r="I123" s="64">
        <f t="shared" si="40"/>
        <v>285.6166761953013</v>
      </c>
      <c r="J123" s="64">
        <f t="shared" si="40"/>
        <v>207.59425594097837</v>
      </c>
      <c r="K123" s="64">
        <f t="shared" si="40"/>
        <v>163.6323136787272</v>
      </c>
      <c r="Y123" s="89"/>
      <c r="Z123" s="64" t="s">
        <v>931</v>
      </c>
      <c r="AA123" s="64">
        <f>AA117/O72+AA118/O74+AA119/O76+AA122/O77</f>
        <v>37.206428900254451</v>
      </c>
      <c r="AB123" s="64"/>
      <c r="AC123" s="64">
        <f>AC117/P72+AC118/P74+AC119/P76+AC122/P77</f>
        <v>21.248272610096677</v>
      </c>
      <c r="AD123" s="64">
        <f t="shared" ref="AD123:AG123" si="41">AD117/Q72+AD118/Q74+AD119/Q76+AD122/Q77</f>
        <v>19.747094206368526</v>
      </c>
      <c r="AE123" s="64">
        <f t="shared" si="41"/>
        <v>21.1924186895811</v>
      </c>
      <c r="AF123" s="64">
        <f t="shared" si="41"/>
        <v>21.59306315789474</v>
      </c>
      <c r="AG123" s="66">
        <f t="shared" si="41"/>
        <v>20.440787359705595</v>
      </c>
    </row>
    <row r="124" spans="3:33">
      <c r="C124" s="89"/>
      <c r="D124" s="64" t="s">
        <v>837</v>
      </c>
      <c r="E124" s="64">
        <v>7.4000000000000021</v>
      </c>
      <c r="F124" s="64">
        <v>7.4000000000000012</v>
      </c>
      <c r="G124" s="64">
        <v>7.4000000000000012</v>
      </c>
      <c r="H124" s="64">
        <v>7.400000000000003</v>
      </c>
      <c r="I124" s="64">
        <v>3.7</v>
      </c>
      <c r="J124" s="64"/>
      <c r="K124" s="66"/>
      <c r="Y124" s="89" t="s">
        <v>1009</v>
      </c>
      <c r="Z124" s="64" t="s">
        <v>1010</v>
      </c>
      <c r="AA124" s="64">
        <v>8.0732046000278164</v>
      </c>
      <c r="AB124" s="64"/>
      <c r="AC124" s="64"/>
      <c r="AD124" s="64"/>
      <c r="AE124" s="64"/>
      <c r="AF124" s="64"/>
      <c r="AG124" s="66">
        <v>20.440787359705599</v>
      </c>
    </row>
    <row r="125" spans="3:33">
      <c r="C125" s="89"/>
      <c r="D125" s="64" t="s">
        <v>838</v>
      </c>
      <c r="E125" s="64">
        <v>17.600000000000001</v>
      </c>
      <c r="F125" s="64">
        <v>17.600000000000001</v>
      </c>
      <c r="G125" s="64">
        <v>17.600000000000001</v>
      </c>
      <c r="H125" s="64">
        <v>17.600000000000001</v>
      </c>
      <c r="I125" s="64">
        <v>17.600000000000001</v>
      </c>
      <c r="J125" s="64">
        <v>17.600000000000001</v>
      </c>
      <c r="K125" s="66">
        <v>13.2</v>
      </c>
      <c r="Y125" s="89"/>
      <c r="Z125" s="64" t="s">
        <v>1011</v>
      </c>
      <c r="AA125" s="64">
        <v>58.655376915703471</v>
      </c>
      <c r="AB125" s="64">
        <v>58.655376915703478</v>
      </c>
      <c r="AC125" s="64">
        <v>52.66602465305931</v>
      </c>
      <c r="AD125" s="64">
        <v>48.811543730255373</v>
      </c>
      <c r="AE125" s="64">
        <v>38.664583939622382</v>
      </c>
      <c r="AF125" s="64">
        <v>26.426784472009249</v>
      </c>
      <c r="AG125" s="66">
        <v>26.42678447200926</v>
      </c>
    </row>
    <row r="126" spans="3:33">
      <c r="C126" s="89"/>
      <c r="D126" s="88" t="s">
        <v>839</v>
      </c>
      <c r="E126" s="88">
        <v>27.499999999999989</v>
      </c>
      <c r="F126" s="88">
        <v>27.5</v>
      </c>
      <c r="G126" s="88">
        <v>27.5</v>
      </c>
      <c r="H126" s="88">
        <v>27.5</v>
      </c>
      <c r="I126" s="88">
        <v>27.499999999999989</v>
      </c>
      <c r="J126" s="88">
        <v>27.5</v>
      </c>
      <c r="K126" s="125">
        <v>27.5</v>
      </c>
      <c r="Y126" s="89"/>
      <c r="Z126" s="64" t="s">
        <v>1012</v>
      </c>
      <c r="AA126" s="64">
        <v>14.539220776497229</v>
      </c>
      <c r="AB126" s="64">
        <v>14.53922077649724</v>
      </c>
      <c r="AC126" s="64">
        <v>13.763388578263511</v>
      </c>
      <c r="AD126" s="64">
        <v>14.147088721122079</v>
      </c>
      <c r="AE126" s="64">
        <v>14.92220101064285</v>
      </c>
      <c r="AF126" s="64">
        <v>15.518368471504489</v>
      </c>
      <c r="AG126" s="66">
        <v>14.58900941967042</v>
      </c>
    </row>
    <row r="127" spans="3:33">
      <c r="C127" s="89"/>
      <c r="D127" s="64" t="s">
        <v>840</v>
      </c>
      <c r="E127" s="64">
        <v>43.459415999999997</v>
      </c>
      <c r="F127" s="64">
        <v>42.7</v>
      </c>
      <c r="G127" s="64">
        <v>40.700000000000003</v>
      </c>
      <c r="H127" s="64">
        <v>38.6</v>
      </c>
      <c r="I127" s="64">
        <v>36.6</v>
      </c>
      <c r="J127" s="64">
        <v>34.599999999999987</v>
      </c>
      <c r="K127" s="66">
        <v>32.5</v>
      </c>
      <c r="Y127" s="89"/>
      <c r="Z127" s="64" t="s">
        <v>1013</v>
      </c>
      <c r="AA127" s="64">
        <v>21.612197707771472</v>
      </c>
      <c r="AB127" s="64">
        <v>29.68540230779929</v>
      </c>
      <c r="AC127" s="64">
        <v>17.329905263157901</v>
      </c>
      <c r="AD127" s="64">
        <v>18.726686043103221</v>
      </c>
      <c r="AE127" s="64">
        <v>20.172010526315798</v>
      </c>
      <c r="AF127" s="64">
        <v>21.59306315789474</v>
      </c>
      <c r="AG127" s="66"/>
    </row>
    <row r="128" spans="3:33">
      <c r="C128" s="90"/>
      <c r="D128" s="80" t="s">
        <v>843</v>
      </c>
      <c r="E128" s="80">
        <f>E124/O26+E125/O27+E127/O29</f>
        <v>99.778815454545452</v>
      </c>
      <c r="F128" s="80">
        <f>SUM(F124:F127)</f>
        <v>95.2</v>
      </c>
      <c r="G128" s="80">
        <f>G124/P26+G125/P27+G126/P28+G127/P29</f>
        <v>128.68248663101605</v>
      </c>
      <c r="H128" s="80">
        <f t="shared" ref="H128:K128" si="42">H124/Q26+H125/Q27+H126/Q28+H127/Q29</f>
        <v>126.05748663101605</v>
      </c>
      <c r="I128" s="80">
        <f t="shared" si="42"/>
        <v>116.8302139037433</v>
      </c>
      <c r="J128" s="80">
        <f t="shared" si="42"/>
        <v>107.60294117647055</v>
      </c>
      <c r="K128" s="80">
        <f t="shared" si="42"/>
        <v>96.97794117647058</v>
      </c>
      <c r="Y128" s="89"/>
      <c r="Z128" s="64" t="s">
        <v>1014</v>
      </c>
      <c r="AA128" s="64"/>
      <c r="AB128" s="64">
        <v>15.11999999999999</v>
      </c>
      <c r="AC128" s="64">
        <v>63.009681505519239</v>
      </c>
      <c r="AD128" s="64">
        <v>63.009681505519247</v>
      </c>
      <c r="AE128" s="64">
        <v>68.862204523418811</v>
      </c>
      <c r="AF128" s="64">
        <v>76.008783898591346</v>
      </c>
      <c r="AG128" s="66">
        <v>76.016418748614555</v>
      </c>
    </row>
    <row r="129" spans="3:33">
      <c r="C129" s="89"/>
      <c r="D129" s="118" t="s">
        <v>1009</v>
      </c>
      <c r="E129" s="127">
        <f>E118-E123-E128</f>
        <v>1.0740740740739625</v>
      </c>
      <c r="F129" s="64"/>
      <c r="G129" s="64"/>
      <c r="H129" s="64"/>
      <c r="I129" s="64"/>
      <c r="J129" s="64"/>
      <c r="K129" s="66"/>
      <c r="Y129" s="89"/>
      <c r="Z129" s="64"/>
      <c r="AA129" s="64"/>
      <c r="AB129" s="64"/>
      <c r="AC129" s="64"/>
      <c r="AD129" s="64"/>
      <c r="AE129" s="64"/>
      <c r="AF129" s="64"/>
      <c r="AG129" s="66"/>
    </row>
    <row r="130" spans="3:33">
      <c r="C130" s="91" t="s">
        <v>751</v>
      </c>
      <c r="D130" s="58" t="s">
        <v>851</v>
      </c>
      <c r="E130" s="58">
        <v>6.1093188196047192</v>
      </c>
      <c r="F130" s="58">
        <v>5.8036747474084969</v>
      </c>
      <c r="G130" s="58">
        <v>5</v>
      </c>
      <c r="H130" s="58">
        <v>6.1419010426693834</v>
      </c>
      <c r="I130" s="58">
        <v>8.7062826427017121</v>
      </c>
      <c r="J130" s="58">
        <v>14.333294641804921</v>
      </c>
      <c r="K130" s="59">
        <v>13.8</v>
      </c>
      <c r="Y130" s="89"/>
      <c r="Z130" s="64" t="s">
        <v>1015</v>
      </c>
      <c r="AA130" s="64">
        <v>0.12</v>
      </c>
      <c r="AB130" s="64"/>
      <c r="AC130" s="64">
        <v>0.23100000000000001</v>
      </c>
      <c r="AD130" s="64">
        <v>0.30499999999999999</v>
      </c>
      <c r="AE130" s="64">
        <v>0.37900000000000023</v>
      </c>
      <c r="AF130" s="64">
        <v>0.45300000000000012</v>
      </c>
      <c r="AG130" s="66">
        <v>0.52700000000000014</v>
      </c>
    </row>
    <row r="131" spans="3:33">
      <c r="C131" s="89"/>
      <c r="D131" s="64" t="s">
        <v>852</v>
      </c>
      <c r="E131" s="64"/>
      <c r="F131" s="64"/>
      <c r="G131" s="64"/>
      <c r="H131" s="64"/>
      <c r="I131" s="64"/>
      <c r="J131" s="64"/>
      <c r="K131" s="66"/>
      <c r="Y131" s="89"/>
      <c r="Z131" s="64" t="s">
        <v>1016</v>
      </c>
      <c r="AA131" s="64">
        <f>SUM(AA124:AA130)</f>
        <v>103</v>
      </c>
      <c r="AB131" s="64"/>
      <c r="AC131" s="64"/>
      <c r="AD131" s="64"/>
      <c r="AE131" s="64"/>
      <c r="AF131" s="64"/>
      <c r="AG131" s="66"/>
    </row>
    <row r="132" spans="3:33">
      <c r="C132" s="89"/>
      <c r="D132" s="64" t="s">
        <v>853</v>
      </c>
      <c r="E132" s="64">
        <v>111.17595894732899</v>
      </c>
      <c r="F132" s="64">
        <v>117.02837662885629</v>
      </c>
      <c r="G132" s="64">
        <v>107.03069901400509</v>
      </c>
      <c r="H132" s="64">
        <v>104.32486370916671</v>
      </c>
      <c r="I132" s="64">
        <v>96.7</v>
      </c>
      <c r="J132" s="64">
        <v>84.6</v>
      </c>
      <c r="K132" s="66">
        <v>72.499999999999986</v>
      </c>
      <c r="Y132" s="90"/>
      <c r="Z132" s="115" t="s">
        <v>1009</v>
      </c>
      <c r="AA132" s="115">
        <f>AA131-AA116-AA123</f>
        <v>9.3428831364666749</v>
      </c>
      <c r="AB132" s="80"/>
      <c r="AC132" s="80"/>
      <c r="AD132" s="80"/>
      <c r="AE132" s="80"/>
      <c r="AF132" s="80"/>
      <c r="AG132" s="81"/>
    </row>
    <row r="133" spans="3:33">
      <c r="C133" s="89"/>
      <c r="D133" s="64" t="s">
        <v>854</v>
      </c>
      <c r="E133" s="64"/>
      <c r="F133" s="64"/>
      <c r="G133" s="64"/>
      <c r="H133" s="64"/>
      <c r="I133" s="64"/>
      <c r="J133" s="64"/>
      <c r="K133" s="66">
        <v>9.8855536768493675</v>
      </c>
      <c r="Y133" s="91" t="s">
        <v>751</v>
      </c>
      <c r="Z133" s="58" t="s">
        <v>1026</v>
      </c>
      <c r="AA133" s="58">
        <v>10.93073522110142</v>
      </c>
      <c r="AB133" s="58">
        <v>9.4176612895700895</v>
      </c>
      <c r="AC133" s="58">
        <v>8.4410607201179939</v>
      </c>
      <c r="AD133" s="58">
        <v>7.853544452593221</v>
      </c>
      <c r="AE133" s="58">
        <v>7.9570375189157492</v>
      </c>
      <c r="AF133" s="58">
        <v>7.24</v>
      </c>
      <c r="AG133" s="59">
        <v>6.2100000000000009</v>
      </c>
    </row>
    <row r="134" spans="3:33">
      <c r="C134" s="89"/>
      <c r="D134" s="64" t="s">
        <v>855</v>
      </c>
      <c r="E134" s="64">
        <v>30.56521455527794</v>
      </c>
      <c r="F134" s="64">
        <v>37.204139958352442</v>
      </c>
      <c r="G134" s="64">
        <v>33.389808707238323</v>
      </c>
      <c r="H134" s="64">
        <v>48.680035628902012</v>
      </c>
      <c r="I134" s="64">
        <v>52.2</v>
      </c>
      <c r="J134" s="64">
        <v>45.7</v>
      </c>
      <c r="K134" s="66">
        <v>39.100000000000009</v>
      </c>
      <c r="Y134" s="89"/>
      <c r="Z134" s="64" t="s">
        <v>1027</v>
      </c>
      <c r="AA134" s="64">
        <v>1</v>
      </c>
      <c r="AB134" s="64">
        <v>1</v>
      </c>
      <c r="AC134" s="64">
        <v>1</v>
      </c>
      <c r="AD134" s="64">
        <v>1</v>
      </c>
      <c r="AE134" s="64">
        <v>1</v>
      </c>
      <c r="AF134" s="64">
        <v>2.227690563812446</v>
      </c>
      <c r="AG134" s="66">
        <v>14.91986173928775</v>
      </c>
    </row>
    <row r="135" spans="3:33">
      <c r="C135" s="89"/>
      <c r="D135" s="64" t="s">
        <v>856</v>
      </c>
      <c r="E135" s="64"/>
      <c r="F135" s="64"/>
      <c r="G135" s="64"/>
      <c r="H135" s="64"/>
      <c r="I135" s="64"/>
      <c r="J135" s="64"/>
      <c r="K135" s="66">
        <v>14.78040080649745</v>
      </c>
      <c r="Y135" s="89"/>
      <c r="Z135" s="64" t="s">
        <v>979</v>
      </c>
      <c r="AA135" s="64">
        <v>1.582345525701806E-2</v>
      </c>
      <c r="AB135" s="64">
        <v>2.675105691396291E-3</v>
      </c>
      <c r="AC135" s="64">
        <v>2.9911122384497561E-2</v>
      </c>
      <c r="AD135" s="64">
        <v>4.0700897840637518E-2</v>
      </c>
      <c r="AE135" s="64">
        <v>0.1069375460778131</v>
      </c>
      <c r="AF135" s="64">
        <v>0.18435818968102349</v>
      </c>
      <c r="AG135" s="66">
        <v>0.21125499515996021</v>
      </c>
    </row>
    <row r="136" spans="3:33">
      <c r="C136" s="89"/>
      <c r="D136" s="64" t="s">
        <v>857</v>
      </c>
      <c r="E136" s="64">
        <v>17.014329308112039</v>
      </c>
      <c r="F136" s="64">
        <v>15.413402873057869</v>
      </c>
      <c r="G136" s="64">
        <v>13.366407853931889</v>
      </c>
      <c r="H136" s="64">
        <v>11.196746132549199</v>
      </c>
      <c r="I136" s="64">
        <v>9.5525997043263562</v>
      </c>
      <c r="J136" s="64">
        <v>7.7051595962213639</v>
      </c>
      <c r="K136" s="66">
        <v>5.8007681309643306</v>
      </c>
      <c r="Y136" s="89"/>
      <c r="Z136" s="64" t="s">
        <v>975</v>
      </c>
      <c r="AA136" s="64"/>
      <c r="AB136" s="64"/>
      <c r="AC136" s="64"/>
      <c r="AD136" s="64"/>
      <c r="AE136" s="64"/>
      <c r="AF136" s="64"/>
      <c r="AG136" s="66"/>
    </row>
    <row r="137" spans="3:33">
      <c r="C137" s="89"/>
      <c r="D137" s="64" t="s">
        <v>858</v>
      </c>
      <c r="E137" s="64"/>
      <c r="F137" s="64"/>
      <c r="G137" s="64"/>
      <c r="H137" s="64"/>
      <c r="I137" s="64"/>
      <c r="J137" s="64"/>
      <c r="K137" s="66"/>
      <c r="Y137" s="90"/>
      <c r="Z137" s="80" t="s">
        <v>1028</v>
      </c>
      <c r="AA137" s="80">
        <f>SUM(AA133:AA136)</f>
        <v>11.946558676358439</v>
      </c>
      <c r="AB137" s="80">
        <f t="shared" ref="AB137:AG137" si="43">SUM(AB133:AB136)</f>
        <v>10.420336395261486</v>
      </c>
      <c r="AC137" s="80">
        <f t="shared" si="43"/>
        <v>9.4709718425024914</v>
      </c>
      <c r="AD137" s="80">
        <f t="shared" si="43"/>
        <v>8.8942453504338577</v>
      </c>
      <c r="AE137" s="80">
        <f t="shared" si="43"/>
        <v>9.0639750649935618</v>
      </c>
      <c r="AF137" s="80">
        <f t="shared" si="43"/>
        <v>9.6520487534934709</v>
      </c>
      <c r="AG137" s="81">
        <f t="shared" si="43"/>
        <v>21.341116734447713</v>
      </c>
    </row>
    <row r="138" spans="3:33">
      <c r="C138" s="89"/>
      <c r="D138" s="64" t="s">
        <v>859</v>
      </c>
      <c r="E138" s="64">
        <v>1.296782010808079</v>
      </c>
      <c r="F138" s="64">
        <v>1.480874391015047</v>
      </c>
      <c r="G138" s="64">
        <v>3.1782473375878069</v>
      </c>
      <c r="H138" s="64">
        <v>3.4052379530188288</v>
      </c>
      <c r="I138" s="64">
        <v>3.3734169984664231</v>
      </c>
      <c r="J138" s="64">
        <v>7.6354028675771506</v>
      </c>
      <c r="K138" s="66">
        <v>7.6031207397703628</v>
      </c>
      <c r="Y138" s="91" t="s">
        <v>883</v>
      </c>
      <c r="Z138" s="58" t="s">
        <v>1029</v>
      </c>
      <c r="AA138" s="58">
        <v>5.5703245789211273</v>
      </c>
      <c r="AB138" s="58">
        <v>5.0964390990509916</v>
      </c>
      <c r="AC138" s="58">
        <v>4.2485876240128153</v>
      </c>
      <c r="AD138" s="58">
        <v>3.4303657786042701</v>
      </c>
      <c r="AE138" s="58">
        <v>2.5693105500282609</v>
      </c>
      <c r="AF138" s="58">
        <v>1.7140873818683919</v>
      </c>
      <c r="AG138" s="59">
        <v>0.85522316815986876</v>
      </c>
    </row>
    <row r="139" spans="3:33">
      <c r="C139" s="89"/>
      <c r="D139" s="64" t="s">
        <v>860</v>
      </c>
      <c r="E139" s="64"/>
      <c r="F139" s="64"/>
      <c r="G139" s="64"/>
      <c r="H139" s="64"/>
      <c r="I139" s="64"/>
      <c r="J139" s="64"/>
      <c r="K139" s="66"/>
      <c r="Y139" s="90"/>
      <c r="Z139" s="80" t="s">
        <v>1030</v>
      </c>
      <c r="AA139" s="80"/>
      <c r="AB139" s="80"/>
      <c r="AC139" s="80"/>
      <c r="AD139" s="80"/>
      <c r="AE139" s="80"/>
      <c r="AF139" s="80"/>
      <c r="AG139" s="81"/>
    </row>
    <row r="140" spans="3:33">
      <c r="C140" s="89"/>
      <c r="D140" s="64" t="s">
        <v>861</v>
      </c>
      <c r="E140" s="64">
        <v>109.0848394613722</v>
      </c>
      <c r="F140" s="64">
        <v>94.298673381647916</v>
      </c>
      <c r="G140" s="64">
        <v>82.172484883456775</v>
      </c>
      <c r="H140" s="64">
        <v>73.069999821095664</v>
      </c>
      <c r="I140" s="64">
        <v>66.645022580710219</v>
      </c>
      <c r="J140" s="64">
        <v>63.595334892697458</v>
      </c>
      <c r="K140" s="66">
        <v>54.890255196808738</v>
      </c>
      <c r="Y140" s="91" t="s">
        <v>754</v>
      </c>
      <c r="Z140" s="58" t="s">
        <v>1031</v>
      </c>
      <c r="AA140" s="58">
        <v>63.038961175138489</v>
      </c>
      <c r="AB140" s="58">
        <v>62.500000000000028</v>
      </c>
      <c r="AC140" s="58">
        <v>55.200000000000017</v>
      </c>
      <c r="AD140" s="58">
        <v>47.799999999999983</v>
      </c>
      <c r="AE140" s="58">
        <v>40.499999999999993</v>
      </c>
      <c r="AF140" s="58">
        <v>33.099999999999987</v>
      </c>
      <c r="AG140" s="59">
        <v>25.7</v>
      </c>
    </row>
    <row r="141" spans="3:33">
      <c r="C141" s="89"/>
      <c r="D141" s="64" t="s">
        <v>862</v>
      </c>
      <c r="E141" s="64"/>
      <c r="F141" s="64"/>
      <c r="G141" s="64"/>
      <c r="H141" s="64"/>
      <c r="I141" s="64"/>
      <c r="J141" s="64"/>
      <c r="K141" s="66"/>
      <c r="Y141" s="89"/>
      <c r="Z141" s="64" t="s">
        <v>1032</v>
      </c>
      <c r="AA141" s="64"/>
      <c r="AB141" s="64"/>
      <c r="AC141" s="64">
        <v>0.38707790270736159</v>
      </c>
      <c r="AD141" s="64">
        <v>0.38707790270736181</v>
      </c>
      <c r="AE141" s="64">
        <v>0.3870779027073617</v>
      </c>
      <c r="AF141" s="64">
        <v>0.74168276835366242</v>
      </c>
      <c r="AG141" s="66">
        <v>1.8832604248041389</v>
      </c>
    </row>
    <row r="142" spans="3:33">
      <c r="C142" s="89"/>
      <c r="D142" s="64" t="s">
        <v>863</v>
      </c>
      <c r="E142" s="64">
        <f>SUM(E130:E141)</f>
        <v>275.24644310250397</v>
      </c>
      <c r="F142" s="64">
        <f t="shared" ref="F142:K142" si="44">SUM(F130:F141)</f>
        <v>271.22914198033806</v>
      </c>
      <c r="G142" s="64">
        <f t="shared" si="44"/>
        <v>244.13764779621988</v>
      </c>
      <c r="H142" s="64">
        <f t="shared" si="44"/>
        <v>246.8187842874018</v>
      </c>
      <c r="I142" s="64">
        <f t="shared" si="44"/>
        <v>237.17732192620471</v>
      </c>
      <c r="J142" s="64">
        <f t="shared" si="44"/>
        <v>223.56919199830088</v>
      </c>
      <c r="K142" s="66">
        <f t="shared" si="44"/>
        <v>218.36009855089026</v>
      </c>
      <c r="Y142" s="90"/>
      <c r="Z142" s="80" t="s">
        <v>1033</v>
      </c>
      <c r="AA142" s="80">
        <f>SUM(AA140:AA141)</f>
        <v>63.038961175138489</v>
      </c>
      <c r="AB142" s="80">
        <f t="shared" ref="AB142:AG142" si="45">SUM(AB140:AB141)</f>
        <v>62.500000000000028</v>
      </c>
      <c r="AC142" s="80">
        <f t="shared" si="45"/>
        <v>55.587077902707378</v>
      </c>
      <c r="AD142" s="80">
        <f t="shared" si="45"/>
        <v>48.187077902707344</v>
      </c>
      <c r="AE142" s="80">
        <f t="shared" si="45"/>
        <v>40.887077902707354</v>
      </c>
      <c r="AF142" s="80">
        <f t="shared" si="45"/>
        <v>33.84168276835365</v>
      </c>
      <c r="AG142" s="81">
        <f t="shared" si="45"/>
        <v>27.583260424804138</v>
      </c>
    </row>
    <row r="143" spans="3:33">
      <c r="C143" s="89"/>
      <c r="D143" s="64" t="s">
        <v>818</v>
      </c>
      <c r="E143" s="64">
        <v>1.1000000000000001</v>
      </c>
      <c r="F143" s="64">
        <v>4.5834016846388188</v>
      </c>
      <c r="G143" s="64">
        <v>0.91699999999999993</v>
      </c>
      <c r="H143" s="64">
        <v>23.759602695452671</v>
      </c>
      <c r="I143" s="64">
        <v>33.006634195253582</v>
      </c>
      <c r="J143" s="64">
        <v>0.55000000000000016</v>
      </c>
      <c r="K143" s="66">
        <v>50.555632486882303</v>
      </c>
      <c r="Y143" s="99" t="s">
        <v>901</v>
      </c>
      <c r="Z143" s="100" t="s">
        <v>1034</v>
      </c>
      <c r="AA143" s="100"/>
      <c r="AB143" s="100">
        <v>1.536339586332159E-2</v>
      </c>
      <c r="AC143" s="100">
        <v>4.5642811911962157E-2</v>
      </c>
      <c r="AD143" s="100">
        <v>9.0950436643139204E-2</v>
      </c>
      <c r="AE143" s="100">
        <v>0.1207403226231923</v>
      </c>
      <c r="AF143" s="100">
        <v>0.15624709324666711</v>
      </c>
      <c r="AG143" s="101">
        <v>0.20903515649786819</v>
      </c>
    </row>
    <row r="144" spans="3:33">
      <c r="C144" s="89"/>
      <c r="D144" s="64" t="s">
        <v>819</v>
      </c>
      <c r="E144" s="64">
        <v>5.92</v>
      </c>
      <c r="F144" s="64">
        <v>5.59</v>
      </c>
      <c r="G144" s="64">
        <v>13.480472952185179</v>
      </c>
      <c r="H144" s="64">
        <v>4.28</v>
      </c>
      <c r="I144" s="64">
        <v>3.620000000000001</v>
      </c>
      <c r="J144" s="64">
        <v>44.010983795244108</v>
      </c>
      <c r="K144" s="66">
        <v>2.2999999999999998</v>
      </c>
      <c r="Y144" s="99" t="s">
        <v>907</v>
      </c>
      <c r="Z144" s="100" t="s">
        <v>1035</v>
      </c>
      <c r="AA144" s="100">
        <v>8.2080000000000002</v>
      </c>
      <c r="AB144" s="100">
        <v>5.0436750000000004</v>
      </c>
      <c r="AC144" s="100">
        <v>0.65032000000000068</v>
      </c>
      <c r="AD144" s="100">
        <v>0.61989902912621453</v>
      </c>
      <c r="AE144" s="100">
        <v>0.59817169811320769</v>
      </c>
      <c r="AF144" s="100">
        <v>0.59119999999999995</v>
      </c>
      <c r="AG144" s="101">
        <v>0.584601785714286</v>
      </c>
    </row>
    <row r="145" spans="3:33" ht="18">
      <c r="C145" s="89"/>
      <c r="D145" s="64" t="s">
        <v>820</v>
      </c>
      <c r="E145" s="64">
        <v>118</v>
      </c>
      <c r="F145" s="64">
        <v>111</v>
      </c>
      <c r="G145" s="64">
        <v>98.300000000000011</v>
      </c>
      <c r="H145" s="64">
        <v>85.199999999999989</v>
      </c>
      <c r="I145" s="64">
        <v>72.099999999999994</v>
      </c>
      <c r="J145" s="64">
        <v>59.000000000000007</v>
      </c>
      <c r="K145" s="66">
        <v>45.900000000000013</v>
      </c>
      <c r="X145" s="116" t="s">
        <v>38</v>
      </c>
      <c r="Y145" s="102" t="s">
        <v>739</v>
      </c>
      <c r="Z145" s="58" t="s">
        <v>1036</v>
      </c>
      <c r="AA145" s="58">
        <v>176.00000000000011</v>
      </c>
      <c r="AB145" s="58">
        <v>43.752973373156927</v>
      </c>
      <c r="AC145" s="58">
        <v>37.939463809147533</v>
      </c>
      <c r="AD145" s="58"/>
      <c r="AE145" s="58">
        <v>53.987414281952113</v>
      </c>
      <c r="AF145" s="58">
        <v>136.66420394179889</v>
      </c>
      <c r="AG145" s="59">
        <v>166</v>
      </c>
    </row>
    <row r="146" spans="3:33">
      <c r="C146" s="89"/>
      <c r="D146" s="64" t="s">
        <v>847</v>
      </c>
      <c r="E146" s="64">
        <v>5.3225188356368127</v>
      </c>
      <c r="F146" s="64">
        <v>5.4492612104175642</v>
      </c>
      <c r="G146" s="64">
        <v>6.6213494705666864</v>
      </c>
      <c r="H146" s="64">
        <v>6.8265930903372398</v>
      </c>
      <c r="I146" s="64">
        <v>6.8547246588545852</v>
      </c>
      <c r="J146" s="64">
        <v>33.389920553668553</v>
      </c>
      <c r="K146" s="66">
        <v>33.418052122185898</v>
      </c>
      <c r="Y146" s="90"/>
      <c r="Z146" s="80" t="s">
        <v>1037</v>
      </c>
      <c r="AA146" s="80">
        <v>17.108235668407229</v>
      </c>
      <c r="AB146" s="80">
        <v>18.065278125219479</v>
      </c>
      <c r="AC146" s="80">
        <v>17.127213437458309</v>
      </c>
      <c r="AD146" s="80">
        <v>16.590269063511371</v>
      </c>
      <c r="AE146" s="80">
        <v>15.769373353134281</v>
      </c>
      <c r="AF146" s="80">
        <v>15.49070400543509</v>
      </c>
      <c r="AG146" s="81">
        <v>15.34886350801689</v>
      </c>
    </row>
    <row r="147" spans="3:33">
      <c r="C147" s="89"/>
      <c r="D147" s="64" t="s">
        <v>821</v>
      </c>
      <c r="E147" s="64">
        <v>18.399999999999999</v>
      </c>
      <c r="F147" s="64">
        <v>17.399999999999999</v>
      </c>
      <c r="G147" s="64">
        <v>15.3</v>
      </c>
      <c r="H147" s="64">
        <v>13.3</v>
      </c>
      <c r="I147" s="64">
        <v>11.2</v>
      </c>
      <c r="J147" s="64">
        <v>9.2000000000000011</v>
      </c>
      <c r="K147" s="66">
        <v>7.16</v>
      </c>
      <c r="Y147" s="102" t="s">
        <v>0</v>
      </c>
      <c r="Z147" s="58" t="s">
        <v>746</v>
      </c>
      <c r="AA147" s="58">
        <v>93.754439999999988</v>
      </c>
      <c r="AB147" s="58">
        <v>93.754439999999988</v>
      </c>
      <c r="AC147" s="58">
        <v>58.5</v>
      </c>
      <c r="AD147" s="58">
        <v>68.799217894767125</v>
      </c>
      <c r="AE147" s="58">
        <v>61.402553191489389</v>
      </c>
      <c r="AF147" s="58">
        <v>53.676595744680903</v>
      </c>
      <c r="AG147" s="59">
        <v>35.316595744680882</v>
      </c>
    </row>
    <row r="148" spans="3:33" ht="18">
      <c r="C148" s="89"/>
      <c r="D148" s="64" t="s">
        <v>864</v>
      </c>
      <c r="E148" s="64">
        <f>SUM(E143:E146)</f>
        <v>130.34251883563681</v>
      </c>
      <c r="F148" s="64">
        <f t="shared" ref="F148:K148" si="46">SUM(F143:F146)</f>
        <v>126.62266289505638</v>
      </c>
      <c r="G148" s="64">
        <f t="shared" si="46"/>
        <v>119.31882242275188</v>
      </c>
      <c r="H148" s="64">
        <f t="shared" si="46"/>
        <v>120.0661957857899</v>
      </c>
      <c r="I148" s="64">
        <f t="shared" si="46"/>
        <v>115.58135885410816</v>
      </c>
      <c r="J148" s="64">
        <f t="shared" si="46"/>
        <v>136.95090434891267</v>
      </c>
      <c r="K148" s="66">
        <f t="shared" si="46"/>
        <v>132.17368460906823</v>
      </c>
      <c r="N148" s="91"/>
      <c r="O148" s="58"/>
      <c r="P148" s="58"/>
      <c r="Q148" s="135" t="s">
        <v>742</v>
      </c>
      <c r="R148" s="135"/>
      <c r="S148" s="135"/>
      <c r="T148" s="135"/>
      <c r="U148" s="135"/>
      <c r="V148" s="135"/>
      <c r="W148" s="136"/>
      <c r="Y148" s="89"/>
      <c r="Z148" s="64" t="s">
        <v>747</v>
      </c>
      <c r="AA148" s="64">
        <v>37.313640000000007</v>
      </c>
      <c r="AB148" s="64">
        <v>29.935135949348432</v>
      </c>
      <c r="AC148" s="64">
        <v>18.227508495269308</v>
      </c>
      <c r="AD148" s="64">
        <v>5.9400000000000013</v>
      </c>
      <c r="AE148" s="64"/>
      <c r="AF148" s="64"/>
      <c r="AG148" s="66"/>
    </row>
    <row r="149" spans="3:33" ht="18">
      <c r="C149" s="89"/>
      <c r="D149" s="64" t="s">
        <v>823</v>
      </c>
      <c r="E149" s="64">
        <v>4.6900000000000004</v>
      </c>
      <c r="F149" s="64">
        <v>4.58</v>
      </c>
      <c r="G149" s="64">
        <v>4.17</v>
      </c>
      <c r="H149" s="64">
        <v>3.75</v>
      </c>
      <c r="I149" s="64">
        <v>3.330000000000001</v>
      </c>
      <c r="J149" s="64">
        <v>2.4790918136434081</v>
      </c>
      <c r="K149" s="66">
        <v>2.5</v>
      </c>
      <c r="N149" s="89" t="s">
        <v>737</v>
      </c>
      <c r="O149" s="64" t="s">
        <v>1060</v>
      </c>
      <c r="P149" s="64" t="s">
        <v>1061</v>
      </c>
      <c r="Q149" s="128">
        <v>2007</v>
      </c>
      <c r="R149" s="129">
        <f>Q149+1</f>
        <v>2008</v>
      </c>
      <c r="S149" s="128">
        <v>2010</v>
      </c>
      <c r="T149" s="128">
        <v>2012</v>
      </c>
      <c r="U149" s="128">
        <f>T149+2</f>
        <v>2014</v>
      </c>
      <c r="V149" s="128">
        <f>U149+2</f>
        <v>2016</v>
      </c>
      <c r="W149" s="130">
        <f>V149+2</f>
        <v>2018</v>
      </c>
      <c r="Y149" s="89"/>
      <c r="Z149" s="64" t="s">
        <v>1038</v>
      </c>
      <c r="AA149" s="64"/>
      <c r="AB149" s="64">
        <v>8.4598487999999996</v>
      </c>
      <c r="AC149" s="64">
        <v>8.4598487999999996</v>
      </c>
      <c r="AD149" s="64">
        <v>2.9787100632174792</v>
      </c>
      <c r="AE149" s="64"/>
      <c r="AF149" s="64"/>
      <c r="AG149" s="66"/>
    </row>
    <row r="150" spans="3:33">
      <c r="C150" s="89"/>
      <c r="D150" s="64" t="s">
        <v>824</v>
      </c>
      <c r="E150" s="64">
        <v>1.77</v>
      </c>
      <c r="F150" s="64">
        <v>1.73</v>
      </c>
      <c r="G150" s="64">
        <v>1.48</v>
      </c>
      <c r="H150" s="64">
        <v>1.42</v>
      </c>
      <c r="I150" s="64">
        <v>1.26</v>
      </c>
      <c r="J150" s="64">
        <v>1.1000000000000001</v>
      </c>
      <c r="K150" s="66">
        <v>0.94399999999999995</v>
      </c>
      <c r="N150" s="89" t="s">
        <v>839</v>
      </c>
      <c r="O150" s="64">
        <v>0.61</v>
      </c>
      <c r="P150" s="64">
        <f>1-O150</f>
        <v>0.39</v>
      </c>
      <c r="Q150" s="64">
        <v>27.5</v>
      </c>
      <c r="R150" s="64">
        <v>27.5</v>
      </c>
      <c r="S150" s="64">
        <v>27.5</v>
      </c>
      <c r="T150" s="64">
        <v>27.5</v>
      </c>
      <c r="U150" s="64">
        <v>27.5</v>
      </c>
      <c r="V150" s="64">
        <v>27.5</v>
      </c>
      <c r="W150" s="66">
        <v>27.5</v>
      </c>
      <c r="Y150" s="89"/>
      <c r="Z150" s="64" t="s">
        <v>917</v>
      </c>
      <c r="AA150" s="64">
        <v>256.27258799999998</v>
      </c>
      <c r="AB150" s="64">
        <v>256.27258799999998</v>
      </c>
      <c r="AC150" s="64">
        <v>245.5604917765053</v>
      </c>
      <c r="AD150" s="64">
        <v>213.43059104122261</v>
      </c>
      <c r="AE150" s="64">
        <v>185.27539716292151</v>
      </c>
      <c r="AF150" s="64">
        <v>158.1728169943336</v>
      </c>
      <c r="AG150" s="66">
        <v>102.0439131921033</v>
      </c>
    </row>
    <row r="151" spans="3:33">
      <c r="C151" s="89"/>
      <c r="D151" s="64" t="s">
        <v>825</v>
      </c>
      <c r="E151" s="64">
        <v>3.18</v>
      </c>
      <c r="F151" s="64">
        <v>3.109999999999999</v>
      </c>
      <c r="G151" s="64">
        <v>2.83</v>
      </c>
      <c r="H151" s="64">
        <v>2.54</v>
      </c>
      <c r="I151" s="64">
        <v>2.2599999999999998</v>
      </c>
      <c r="J151" s="64">
        <v>1.98</v>
      </c>
      <c r="K151" s="66">
        <v>1.7</v>
      </c>
      <c r="N151" s="89" t="s">
        <v>840</v>
      </c>
      <c r="O151" s="64">
        <v>0.62</v>
      </c>
      <c r="P151" s="64">
        <f t="shared" ref="P151:P168" si="47">1-O151</f>
        <v>0.38</v>
      </c>
      <c r="Q151" s="64">
        <v>43.459415999999997</v>
      </c>
      <c r="R151" s="64">
        <v>42.7</v>
      </c>
      <c r="S151" s="64">
        <v>40.70000000000001</v>
      </c>
      <c r="T151" s="64">
        <v>38.6</v>
      </c>
      <c r="U151" s="64">
        <v>36.6</v>
      </c>
      <c r="V151" s="64">
        <v>34.59999999999998</v>
      </c>
      <c r="W151" s="66">
        <v>32.499999999999993</v>
      </c>
      <c r="Y151" s="89"/>
      <c r="Z151" s="64" t="s">
        <v>918</v>
      </c>
      <c r="AA151" s="64">
        <v>16.100000000000001</v>
      </c>
      <c r="AB151" s="64">
        <v>16.100000000000001</v>
      </c>
      <c r="AC151" s="64">
        <v>15.1</v>
      </c>
      <c r="AD151" s="64">
        <v>13.6</v>
      </c>
      <c r="AE151" s="64"/>
      <c r="AF151" s="64"/>
      <c r="AG151" s="66"/>
    </row>
    <row r="152" spans="3:33">
      <c r="C152" s="89"/>
      <c r="D152" s="64" t="s">
        <v>826</v>
      </c>
      <c r="E152" s="64">
        <v>0.30299999999999999</v>
      </c>
      <c r="F152" s="64">
        <v>0.29699999999999988</v>
      </c>
      <c r="G152" s="64">
        <v>0.27</v>
      </c>
      <c r="H152" s="64">
        <v>0.24299999999999999</v>
      </c>
      <c r="I152" s="64">
        <v>0.216</v>
      </c>
      <c r="J152" s="64">
        <v>0.189</v>
      </c>
      <c r="K152" s="66">
        <v>0.16200000000000001</v>
      </c>
      <c r="N152" s="89" t="s">
        <v>924</v>
      </c>
      <c r="O152" s="64">
        <v>0.72</v>
      </c>
      <c r="P152" s="64">
        <f t="shared" si="47"/>
        <v>0.28000000000000003</v>
      </c>
      <c r="Q152" s="64">
        <v>178.13343599999999</v>
      </c>
      <c r="R152" s="64">
        <v>178.13343599999999</v>
      </c>
      <c r="S152" s="64">
        <v>169</v>
      </c>
      <c r="T152" s="64">
        <v>150.07849728780539</v>
      </c>
      <c r="U152" s="64">
        <v>140</v>
      </c>
      <c r="V152" s="64">
        <v>128</v>
      </c>
      <c r="W152" s="66">
        <v>118</v>
      </c>
      <c r="Y152" s="89"/>
      <c r="Z152" s="64" t="s">
        <v>919</v>
      </c>
      <c r="AA152" s="64">
        <v>30.561985305437421</v>
      </c>
      <c r="AB152" s="64"/>
      <c r="AC152" s="64"/>
      <c r="AD152" s="64"/>
      <c r="AE152" s="64"/>
      <c r="AF152" s="64"/>
      <c r="AG152" s="66"/>
    </row>
    <row r="153" spans="3:33">
      <c r="C153" s="89"/>
      <c r="D153" s="64" t="s">
        <v>848</v>
      </c>
      <c r="E153" s="64"/>
      <c r="F153" s="64">
        <v>1.3362056277835861</v>
      </c>
      <c r="G153" s="64">
        <v>3.2323030716827721</v>
      </c>
      <c r="H153" s="64">
        <v>3.2323030716827721</v>
      </c>
      <c r="I153" s="64">
        <v>3.2323030716827721</v>
      </c>
      <c r="J153" s="64"/>
      <c r="K153" s="66">
        <v>1.3362056277835861</v>
      </c>
      <c r="N153" s="89" t="s">
        <v>925</v>
      </c>
      <c r="O153" s="64">
        <v>0.52</v>
      </c>
      <c r="P153" s="64">
        <f t="shared" si="47"/>
        <v>0.48</v>
      </c>
      <c r="Q153" s="64">
        <v>25.6</v>
      </c>
      <c r="R153" s="64">
        <v>25.6</v>
      </c>
      <c r="S153" s="64">
        <v>24.6</v>
      </c>
      <c r="T153" s="64">
        <v>24.6</v>
      </c>
      <c r="U153" s="64">
        <v>24.6</v>
      </c>
      <c r="V153" s="64">
        <v>24.6</v>
      </c>
      <c r="W153" s="66">
        <v>24.6</v>
      </c>
      <c r="Y153" s="89"/>
      <c r="Z153" s="64" t="s">
        <v>920</v>
      </c>
      <c r="AA153" s="64">
        <v>0.78</v>
      </c>
      <c r="AB153" s="64">
        <v>0.66900000000000004</v>
      </c>
      <c r="AC153" s="64">
        <v>0.44600000000000001</v>
      </c>
      <c r="AD153" s="64">
        <v>0.223</v>
      </c>
      <c r="AE153" s="64"/>
      <c r="AF153" s="64"/>
      <c r="AG153" s="66"/>
    </row>
    <row r="154" spans="3:33">
      <c r="C154" s="89"/>
      <c r="D154" s="64" t="s">
        <v>849</v>
      </c>
      <c r="E154" s="64"/>
      <c r="F154" s="64"/>
      <c r="G154" s="64"/>
      <c r="H154" s="64">
        <v>1.3049948239098439</v>
      </c>
      <c r="I154" s="64">
        <v>3.7848876231563371</v>
      </c>
      <c r="J154" s="64">
        <v>9.9426487578723268</v>
      </c>
      <c r="K154" s="66">
        <v>9.9426487578723268</v>
      </c>
      <c r="N154" s="89" t="s">
        <v>926</v>
      </c>
      <c r="O154" s="64">
        <v>0.52</v>
      </c>
      <c r="P154" s="64">
        <f t="shared" si="47"/>
        <v>0.48</v>
      </c>
      <c r="Q154" s="64">
        <v>25.2</v>
      </c>
      <c r="R154" s="64">
        <v>25.2</v>
      </c>
      <c r="S154" s="64">
        <v>24.2</v>
      </c>
      <c r="T154" s="64">
        <v>24.2</v>
      </c>
      <c r="U154" s="64">
        <v>24.2</v>
      </c>
      <c r="V154" s="64">
        <v>24.2</v>
      </c>
      <c r="W154" s="66">
        <v>24.2</v>
      </c>
      <c r="Y154" s="89"/>
      <c r="Z154" s="64" t="s">
        <v>921</v>
      </c>
      <c r="AA154" s="64"/>
      <c r="AB154" s="64"/>
      <c r="AC154" s="64"/>
      <c r="AD154" s="64"/>
      <c r="AE154" s="64"/>
      <c r="AF154" s="64"/>
      <c r="AG154" s="66"/>
    </row>
    <row r="155" spans="3:33">
      <c r="C155" s="89"/>
      <c r="D155" s="64" t="s">
        <v>850</v>
      </c>
      <c r="E155" s="64"/>
      <c r="F155" s="64"/>
      <c r="G155" s="64">
        <v>1.8021787122624391</v>
      </c>
      <c r="H155" s="64">
        <v>1.8021787122624391</v>
      </c>
      <c r="I155" s="64">
        <v>1.8021787122624391</v>
      </c>
      <c r="J155" s="64">
        <v>1.8021787122624391</v>
      </c>
      <c r="K155" s="66">
        <v>1.2084278686701531</v>
      </c>
      <c r="N155" s="89" t="s">
        <v>927</v>
      </c>
      <c r="O155" s="64">
        <v>0.5</v>
      </c>
      <c r="P155" s="64">
        <f t="shared" si="47"/>
        <v>0.5</v>
      </c>
      <c r="Q155" s="64">
        <v>12.244517999999999</v>
      </c>
      <c r="R155" s="64">
        <v>12.244517999999999</v>
      </c>
      <c r="S155" s="64">
        <v>12.244517999999999</v>
      </c>
      <c r="T155" s="64">
        <v>12.244517999999999</v>
      </c>
      <c r="U155" s="64">
        <v>9.4899999999999984</v>
      </c>
      <c r="V155" s="64">
        <v>6.58</v>
      </c>
      <c r="W155" s="66">
        <v>6.58</v>
      </c>
      <c r="Y155" s="89"/>
      <c r="Z155" s="64" t="s">
        <v>1039</v>
      </c>
      <c r="AA155" s="64">
        <v>0.28999999999999998</v>
      </c>
      <c r="AB155" s="64">
        <v>0.48</v>
      </c>
      <c r="AC155" s="64">
        <v>0.48</v>
      </c>
      <c r="AD155" s="64">
        <v>8.2900000000000001E-2</v>
      </c>
      <c r="AE155" s="64"/>
      <c r="AF155" s="64"/>
      <c r="AG155" s="66"/>
    </row>
    <row r="156" spans="3:33">
      <c r="C156" s="89"/>
      <c r="D156" s="64" t="s">
        <v>865</v>
      </c>
      <c r="E156" s="64">
        <v>0.218</v>
      </c>
      <c r="F156" s="64">
        <v>0.23699999999999999</v>
      </c>
      <c r="G156" s="64">
        <v>0.216</v>
      </c>
      <c r="H156" s="64">
        <v>0.19400000000000001</v>
      </c>
      <c r="I156" s="64">
        <v>0.17299999999999999</v>
      </c>
      <c r="J156" s="64">
        <v>0.151</v>
      </c>
      <c r="K156" s="66">
        <v>0.129</v>
      </c>
      <c r="N156" s="89" t="s">
        <v>837</v>
      </c>
      <c r="O156" s="64">
        <v>0.63</v>
      </c>
      <c r="P156" s="64">
        <f t="shared" si="47"/>
        <v>0.37</v>
      </c>
      <c r="Q156" s="64">
        <v>7.4000000000000012</v>
      </c>
      <c r="R156" s="64">
        <v>7.4000000000000012</v>
      </c>
      <c r="S156" s="64">
        <v>7.4000000000000012</v>
      </c>
      <c r="T156" s="64">
        <v>7.400000000000003</v>
      </c>
      <c r="U156" s="64">
        <v>3.7</v>
      </c>
      <c r="V156" s="64"/>
      <c r="W156" s="66"/>
      <c r="Y156" s="89"/>
      <c r="Z156" s="64" t="s">
        <v>835</v>
      </c>
      <c r="AA156" s="64">
        <v>51.3</v>
      </c>
      <c r="AB156" s="64">
        <v>53.500000000000007</v>
      </c>
      <c r="AC156" s="64">
        <v>53.499999999999993</v>
      </c>
      <c r="AD156" s="64">
        <v>53.5</v>
      </c>
      <c r="AE156" s="64">
        <v>24.656081096990452</v>
      </c>
      <c r="AF156" s="64">
        <v>9.33</v>
      </c>
      <c r="AG156" s="66"/>
    </row>
    <row r="157" spans="3:33">
      <c r="C157" s="89"/>
      <c r="D157" s="64" t="s">
        <v>866</v>
      </c>
      <c r="E157" s="64">
        <v>0.74299999999999999</v>
      </c>
      <c r="F157" s="64">
        <v>0.70199999999999996</v>
      </c>
      <c r="G157" s="64">
        <v>0.61899999999999999</v>
      </c>
      <c r="H157" s="64">
        <v>0.53700000000000003</v>
      </c>
      <c r="I157" s="64">
        <v>0.45400000000000001</v>
      </c>
      <c r="J157" s="64">
        <v>0.371</v>
      </c>
      <c r="K157" s="66">
        <v>0.28899999999999998</v>
      </c>
      <c r="N157" s="89" t="s">
        <v>838</v>
      </c>
      <c r="O157" s="64">
        <v>0.63</v>
      </c>
      <c r="P157" s="64">
        <f t="shared" si="47"/>
        <v>0.37</v>
      </c>
      <c r="Q157" s="64">
        <v>17.600000000000001</v>
      </c>
      <c r="R157" s="64">
        <v>17.600000000000001</v>
      </c>
      <c r="S157" s="64">
        <v>17.600000000000001</v>
      </c>
      <c r="T157" s="64">
        <v>17.600000000000001</v>
      </c>
      <c r="U157" s="64">
        <v>17.600000000000009</v>
      </c>
      <c r="V157" s="64">
        <v>17.600000000000001</v>
      </c>
      <c r="W157" s="66">
        <v>13.2</v>
      </c>
      <c r="Y157" s="89"/>
      <c r="Z157" s="64" t="s">
        <v>996</v>
      </c>
      <c r="AA157" s="64">
        <v>3.910000000000001</v>
      </c>
      <c r="AB157" s="64">
        <v>3.910000000000001</v>
      </c>
      <c r="AC157" s="64"/>
      <c r="AD157" s="64"/>
      <c r="AE157" s="64"/>
      <c r="AF157" s="64"/>
      <c r="AG157" s="66"/>
    </row>
    <row r="158" spans="3:33">
      <c r="C158" s="89"/>
      <c r="D158" s="64" t="s">
        <v>867</v>
      </c>
      <c r="E158" s="64"/>
      <c r="F158" s="64">
        <v>5.4610891928003363E-2</v>
      </c>
      <c r="G158" s="64">
        <v>1.011590082587519</v>
      </c>
      <c r="H158" s="64">
        <v>0.87421675889680028</v>
      </c>
      <c r="I158" s="64">
        <v>1.35079706871104</v>
      </c>
      <c r="J158" s="64">
        <v>0.45033619282313803</v>
      </c>
      <c r="K158" s="66">
        <v>0.85484814545140242</v>
      </c>
      <c r="N158" s="89" t="s">
        <v>1000</v>
      </c>
      <c r="O158" s="64">
        <v>0.44</v>
      </c>
      <c r="P158" s="64">
        <f t="shared" si="47"/>
        <v>0.56000000000000005</v>
      </c>
      <c r="Q158" s="64">
        <v>7.1742528000000014</v>
      </c>
      <c r="R158" s="64">
        <v>7.1742528000000014</v>
      </c>
      <c r="S158" s="64">
        <v>7.1742528000000014</v>
      </c>
      <c r="T158" s="64">
        <v>7.1742528000000014</v>
      </c>
      <c r="U158" s="64">
        <v>7.1742528000000014</v>
      </c>
      <c r="V158" s="64">
        <v>7.1742528000000014</v>
      </c>
      <c r="W158" s="66">
        <v>7.1742528000000014</v>
      </c>
      <c r="Y158" s="89"/>
      <c r="Z158" s="64" t="s">
        <v>990</v>
      </c>
      <c r="AA158" s="64">
        <v>4.67</v>
      </c>
      <c r="AB158" s="64">
        <v>4.67</v>
      </c>
      <c r="AC158" s="64">
        <v>3.79</v>
      </c>
      <c r="AD158" s="64">
        <v>3.57</v>
      </c>
      <c r="AE158" s="64"/>
      <c r="AF158" s="64"/>
      <c r="AG158" s="66"/>
    </row>
    <row r="159" spans="3:33">
      <c r="C159" s="89"/>
      <c r="D159" s="64" t="s">
        <v>871</v>
      </c>
      <c r="E159" s="64">
        <v>0.19600000000000001</v>
      </c>
      <c r="F159" s="64">
        <v>0.18499999999999989</v>
      </c>
      <c r="G159" s="64">
        <v>0.16300000000000001</v>
      </c>
      <c r="H159" s="64">
        <v>0.14199999999999999</v>
      </c>
      <c r="I159" s="64">
        <v>0.14599999999999999</v>
      </c>
      <c r="J159" s="64">
        <v>9.8000000000000004E-2</v>
      </c>
      <c r="K159" s="66">
        <v>8.4170081649376158E-2</v>
      </c>
      <c r="N159" s="89" t="s">
        <v>1001</v>
      </c>
      <c r="O159" s="64">
        <v>0.45</v>
      </c>
      <c r="P159" s="64">
        <f t="shared" si="47"/>
        <v>0.55000000000000004</v>
      </c>
      <c r="Q159" s="64">
        <v>0.9500000000000004</v>
      </c>
      <c r="R159" s="64">
        <v>0.95000000000000018</v>
      </c>
      <c r="S159" s="64"/>
      <c r="T159" s="64"/>
      <c r="U159" s="64"/>
      <c r="V159" s="64"/>
      <c r="W159" s="66"/>
      <c r="Y159" s="89"/>
      <c r="Z159" s="64" t="s">
        <v>991</v>
      </c>
      <c r="AA159" s="64">
        <v>5.1599999999999984</v>
      </c>
      <c r="AB159" s="64">
        <v>5.1599999999999984</v>
      </c>
      <c r="AC159" s="64">
        <v>5.1599999999999984</v>
      </c>
      <c r="AD159" s="64">
        <v>5.1599999999999984</v>
      </c>
      <c r="AE159" s="64">
        <v>2.580000000000001</v>
      </c>
      <c r="AF159" s="64"/>
      <c r="AG159" s="66"/>
    </row>
    <row r="160" spans="3:33">
      <c r="C160" s="89"/>
      <c r="D160" s="64" t="s">
        <v>872</v>
      </c>
      <c r="E160" s="64">
        <v>0.59599999999999997</v>
      </c>
      <c r="F160" s="64">
        <v>0.56299999999999994</v>
      </c>
      <c r="G160" s="64">
        <v>0.49699999999999989</v>
      </c>
      <c r="H160" s="64">
        <v>0.43</v>
      </c>
      <c r="I160" s="64">
        <v>0.36399999999999999</v>
      </c>
      <c r="J160" s="64">
        <v>0.29799999999999999</v>
      </c>
      <c r="K160" s="66">
        <v>0.23200000000000001</v>
      </c>
      <c r="N160" s="89" t="s">
        <v>748</v>
      </c>
      <c r="O160" s="64">
        <v>0.79</v>
      </c>
      <c r="P160" s="64">
        <f t="shared" si="47"/>
        <v>0.20999999999999996</v>
      </c>
      <c r="Q160" s="64">
        <v>16.899999999999999</v>
      </c>
      <c r="R160" s="64">
        <v>16.899999999999999</v>
      </c>
      <c r="S160" s="64">
        <v>16.399999999999999</v>
      </c>
      <c r="T160" s="64">
        <v>8.5938074952776056</v>
      </c>
      <c r="U160" s="64">
        <v>13.3</v>
      </c>
      <c r="V160" s="64">
        <v>12.7</v>
      </c>
      <c r="W160" s="66">
        <v>12.7</v>
      </c>
      <c r="Y160" s="89"/>
      <c r="Z160" s="64" t="s">
        <v>1006</v>
      </c>
      <c r="AA160" s="64">
        <v>19.3</v>
      </c>
      <c r="AB160" s="64">
        <v>19.48552234521604</v>
      </c>
      <c r="AC160" s="64">
        <v>16.8</v>
      </c>
      <c r="AD160" s="64">
        <v>12.9</v>
      </c>
      <c r="AE160" s="64">
        <v>13.5</v>
      </c>
      <c r="AF160" s="64">
        <v>10.7</v>
      </c>
      <c r="AG160" s="66">
        <v>8.44</v>
      </c>
    </row>
    <row r="161" spans="3:33">
      <c r="C161" s="89"/>
      <c r="D161" s="64" t="s">
        <v>868</v>
      </c>
      <c r="E161" s="64">
        <v>4.4899999999999989E-2</v>
      </c>
      <c r="F161" s="64">
        <v>4.2899999999999987E-2</v>
      </c>
      <c r="G161" s="64">
        <v>3.9000000000000007E-2</v>
      </c>
      <c r="H161" s="64">
        <v>3.5100000000000013E-2</v>
      </c>
      <c r="I161" s="64">
        <v>3.1199999999999999E-2</v>
      </c>
      <c r="J161" s="64">
        <v>2.7300000000000001E-2</v>
      </c>
      <c r="K161" s="66">
        <v>2.3400000000000011E-2</v>
      </c>
      <c r="N161" s="89" t="s">
        <v>1002</v>
      </c>
      <c r="O161" s="64">
        <v>0.47</v>
      </c>
      <c r="P161" s="64">
        <f t="shared" si="47"/>
        <v>0.53</v>
      </c>
      <c r="Q161" s="64">
        <v>2.98</v>
      </c>
      <c r="R161" s="64">
        <v>2.98</v>
      </c>
      <c r="S161" s="64">
        <v>1.92</v>
      </c>
      <c r="T161" s="64">
        <v>0.49999999999999989</v>
      </c>
      <c r="U161" s="64">
        <v>0.49999999999999989</v>
      </c>
      <c r="V161" s="64"/>
      <c r="W161" s="66"/>
      <c r="Y161" s="89"/>
      <c r="Z161" s="64" t="s">
        <v>1040</v>
      </c>
      <c r="AA161" s="64"/>
      <c r="AB161" s="64"/>
      <c r="AC161" s="64"/>
      <c r="AD161" s="64"/>
      <c r="AE161" s="64"/>
      <c r="AF161" s="64"/>
      <c r="AG161" s="66"/>
    </row>
    <row r="162" spans="3:33">
      <c r="C162" s="89"/>
      <c r="D162" s="64" t="s">
        <v>869</v>
      </c>
      <c r="E162" s="64">
        <v>5.9499999999999997E-2</v>
      </c>
      <c r="F162" s="64">
        <v>5.6899999999999999E-2</v>
      </c>
      <c r="G162" s="64">
        <v>5.1700000000000003E-2</v>
      </c>
      <c r="H162" s="64">
        <v>4.6600000000000009E-2</v>
      </c>
      <c r="I162" s="64">
        <v>4.1399999999999992E-2</v>
      </c>
      <c r="J162" s="64">
        <v>3.620000000000001E-2</v>
      </c>
      <c r="K162" s="66">
        <v>3.1E-2</v>
      </c>
      <c r="N162" s="89" t="s">
        <v>928</v>
      </c>
      <c r="O162" s="64">
        <v>0.8</v>
      </c>
      <c r="P162" s="64">
        <f t="shared" si="47"/>
        <v>0.19999999999999996</v>
      </c>
      <c r="Q162" s="64">
        <v>51.157314000000007</v>
      </c>
      <c r="R162" s="64">
        <v>51.157313999999992</v>
      </c>
      <c r="S162" s="64">
        <v>51.157314000000007</v>
      </c>
      <c r="T162" s="64">
        <v>58.874979913043482</v>
      </c>
      <c r="U162" s="64">
        <v>66.663264991304345</v>
      </c>
      <c r="V162" s="64">
        <v>66.663264991304345</v>
      </c>
      <c r="W162" s="66">
        <v>66.663264991304374</v>
      </c>
      <c r="Y162" s="89"/>
      <c r="Z162" s="64" t="s">
        <v>1041</v>
      </c>
      <c r="AA162" s="64">
        <v>10.7</v>
      </c>
      <c r="AB162" s="64">
        <v>10.802142</v>
      </c>
      <c r="AC162" s="64">
        <v>10.802142</v>
      </c>
      <c r="AD162" s="64">
        <v>10.802142</v>
      </c>
      <c r="AE162" s="64">
        <v>9.3699999999999974</v>
      </c>
      <c r="AF162" s="64">
        <v>7.17</v>
      </c>
      <c r="AG162" s="66">
        <v>6.799999999999998</v>
      </c>
    </row>
    <row r="163" spans="3:33">
      <c r="C163" s="89"/>
      <c r="D163" s="64" t="s">
        <v>870</v>
      </c>
      <c r="E163" s="64">
        <v>34.9</v>
      </c>
      <c r="F163" s="64">
        <v>31</v>
      </c>
      <c r="G163" s="64">
        <v>23.3</v>
      </c>
      <c r="H163" s="64">
        <v>15.5</v>
      </c>
      <c r="I163" s="64">
        <v>7.7600000000000007</v>
      </c>
      <c r="J163" s="64"/>
      <c r="K163" s="66"/>
      <c r="N163" s="89" t="s">
        <v>929</v>
      </c>
      <c r="O163" s="64">
        <v>0.52</v>
      </c>
      <c r="P163" s="64">
        <f t="shared" si="47"/>
        <v>0.48</v>
      </c>
      <c r="Q163" s="64">
        <v>1.8813599999999999</v>
      </c>
      <c r="R163" s="64">
        <v>1.8813599999999999</v>
      </c>
      <c r="S163" s="64">
        <v>1.8813599999999999</v>
      </c>
      <c r="T163" s="64">
        <v>1.8813599999999999</v>
      </c>
      <c r="U163" s="64">
        <v>1.8813599999999999</v>
      </c>
      <c r="V163" s="64">
        <v>1.8813599999999999</v>
      </c>
      <c r="W163" s="66">
        <v>1.8813599999999999</v>
      </c>
      <c r="Y163" s="89"/>
      <c r="Z163" s="64" t="s">
        <v>1019</v>
      </c>
      <c r="AA163" s="64">
        <v>34.899999999999991</v>
      </c>
      <c r="AB163" s="64">
        <v>34.899999999999991</v>
      </c>
      <c r="AC163" s="64">
        <v>35.100000000000023</v>
      </c>
      <c r="AD163" s="64">
        <v>35.100000000000023</v>
      </c>
      <c r="AE163" s="64">
        <v>38.899999999999977</v>
      </c>
      <c r="AF163" s="64">
        <v>39.399999999999977</v>
      </c>
      <c r="AG163" s="66">
        <v>39.999999999999993</v>
      </c>
    </row>
    <row r="164" spans="3:33">
      <c r="C164" s="89"/>
      <c r="D164" s="64" t="s">
        <v>873</v>
      </c>
      <c r="E164" s="64">
        <f>SUM(E149:E163)</f>
        <v>46.700400000000002</v>
      </c>
      <c r="F164" s="64">
        <f t="shared" ref="F164:K164" si="48">SUM(F149:F163)</f>
        <v>43.89461651971159</v>
      </c>
      <c r="G164" s="64">
        <f t="shared" si="48"/>
        <v>39.681771866532728</v>
      </c>
      <c r="H164" s="64">
        <f t="shared" si="48"/>
        <v>32.05139336675186</v>
      </c>
      <c r="I164" s="64">
        <f t="shared" si="48"/>
        <v>26.205766475812588</v>
      </c>
      <c r="J164" s="64">
        <f t="shared" si="48"/>
        <v>18.924755476601309</v>
      </c>
      <c r="K164" s="66">
        <f t="shared" si="48"/>
        <v>19.436700481426843</v>
      </c>
      <c r="N164" s="89" t="s">
        <v>1003</v>
      </c>
      <c r="O164" s="64">
        <v>0.67</v>
      </c>
      <c r="P164" s="64">
        <f t="shared" si="47"/>
        <v>0.32999999999999996</v>
      </c>
      <c r="Q164" s="64">
        <v>5.6008360769637289</v>
      </c>
      <c r="R164" s="64">
        <v>5.6008360769637289</v>
      </c>
      <c r="S164" s="64">
        <v>0.90574720000000164</v>
      </c>
      <c r="T164" s="64">
        <v>1.436523896379222</v>
      </c>
      <c r="U164" s="64">
        <v>1.9857472</v>
      </c>
      <c r="V164" s="64">
        <v>2.5257471999999992</v>
      </c>
      <c r="W164" s="66">
        <v>2.0878823966881241</v>
      </c>
      <c r="Y164" s="89"/>
      <c r="Z164" s="64" t="s">
        <v>1020</v>
      </c>
      <c r="AA164" s="64">
        <v>26.6</v>
      </c>
      <c r="AB164" s="64">
        <v>26.6</v>
      </c>
      <c r="AC164" s="64">
        <v>28.3</v>
      </c>
      <c r="AD164" s="64">
        <v>28.3</v>
      </c>
      <c r="AE164" s="64">
        <v>27.2</v>
      </c>
      <c r="AF164" s="64">
        <v>27.8</v>
      </c>
      <c r="AG164" s="66">
        <v>28.3</v>
      </c>
    </row>
    <row r="165" spans="3:33">
      <c r="C165" s="89"/>
      <c r="D165" s="64" t="s">
        <v>874</v>
      </c>
      <c r="E165" s="64">
        <v>0.61</v>
      </c>
      <c r="F165" s="64">
        <v>0.57599999999999985</v>
      </c>
      <c r="G165" s="64">
        <v>0.50800000000000001</v>
      </c>
      <c r="H165" s="64">
        <v>0.44100000000000011</v>
      </c>
      <c r="I165" s="64">
        <v>0.37300000000000011</v>
      </c>
      <c r="J165" s="64">
        <v>0.30499999999999999</v>
      </c>
      <c r="K165" s="66">
        <v>0.23699999999999999</v>
      </c>
      <c r="N165" s="89" t="s">
        <v>1051</v>
      </c>
      <c r="O165" s="64">
        <v>0.42</v>
      </c>
      <c r="P165" s="64">
        <f t="shared" si="47"/>
        <v>0.58000000000000007</v>
      </c>
      <c r="Q165" s="64"/>
      <c r="R165" s="64"/>
      <c r="S165" s="64"/>
      <c r="T165" s="64"/>
      <c r="U165" s="64"/>
      <c r="V165" s="64"/>
      <c r="W165" s="66"/>
      <c r="Y165" s="89"/>
      <c r="Z165" s="64" t="s">
        <v>1021</v>
      </c>
      <c r="AA165" s="64">
        <v>85.1</v>
      </c>
      <c r="AB165" s="64">
        <v>88.499999999999986</v>
      </c>
      <c r="AC165" s="64">
        <v>92.59999999999998</v>
      </c>
      <c r="AD165" s="64">
        <v>92.59999999999998</v>
      </c>
      <c r="AE165" s="64">
        <v>92</v>
      </c>
      <c r="AF165" s="64">
        <v>92.59999999999998</v>
      </c>
      <c r="AG165" s="66">
        <v>93.2</v>
      </c>
    </row>
    <row r="166" spans="3:33">
      <c r="C166" s="89"/>
      <c r="D166" s="64" t="s">
        <v>875</v>
      </c>
      <c r="E166" s="64">
        <v>8.2300000000000022</v>
      </c>
      <c r="F166" s="64">
        <v>7.77</v>
      </c>
      <c r="G166" s="64">
        <v>6.86</v>
      </c>
      <c r="H166" s="64">
        <v>5.9400000000000013</v>
      </c>
      <c r="I166" s="64">
        <v>5.03</v>
      </c>
      <c r="J166" s="64">
        <v>4.12</v>
      </c>
      <c r="K166" s="66">
        <v>3.2</v>
      </c>
      <c r="N166" s="89" t="s">
        <v>1052</v>
      </c>
      <c r="O166" s="64">
        <v>0.71</v>
      </c>
      <c r="P166" s="64">
        <f t="shared" si="47"/>
        <v>0.29000000000000004</v>
      </c>
      <c r="Q166" s="64"/>
      <c r="R166" s="64"/>
      <c r="S166" s="64"/>
      <c r="T166" s="64"/>
      <c r="U166" s="64"/>
      <c r="V166" s="64"/>
      <c r="W166" s="66"/>
      <c r="Y166" s="89"/>
      <c r="Z166" s="64" t="s">
        <v>749</v>
      </c>
      <c r="AA166" s="64">
        <v>17.559360000000002</v>
      </c>
      <c r="AB166" s="64">
        <v>17.559360000000002</v>
      </c>
      <c r="AC166" s="64">
        <v>17.559360000000002</v>
      </c>
      <c r="AD166" s="64">
        <v>17.559360000000002</v>
      </c>
      <c r="AE166" s="64">
        <v>17.559360000000002</v>
      </c>
      <c r="AF166" s="64">
        <v>17.559360000000002</v>
      </c>
      <c r="AG166" s="66">
        <v>17.559360000000002</v>
      </c>
    </row>
    <row r="167" spans="3:33">
      <c r="C167" s="89"/>
      <c r="D167" s="64" t="s">
        <v>876</v>
      </c>
      <c r="E167" s="64">
        <v>16.399999999999999</v>
      </c>
      <c r="F167" s="64">
        <v>15.5</v>
      </c>
      <c r="G167" s="64">
        <v>13.7</v>
      </c>
      <c r="H167" s="64">
        <v>11.8</v>
      </c>
      <c r="I167" s="64">
        <v>10</v>
      </c>
      <c r="J167" s="64">
        <v>8.1999999999999993</v>
      </c>
      <c r="K167" s="66">
        <v>6.38</v>
      </c>
      <c r="N167" s="89" t="s">
        <v>930</v>
      </c>
      <c r="O167" s="64">
        <v>0.2</v>
      </c>
      <c r="P167" s="64">
        <f t="shared" si="47"/>
        <v>0.8</v>
      </c>
      <c r="Q167" s="64">
        <v>12.960439710894621</v>
      </c>
      <c r="R167" s="64">
        <v>12.960439710894621</v>
      </c>
      <c r="S167" s="64">
        <v>12.960439710894621</v>
      </c>
      <c r="T167" s="64">
        <v>12.960439710894629</v>
      </c>
      <c r="U167" s="64">
        <v>12.960439710894629</v>
      </c>
      <c r="V167" s="64">
        <v>12.960439710894629</v>
      </c>
      <c r="W167" s="66">
        <v>12.960439710894621</v>
      </c>
      <c r="Y167" s="89"/>
      <c r="Z167" s="64" t="s">
        <v>1042</v>
      </c>
      <c r="AA167" s="64"/>
      <c r="AB167" s="64"/>
      <c r="AC167" s="64"/>
      <c r="AD167" s="64"/>
      <c r="AE167" s="64"/>
      <c r="AF167" s="64"/>
      <c r="AG167" s="66"/>
    </row>
    <row r="168" spans="3:33">
      <c r="C168" s="89"/>
      <c r="D168" s="64" t="s">
        <v>877</v>
      </c>
      <c r="E168" s="64">
        <v>25.8</v>
      </c>
      <c r="F168" s="64">
        <v>24.4</v>
      </c>
      <c r="G168" s="64">
        <v>21.5</v>
      </c>
      <c r="H168" s="64">
        <v>18.600000000000001</v>
      </c>
      <c r="I168" s="64">
        <v>15.8</v>
      </c>
      <c r="J168" s="64">
        <v>12.9</v>
      </c>
      <c r="K168" s="66">
        <v>10</v>
      </c>
      <c r="N168" s="90" t="s">
        <v>1053</v>
      </c>
      <c r="O168" s="80">
        <v>0.28000000000000003</v>
      </c>
      <c r="P168" s="80">
        <f t="shared" si="47"/>
        <v>0.72</v>
      </c>
      <c r="Q168" s="80"/>
      <c r="R168" s="80"/>
      <c r="S168" s="80"/>
      <c r="T168" s="80"/>
      <c r="U168" s="80"/>
      <c r="V168" s="80"/>
      <c r="W168" s="81"/>
      <c r="Y168" s="89"/>
      <c r="Z168" s="64" t="s">
        <v>1043</v>
      </c>
      <c r="AA168" s="64">
        <v>2.8999999999999959</v>
      </c>
      <c r="AB168" s="64">
        <v>11.02288824</v>
      </c>
      <c r="AC168" s="64">
        <v>11.02288824</v>
      </c>
      <c r="AD168" s="64">
        <v>11.02288824</v>
      </c>
      <c r="AE168" s="64">
        <v>11.02288824</v>
      </c>
      <c r="AF168" s="64">
        <v>11.02288824</v>
      </c>
      <c r="AG168" s="66">
        <v>11.02288824</v>
      </c>
    </row>
    <row r="169" spans="3:33">
      <c r="C169" s="89"/>
      <c r="D169" s="64" t="s">
        <v>818</v>
      </c>
      <c r="E169" s="64">
        <v>1.1000000000000001</v>
      </c>
      <c r="F169" s="64">
        <v>4.5834016846388188</v>
      </c>
      <c r="G169" s="64">
        <v>0.91699999999999993</v>
      </c>
      <c r="H169" s="64">
        <v>23.759602695452671</v>
      </c>
      <c r="I169" s="64">
        <v>33.006634195253582</v>
      </c>
      <c r="J169" s="64">
        <v>0.55000000000000016</v>
      </c>
      <c r="K169" s="66">
        <v>50.555632486882303</v>
      </c>
      <c r="O169" s="64"/>
      <c r="Y169" s="89"/>
      <c r="Z169" s="64" t="s">
        <v>1044</v>
      </c>
      <c r="AA169" s="64"/>
      <c r="AB169" s="64"/>
      <c r="AC169" s="64"/>
      <c r="AD169" s="64"/>
      <c r="AE169" s="64"/>
      <c r="AF169" s="64"/>
      <c r="AG169" s="66"/>
    </row>
    <row r="170" spans="3:33">
      <c r="C170" s="89"/>
      <c r="D170" s="64" t="s">
        <v>819</v>
      </c>
      <c r="E170" s="64">
        <v>5.92</v>
      </c>
      <c r="F170" s="64">
        <v>5.59</v>
      </c>
      <c r="G170" s="64">
        <v>13.480472952185179</v>
      </c>
      <c r="H170" s="64">
        <v>4.28</v>
      </c>
      <c r="I170" s="64">
        <v>3.620000000000001</v>
      </c>
      <c r="J170" s="64">
        <v>44.010983795244108</v>
      </c>
      <c r="K170" s="66">
        <v>2.2999999999999998</v>
      </c>
      <c r="O170" s="64"/>
      <c r="Y170" s="89"/>
      <c r="Z170" s="64" t="s">
        <v>1045</v>
      </c>
      <c r="AA170" s="64"/>
      <c r="AB170" s="64"/>
      <c r="AC170" s="64"/>
      <c r="AD170" s="64"/>
      <c r="AE170" s="64"/>
      <c r="AF170" s="64"/>
      <c r="AG170" s="66"/>
    </row>
    <row r="171" spans="3:33">
      <c r="C171" s="89"/>
      <c r="D171" s="64" t="s">
        <v>820</v>
      </c>
      <c r="E171" s="64">
        <v>118</v>
      </c>
      <c r="F171" s="64">
        <v>111</v>
      </c>
      <c r="G171" s="64">
        <v>98.300000000000011</v>
      </c>
      <c r="H171" s="64">
        <v>85.199999999999989</v>
      </c>
      <c r="I171" s="64">
        <v>72.099999999999994</v>
      </c>
      <c r="J171" s="64">
        <v>59.000000000000007</v>
      </c>
      <c r="K171" s="66">
        <v>45.900000000000013</v>
      </c>
      <c r="O171" s="64"/>
      <c r="Y171" s="89"/>
      <c r="Z171" s="64" t="s">
        <v>1046</v>
      </c>
      <c r="AA171" s="64"/>
      <c r="AB171" s="64"/>
      <c r="AC171" s="64"/>
      <c r="AD171" s="64"/>
      <c r="AE171" s="64"/>
      <c r="AF171" s="64"/>
      <c r="AG171" s="66"/>
    </row>
    <row r="172" spans="3:33">
      <c r="C172" s="89"/>
      <c r="D172" s="64" t="s">
        <v>821</v>
      </c>
      <c r="E172" s="64">
        <v>18.399999999999999</v>
      </c>
      <c r="F172" s="64">
        <v>17.399999999999999</v>
      </c>
      <c r="G172" s="64">
        <v>15.3</v>
      </c>
      <c r="H172" s="64">
        <v>13.3</v>
      </c>
      <c r="I172" s="64">
        <v>11.2</v>
      </c>
      <c r="J172" s="64">
        <v>9.2000000000000011</v>
      </c>
      <c r="K172" s="66">
        <v>7.16</v>
      </c>
      <c r="Y172" s="89"/>
      <c r="Z172" s="64" t="s">
        <v>1047</v>
      </c>
      <c r="AA172" s="64"/>
      <c r="AB172" s="64"/>
      <c r="AC172" s="64"/>
      <c r="AD172" s="64"/>
      <c r="AE172" s="64"/>
      <c r="AF172" s="64"/>
      <c r="AG172" s="66"/>
    </row>
    <row r="173" spans="3:33">
      <c r="C173" s="89"/>
      <c r="D173" s="64" t="s">
        <v>878</v>
      </c>
      <c r="E173" s="64">
        <v>3.9643628874954651</v>
      </c>
      <c r="F173" s="64">
        <v>3.9643628874954651</v>
      </c>
      <c r="G173" s="64">
        <v>35.842086273294477</v>
      </c>
      <c r="H173" s="64">
        <v>42.325473984131293</v>
      </c>
      <c r="I173" s="64">
        <v>70.477362180151616</v>
      </c>
      <c r="J173" s="64">
        <v>84.137573128899959</v>
      </c>
      <c r="K173" s="66">
        <v>121.7982621478549</v>
      </c>
      <c r="Y173" s="89"/>
      <c r="Z173" s="64" t="s">
        <v>836</v>
      </c>
      <c r="AA173" s="64">
        <v>46.40113581038591</v>
      </c>
      <c r="AB173" s="64">
        <v>85.491057219725903</v>
      </c>
      <c r="AC173" s="64">
        <v>85.491057219725903</v>
      </c>
      <c r="AD173" s="64">
        <v>85.491057219725903</v>
      </c>
      <c r="AE173" s="64">
        <v>85.491057219725903</v>
      </c>
      <c r="AF173" s="64">
        <v>77.002221671513155</v>
      </c>
      <c r="AG173" s="66">
        <v>73.634541155427243</v>
      </c>
    </row>
    <row r="174" spans="3:33">
      <c r="C174" s="89"/>
      <c r="D174" s="64" t="s">
        <v>879</v>
      </c>
      <c r="E174" s="64">
        <v>0.45823884080974531</v>
      </c>
      <c r="F174" s="64">
        <v>0.45823884080974531</v>
      </c>
      <c r="G174" s="64"/>
      <c r="H174" s="64">
        <v>0.45823884080974531</v>
      </c>
      <c r="I174" s="64">
        <v>2.9742151690435392</v>
      </c>
      <c r="J174" s="64">
        <v>2.9742151690435379</v>
      </c>
      <c r="K174" s="66">
        <v>2.9469817935392411</v>
      </c>
      <c r="Y174" s="89"/>
      <c r="Z174" s="64" t="s">
        <v>995</v>
      </c>
      <c r="AA174" s="64">
        <v>3.7199999999999997E-2</v>
      </c>
      <c r="AB174" s="64"/>
      <c r="AC174" s="64"/>
      <c r="AD174" s="64"/>
      <c r="AE174" s="64"/>
      <c r="AF174" s="64"/>
      <c r="AG174" s="66"/>
    </row>
    <row r="175" spans="3:33">
      <c r="C175" s="89"/>
      <c r="D175" s="64" t="s">
        <v>880</v>
      </c>
      <c r="E175" s="64"/>
      <c r="F175" s="64"/>
      <c r="G175" s="64"/>
      <c r="H175" s="64"/>
      <c r="I175" s="64"/>
      <c r="J175" s="64"/>
      <c r="K175" s="66"/>
      <c r="Y175" s="89"/>
      <c r="Z175" s="64" t="s">
        <v>992</v>
      </c>
      <c r="AA175" s="64">
        <v>2.5569995952435072</v>
      </c>
      <c r="AB175" s="64">
        <v>2.5569995952435089</v>
      </c>
      <c r="AC175" s="64">
        <v>2.5569995952435152</v>
      </c>
      <c r="AD175" s="64">
        <v>2.5569995952435072</v>
      </c>
      <c r="AE175" s="64">
        <v>7.2028073756053983</v>
      </c>
      <c r="AF175" s="64">
        <v>7.2028073756053992</v>
      </c>
      <c r="AG175" s="66">
        <v>7.202807375605401</v>
      </c>
    </row>
    <row r="176" spans="3:33">
      <c r="C176" s="89"/>
      <c r="D176" s="64" t="s">
        <v>881</v>
      </c>
      <c r="E176" s="64"/>
      <c r="F176" s="64"/>
      <c r="G176" s="64"/>
      <c r="H176" s="64"/>
      <c r="I176" s="64"/>
      <c r="J176" s="64"/>
      <c r="K176" s="66"/>
      <c r="Y176" s="89"/>
      <c r="Z176" s="64" t="s">
        <v>993</v>
      </c>
      <c r="AA176" s="64"/>
      <c r="AB176" s="64">
        <v>1.0614208713272519</v>
      </c>
      <c r="AC176" s="64">
        <v>4.2895008000000008</v>
      </c>
      <c r="AD176" s="64">
        <v>4.2895008000000008</v>
      </c>
      <c r="AE176" s="64">
        <v>4.8256884000000024</v>
      </c>
      <c r="AF176" s="64">
        <v>5.0937822000000006</v>
      </c>
      <c r="AG176" s="66">
        <v>5.0937822000000006</v>
      </c>
    </row>
    <row r="177" spans="3:33">
      <c r="C177" s="89"/>
      <c r="D177" s="64" t="s">
        <v>847</v>
      </c>
      <c r="E177" s="64">
        <v>5.3225188356368127</v>
      </c>
      <c r="F177" s="64">
        <v>5.4492612104175642</v>
      </c>
      <c r="G177" s="64">
        <v>6.6213494705666864</v>
      </c>
      <c r="H177" s="64">
        <v>6.8265930903372398</v>
      </c>
      <c r="I177" s="64">
        <v>6.8547246588545852</v>
      </c>
      <c r="J177" s="64">
        <v>33.389920553668553</v>
      </c>
      <c r="K177" s="66">
        <v>33.418052122185898</v>
      </c>
      <c r="Y177" s="89"/>
      <c r="Z177" s="64" t="s">
        <v>994</v>
      </c>
      <c r="AA177" s="64"/>
      <c r="AB177" s="64"/>
      <c r="AC177" s="64"/>
      <c r="AD177" s="64"/>
      <c r="AE177" s="64"/>
      <c r="AF177" s="64"/>
      <c r="AG177" s="66"/>
    </row>
    <row r="178" spans="3:33">
      <c r="C178" s="90"/>
      <c r="D178" s="80" t="s">
        <v>882</v>
      </c>
      <c r="E178" s="80">
        <f>SUM(E165:E176)</f>
        <v>198.88260172830522</v>
      </c>
      <c r="F178" s="80">
        <f t="shared" ref="F178:K178" si="49">SUM(F165:F176)</f>
        <v>191.24200341294403</v>
      </c>
      <c r="G178" s="80">
        <f t="shared" si="49"/>
        <v>206.40755922547967</v>
      </c>
      <c r="H178" s="80">
        <f t="shared" si="49"/>
        <v>206.10431552039373</v>
      </c>
      <c r="I178" s="80">
        <f t="shared" si="49"/>
        <v>224.58121154444871</v>
      </c>
      <c r="J178" s="80">
        <f t="shared" si="49"/>
        <v>225.3977720931876</v>
      </c>
      <c r="K178" s="81">
        <f t="shared" si="49"/>
        <v>250.47787642827646</v>
      </c>
      <c r="Y178" s="89"/>
      <c r="Z178" s="64" t="s">
        <v>750</v>
      </c>
      <c r="AA178" s="64"/>
      <c r="AB178" s="64">
        <v>15.83140830800405</v>
      </c>
      <c r="AC178" s="64">
        <v>69.124328823850277</v>
      </c>
      <c r="AD178" s="64">
        <v>69.124328823850277</v>
      </c>
      <c r="AE178" s="64">
        <v>72.026579834062787</v>
      </c>
      <c r="AF178" s="64">
        <v>72.026579834062787</v>
      </c>
      <c r="AG178" s="66">
        <v>72.026579834062787</v>
      </c>
    </row>
    <row r="179" spans="3:33">
      <c r="C179" s="91" t="s">
        <v>883</v>
      </c>
      <c r="D179" s="58" t="s">
        <v>884</v>
      </c>
      <c r="E179" s="58">
        <v>0.65541741293532585</v>
      </c>
      <c r="F179" s="58">
        <v>0.621</v>
      </c>
      <c r="G179" s="58">
        <v>0.51800000000000002</v>
      </c>
      <c r="H179" s="58">
        <v>0.41399999999999998</v>
      </c>
      <c r="I179" s="58">
        <v>0.31099999999999989</v>
      </c>
      <c r="J179" s="58">
        <v>0.20699999999999999</v>
      </c>
      <c r="K179" s="59">
        <v>0.104</v>
      </c>
      <c r="Y179" s="89"/>
      <c r="Z179" s="64" t="s">
        <v>1048</v>
      </c>
      <c r="AA179" s="64"/>
      <c r="AB179" s="64"/>
      <c r="AC179" s="64">
        <v>6.8400000000000007</v>
      </c>
      <c r="AD179" s="64">
        <v>67.900000000000006</v>
      </c>
      <c r="AE179" s="64">
        <v>67.900000000000006</v>
      </c>
      <c r="AF179" s="64">
        <v>67.900000000000006</v>
      </c>
      <c r="AG179" s="66">
        <v>67.900000000000006</v>
      </c>
    </row>
    <row r="180" spans="3:33">
      <c r="C180" s="89"/>
      <c r="D180" s="64" t="s">
        <v>885</v>
      </c>
      <c r="E180" s="64"/>
      <c r="F180" s="64">
        <v>3.1172772277228481E-2</v>
      </c>
      <c r="G180" s="64">
        <v>0.1277789215686306</v>
      </c>
      <c r="H180" s="64">
        <v>0.22550922330097009</v>
      </c>
      <c r="I180" s="64">
        <v>0.32236009615384742</v>
      </c>
      <c r="J180" s="64">
        <v>0.43957335973140738</v>
      </c>
      <c r="K180" s="66">
        <v>0.56070219393931331</v>
      </c>
      <c r="Y180" s="89"/>
      <c r="Z180" s="64" t="s">
        <v>1049</v>
      </c>
      <c r="AA180" s="64"/>
      <c r="AB180" s="64"/>
      <c r="AC180" s="64"/>
      <c r="AD180" s="64"/>
      <c r="AE180" s="64">
        <v>5.8999999999999906</v>
      </c>
      <c r="AF180" s="64">
        <v>11.69999999999999</v>
      </c>
      <c r="AG180" s="66">
        <v>28.399999999999991</v>
      </c>
    </row>
    <row r="181" spans="3:33" ht="18">
      <c r="C181" s="89"/>
      <c r="D181" s="64" t="s">
        <v>886</v>
      </c>
      <c r="E181" s="64">
        <v>1010</v>
      </c>
      <c r="F181" s="64">
        <v>932</v>
      </c>
      <c r="G181" s="64">
        <v>776.99999999999977</v>
      </c>
      <c r="H181" s="64">
        <v>622.00000000000011</v>
      </c>
      <c r="I181" s="64">
        <v>466.00000000000011</v>
      </c>
      <c r="J181" s="64">
        <v>310.99999999999989</v>
      </c>
      <c r="K181" s="66">
        <v>155</v>
      </c>
      <c r="M181" s="2"/>
      <c r="N181" s="2"/>
      <c r="O181" s="2"/>
      <c r="P181" s="133" t="s">
        <v>742</v>
      </c>
      <c r="Q181" s="133"/>
      <c r="R181" s="133"/>
      <c r="S181" s="133"/>
      <c r="T181" s="133"/>
      <c r="U181" s="133"/>
      <c r="V181" s="133"/>
      <c r="Y181" s="89"/>
      <c r="Z181" s="64" t="s">
        <v>998</v>
      </c>
      <c r="AA181" s="64">
        <v>0.6170874450159114</v>
      </c>
      <c r="AB181" s="64">
        <v>0.61708744501591151</v>
      </c>
      <c r="AC181" s="64">
        <v>4.4042843450443234</v>
      </c>
      <c r="AD181" s="64">
        <v>4.527068390759065</v>
      </c>
      <c r="AE181" s="64">
        <v>4.7751043234057127</v>
      </c>
      <c r="AF181" s="64">
        <v>4.9658779108814386</v>
      </c>
      <c r="AG181" s="66">
        <v>4.6684830142945337</v>
      </c>
    </row>
    <row r="182" spans="3:33" ht="19">
      <c r="C182" s="89"/>
      <c r="D182" s="64" t="s">
        <v>887</v>
      </c>
      <c r="E182" s="64">
        <v>95.652582582415008</v>
      </c>
      <c r="F182" s="64">
        <v>164.90214196165371</v>
      </c>
      <c r="G182" s="64">
        <v>241.03287328397201</v>
      </c>
      <c r="H182" s="64">
        <v>363.27277147471341</v>
      </c>
      <c r="I182" s="64">
        <v>492.43645960444428</v>
      </c>
      <c r="J182" s="64">
        <v>659.68295647064883</v>
      </c>
      <c r="K182" s="66">
        <v>827.39586561358522</v>
      </c>
      <c r="M182" s="29" t="s">
        <v>740</v>
      </c>
      <c r="N182" s="29" t="s">
        <v>738</v>
      </c>
      <c r="O182" s="2" t="s">
        <v>737</v>
      </c>
      <c r="P182" s="2">
        <v>2007</v>
      </c>
      <c r="Q182" s="41">
        <f>P182+1</f>
        <v>2008</v>
      </c>
      <c r="R182" s="2">
        <v>2010</v>
      </c>
      <c r="S182" s="2">
        <v>2012</v>
      </c>
      <c r="T182" s="2">
        <f>S182+2</f>
        <v>2014</v>
      </c>
      <c r="U182" s="2">
        <f>T182+2</f>
        <v>2016</v>
      </c>
      <c r="V182" s="2">
        <f>U182+2</f>
        <v>2018</v>
      </c>
      <c r="Y182" s="89"/>
      <c r="Z182" s="64" t="s">
        <v>1050</v>
      </c>
      <c r="AA182" s="64">
        <f>SUM(AA147:AA181)</f>
        <v>746.78443615608285</v>
      </c>
      <c r="AB182" s="64"/>
      <c r="AC182" s="64"/>
      <c r="AD182" s="64"/>
      <c r="AE182" s="64"/>
      <c r="AF182" s="64"/>
      <c r="AG182" s="66"/>
    </row>
    <row r="183" spans="3:33" ht="18">
      <c r="C183" s="89"/>
      <c r="D183" s="64" t="s">
        <v>888</v>
      </c>
      <c r="E183" s="64">
        <v>532.00000000000011</v>
      </c>
      <c r="F183" s="64">
        <v>491.00000000000011</v>
      </c>
      <c r="G183" s="64">
        <v>408.99999999999989</v>
      </c>
      <c r="H183" s="64">
        <v>326.99999999999989</v>
      </c>
      <c r="I183" s="64">
        <v>245.99999999999989</v>
      </c>
      <c r="J183" s="64">
        <v>164</v>
      </c>
      <c r="K183" s="66">
        <v>81.799999999999969</v>
      </c>
      <c r="M183" s="116" t="s">
        <v>39</v>
      </c>
      <c r="N183" s="91" t="s">
        <v>0</v>
      </c>
      <c r="O183" s="58" t="s">
        <v>839</v>
      </c>
      <c r="P183" s="58">
        <f>$P$150*Q150</f>
        <v>10.725</v>
      </c>
      <c r="Q183" s="58">
        <f t="shared" ref="Q183:V183" si="50">$P$150*R150</f>
        <v>10.725</v>
      </c>
      <c r="R183" s="58">
        <f t="shared" si="50"/>
        <v>10.725</v>
      </c>
      <c r="S183" s="58">
        <f t="shared" si="50"/>
        <v>10.725</v>
      </c>
      <c r="T183" s="58">
        <f t="shared" si="50"/>
        <v>10.725</v>
      </c>
      <c r="U183" s="58">
        <f t="shared" si="50"/>
        <v>10.725</v>
      </c>
      <c r="V183" s="59">
        <f t="shared" si="50"/>
        <v>10.725</v>
      </c>
      <c r="Y183" s="89"/>
      <c r="Z183" s="64" t="s">
        <v>839</v>
      </c>
      <c r="AA183">
        <f>$O$150*Q150</f>
        <v>16.774999999999999</v>
      </c>
      <c r="AB183">
        <f t="shared" ref="AB183:AF183" si="51">$O$150*R150</f>
        <v>16.774999999999999</v>
      </c>
      <c r="AC183">
        <f t="shared" si="51"/>
        <v>16.774999999999999</v>
      </c>
      <c r="AD183">
        <f t="shared" si="51"/>
        <v>16.774999999999999</v>
      </c>
      <c r="AE183">
        <f t="shared" si="51"/>
        <v>16.774999999999999</v>
      </c>
      <c r="AF183">
        <f t="shared" si="51"/>
        <v>16.774999999999999</v>
      </c>
      <c r="AG183" s="66">
        <f>$O$150*W150</f>
        <v>16.774999999999999</v>
      </c>
    </row>
    <row r="184" spans="3:33" ht="18">
      <c r="C184" s="89"/>
      <c r="D184" s="64" t="s">
        <v>889</v>
      </c>
      <c r="E184" s="64">
        <v>2.446633515426111</v>
      </c>
      <c r="F184" s="64">
        <v>36.504416449505598</v>
      </c>
      <c r="G184" s="64">
        <v>97.111244035305617</v>
      </c>
      <c r="H184" s="64">
        <v>161.95235558306811</v>
      </c>
      <c r="I184" s="64">
        <v>226.70540871268241</v>
      </c>
      <c r="J184" s="64">
        <v>305.57783435853872</v>
      </c>
      <c r="K184" s="66">
        <v>382.74483231578392</v>
      </c>
      <c r="M184" s="2"/>
      <c r="N184" s="89"/>
      <c r="O184" s="64" t="s">
        <v>840</v>
      </c>
      <c r="P184" s="64">
        <f>$P$151*Q151</f>
        <v>16.51457808</v>
      </c>
      <c r="Q184" s="64">
        <f>$P$151*R151</f>
        <v>16.226000000000003</v>
      </c>
      <c r="R184" s="64">
        <f t="shared" ref="R184:V184" si="52">$P$151*S151</f>
        <v>15.466000000000005</v>
      </c>
      <c r="S184" s="64">
        <f t="shared" si="52"/>
        <v>14.668000000000001</v>
      </c>
      <c r="T184" s="64">
        <f t="shared" si="52"/>
        <v>13.908000000000001</v>
      </c>
      <c r="U184" s="64">
        <f t="shared" si="52"/>
        <v>13.147999999999993</v>
      </c>
      <c r="V184" s="66">
        <f t="shared" si="52"/>
        <v>12.349999999999998</v>
      </c>
      <c r="Y184" s="89"/>
      <c r="Z184" s="64" t="s">
        <v>840</v>
      </c>
      <c r="AA184">
        <f>$O$151*Q151</f>
        <v>26.944837919999998</v>
      </c>
      <c r="AB184">
        <f t="shared" ref="AB184:AG184" si="53">$O$151*R151</f>
        <v>26.474</v>
      </c>
      <c r="AC184">
        <f t="shared" si="53"/>
        <v>25.234000000000005</v>
      </c>
      <c r="AD184">
        <f t="shared" si="53"/>
        <v>23.932000000000002</v>
      </c>
      <c r="AE184">
        <f t="shared" si="53"/>
        <v>22.692</v>
      </c>
      <c r="AF184">
        <f t="shared" si="53"/>
        <v>21.451999999999988</v>
      </c>
      <c r="AG184" s="66">
        <f t="shared" si="53"/>
        <v>20.149999999999995</v>
      </c>
    </row>
    <row r="185" spans="3:33">
      <c r="C185" s="89"/>
      <c r="D185" s="64" t="s">
        <v>890</v>
      </c>
      <c r="E185" s="64">
        <v>113</v>
      </c>
      <c r="F185" s="64">
        <v>104</v>
      </c>
      <c r="G185" s="64">
        <v>86.899999999999991</v>
      </c>
      <c r="H185" s="64">
        <v>69.5</v>
      </c>
      <c r="I185" s="64">
        <v>52.2</v>
      </c>
      <c r="J185" s="64">
        <v>34.79999999999999</v>
      </c>
      <c r="K185" s="66">
        <v>17.399999999999999</v>
      </c>
      <c r="N185" s="89"/>
      <c r="O185" s="64" t="s">
        <v>924</v>
      </c>
      <c r="P185" s="64">
        <f>$P$152*Q152</f>
        <v>49.877362080000005</v>
      </c>
      <c r="Q185" s="64">
        <f t="shared" ref="Q185:V185" si="54">$P$152*R152</f>
        <v>49.877362080000005</v>
      </c>
      <c r="R185" s="64">
        <f t="shared" si="54"/>
        <v>47.320000000000007</v>
      </c>
      <c r="S185" s="64">
        <f t="shared" si="54"/>
        <v>42.021979240585516</v>
      </c>
      <c r="T185" s="64">
        <f t="shared" si="54"/>
        <v>39.200000000000003</v>
      </c>
      <c r="U185" s="64">
        <f t="shared" si="54"/>
        <v>35.840000000000003</v>
      </c>
      <c r="V185" s="66">
        <f t="shared" si="54"/>
        <v>33.040000000000006</v>
      </c>
      <c r="Y185" s="89"/>
      <c r="Z185" s="64" t="s">
        <v>924</v>
      </c>
      <c r="AA185">
        <f>$O$152*Q152</f>
        <v>128.25607391999998</v>
      </c>
      <c r="AB185">
        <f t="shared" ref="AB185:AG185" si="55">$O$152*R152</f>
        <v>128.25607391999998</v>
      </c>
      <c r="AC185">
        <f t="shared" si="55"/>
        <v>121.67999999999999</v>
      </c>
      <c r="AD185">
        <f t="shared" si="55"/>
        <v>108.05651804721988</v>
      </c>
      <c r="AE185">
        <f t="shared" si="55"/>
        <v>100.8</v>
      </c>
      <c r="AF185">
        <f t="shared" si="55"/>
        <v>92.16</v>
      </c>
      <c r="AG185" s="66">
        <f t="shared" si="55"/>
        <v>84.96</v>
      </c>
    </row>
    <row r="186" spans="3:33">
      <c r="C186" s="89"/>
      <c r="D186" s="64" t="s">
        <v>891</v>
      </c>
      <c r="E186" s="64">
        <v>5.417336633663357</v>
      </c>
      <c r="F186" s="64">
        <v>12.101147058823511</v>
      </c>
      <c r="G186" s="64">
        <v>27.163312000000001</v>
      </c>
      <c r="H186" s="64">
        <v>35.364500470366899</v>
      </c>
      <c r="I186" s="64">
        <v>48.599066298342571</v>
      </c>
      <c r="J186" s="64">
        <v>65.9273507664563</v>
      </c>
      <c r="K186" s="66">
        <v>83.883111307420521</v>
      </c>
      <c r="N186" s="89"/>
      <c r="O186" s="64" t="s">
        <v>925</v>
      </c>
      <c r="P186" s="64">
        <f>$P$153*Q153</f>
        <v>12.288</v>
      </c>
      <c r="Q186" s="64">
        <f t="shared" ref="Q186:V186" si="56">$P$153*R153</f>
        <v>12.288</v>
      </c>
      <c r="R186" s="64">
        <f t="shared" si="56"/>
        <v>11.808</v>
      </c>
      <c r="S186" s="64">
        <f t="shared" si="56"/>
        <v>11.808</v>
      </c>
      <c r="T186" s="64">
        <f t="shared" si="56"/>
        <v>11.808</v>
      </c>
      <c r="U186" s="64">
        <f t="shared" si="56"/>
        <v>11.808</v>
      </c>
      <c r="V186" s="66">
        <f t="shared" si="56"/>
        <v>11.808</v>
      </c>
      <c r="Y186" s="89"/>
      <c r="Z186" s="64" t="s">
        <v>925</v>
      </c>
      <c r="AA186">
        <f>$O$153*Q153</f>
        <v>13.312000000000001</v>
      </c>
      <c r="AB186">
        <f t="shared" ref="AB186:AG186" si="57">$O$153*R153</f>
        <v>13.312000000000001</v>
      </c>
      <c r="AC186">
        <f t="shared" si="57"/>
        <v>12.792000000000002</v>
      </c>
      <c r="AD186">
        <f t="shared" si="57"/>
        <v>12.792000000000002</v>
      </c>
      <c r="AE186">
        <f t="shared" si="57"/>
        <v>12.792000000000002</v>
      </c>
      <c r="AF186">
        <f t="shared" si="57"/>
        <v>12.792000000000002</v>
      </c>
      <c r="AG186" s="66">
        <f t="shared" si="57"/>
        <v>12.792000000000002</v>
      </c>
    </row>
    <row r="187" spans="3:33">
      <c r="C187" s="89"/>
      <c r="D187" s="64" t="s">
        <v>892</v>
      </c>
      <c r="E187" s="64">
        <v>159</v>
      </c>
      <c r="F187" s="64">
        <v>147</v>
      </c>
      <c r="G187" s="64">
        <v>122</v>
      </c>
      <c r="H187" s="64">
        <v>97.799999999999969</v>
      </c>
      <c r="I187" s="64">
        <v>73.400000000000006</v>
      </c>
      <c r="J187" s="64">
        <v>48.9</v>
      </c>
      <c r="K187" s="66">
        <v>24.5</v>
      </c>
      <c r="N187" s="89"/>
      <c r="O187" s="64" t="s">
        <v>926</v>
      </c>
      <c r="P187" s="64">
        <f>$P$154*Q154</f>
        <v>12.096</v>
      </c>
      <c r="Q187" s="64">
        <f t="shared" ref="Q187:V187" si="58">$P$154*R154</f>
        <v>12.096</v>
      </c>
      <c r="R187" s="64">
        <f t="shared" si="58"/>
        <v>11.616</v>
      </c>
      <c r="S187" s="64">
        <f t="shared" si="58"/>
        <v>11.616</v>
      </c>
      <c r="T187" s="64">
        <f t="shared" si="58"/>
        <v>11.616</v>
      </c>
      <c r="U187" s="64">
        <f t="shared" si="58"/>
        <v>11.616</v>
      </c>
      <c r="V187" s="66">
        <f t="shared" si="58"/>
        <v>11.616</v>
      </c>
      <c r="Y187" s="89"/>
      <c r="Z187" s="64" t="s">
        <v>926</v>
      </c>
      <c r="AA187">
        <f>$O$154*Q154</f>
        <v>13.103999999999999</v>
      </c>
      <c r="AB187">
        <f t="shared" ref="AB187:AG187" si="59">$O$154*R154</f>
        <v>13.103999999999999</v>
      </c>
      <c r="AC187">
        <f t="shared" si="59"/>
        <v>12.584</v>
      </c>
      <c r="AD187">
        <f t="shared" si="59"/>
        <v>12.584</v>
      </c>
      <c r="AE187">
        <f t="shared" si="59"/>
        <v>12.584</v>
      </c>
      <c r="AF187">
        <f t="shared" si="59"/>
        <v>12.584</v>
      </c>
      <c r="AG187" s="66">
        <f t="shared" si="59"/>
        <v>12.584</v>
      </c>
    </row>
    <row r="188" spans="3:33">
      <c r="C188" s="89"/>
      <c r="D188" s="64" t="s">
        <v>893</v>
      </c>
      <c r="E188" s="64">
        <v>9.9574930348259088</v>
      </c>
      <c r="F188" s="64">
        <v>21.121069801980209</v>
      </c>
      <c r="G188" s="64">
        <v>44.472824019607863</v>
      </c>
      <c r="H188" s="64">
        <v>67.056583009708788</v>
      </c>
      <c r="I188" s="64">
        <v>89.871423557692225</v>
      </c>
      <c r="J188" s="64">
        <v>117.77761912835091</v>
      </c>
      <c r="K188" s="66">
        <v>146.8509804381973</v>
      </c>
      <c r="N188" s="89"/>
      <c r="O188" s="64" t="s">
        <v>927</v>
      </c>
      <c r="P188" s="64">
        <f>$P$155*Q155</f>
        <v>6.1222589999999997</v>
      </c>
      <c r="Q188" s="64">
        <f t="shared" ref="Q188:V188" si="60">$P$155*R155</f>
        <v>6.1222589999999997</v>
      </c>
      <c r="R188" s="64">
        <f t="shared" si="60"/>
        <v>6.1222589999999997</v>
      </c>
      <c r="S188" s="64">
        <f t="shared" si="60"/>
        <v>6.1222589999999997</v>
      </c>
      <c r="T188" s="64">
        <f t="shared" si="60"/>
        <v>4.7449999999999992</v>
      </c>
      <c r="U188" s="64">
        <f t="shared" si="60"/>
        <v>3.29</v>
      </c>
      <c r="V188" s="66">
        <f t="shared" si="60"/>
        <v>3.29</v>
      </c>
      <c r="Y188" s="89"/>
      <c r="Z188" s="64" t="s">
        <v>927</v>
      </c>
      <c r="AA188">
        <f>$O$155*Q155</f>
        <v>6.1222589999999997</v>
      </c>
      <c r="AB188">
        <f t="shared" ref="AB188:AG188" si="61">$O$155*R155</f>
        <v>6.1222589999999997</v>
      </c>
      <c r="AC188">
        <f t="shared" si="61"/>
        <v>6.1222589999999997</v>
      </c>
      <c r="AD188">
        <f t="shared" si="61"/>
        <v>6.1222589999999997</v>
      </c>
      <c r="AE188">
        <f t="shared" si="61"/>
        <v>4.7449999999999992</v>
      </c>
      <c r="AF188">
        <f t="shared" si="61"/>
        <v>3.29</v>
      </c>
      <c r="AG188" s="66">
        <f t="shared" si="61"/>
        <v>3.29</v>
      </c>
    </row>
    <row r="189" spans="3:33">
      <c r="C189" s="89"/>
      <c r="D189" s="64" t="s">
        <v>894</v>
      </c>
      <c r="E189" s="64">
        <v>42.105263157894733</v>
      </c>
      <c r="F189" s="64">
        <v>38.866396761133608</v>
      </c>
      <c r="G189" s="64">
        <v>33.4</v>
      </c>
      <c r="H189" s="64">
        <v>26.7</v>
      </c>
      <c r="I189" s="64">
        <v>20</v>
      </c>
      <c r="J189" s="64">
        <v>13.40000000000002</v>
      </c>
      <c r="K189" s="66">
        <v>6.68</v>
      </c>
      <c r="N189" s="89"/>
      <c r="O189" s="64" t="s">
        <v>837</v>
      </c>
      <c r="P189" s="64">
        <f>$P$156*Q156</f>
        <v>2.7380000000000004</v>
      </c>
      <c r="Q189" s="64">
        <f t="shared" ref="Q189:V189" si="62">$P$156*R156</f>
        <v>2.7380000000000004</v>
      </c>
      <c r="R189" s="64">
        <f t="shared" si="62"/>
        <v>2.7380000000000004</v>
      </c>
      <c r="S189" s="64">
        <f t="shared" si="62"/>
        <v>2.7380000000000009</v>
      </c>
      <c r="T189" s="64">
        <f t="shared" si="62"/>
        <v>1.369</v>
      </c>
      <c r="U189" s="64">
        <f t="shared" si="62"/>
        <v>0</v>
      </c>
      <c r="V189" s="66">
        <f t="shared" si="62"/>
        <v>0</v>
      </c>
      <c r="Y189" s="89"/>
      <c r="Z189" s="64" t="s">
        <v>837</v>
      </c>
      <c r="AA189">
        <f>$O$156*Q156</f>
        <v>4.6620000000000008</v>
      </c>
      <c r="AB189">
        <f t="shared" ref="AB189:AG189" si="63">$O$156*R156</f>
        <v>4.6620000000000008</v>
      </c>
      <c r="AC189">
        <f t="shared" si="63"/>
        <v>4.6620000000000008</v>
      </c>
      <c r="AD189">
        <f t="shared" si="63"/>
        <v>4.6620000000000017</v>
      </c>
      <c r="AE189">
        <f t="shared" si="63"/>
        <v>2.331</v>
      </c>
      <c r="AF189">
        <f t="shared" si="63"/>
        <v>0</v>
      </c>
      <c r="AG189" s="66">
        <f t="shared" si="63"/>
        <v>0</v>
      </c>
    </row>
    <row r="190" spans="3:33">
      <c r="C190" s="89"/>
      <c r="D190" s="64" t="s">
        <v>895</v>
      </c>
      <c r="E190" s="64"/>
      <c r="F190" s="64"/>
      <c r="G190" s="64">
        <v>18.899999999999999</v>
      </c>
      <c r="H190" s="64">
        <v>25.1</v>
      </c>
      <c r="I190" s="64">
        <v>31.2</v>
      </c>
      <c r="J190" s="64">
        <v>37.299999999999997</v>
      </c>
      <c r="K190" s="66">
        <v>43.419999999999987</v>
      </c>
      <c r="N190" s="89"/>
      <c r="O190" s="64" t="s">
        <v>838</v>
      </c>
      <c r="P190" s="64">
        <f>$P$157*Q157</f>
        <v>6.5120000000000005</v>
      </c>
      <c r="Q190" s="64">
        <f t="shared" ref="Q190:V190" si="64">$P$157*R157</f>
        <v>6.5120000000000005</v>
      </c>
      <c r="R190" s="64">
        <f t="shared" si="64"/>
        <v>6.5120000000000005</v>
      </c>
      <c r="S190" s="64">
        <f t="shared" si="64"/>
        <v>6.5120000000000005</v>
      </c>
      <c r="T190" s="64">
        <f t="shared" si="64"/>
        <v>6.5120000000000031</v>
      </c>
      <c r="U190" s="64">
        <f t="shared" si="64"/>
        <v>6.5120000000000005</v>
      </c>
      <c r="V190" s="66">
        <f t="shared" si="64"/>
        <v>4.8839999999999995</v>
      </c>
      <c r="Y190" s="89"/>
      <c r="Z190" s="64" t="s">
        <v>838</v>
      </c>
      <c r="AA190">
        <f>$O$157*Q157</f>
        <v>11.088000000000001</v>
      </c>
      <c r="AB190">
        <f t="shared" ref="AB190:AG190" si="65">$O$157*R157</f>
        <v>11.088000000000001</v>
      </c>
      <c r="AC190">
        <f t="shared" si="65"/>
        <v>11.088000000000001</v>
      </c>
      <c r="AD190">
        <f t="shared" si="65"/>
        <v>11.088000000000001</v>
      </c>
      <c r="AE190">
        <f t="shared" si="65"/>
        <v>11.088000000000006</v>
      </c>
      <c r="AF190">
        <f t="shared" si="65"/>
        <v>11.088000000000001</v>
      </c>
      <c r="AG190" s="66">
        <f t="shared" si="65"/>
        <v>8.3159999999999989</v>
      </c>
    </row>
    <row r="191" spans="3:33">
      <c r="C191" s="90"/>
      <c r="D191" s="80" t="s">
        <v>777</v>
      </c>
      <c r="E191" s="80">
        <f>SUM(E179:E190)</f>
        <v>1970.2347263371607</v>
      </c>
      <c r="F191" s="80">
        <f t="shared" ref="F191:K191" si="66">SUM(F179:F190)</f>
        <v>1948.1473448053741</v>
      </c>
      <c r="G191" s="80">
        <f t="shared" si="66"/>
        <v>1857.6260322604542</v>
      </c>
      <c r="H191" s="80">
        <f t="shared" si="66"/>
        <v>1796.385719761158</v>
      </c>
      <c r="I191" s="80">
        <f t="shared" si="66"/>
        <v>1747.0457182693156</v>
      </c>
      <c r="J191" s="80">
        <f t="shared" si="66"/>
        <v>1759.012334083726</v>
      </c>
      <c r="K191" s="81">
        <f t="shared" si="66"/>
        <v>1770.3394918689264</v>
      </c>
      <c r="N191" s="89"/>
      <c r="O191" s="64" t="s">
        <v>1000</v>
      </c>
      <c r="P191" s="64">
        <f>$P$158*Q158</f>
        <v>4.0175815680000015</v>
      </c>
      <c r="Q191" s="64">
        <f t="shared" ref="Q191:V191" si="67">$P$158*R158</f>
        <v>4.0175815680000015</v>
      </c>
      <c r="R191" s="64">
        <f t="shared" si="67"/>
        <v>4.0175815680000015</v>
      </c>
      <c r="S191" s="64">
        <f t="shared" si="67"/>
        <v>4.0175815680000015</v>
      </c>
      <c r="T191" s="64">
        <f t="shared" si="67"/>
        <v>4.0175815680000015</v>
      </c>
      <c r="U191" s="64">
        <f t="shared" si="67"/>
        <v>4.0175815680000015</v>
      </c>
      <c r="V191" s="66">
        <f t="shared" si="67"/>
        <v>4.0175815680000015</v>
      </c>
      <c r="Y191" s="89"/>
      <c r="Z191" s="64" t="s">
        <v>1000</v>
      </c>
      <c r="AA191">
        <f>$O$158*Q158</f>
        <v>3.1566712320000008</v>
      </c>
      <c r="AB191">
        <f t="shared" ref="AB191:AG191" si="68">$O$158*R158</f>
        <v>3.1566712320000008</v>
      </c>
      <c r="AC191">
        <f t="shared" si="68"/>
        <v>3.1566712320000008</v>
      </c>
      <c r="AD191">
        <f t="shared" si="68"/>
        <v>3.1566712320000008</v>
      </c>
      <c r="AE191">
        <f t="shared" si="68"/>
        <v>3.1566712320000008</v>
      </c>
      <c r="AF191">
        <f t="shared" si="68"/>
        <v>3.1566712320000008</v>
      </c>
      <c r="AG191" s="66">
        <f t="shared" si="68"/>
        <v>3.1566712320000008</v>
      </c>
    </row>
    <row r="192" spans="3:33">
      <c r="C192" s="91" t="s">
        <v>754</v>
      </c>
      <c r="D192" s="58" t="s">
        <v>896</v>
      </c>
      <c r="E192" s="58">
        <v>128</v>
      </c>
      <c r="F192" s="58">
        <v>121.0000000000001</v>
      </c>
      <c r="G192" s="58">
        <v>79.999999999999986</v>
      </c>
      <c r="H192" s="58">
        <v>68</v>
      </c>
      <c r="I192" s="58">
        <v>78.199999999999932</v>
      </c>
      <c r="J192" s="58">
        <v>63.999999999999993</v>
      </c>
      <c r="K192" s="59">
        <v>49.79999999999999</v>
      </c>
      <c r="N192" s="89"/>
      <c r="O192" s="64" t="s">
        <v>1001</v>
      </c>
      <c r="P192" s="64">
        <f>$P$159*Q159</f>
        <v>0.5225000000000003</v>
      </c>
      <c r="Q192" s="64">
        <f t="shared" ref="Q192:V192" si="69">$P$159*R159</f>
        <v>0.52250000000000019</v>
      </c>
      <c r="R192" s="64">
        <f t="shared" si="69"/>
        <v>0</v>
      </c>
      <c r="S192" s="64">
        <f t="shared" si="69"/>
        <v>0</v>
      </c>
      <c r="T192" s="64">
        <f t="shared" si="69"/>
        <v>0</v>
      </c>
      <c r="U192" s="64">
        <f t="shared" si="69"/>
        <v>0</v>
      </c>
      <c r="V192" s="66">
        <f t="shared" si="69"/>
        <v>0</v>
      </c>
      <c r="Y192" s="89"/>
      <c r="Z192" s="64" t="s">
        <v>1001</v>
      </c>
      <c r="AA192">
        <f>$O$159*Q159</f>
        <v>0.42750000000000021</v>
      </c>
      <c r="AB192">
        <f>$O$159*R159</f>
        <v>0.4275000000000001</v>
      </c>
      <c r="AC192">
        <f t="shared" ref="AC192:AG192" si="70">$O$159*S159</f>
        <v>0</v>
      </c>
      <c r="AD192">
        <f t="shared" si="70"/>
        <v>0</v>
      </c>
      <c r="AE192">
        <f t="shared" si="70"/>
        <v>0</v>
      </c>
      <c r="AF192">
        <f t="shared" si="70"/>
        <v>0</v>
      </c>
      <c r="AG192" s="66">
        <f t="shared" si="70"/>
        <v>0</v>
      </c>
    </row>
    <row r="193" spans="3:33">
      <c r="C193" s="89"/>
      <c r="D193" s="64" t="s">
        <v>897</v>
      </c>
      <c r="E193" s="64">
        <v>5.3511285379301023</v>
      </c>
      <c r="F193" s="64">
        <v>4.3586582670035581</v>
      </c>
      <c r="G193" s="64">
        <v>2.372160005403511</v>
      </c>
      <c r="H193" s="64">
        <v>0.38566174380346641</v>
      </c>
      <c r="I193" s="64">
        <v>0.29858744013618721</v>
      </c>
      <c r="J193" s="64">
        <v>0.21230348711504471</v>
      </c>
      <c r="K193" s="66">
        <v>0.125813555142891</v>
      </c>
      <c r="N193" s="89"/>
      <c r="O193" s="64" t="s">
        <v>748</v>
      </c>
      <c r="P193" s="64">
        <f>$P$160*Q160</f>
        <v>3.548999999999999</v>
      </c>
      <c r="Q193" s="64">
        <f t="shared" ref="Q193:V193" si="71">$P$160*R160</f>
        <v>3.548999999999999</v>
      </c>
      <c r="R193" s="64">
        <f t="shared" si="71"/>
        <v>3.4439999999999991</v>
      </c>
      <c r="S193" s="64">
        <f t="shared" si="71"/>
        <v>1.8046995740082969</v>
      </c>
      <c r="T193" s="64">
        <f t="shared" si="71"/>
        <v>2.7929999999999997</v>
      </c>
      <c r="U193" s="64">
        <f t="shared" si="71"/>
        <v>2.6669999999999994</v>
      </c>
      <c r="V193" s="66">
        <f t="shared" si="71"/>
        <v>2.6669999999999994</v>
      </c>
      <c r="Y193" s="89"/>
      <c r="Z193" s="64" t="s">
        <v>748</v>
      </c>
      <c r="AA193">
        <f>$O$160*Q160</f>
        <v>13.350999999999999</v>
      </c>
      <c r="AB193">
        <f t="shared" ref="AB193:AG193" si="72">$O$160*R160</f>
        <v>13.350999999999999</v>
      </c>
      <c r="AC193">
        <f t="shared" si="72"/>
        <v>12.956</v>
      </c>
      <c r="AD193">
        <f t="shared" si="72"/>
        <v>6.7891079212693084</v>
      </c>
      <c r="AE193">
        <f t="shared" si="72"/>
        <v>10.507000000000001</v>
      </c>
      <c r="AF193">
        <f t="shared" si="72"/>
        <v>10.032999999999999</v>
      </c>
      <c r="AG193" s="66">
        <f t="shared" si="72"/>
        <v>10.032999999999999</v>
      </c>
    </row>
    <row r="194" spans="3:33">
      <c r="C194" s="89"/>
      <c r="D194" s="64" t="s">
        <v>898</v>
      </c>
      <c r="E194" s="64">
        <v>0.68746240439975947</v>
      </c>
      <c r="F194" s="64">
        <v>0.63418406805877803</v>
      </c>
      <c r="G194" s="64">
        <v>0.52848672338231495</v>
      </c>
      <c r="H194" s="64">
        <v>0.42278937870585193</v>
      </c>
      <c r="I194" s="64">
        <v>0.31709203402938901</v>
      </c>
      <c r="J194" s="64">
        <v>0.21139468935292599</v>
      </c>
      <c r="K194" s="66">
        <v>0.105697344676463</v>
      </c>
      <c r="N194" s="89"/>
      <c r="O194" s="64" t="s">
        <v>1002</v>
      </c>
      <c r="P194" s="64">
        <f>$P$161*Q161</f>
        <v>1.5794000000000001</v>
      </c>
      <c r="Q194" s="64">
        <f t="shared" ref="Q194:V194" si="73">$P$161*R161</f>
        <v>1.5794000000000001</v>
      </c>
      <c r="R194" s="64">
        <f t="shared" si="73"/>
        <v>1.0176000000000001</v>
      </c>
      <c r="S194" s="64">
        <f t="shared" si="73"/>
        <v>0.26499999999999996</v>
      </c>
      <c r="T194" s="64">
        <f t="shared" si="73"/>
        <v>0.26499999999999996</v>
      </c>
      <c r="U194" s="64">
        <f t="shared" si="73"/>
        <v>0</v>
      </c>
      <c r="V194" s="66">
        <f t="shared" si="73"/>
        <v>0</v>
      </c>
      <c r="Y194" s="89"/>
      <c r="Z194" s="64" t="s">
        <v>1002</v>
      </c>
      <c r="AA194">
        <f>$O$161*Q161</f>
        <v>1.4005999999999998</v>
      </c>
      <c r="AB194">
        <f t="shared" ref="AB194:AG194" si="74">$O$161*R161</f>
        <v>1.4005999999999998</v>
      </c>
      <c r="AC194">
        <f t="shared" si="74"/>
        <v>0.90239999999999987</v>
      </c>
      <c r="AD194">
        <f t="shared" si="74"/>
        <v>0.23499999999999993</v>
      </c>
      <c r="AE194">
        <f t="shared" si="74"/>
        <v>0.23499999999999993</v>
      </c>
      <c r="AF194">
        <f t="shared" si="74"/>
        <v>0</v>
      </c>
      <c r="AG194" s="66">
        <f t="shared" si="74"/>
        <v>0</v>
      </c>
    </row>
    <row r="195" spans="3:33">
      <c r="C195" s="89"/>
      <c r="D195" s="64" t="s">
        <v>899</v>
      </c>
      <c r="E195" s="64">
        <v>76.4806510264617</v>
      </c>
      <c r="F195" s="64">
        <v>69.41239342912489</v>
      </c>
      <c r="G195" s="64">
        <v>58</v>
      </c>
      <c r="H195" s="64">
        <v>46.95635078381104</v>
      </c>
      <c r="I195" s="64">
        <v>46.5</v>
      </c>
      <c r="J195" s="64">
        <v>41.599999999999987</v>
      </c>
      <c r="K195" s="66">
        <v>32.4</v>
      </c>
      <c r="N195" s="89"/>
      <c r="O195" s="64" t="s">
        <v>928</v>
      </c>
      <c r="P195" s="64">
        <f>$P$162*Q162</f>
        <v>10.231462799999999</v>
      </c>
      <c r="Q195" s="64">
        <f t="shared" ref="Q195:V195" si="75">$P$162*R162</f>
        <v>10.231462799999996</v>
      </c>
      <c r="R195" s="64">
        <f t="shared" si="75"/>
        <v>10.231462799999999</v>
      </c>
      <c r="S195" s="64">
        <f t="shared" si="75"/>
        <v>11.774995982608694</v>
      </c>
      <c r="T195" s="64">
        <f t="shared" si="75"/>
        <v>13.332652998260865</v>
      </c>
      <c r="U195" s="64">
        <f t="shared" si="75"/>
        <v>13.332652998260865</v>
      </c>
      <c r="V195" s="66">
        <f t="shared" si="75"/>
        <v>13.332652998260873</v>
      </c>
      <c r="Y195" s="89"/>
      <c r="Z195" s="64" t="s">
        <v>928</v>
      </c>
      <c r="AA195">
        <f>$O$162*Q162</f>
        <v>40.925851200000011</v>
      </c>
      <c r="AB195">
        <f t="shared" ref="AB195:AG195" si="76">$O$162*R162</f>
        <v>40.925851199999997</v>
      </c>
      <c r="AC195">
        <f t="shared" si="76"/>
        <v>40.925851200000011</v>
      </c>
      <c r="AD195">
        <f t="shared" si="76"/>
        <v>47.099983930434789</v>
      </c>
      <c r="AE195">
        <f t="shared" si="76"/>
        <v>53.330611993043476</v>
      </c>
      <c r="AF195">
        <f t="shared" si="76"/>
        <v>53.330611993043476</v>
      </c>
      <c r="AG195" s="66">
        <f t="shared" si="76"/>
        <v>53.330611993043505</v>
      </c>
    </row>
    <row r="196" spans="3:33">
      <c r="C196" s="90"/>
      <c r="D196" s="80" t="s">
        <v>900</v>
      </c>
      <c r="E196" s="80">
        <f>SUM(E192:E195)</f>
        <v>210.51924196879156</v>
      </c>
      <c r="F196" s="80">
        <f t="shared" ref="F196:K196" si="77">SUM(F192:F195)</f>
        <v>195.40523576418732</v>
      </c>
      <c r="G196" s="80">
        <f t="shared" si="77"/>
        <v>140.90064672878583</v>
      </c>
      <c r="H196" s="80">
        <f t="shared" si="77"/>
        <v>115.76480190632037</v>
      </c>
      <c r="I196" s="80">
        <f t="shared" si="77"/>
        <v>125.31567947416551</v>
      </c>
      <c r="J196" s="80">
        <f t="shared" si="77"/>
        <v>106.02369817646795</v>
      </c>
      <c r="K196" s="81">
        <f t="shared" si="77"/>
        <v>82.431510899819344</v>
      </c>
      <c r="N196" s="89"/>
      <c r="O196" s="64" t="s">
        <v>929</v>
      </c>
      <c r="P196" s="64">
        <f>$P$163*Q163</f>
        <v>0.90305279999999988</v>
      </c>
      <c r="Q196" s="64">
        <f t="shared" ref="Q196:U196" si="78">$P$163*R163</f>
        <v>0.90305279999999988</v>
      </c>
      <c r="R196" s="64">
        <f t="shared" si="78"/>
        <v>0.90305279999999988</v>
      </c>
      <c r="S196" s="64">
        <f t="shared" si="78"/>
        <v>0.90305279999999988</v>
      </c>
      <c r="T196" s="64">
        <f t="shared" si="78"/>
        <v>0.90305279999999988</v>
      </c>
      <c r="U196" s="64">
        <f t="shared" si="78"/>
        <v>0.90305279999999988</v>
      </c>
      <c r="V196" s="66">
        <f>$P$163*W163</f>
        <v>0.90305279999999988</v>
      </c>
      <c r="Y196" s="89"/>
      <c r="Z196" s="64" t="s">
        <v>929</v>
      </c>
      <c r="AA196">
        <f>$O$163*Q163</f>
        <v>0.97830720000000004</v>
      </c>
      <c r="AB196">
        <f t="shared" ref="AB196:AG196" si="79">$O$163*R163</f>
        <v>0.97830720000000004</v>
      </c>
      <c r="AC196">
        <f t="shared" si="79"/>
        <v>0.97830720000000004</v>
      </c>
      <c r="AD196">
        <f t="shared" si="79"/>
        <v>0.97830720000000004</v>
      </c>
      <c r="AE196">
        <f t="shared" si="79"/>
        <v>0.97830720000000004</v>
      </c>
      <c r="AF196">
        <f t="shared" si="79"/>
        <v>0.97830720000000004</v>
      </c>
      <c r="AG196" s="66">
        <f t="shared" si="79"/>
        <v>0.97830720000000004</v>
      </c>
    </row>
    <row r="197" spans="3:33">
      <c r="C197" s="91" t="s">
        <v>901</v>
      </c>
      <c r="D197" s="58" t="s">
        <v>902</v>
      </c>
      <c r="E197" s="58">
        <v>18.8</v>
      </c>
      <c r="F197" s="58">
        <v>17.8</v>
      </c>
      <c r="G197" s="58">
        <v>13.301520146520151</v>
      </c>
      <c r="H197" s="58">
        <v>13.6</v>
      </c>
      <c r="I197" s="58">
        <v>11.5</v>
      </c>
      <c r="J197" s="58">
        <v>9.4</v>
      </c>
      <c r="K197" s="59">
        <v>7.31</v>
      </c>
      <c r="N197" s="89"/>
      <c r="O197" s="64" t="s">
        <v>1003</v>
      </c>
      <c r="P197" s="64">
        <f>$P$164*Q164</f>
        <v>1.8482759053980302</v>
      </c>
      <c r="Q197" s="64">
        <f t="shared" ref="Q197:V197" si="80">$P$164*R164</f>
        <v>1.8482759053980302</v>
      </c>
      <c r="R197" s="64">
        <f t="shared" si="80"/>
        <v>0.29889657600000052</v>
      </c>
      <c r="S197" s="64">
        <f t="shared" si="80"/>
        <v>0.47405288580514321</v>
      </c>
      <c r="T197" s="64">
        <f t="shared" si="80"/>
        <v>0.65529657599999991</v>
      </c>
      <c r="U197" s="64">
        <f t="shared" si="80"/>
        <v>0.8334965759999996</v>
      </c>
      <c r="V197" s="66">
        <f t="shared" si="80"/>
        <v>0.6890011909070809</v>
      </c>
      <c r="Y197" s="89"/>
      <c r="Z197" s="64" t="s">
        <v>1003</v>
      </c>
      <c r="AA197">
        <f>$O$164*Q164</f>
        <v>3.7525601715656984</v>
      </c>
      <c r="AB197">
        <f t="shared" ref="AB197:AG197" si="81">$O$164*R164</f>
        <v>3.7525601715656984</v>
      </c>
      <c r="AC197">
        <f t="shared" si="81"/>
        <v>0.60685062400000112</v>
      </c>
      <c r="AD197">
        <f t="shared" si="81"/>
        <v>0.9624710105740788</v>
      </c>
      <c r="AE197">
        <f t="shared" si="81"/>
        <v>1.330450624</v>
      </c>
      <c r="AF197">
        <f t="shared" si="81"/>
        <v>1.6922506239999995</v>
      </c>
      <c r="AG197" s="66">
        <f t="shared" si="81"/>
        <v>1.3988812057810434</v>
      </c>
    </row>
    <row r="198" spans="3:33">
      <c r="C198" s="89"/>
      <c r="D198" s="64" t="s">
        <v>903</v>
      </c>
      <c r="E198" s="64"/>
      <c r="F198" s="64">
        <v>1.0738549627269811</v>
      </c>
      <c r="G198" s="64"/>
      <c r="H198" s="64">
        <v>5.9813316753797512</v>
      </c>
      <c r="I198" s="64">
        <v>5.9813316753797503</v>
      </c>
      <c r="J198" s="64">
        <v>9.534576852380706</v>
      </c>
      <c r="K198" s="66">
        <v>9.5345768523807006</v>
      </c>
      <c r="N198" s="89"/>
      <c r="O198" s="64" t="s">
        <v>1051</v>
      </c>
      <c r="P198" s="64">
        <f>$P$165*Q165</f>
        <v>0</v>
      </c>
      <c r="Q198" s="64">
        <f t="shared" ref="Q198:V198" si="82">$P$165*R165</f>
        <v>0</v>
      </c>
      <c r="R198" s="64">
        <f t="shared" si="82"/>
        <v>0</v>
      </c>
      <c r="S198" s="64">
        <f t="shared" si="82"/>
        <v>0</v>
      </c>
      <c r="T198" s="64">
        <f t="shared" si="82"/>
        <v>0</v>
      </c>
      <c r="U198" s="64">
        <f t="shared" si="82"/>
        <v>0</v>
      </c>
      <c r="V198" s="66">
        <f t="shared" si="82"/>
        <v>0</v>
      </c>
      <c r="Y198" s="89"/>
      <c r="Z198" s="64" t="s">
        <v>1051</v>
      </c>
      <c r="AA198">
        <f>$O$165*Q165</f>
        <v>0</v>
      </c>
      <c r="AB198">
        <f t="shared" ref="AB198:AG198" si="83">$O$165*R165</f>
        <v>0</v>
      </c>
      <c r="AC198">
        <f t="shared" si="83"/>
        <v>0</v>
      </c>
      <c r="AD198">
        <f t="shared" si="83"/>
        <v>0</v>
      </c>
      <c r="AE198">
        <f t="shared" si="83"/>
        <v>0</v>
      </c>
      <c r="AF198">
        <f t="shared" si="83"/>
        <v>0</v>
      </c>
      <c r="AG198" s="66">
        <f t="shared" si="83"/>
        <v>0</v>
      </c>
    </row>
    <row r="199" spans="3:33">
      <c r="C199" s="89"/>
      <c r="D199" s="64" t="s">
        <v>904</v>
      </c>
      <c r="E199" s="64"/>
      <c r="F199" s="64"/>
      <c r="G199" s="64"/>
      <c r="H199" s="64"/>
      <c r="I199" s="64"/>
      <c r="J199" s="64"/>
      <c r="K199" s="66"/>
      <c r="N199" s="89"/>
      <c r="O199" s="64" t="s">
        <v>1052</v>
      </c>
      <c r="P199" s="64">
        <f>$P$166*Q166</f>
        <v>0</v>
      </c>
      <c r="Q199" s="64">
        <f t="shared" ref="Q199:V199" si="84">$P$166*R166</f>
        <v>0</v>
      </c>
      <c r="R199" s="64">
        <f t="shared" si="84"/>
        <v>0</v>
      </c>
      <c r="S199" s="64">
        <f t="shared" si="84"/>
        <v>0</v>
      </c>
      <c r="T199" s="64">
        <f t="shared" si="84"/>
        <v>0</v>
      </c>
      <c r="U199" s="64">
        <f t="shared" si="84"/>
        <v>0</v>
      </c>
      <c r="V199" s="66">
        <f t="shared" si="84"/>
        <v>0</v>
      </c>
      <c r="Y199" s="89"/>
      <c r="Z199" s="64" t="s">
        <v>1052</v>
      </c>
      <c r="AA199">
        <f>$O$166*Q166</f>
        <v>0</v>
      </c>
      <c r="AB199">
        <f t="shared" ref="AB199:AG199" si="85">$O$166*R166</f>
        <v>0</v>
      </c>
      <c r="AC199">
        <f t="shared" si="85"/>
        <v>0</v>
      </c>
      <c r="AD199">
        <f t="shared" si="85"/>
        <v>0</v>
      </c>
      <c r="AE199">
        <f t="shared" si="85"/>
        <v>0</v>
      </c>
      <c r="AF199">
        <f t="shared" si="85"/>
        <v>0</v>
      </c>
      <c r="AG199" s="66">
        <f t="shared" si="85"/>
        <v>0</v>
      </c>
    </row>
    <row r="200" spans="3:33">
      <c r="C200" s="89"/>
      <c r="D200" s="64" t="s">
        <v>905</v>
      </c>
      <c r="E200" s="64">
        <v>8.2786666666666675E-2</v>
      </c>
      <c r="F200" s="64">
        <v>7.6346666666666674E-2</v>
      </c>
      <c r="G200" s="64">
        <v>24.5</v>
      </c>
      <c r="H200" s="64">
        <v>22.9</v>
      </c>
      <c r="I200" s="64">
        <v>21.399999999999991</v>
      </c>
      <c r="J200" s="64">
        <v>19.899999999999991</v>
      </c>
      <c r="K200" s="66">
        <v>18.3</v>
      </c>
      <c r="N200" s="89"/>
      <c r="O200" s="64" t="s">
        <v>930</v>
      </c>
      <c r="P200" s="64">
        <f>$P$167*Q167</f>
        <v>10.368351768715698</v>
      </c>
      <c r="Q200" s="64">
        <f t="shared" ref="Q200:V200" si="86">$P$167*R167</f>
        <v>10.368351768715698</v>
      </c>
      <c r="R200" s="64">
        <f t="shared" si="86"/>
        <v>10.368351768715698</v>
      </c>
      <c r="S200" s="64">
        <f t="shared" si="86"/>
        <v>10.368351768715705</v>
      </c>
      <c r="T200" s="64">
        <f t="shared" si="86"/>
        <v>10.368351768715705</v>
      </c>
      <c r="U200" s="64">
        <f t="shared" si="86"/>
        <v>10.368351768715705</v>
      </c>
      <c r="V200" s="66">
        <f t="shared" si="86"/>
        <v>10.368351768715698</v>
      </c>
      <c r="Y200" s="89"/>
      <c r="Z200" s="64" t="s">
        <v>930</v>
      </c>
      <c r="AA200">
        <f>$O$167*Q167</f>
        <v>2.5920879421789245</v>
      </c>
      <c r="AB200">
        <f t="shared" ref="AB200:AG200" si="87">$O$167*R167</f>
        <v>2.5920879421789245</v>
      </c>
      <c r="AC200">
        <f t="shared" si="87"/>
        <v>2.5920879421789245</v>
      </c>
      <c r="AD200">
        <f t="shared" si="87"/>
        <v>2.5920879421789262</v>
      </c>
      <c r="AE200">
        <f t="shared" si="87"/>
        <v>2.5920879421789262</v>
      </c>
      <c r="AF200">
        <f t="shared" si="87"/>
        <v>2.5920879421789262</v>
      </c>
      <c r="AG200" s="66">
        <f t="shared" si="87"/>
        <v>2.5920879421789245</v>
      </c>
    </row>
    <row r="201" spans="3:33">
      <c r="C201" s="90"/>
      <c r="D201" s="80" t="s">
        <v>906</v>
      </c>
      <c r="E201" s="80">
        <f t="shared" ref="E201:K201" si="88">SUM(E197:E200)</f>
        <v>18.882786666666668</v>
      </c>
      <c r="F201" s="80">
        <f t="shared" si="88"/>
        <v>18.950201629393646</v>
      </c>
      <c r="G201" s="80">
        <f t="shared" si="88"/>
        <v>37.801520146520147</v>
      </c>
      <c r="H201" s="80">
        <f t="shared" si="88"/>
        <v>42.481331675379749</v>
      </c>
      <c r="I201" s="80">
        <f t="shared" si="88"/>
        <v>38.881331675379741</v>
      </c>
      <c r="J201" s="80">
        <f t="shared" si="88"/>
        <v>38.8345768523807</v>
      </c>
      <c r="K201" s="81">
        <f t="shared" si="88"/>
        <v>35.144576852380702</v>
      </c>
      <c r="N201" s="89"/>
      <c r="O201" s="64" t="s">
        <v>1053</v>
      </c>
      <c r="P201" s="64">
        <f>$P$168*Q168</f>
        <v>0</v>
      </c>
      <c r="Q201" s="64">
        <f t="shared" ref="Q201:V201" si="89">$P$168*R168</f>
        <v>0</v>
      </c>
      <c r="R201" s="64">
        <f t="shared" si="89"/>
        <v>0</v>
      </c>
      <c r="S201" s="64">
        <f t="shared" si="89"/>
        <v>0</v>
      </c>
      <c r="T201" s="64">
        <f t="shared" si="89"/>
        <v>0</v>
      </c>
      <c r="U201" s="64">
        <f t="shared" si="89"/>
        <v>0</v>
      </c>
      <c r="V201" s="66">
        <f t="shared" si="89"/>
        <v>0</v>
      </c>
      <c r="Y201" s="89"/>
      <c r="Z201" s="64" t="s">
        <v>1053</v>
      </c>
      <c r="AA201">
        <f>$O$168*Q168</f>
        <v>0</v>
      </c>
      <c r="AB201">
        <f t="shared" ref="AB201:AG201" si="90">$O$168*R168</f>
        <v>0</v>
      </c>
      <c r="AC201">
        <f t="shared" si="90"/>
        <v>0</v>
      </c>
      <c r="AD201">
        <f t="shared" si="90"/>
        <v>0</v>
      </c>
      <c r="AE201">
        <f t="shared" si="90"/>
        <v>0</v>
      </c>
      <c r="AF201">
        <f t="shared" si="90"/>
        <v>0</v>
      </c>
      <c r="AG201" s="66">
        <f t="shared" si="90"/>
        <v>0</v>
      </c>
    </row>
    <row r="202" spans="3:33">
      <c r="C202" s="91" t="s">
        <v>907</v>
      </c>
      <c r="D202" s="58" t="s">
        <v>908</v>
      </c>
      <c r="E202" s="58">
        <v>104.8139504</v>
      </c>
      <c r="F202" s="58">
        <v>93.114000000000004</v>
      </c>
      <c r="G202" s="58">
        <v>96.897680000000037</v>
      </c>
      <c r="H202" s="58">
        <v>92.364955339805832</v>
      </c>
      <c r="I202" s="58">
        <v>89.127583018867938</v>
      </c>
      <c r="J202" s="58">
        <v>88.088800000000035</v>
      </c>
      <c r="K202" s="59">
        <v>87.105666071428601</v>
      </c>
      <c r="N202" s="89"/>
      <c r="O202" s="64"/>
      <c r="P202" s="64"/>
      <c r="Q202" s="64"/>
      <c r="R202" s="64"/>
      <c r="S202" s="64"/>
      <c r="T202" s="64"/>
      <c r="U202" s="64"/>
      <c r="V202" s="66"/>
      <c r="Y202" s="89"/>
      <c r="Z202" s="64"/>
      <c r="AA202" s="64"/>
      <c r="AB202" s="64"/>
      <c r="AC202" s="64"/>
      <c r="AD202" s="64"/>
      <c r="AE202" s="64"/>
      <c r="AF202" s="64"/>
      <c r="AG202" s="66"/>
    </row>
    <row r="203" spans="3:33">
      <c r="C203" s="89"/>
      <c r="D203" s="64" t="s">
        <v>909</v>
      </c>
      <c r="E203" s="64">
        <v>0.5923824000000002</v>
      </c>
      <c r="F203" s="64">
        <v>0.51730000000000009</v>
      </c>
      <c r="G203" s="64">
        <v>0.52025600000000027</v>
      </c>
      <c r="H203" s="64">
        <v>0.49591922330097088</v>
      </c>
      <c r="I203" s="64">
        <v>0.47853735849056611</v>
      </c>
      <c r="J203" s="64">
        <v>0.4729600000000001</v>
      </c>
      <c r="K203" s="66">
        <v>0.4676814285714288</v>
      </c>
      <c r="N203" s="89"/>
      <c r="O203" s="64"/>
      <c r="P203" s="64"/>
      <c r="Q203" s="64"/>
      <c r="R203" s="64"/>
      <c r="S203" s="64"/>
      <c r="T203" s="64"/>
      <c r="U203" s="64"/>
      <c r="V203" s="66"/>
      <c r="Y203" s="89"/>
      <c r="Z203" s="64"/>
      <c r="AA203" s="64"/>
      <c r="AB203" s="64"/>
      <c r="AC203" s="64"/>
      <c r="AD203" s="64"/>
      <c r="AE203" s="64"/>
      <c r="AF203" s="64"/>
      <c r="AG203" s="66"/>
    </row>
    <row r="204" spans="3:33">
      <c r="C204" s="89"/>
      <c r="D204" s="64" t="s">
        <v>910</v>
      </c>
      <c r="E204" s="64">
        <v>3.085</v>
      </c>
      <c r="F204" s="64">
        <v>2.327850000000006</v>
      </c>
      <c r="G204" s="64">
        <v>1.798067999999994</v>
      </c>
      <c r="H204" s="64">
        <v>1.6776172815533941</v>
      </c>
      <c r="I204" s="64">
        <v>1.593480754716982</v>
      </c>
      <c r="J204" s="64">
        <v>1.5503600000000071</v>
      </c>
      <c r="K204" s="66">
        <v>1.5199646428571381</v>
      </c>
      <c r="N204" s="89"/>
      <c r="O204" s="64"/>
      <c r="P204" s="64"/>
      <c r="Q204" s="64"/>
      <c r="R204" s="64"/>
      <c r="S204" s="64"/>
      <c r="T204" s="64"/>
      <c r="U204" s="64"/>
      <c r="V204" s="66"/>
      <c r="Y204" s="89"/>
      <c r="Z204" s="64"/>
      <c r="AA204" s="64"/>
      <c r="AB204" s="64"/>
      <c r="AC204" s="64"/>
      <c r="AD204" s="64"/>
      <c r="AE204" s="64"/>
      <c r="AF204" s="64"/>
      <c r="AG204" s="66"/>
    </row>
    <row r="205" spans="3:33">
      <c r="C205" s="90"/>
      <c r="D205" s="80" t="s">
        <v>911</v>
      </c>
      <c r="E205" s="80">
        <f>SUM(E202:E204)</f>
        <v>108.4913328</v>
      </c>
      <c r="F205" s="80">
        <f t="shared" ref="F205:K205" si="91">SUM(F202:F204)</f>
        <v>95.959150000000022</v>
      </c>
      <c r="G205" s="80">
        <f t="shared" si="91"/>
        <v>99.216004000000041</v>
      </c>
      <c r="H205" s="80">
        <f t="shared" si="91"/>
        <v>94.5384918446602</v>
      </c>
      <c r="I205" s="80">
        <f t="shared" si="91"/>
        <v>91.199601132075486</v>
      </c>
      <c r="J205" s="80">
        <f t="shared" si="91"/>
        <v>90.112120000000047</v>
      </c>
      <c r="K205" s="81">
        <f t="shared" si="91"/>
        <v>89.093312142857158</v>
      </c>
      <c r="N205" s="89"/>
      <c r="O205" s="64" t="s">
        <v>1054</v>
      </c>
      <c r="P205" s="64">
        <f>SUM(P183:P201)</f>
        <v>149.89282400211374</v>
      </c>
      <c r="Q205" s="64">
        <f t="shared" ref="Q205:V205" si="92">SUM(Q183:Q201)</f>
        <v>149.60424592211371</v>
      </c>
      <c r="R205" s="64">
        <f t="shared" si="92"/>
        <v>142.58820451271572</v>
      </c>
      <c r="S205" s="64">
        <f t="shared" si="92"/>
        <v>135.81897281972334</v>
      </c>
      <c r="T205" s="64">
        <f t="shared" si="92"/>
        <v>132.21793571097658</v>
      </c>
      <c r="U205" s="64">
        <f t="shared" si="92"/>
        <v>125.06113571097657</v>
      </c>
      <c r="V205" s="66">
        <f t="shared" si="92"/>
        <v>119.69064032588365</v>
      </c>
      <c r="Y205" s="89"/>
      <c r="Z205" s="64" t="s">
        <v>1054</v>
      </c>
      <c r="AA205" s="64">
        <f>SUM(AA183:AA204)</f>
        <v>286.8487485857446</v>
      </c>
      <c r="AB205" s="64">
        <f t="shared" ref="AB205:AF205" si="93">SUM(AB183:AB204)</f>
        <v>286.37791066574459</v>
      </c>
      <c r="AC205" s="64">
        <f t="shared" si="93"/>
        <v>273.05542719817896</v>
      </c>
      <c r="AD205" s="64">
        <f t="shared" si="93"/>
        <v>257.82540628367701</v>
      </c>
      <c r="AE205" s="64">
        <f t="shared" si="93"/>
        <v>255.93712899122241</v>
      </c>
      <c r="AF205" s="64">
        <f t="shared" si="93"/>
        <v>241.92392899122237</v>
      </c>
      <c r="AG205" s="81">
        <f>SUM(AG183:AG204)</f>
        <v>230.35655957300344</v>
      </c>
    </row>
    <row r="206" spans="3:33">
      <c r="N206" s="89" t="s">
        <v>751</v>
      </c>
      <c r="O206" s="64" t="s">
        <v>1062</v>
      </c>
      <c r="P206" s="64">
        <v>86.114013593544513</v>
      </c>
      <c r="Q206" s="64">
        <v>80.414167763294628</v>
      </c>
      <c r="R206" s="64">
        <v>120.74101027305861</v>
      </c>
      <c r="S206" s="64">
        <v>114.9428594486979</v>
      </c>
      <c r="T206" s="64">
        <v>112.0402321578767</v>
      </c>
      <c r="U206" s="64">
        <v>103.6799512900934</v>
      </c>
      <c r="V206" s="66">
        <v>60.088892329950482</v>
      </c>
      <c r="Y206" s="91" t="s">
        <v>751</v>
      </c>
      <c r="Z206" s="58" t="s">
        <v>1055</v>
      </c>
      <c r="AA206" s="58">
        <v>540.08637443796874</v>
      </c>
      <c r="AB206" s="58">
        <v>475.36029086979522</v>
      </c>
      <c r="AC206" s="58">
        <v>444.76415559757203</v>
      </c>
      <c r="AD206" s="58">
        <v>419.30772424683619</v>
      </c>
      <c r="AE206" s="58">
        <v>416.28712249057992</v>
      </c>
      <c r="AF206" s="58">
        <v>433.00570563602179</v>
      </c>
      <c r="AG206" s="59">
        <v>439.16664559530699</v>
      </c>
    </row>
    <row r="207" spans="3:33">
      <c r="N207" s="89" t="s">
        <v>754</v>
      </c>
      <c r="O207" s="64" t="s">
        <v>1063</v>
      </c>
      <c r="P207" s="64">
        <v>27.27808044012281</v>
      </c>
      <c r="Q207" s="64">
        <v>26.326673141413831</v>
      </c>
      <c r="R207" s="64">
        <v>24.27669416292078</v>
      </c>
      <c r="S207" s="64">
        <v>22.167369384204921</v>
      </c>
      <c r="T207" s="64">
        <v>20.10084890443402</v>
      </c>
      <c r="U207" s="64">
        <v>17.990981392241</v>
      </c>
      <c r="V207" s="66">
        <v>15.93820241374795</v>
      </c>
      <c r="Y207" s="89" t="s">
        <v>883</v>
      </c>
      <c r="Z207" s="64" t="s">
        <v>1056</v>
      </c>
      <c r="AA207" s="64">
        <v>37.748842639999999</v>
      </c>
      <c r="AB207" s="64">
        <v>38.20547171406875</v>
      </c>
      <c r="AC207" s="64">
        <v>38.861585565025408</v>
      </c>
      <c r="AD207" s="64">
        <v>38.546406653846283</v>
      </c>
      <c r="AE207" s="64">
        <v>38.244598596640287</v>
      </c>
      <c r="AF207" s="64">
        <v>39.050099581165512</v>
      </c>
      <c r="AG207" s="66">
        <v>39.860371222220458</v>
      </c>
    </row>
    <row r="208" spans="3:33">
      <c r="N208" s="90" t="s">
        <v>901</v>
      </c>
      <c r="O208" s="80" t="s">
        <v>1064</v>
      </c>
      <c r="P208" s="80">
        <v>6.4402878529657572</v>
      </c>
      <c r="Q208" s="80">
        <v>7.621112046475564</v>
      </c>
      <c r="R208" s="80">
        <v>4.1288888888888886</v>
      </c>
      <c r="S208" s="80">
        <v>6.5060699300699296</v>
      </c>
      <c r="T208" s="80">
        <v>5.4835394522634822</v>
      </c>
      <c r="U208" s="80">
        <v>2.636802490445727</v>
      </c>
      <c r="V208" s="81">
        <v>1.6342724778872399</v>
      </c>
      <c r="Y208" s="89" t="s">
        <v>754</v>
      </c>
      <c r="Z208" s="64" t="s">
        <v>1057</v>
      </c>
      <c r="AA208" s="64">
        <v>239.23634771441519</v>
      </c>
      <c r="AB208" s="64">
        <v>234.79384610046</v>
      </c>
      <c r="AC208" s="64">
        <v>226.24952268885559</v>
      </c>
      <c r="AD208" s="64">
        <v>224.5792418875248</v>
      </c>
      <c r="AE208" s="64">
        <v>216.47114504401091</v>
      </c>
      <c r="AF208" s="64">
        <v>208.96617563142539</v>
      </c>
      <c r="AG208" s="66">
        <v>204.1551854781643</v>
      </c>
    </row>
    <row r="209" spans="3:33">
      <c r="Y209" s="89" t="s">
        <v>901</v>
      </c>
      <c r="Z209" s="64" t="s">
        <v>1058</v>
      </c>
      <c r="AA209" s="64">
        <v>281.3196212682019</v>
      </c>
      <c r="AB209" s="64">
        <v>277.92834391132698</v>
      </c>
      <c r="AC209" s="64">
        <v>270.13368416180401</v>
      </c>
      <c r="AD209" s="64">
        <v>268.71854406095861</v>
      </c>
      <c r="AE209" s="64">
        <v>265.27982035799948</v>
      </c>
      <c r="AF209" s="64">
        <v>275.83887097818462</v>
      </c>
      <c r="AG209" s="66">
        <v>288.1228436764132</v>
      </c>
    </row>
    <row r="210" spans="3:33">
      <c r="Y210" s="90" t="s">
        <v>907</v>
      </c>
      <c r="Z210" s="80" t="s">
        <v>1059</v>
      </c>
      <c r="AA210" s="80">
        <v>19.8448104</v>
      </c>
      <c r="AB210" s="80">
        <v>18.622800000000002</v>
      </c>
      <c r="AC210" s="80">
        <v>21.330496000000011</v>
      </c>
      <c r="AD210" s="80">
        <v>20.332688155339799</v>
      </c>
      <c r="AE210" s="80">
        <v>19.620031698113209</v>
      </c>
      <c r="AF210" s="80">
        <v>19.391359999999999</v>
      </c>
      <c r="AG210" s="81">
        <v>19.174938571428569</v>
      </c>
    </row>
    <row r="215" spans="3:33">
      <c r="D215" t="s">
        <v>1065</v>
      </c>
      <c r="E215">
        <v>141.48332499999989</v>
      </c>
      <c r="F215">
        <v>140.08940061576359</v>
      </c>
      <c r="G215">
        <v>134.93188039408869</v>
      </c>
      <c r="H215">
        <v>133.09190020689661</v>
      </c>
      <c r="I215">
        <v>131.65687126174831</v>
      </c>
      <c r="J215">
        <v>135.69586031552629</v>
      </c>
      <c r="K215">
        <v>139.27433764452221</v>
      </c>
    </row>
    <row r="216" spans="3:33">
      <c r="C216">
        <v>0.45900000000000002</v>
      </c>
      <c r="D216" t="s">
        <v>1066</v>
      </c>
      <c r="E216">
        <f>$C216*E$215</f>
        <v>64.940846174999947</v>
      </c>
      <c r="F216">
        <f t="shared" ref="F216:K223" si="94">$C216*F$215</f>
        <v>64.301034882635491</v>
      </c>
      <c r="G216">
        <f t="shared" si="94"/>
        <v>61.933733100886712</v>
      </c>
      <c r="H216">
        <f t="shared" si="94"/>
        <v>61.089182194965545</v>
      </c>
      <c r="I216">
        <f t="shared" si="94"/>
        <v>60.430503909142473</v>
      </c>
      <c r="J216">
        <f t="shared" si="94"/>
        <v>62.28439988482657</v>
      </c>
      <c r="K216">
        <f t="shared" si="94"/>
        <v>63.926920978835696</v>
      </c>
    </row>
    <row r="217" spans="3:33">
      <c r="C217">
        <v>0.23200000000000001</v>
      </c>
      <c r="D217" t="s">
        <v>1067</v>
      </c>
      <c r="E217">
        <f t="shared" ref="E217:E223" si="95">$C217*E$215</f>
        <v>32.824131399999978</v>
      </c>
      <c r="F217">
        <f t="shared" si="94"/>
        <v>32.500740942857156</v>
      </c>
      <c r="G217">
        <f t="shared" si="94"/>
        <v>31.304196251428579</v>
      </c>
      <c r="H217">
        <f t="shared" si="94"/>
        <v>30.877320848000014</v>
      </c>
      <c r="I217">
        <f t="shared" si="94"/>
        <v>30.544394132725611</v>
      </c>
      <c r="J217">
        <f t="shared" si="94"/>
        <v>31.481439593202101</v>
      </c>
      <c r="K217">
        <f t="shared" si="94"/>
        <v>32.311646333529154</v>
      </c>
    </row>
    <row r="218" spans="3:33">
      <c r="C218">
        <v>8.0000000000000002E-3</v>
      </c>
      <c r="D218" t="s">
        <v>1068</v>
      </c>
      <c r="E218">
        <f t="shared" si="95"/>
        <v>1.1318665999999993</v>
      </c>
      <c r="F218">
        <f t="shared" si="94"/>
        <v>1.1207152049261089</v>
      </c>
      <c r="G218">
        <f t="shared" si="94"/>
        <v>1.0794550431527097</v>
      </c>
      <c r="H218">
        <f t="shared" si="94"/>
        <v>1.064735201655173</v>
      </c>
      <c r="I218">
        <f t="shared" si="94"/>
        <v>1.0532549700939864</v>
      </c>
      <c r="J218">
        <f t="shared" si="94"/>
        <v>1.0855668825242104</v>
      </c>
      <c r="K218">
        <f t="shared" si="94"/>
        <v>1.1141947011561777</v>
      </c>
    </row>
    <row r="219" spans="3:33">
      <c r="C219">
        <v>0.107</v>
      </c>
      <c r="D219" t="s">
        <v>1069</v>
      </c>
      <c r="E219">
        <f t="shared" si="95"/>
        <v>15.138715774999989</v>
      </c>
      <c r="F219">
        <f t="shared" si="94"/>
        <v>14.989565865886703</v>
      </c>
      <c r="G219">
        <f t="shared" si="94"/>
        <v>14.43771120216749</v>
      </c>
      <c r="H219">
        <f t="shared" si="94"/>
        <v>14.240833322137938</v>
      </c>
      <c r="I219">
        <f t="shared" si="94"/>
        <v>14.087285225007069</v>
      </c>
      <c r="J219">
        <f t="shared" si="94"/>
        <v>14.519457053761313</v>
      </c>
      <c r="K219">
        <f t="shared" si="94"/>
        <v>14.902354127963875</v>
      </c>
    </row>
    <row r="220" spans="3:33">
      <c r="C220">
        <v>1.0999999999999999E-2</v>
      </c>
      <c r="D220" t="s">
        <v>1070</v>
      </c>
      <c r="E220">
        <f t="shared" si="95"/>
        <v>1.5563165749999988</v>
      </c>
      <c r="F220">
        <f t="shared" si="94"/>
        <v>1.5409834067733994</v>
      </c>
      <c r="G220">
        <f t="shared" si="94"/>
        <v>1.4842506843349756</v>
      </c>
      <c r="H220">
        <f t="shared" si="94"/>
        <v>1.4640109022758627</v>
      </c>
      <c r="I220">
        <f t="shared" si="94"/>
        <v>1.4482255838792313</v>
      </c>
      <c r="J220">
        <f t="shared" si="94"/>
        <v>1.492654463470789</v>
      </c>
      <c r="K220">
        <f t="shared" si="94"/>
        <v>1.5320177140897442</v>
      </c>
    </row>
    <row r="221" spans="3:33">
      <c r="C221">
        <v>1.9E-2</v>
      </c>
      <c r="D221" t="s">
        <v>1071</v>
      </c>
      <c r="E221">
        <f t="shared" si="95"/>
        <v>2.688183174999998</v>
      </c>
      <c r="F221">
        <f t="shared" si="94"/>
        <v>2.6616986116995083</v>
      </c>
      <c r="G221">
        <f t="shared" si="94"/>
        <v>2.5637057274876853</v>
      </c>
      <c r="H221">
        <f t="shared" si="94"/>
        <v>2.5287461039310357</v>
      </c>
      <c r="I221">
        <f t="shared" si="94"/>
        <v>2.5014805539732179</v>
      </c>
      <c r="J221">
        <f t="shared" si="94"/>
        <v>2.5782213459949994</v>
      </c>
      <c r="K221">
        <f t="shared" si="94"/>
        <v>2.6462124152459219</v>
      </c>
    </row>
    <row r="222" spans="3:33">
      <c r="C222">
        <v>0</v>
      </c>
      <c r="D222" t="s">
        <v>1072</v>
      </c>
      <c r="E222">
        <f t="shared" si="95"/>
        <v>0</v>
      </c>
      <c r="F222">
        <f t="shared" si="94"/>
        <v>0</v>
      </c>
      <c r="G222">
        <f t="shared" si="94"/>
        <v>0</v>
      </c>
      <c r="H222">
        <f t="shared" si="94"/>
        <v>0</v>
      </c>
      <c r="I222">
        <f t="shared" si="94"/>
        <v>0</v>
      </c>
      <c r="J222">
        <f t="shared" si="94"/>
        <v>0</v>
      </c>
      <c r="K222">
        <f t="shared" si="94"/>
        <v>0</v>
      </c>
    </row>
    <row r="223" spans="3:33">
      <c r="C223">
        <v>0.16400000000000001</v>
      </c>
      <c r="D223" t="s">
        <v>1073</v>
      </c>
      <c r="E223">
        <f t="shared" si="95"/>
        <v>23.203265299999984</v>
      </c>
      <c r="F223">
        <f t="shared" si="94"/>
        <v>22.97466170098523</v>
      </c>
      <c r="G223">
        <f t="shared" si="94"/>
        <v>22.128828384630548</v>
      </c>
      <c r="H223">
        <f t="shared" si="94"/>
        <v>21.827071633931045</v>
      </c>
      <c r="I223">
        <f t="shared" si="94"/>
        <v>21.591726886926722</v>
      </c>
      <c r="J223">
        <f t="shared" si="94"/>
        <v>22.254121091746313</v>
      </c>
      <c r="K223">
        <f t="shared" si="94"/>
        <v>22.840991373701641</v>
      </c>
    </row>
  </sheetData>
  <mergeCells count="5">
    <mergeCell ref="E13:K13"/>
    <mergeCell ref="O13:T13"/>
    <mergeCell ref="AA13:AG13"/>
    <mergeCell ref="P181:V181"/>
    <mergeCell ref="Q148:W148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2021</vt:lpstr>
      <vt:lpstr>2018</vt:lpstr>
      <vt:lpstr>2016</vt:lpstr>
      <vt:lpstr>2014</vt:lpstr>
      <vt:lpstr>2012</vt:lpstr>
      <vt:lpstr>2010</vt:lpstr>
      <vt:lpstr>2007</vt:lpstr>
      <vt:lpstr>Supply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LAERA SILVIA</dc:creator>
  <cp:lastModifiedBy>LAERA SILVIA</cp:lastModifiedBy>
  <dcterms:created xsi:type="dcterms:W3CDTF">2022-05-18T13:10:35Z</dcterms:created>
  <dcterms:modified xsi:type="dcterms:W3CDTF">2022-07-07T19:41:23Z</dcterms:modified>
</cp:coreProperties>
</file>