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y Data\Desktop\사육일지\"/>
    </mc:Choice>
  </mc:AlternateContent>
  <xr:revisionPtr revIDLastSave="0" documentId="13_ncr:1_{B2E1AE39-E439-4655-B48C-B3354BCD31DB}" xr6:coauthVersionLast="47" xr6:coauthVersionMax="47" xr10:uidLastSave="{00000000-0000-0000-0000-000000000000}"/>
  <bookViews>
    <workbookView xWindow="-108" yWindow="-108" windowWidth="23256" windowHeight="12456" tabRatio="733" activeTab="33" xr2:uid="{00000000-000D-0000-FFFF-FFFF00000000}"/>
  </bookViews>
  <sheets>
    <sheet name="양식2" sheetId="5" r:id="rId1"/>
    <sheet name="통합" sheetId="22" r:id="rId2"/>
    <sheet name="대웅돈유전자1(1027)" sheetId="12" state="hidden" r:id="rId3"/>
    <sheet name="진일농장(1004)" sheetId="11" state="hidden" r:id="rId4"/>
    <sheet name="대웅돈유전자1(0401)" sheetId="29" state="hidden" r:id="rId5"/>
    <sheet name="진일농장4(1101)" sheetId="16" state="hidden" r:id="rId6"/>
    <sheet name="진일농장3(1220)" sheetId="17" state="hidden" r:id="rId7"/>
    <sheet name="진일농장2(0124)" sheetId="23" state="hidden" r:id="rId8"/>
    <sheet name="진일농장4(0215)" sheetId="25" state="hidden" r:id="rId9"/>
    <sheet name="진일농장3(0327)" sheetId="28" state="hidden" r:id="rId10"/>
    <sheet name="진일농장2(0424)" sheetId="30" state="hidden" r:id="rId11"/>
    <sheet name="진일농장4(0602)" sheetId="33" state="hidden" r:id="rId12"/>
    <sheet name="진일농장3(0704)" sheetId="36" state="hidden" r:id="rId13"/>
    <sheet name="잘커농장(0102)" sheetId="20" state="hidden" r:id="rId14"/>
    <sheet name="잘커농장(0214)" sheetId="24" state="hidden" r:id="rId15"/>
    <sheet name="진일농장2(0801)" sheetId="39" state="hidden" r:id="rId16"/>
    <sheet name="진일농장4(0913)" sheetId="42" state="hidden" r:id="rId17"/>
    <sheet name="진일농장3(1010)" sheetId="46" state="hidden" r:id="rId18"/>
    <sheet name="잘커농장(0512)" sheetId="31" state="hidden" r:id="rId19"/>
    <sheet name="잘커농장(0622)" sheetId="35" state="hidden" r:id="rId20"/>
    <sheet name="한별농장(0110)" sheetId="21" state="hidden" r:id="rId21"/>
    <sheet name="한별농장(0229)" sheetId="26" state="hidden" r:id="rId22"/>
    <sheet name="가산농장(1005)" sheetId="45" state="hidden" r:id="rId23"/>
    <sheet name="한별농장(0613)" sheetId="34" state="hidden" r:id="rId24"/>
    <sheet name="한별농장(0807)" sheetId="40" state="hidden" r:id="rId25"/>
    <sheet name="한별농장(0814)" sheetId="41" state="hidden" r:id="rId26"/>
    <sheet name="신흥(1-1)" sheetId="51" r:id="rId27"/>
    <sheet name="신흥(1-6)" sheetId="82" r:id="rId28"/>
    <sheet name="신흥(2-10)" sheetId="83" r:id="rId29"/>
    <sheet name="신흥(2-11)" sheetId="84" r:id="rId30"/>
    <sheet name="신흥(2-12)" sheetId="85" r:id="rId31"/>
    <sheet name="신흥(2-13)" sheetId="86" r:id="rId32"/>
    <sheet name="신흥(2-14)" sheetId="87" r:id="rId33"/>
    <sheet name="준석(26-003)" sheetId="70" r:id="rId34"/>
    <sheet name="요셉(1106)" sheetId="77" r:id="rId35"/>
  </sheets>
  <definedNames>
    <definedName name="_xlnm._FilterDatabase" localSheetId="1" hidden="1">통합!$B$1:$R$14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87" l="1"/>
  <c r="Q9" i="22"/>
  <c r="O9" i="22"/>
  <c r="N9" i="22"/>
  <c r="M9" i="22"/>
  <c r="L9" i="22"/>
  <c r="K9" i="22"/>
  <c r="J9" i="22"/>
  <c r="I9" i="22"/>
  <c r="H9" i="22"/>
  <c r="G9" i="22"/>
  <c r="E9" i="22"/>
  <c r="D9" i="22"/>
  <c r="C9" i="22"/>
  <c r="N8" i="22"/>
  <c r="M8" i="22"/>
  <c r="L8" i="22"/>
  <c r="K8" i="22"/>
  <c r="J8" i="22"/>
  <c r="I8" i="22"/>
  <c r="H8" i="22"/>
  <c r="G8" i="22"/>
  <c r="F8" i="22"/>
  <c r="E8" i="22"/>
  <c r="D8" i="22"/>
  <c r="C8" i="22"/>
  <c r="N7" i="22"/>
  <c r="M7" i="22"/>
  <c r="L7" i="22"/>
  <c r="K7" i="22"/>
  <c r="J7" i="22"/>
  <c r="I7" i="22"/>
  <c r="H7" i="22"/>
  <c r="G7" i="22"/>
  <c r="F7" i="22"/>
  <c r="E7" i="22"/>
  <c r="D7" i="22"/>
  <c r="C7" i="22"/>
  <c r="Q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Q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D3" i="22"/>
  <c r="C3" i="22"/>
  <c r="Q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J69" i="87"/>
  <c r="F69" i="87"/>
  <c r="G69" i="87" s="1"/>
  <c r="E69" i="87"/>
  <c r="C69" i="87"/>
  <c r="L38" i="87"/>
  <c r="G35" i="87"/>
  <c r="G34" i="87"/>
  <c r="G33" i="87"/>
  <c r="G32" i="87"/>
  <c r="G31" i="87"/>
  <c r="G30" i="87"/>
  <c r="G29" i="87"/>
  <c r="G28" i="87"/>
  <c r="G27" i="87"/>
  <c r="G26" i="87"/>
  <c r="G25" i="87"/>
  <c r="G24" i="87"/>
  <c r="G23" i="87"/>
  <c r="G22" i="87"/>
  <c r="G21" i="87"/>
  <c r="G20" i="87"/>
  <c r="G19" i="87"/>
  <c r="G18" i="87"/>
  <c r="L17" i="87"/>
  <c r="M17" i="87" s="1"/>
  <c r="G17" i="87"/>
  <c r="M16" i="87"/>
  <c r="L16" i="87"/>
  <c r="G16" i="87"/>
  <c r="L15" i="87"/>
  <c r="M15" i="87" s="1"/>
  <c r="G15" i="87"/>
  <c r="L14" i="87"/>
  <c r="M14" i="87" s="1"/>
  <c r="G14" i="87"/>
  <c r="L13" i="87"/>
  <c r="M13" i="87" s="1"/>
  <c r="G13" i="87"/>
  <c r="L12" i="87"/>
  <c r="L18" i="87" s="1"/>
  <c r="G12" i="87"/>
  <c r="P8" i="87"/>
  <c r="Q8" i="87" s="1"/>
  <c r="O8" i="87"/>
  <c r="C8" i="87"/>
  <c r="F4" i="87" s="1"/>
  <c r="F8" i="87" s="1"/>
  <c r="E7" i="87"/>
  <c r="J6" i="87"/>
  <c r="E6" i="87"/>
  <c r="J5" i="87"/>
  <c r="E5" i="87"/>
  <c r="M4" i="87"/>
  <c r="M8" i="87" s="1"/>
  <c r="K4" i="87"/>
  <c r="K8" i="87" s="1"/>
  <c r="J4" i="87"/>
  <c r="E4" i="87"/>
  <c r="I1" i="87"/>
  <c r="E1" i="87"/>
  <c r="F1" i="87" s="1"/>
  <c r="D4" i="86"/>
  <c r="J69" i="86"/>
  <c r="F69" i="86"/>
  <c r="G69" i="86" s="1"/>
  <c r="E69" i="86"/>
  <c r="C69" i="86"/>
  <c r="L38" i="86"/>
  <c r="G35" i="86"/>
  <c r="G34" i="86"/>
  <c r="G33" i="86"/>
  <c r="G32" i="86"/>
  <c r="G31" i="86"/>
  <c r="G30" i="86"/>
  <c r="G29" i="86"/>
  <c r="G28" i="86"/>
  <c r="G27" i="86"/>
  <c r="G26" i="86"/>
  <c r="G25" i="86"/>
  <c r="G24" i="86"/>
  <c r="G23" i="86"/>
  <c r="G22" i="86"/>
  <c r="G21" i="86"/>
  <c r="G20" i="86"/>
  <c r="G19" i="86"/>
  <c r="G18" i="86"/>
  <c r="L17" i="86"/>
  <c r="M17" i="86" s="1"/>
  <c r="G17" i="86"/>
  <c r="M16" i="86"/>
  <c r="L16" i="86"/>
  <c r="G16" i="86"/>
  <c r="L15" i="86"/>
  <c r="M15" i="86" s="1"/>
  <c r="G15" i="86"/>
  <c r="L14" i="86"/>
  <c r="M14" i="86" s="1"/>
  <c r="G14" i="86"/>
  <c r="L13" i="86"/>
  <c r="M13" i="86" s="1"/>
  <c r="G13" i="86"/>
  <c r="L12" i="86"/>
  <c r="M12" i="86" s="1"/>
  <c r="G12" i="86"/>
  <c r="P8" i="86"/>
  <c r="Q8" i="86" s="1"/>
  <c r="O8" i="86"/>
  <c r="C8" i="86"/>
  <c r="F4" i="86" s="1"/>
  <c r="F8" i="86" s="1"/>
  <c r="E7" i="86"/>
  <c r="J6" i="86"/>
  <c r="E6" i="86"/>
  <c r="J5" i="86"/>
  <c r="E5" i="86"/>
  <c r="M4" i="86"/>
  <c r="M8" i="86" s="1"/>
  <c r="K4" i="86"/>
  <c r="K8" i="86" s="1"/>
  <c r="J4" i="86"/>
  <c r="E4" i="86"/>
  <c r="I1" i="86"/>
  <c r="E1" i="86"/>
  <c r="F1" i="86" s="1"/>
  <c r="D4" i="85"/>
  <c r="J69" i="85"/>
  <c r="G69" i="85"/>
  <c r="F69" i="85"/>
  <c r="E69" i="85"/>
  <c r="C69" i="85"/>
  <c r="L38" i="85"/>
  <c r="G35" i="85"/>
  <c r="G34" i="85"/>
  <c r="G33" i="85"/>
  <c r="G32" i="85"/>
  <c r="G31" i="85"/>
  <c r="G30" i="85"/>
  <c r="G29" i="85"/>
  <c r="G28" i="85"/>
  <c r="G27" i="85"/>
  <c r="G26" i="85"/>
  <c r="G25" i="85"/>
  <c r="G24" i="85"/>
  <c r="G23" i="85"/>
  <c r="G22" i="85"/>
  <c r="G21" i="85"/>
  <c r="G20" i="85"/>
  <c r="G19" i="85"/>
  <c r="G18" i="85"/>
  <c r="L17" i="85"/>
  <c r="M17" i="85" s="1"/>
  <c r="G17" i="85"/>
  <c r="M16" i="85"/>
  <c r="L16" i="85"/>
  <c r="G16" i="85"/>
  <c r="L15" i="85"/>
  <c r="M15" i="85" s="1"/>
  <c r="G15" i="85"/>
  <c r="L14" i="85"/>
  <c r="M14" i="85" s="1"/>
  <c r="G14" i="85"/>
  <c r="L13" i="85"/>
  <c r="M13" i="85" s="1"/>
  <c r="G13" i="85"/>
  <c r="L12" i="85"/>
  <c r="M12" i="85" s="1"/>
  <c r="G12" i="85"/>
  <c r="P8" i="85"/>
  <c r="Q8" i="85" s="1"/>
  <c r="O8" i="85"/>
  <c r="D8" i="85"/>
  <c r="E8" i="85" s="1"/>
  <c r="C8" i="85"/>
  <c r="F4" i="85" s="1"/>
  <c r="F8" i="85" s="1"/>
  <c r="E7" i="85"/>
  <c r="J6" i="85"/>
  <c r="E6" i="85"/>
  <c r="J5" i="85"/>
  <c r="E5" i="85"/>
  <c r="M4" i="85"/>
  <c r="M8" i="85" s="1"/>
  <c r="K4" i="85"/>
  <c r="K8" i="85" s="1"/>
  <c r="L4" i="85" s="1"/>
  <c r="L8" i="85" s="1"/>
  <c r="J4" i="85"/>
  <c r="E4" i="85"/>
  <c r="I1" i="85"/>
  <c r="E1" i="85"/>
  <c r="F1" i="85" s="1"/>
  <c r="D4" i="83"/>
  <c r="D4" i="84"/>
  <c r="J69" i="84"/>
  <c r="F69" i="84"/>
  <c r="G69" i="84" s="1"/>
  <c r="E69" i="84"/>
  <c r="C69" i="84"/>
  <c r="L38" i="84"/>
  <c r="G35" i="84"/>
  <c r="G34" i="84"/>
  <c r="G33" i="84"/>
  <c r="G32" i="84"/>
  <c r="G31" i="84"/>
  <c r="G30" i="84"/>
  <c r="G29" i="84"/>
  <c r="G28" i="84"/>
  <c r="G27" i="84"/>
  <c r="G26" i="84"/>
  <c r="G25" i="84"/>
  <c r="G24" i="84"/>
  <c r="G23" i="84"/>
  <c r="G22" i="84"/>
  <c r="G21" i="84"/>
  <c r="G20" i="84"/>
  <c r="G19" i="84"/>
  <c r="G18" i="84"/>
  <c r="L17" i="84"/>
  <c r="M17" i="84" s="1"/>
  <c r="G17" i="84"/>
  <c r="M16" i="84"/>
  <c r="L16" i="84"/>
  <c r="G16" i="84"/>
  <c r="L15" i="84"/>
  <c r="M15" i="84" s="1"/>
  <c r="G15" i="84"/>
  <c r="L14" i="84"/>
  <c r="M14" i="84" s="1"/>
  <c r="G14" i="84"/>
  <c r="L13" i="84"/>
  <c r="M13" i="84" s="1"/>
  <c r="G13" i="84"/>
  <c r="L12" i="84"/>
  <c r="M12" i="84" s="1"/>
  <c r="G12" i="84"/>
  <c r="P8" i="84"/>
  <c r="Q8" i="84" s="1"/>
  <c r="O8" i="84"/>
  <c r="D8" i="84"/>
  <c r="E8" i="84" s="1"/>
  <c r="C8" i="84"/>
  <c r="F4" i="84" s="1"/>
  <c r="F8" i="84" s="1"/>
  <c r="E7" i="84"/>
  <c r="J6" i="84"/>
  <c r="E6" i="84"/>
  <c r="J5" i="84"/>
  <c r="E5" i="84"/>
  <c r="M4" i="84"/>
  <c r="M8" i="84" s="1"/>
  <c r="K4" i="84"/>
  <c r="K8" i="84" s="1"/>
  <c r="L4" i="84" s="1"/>
  <c r="L8" i="84" s="1"/>
  <c r="J4" i="84"/>
  <c r="E4" i="84"/>
  <c r="I1" i="84"/>
  <c r="E1" i="84"/>
  <c r="F1" i="84" s="1"/>
  <c r="D4" i="82"/>
  <c r="D4" i="51"/>
  <c r="D5" i="51"/>
  <c r="J69" i="83"/>
  <c r="F69" i="83"/>
  <c r="G69" i="83" s="1"/>
  <c r="E69" i="83"/>
  <c r="C69" i="83"/>
  <c r="L38" i="83"/>
  <c r="G35" i="83"/>
  <c r="G34" i="83"/>
  <c r="G33" i="83"/>
  <c r="G32" i="83"/>
  <c r="G31" i="83"/>
  <c r="G30" i="83"/>
  <c r="G29" i="83"/>
  <c r="G28" i="83"/>
  <c r="G27" i="83"/>
  <c r="G26" i="83"/>
  <c r="G25" i="83"/>
  <c r="G24" i="83"/>
  <c r="G23" i="83"/>
  <c r="G22" i="83"/>
  <c r="G21" i="83"/>
  <c r="G20" i="83"/>
  <c r="G19" i="83"/>
  <c r="G18" i="83"/>
  <c r="L17" i="83"/>
  <c r="M17" i="83" s="1"/>
  <c r="G17" i="83"/>
  <c r="L16" i="83"/>
  <c r="M16" i="83" s="1"/>
  <c r="G16" i="83"/>
  <c r="L15" i="83"/>
  <c r="M15" i="83" s="1"/>
  <c r="G15" i="83"/>
  <c r="L14" i="83"/>
  <c r="M14" i="83" s="1"/>
  <c r="G14" i="83"/>
  <c r="L13" i="83"/>
  <c r="M13" i="83" s="1"/>
  <c r="G13" i="83"/>
  <c r="L12" i="83"/>
  <c r="L18" i="83" s="1"/>
  <c r="G12" i="83"/>
  <c r="P8" i="83"/>
  <c r="Q8" i="83" s="1"/>
  <c r="D8" i="83"/>
  <c r="C8" i="83"/>
  <c r="F4" i="83" s="1"/>
  <c r="F8" i="83" s="1"/>
  <c r="E7" i="83"/>
  <c r="J6" i="83"/>
  <c r="E6" i="83"/>
  <c r="J5" i="83"/>
  <c r="E5" i="83"/>
  <c r="M4" i="83"/>
  <c r="M8" i="83" s="1"/>
  <c r="K4" i="83"/>
  <c r="K8" i="83" s="1"/>
  <c r="L4" i="83" s="1"/>
  <c r="L8" i="83" s="1"/>
  <c r="J4" i="83"/>
  <c r="E4" i="83"/>
  <c r="I1" i="83"/>
  <c r="E1" i="83"/>
  <c r="F1" i="83" s="1"/>
  <c r="J69" i="82"/>
  <c r="F69" i="82"/>
  <c r="G69" i="82" s="1"/>
  <c r="E69" i="82"/>
  <c r="C69" i="82"/>
  <c r="L38" i="82"/>
  <c r="G35" i="82"/>
  <c r="G34" i="82"/>
  <c r="G33" i="82"/>
  <c r="G32" i="82"/>
  <c r="G31" i="82"/>
  <c r="G30" i="82"/>
  <c r="G29" i="82"/>
  <c r="G28" i="82"/>
  <c r="G27" i="82"/>
  <c r="G26" i="82"/>
  <c r="G25" i="82"/>
  <c r="G24" i="82"/>
  <c r="G23" i="82"/>
  <c r="G22" i="82"/>
  <c r="G21" i="82"/>
  <c r="G20" i="82"/>
  <c r="G19" i="82"/>
  <c r="G18" i="82"/>
  <c r="L17" i="82"/>
  <c r="G17" i="82"/>
  <c r="L16" i="82"/>
  <c r="G16" i="82"/>
  <c r="L15" i="82"/>
  <c r="G15" i="82"/>
  <c r="L14" i="82"/>
  <c r="G14" i="82"/>
  <c r="L13" i="82"/>
  <c r="G13" i="82"/>
  <c r="L12" i="82"/>
  <c r="G12" i="82"/>
  <c r="P8" i="82"/>
  <c r="Q8" i="82" s="1"/>
  <c r="D8" i="82"/>
  <c r="C8" i="82"/>
  <c r="F4" i="82" s="1"/>
  <c r="F8" i="82" s="1"/>
  <c r="E7" i="82"/>
  <c r="J6" i="82"/>
  <c r="E6" i="82"/>
  <c r="J5" i="82"/>
  <c r="E5" i="82"/>
  <c r="M4" i="82"/>
  <c r="M8" i="82" s="1"/>
  <c r="K4" i="82"/>
  <c r="K8" i="82" s="1"/>
  <c r="J4" i="82"/>
  <c r="E4" i="82"/>
  <c r="I1" i="82"/>
  <c r="E1" i="82"/>
  <c r="F1" i="82" s="1"/>
  <c r="Q10" i="22"/>
  <c r="O10" i="22"/>
  <c r="N10" i="22"/>
  <c r="K10" i="22"/>
  <c r="I10" i="22"/>
  <c r="H10" i="22"/>
  <c r="G10" i="22"/>
  <c r="F10" i="22"/>
  <c r="E10" i="22"/>
  <c r="D10" i="22"/>
  <c r="C10" i="22"/>
  <c r="D4" i="70"/>
  <c r="E1" i="77"/>
  <c r="F1" i="77" s="1"/>
  <c r="M18" i="87" l="1"/>
  <c r="L27" i="87"/>
  <c r="N4" i="87"/>
  <c r="N8" i="87" s="1"/>
  <c r="L4" i="87"/>
  <c r="L8" i="87" s="1"/>
  <c r="I9" i="87"/>
  <c r="M12" i="87"/>
  <c r="D8" i="87"/>
  <c r="N4" i="86"/>
  <c r="N8" i="86" s="1"/>
  <c r="L4" i="86"/>
  <c r="L8" i="86" s="1"/>
  <c r="I9" i="86"/>
  <c r="D8" i="86"/>
  <c r="L18" i="86"/>
  <c r="N4" i="85"/>
  <c r="N8" i="85" s="1"/>
  <c r="L22" i="85" s="1"/>
  <c r="I9" i="85"/>
  <c r="G4" i="85"/>
  <c r="L18" i="85"/>
  <c r="I9" i="84"/>
  <c r="N4" i="84"/>
  <c r="N8" i="84" s="1"/>
  <c r="L22" i="84" s="1"/>
  <c r="L18" i="84"/>
  <c r="G4" i="84"/>
  <c r="G4" i="83"/>
  <c r="H4" i="83" s="1"/>
  <c r="O8" i="83"/>
  <c r="M14" i="82"/>
  <c r="M12" i="82"/>
  <c r="M13" i="82"/>
  <c r="G4" i="82"/>
  <c r="H4" i="82" s="1"/>
  <c r="O8" i="82"/>
  <c r="L4" i="82"/>
  <c r="L8" i="82" s="1"/>
  <c r="M15" i="82"/>
  <c r="M16" i="82"/>
  <c r="M17" i="82"/>
  <c r="M18" i="83"/>
  <c r="L27" i="83"/>
  <c r="I9" i="83"/>
  <c r="N4" i="83"/>
  <c r="N8" i="83" s="1"/>
  <c r="L22" i="83" s="1"/>
  <c r="M12" i="83"/>
  <c r="E8" i="83"/>
  <c r="I9" i="82"/>
  <c r="N4" i="82"/>
  <c r="N8" i="82" s="1"/>
  <c r="L22" i="82" s="1"/>
  <c r="L18" i="82"/>
  <c r="E8" i="82"/>
  <c r="L39" i="87" l="1"/>
  <c r="L40" i="87" s="1"/>
  <c r="L22" i="87"/>
  <c r="L28" i="87"/>
  <c r="G4" i="87"/>
  <c r="E8" i="87"/>
  <c r="M18" i="86"/>
  <c r="L27" i="86"/>
  <c r="L28" i="86" s="1"/>
  <c r="G4" i="86"/>
  <c r="E8" i="86"/>
  <c r="L39" i="86"/>
  <c r="L40" i="86" s="1"/>
  <c r="L22" i="86"/>
  <c r="L39" i="85"/>
  <c r="L40" i="85" s="1"/>
  <c r="M18" i="85"/>
  <c r="L27" i="85"/>
  <c r="J1" i="85"/>
  <c r="H4" i="85"/>
  <c r="G8" i="85"/>
  <c r="H8" i="85" s="1"/>
  <c r="L21" i="85"/>
  <c r="H4" i="84"/>
  <c r="G8" i="84"/>
  <c r="H8" i="84" s="1"/>
  <c r="J1" i="84"/>
  <c r="M18" i="84"/>
  <c r="L27" i="84"/>
  <c r="L28" i="84" s="1"/>
  <c r="L21" i="84"/>
  <c r="L39" i="84"/>
  <c r="L40" i="84" s="1"/>
  <c r="G8" i="83"/>
  <c r="H8" i="83" s="1"/>
  <c r="L21" i="83" s="1"/>
  <c r="J1" i="83"/>
  <c r="G8" i="82"/>
  <c r="H8" i="82" s="1"/>
  <c r="L21" i="82" s="1"/>
  <c r="J1" i="82"/>
  <c r="L39" i="82"/>
  <c r="L40" i="82" s="1"/>
  <c r="L39" i="83"/>
  <c r="L40" i="83" s="1"/>
  <c r="L28" i="83"/>
  <c r="M18" i="82"/>
  <c r="L27" i="82"/>
  <c r="L28" i="82" s="1"/>
  <c r="Q8" i="22" l="1"/>
  <c r="O8" i="22"/>
  <c r="L28" i="85"/>
  <c r="O7" i="22"/>
  <c r="Q7" i="22"/>
  <c r="H4" i="87"/>
  <c r="G8" i="87"/>
  <c r="H8" i="87" s="1"/>
  <c r="J1" i="87"/>
  <c r="H4" i="86"/>
  <c r="G8" i="86"/>
  <c r="H8" i="86" s="1"/>
  <c r="L21" i="86" s="1"/>
  <c r="J1" i="86"/>
  <c r="L21" i="87" l="1"/>
  <c r="F9" i="22"/>
  <c r="S3" i="70" l="1"/>
  <c r="E7" i="77" l="1"/>
  <c r="E6" i="77" l="1"/>
  <c r="Q2" i="22" l="1"/>
  <c r="D2" i="22"/>
  <c r="C2" i="22"/>
  <c r="I1" i="51" l="1"/>
  <c r="Q95" i="77" l="1"/>
  <c r="F79" i="77"/>
  <c r="F80" i="77" s="1"/>
  <c r="S75" i="77"/>
  <c r="S78" i="77" s="1"/>
  <c r="J61" i="77"/>
  <c r="F61" i="77"/>
  <c r="E61" i="77"/>
  <c r="M4" i="77" s="1"/>
  <c r="M8" i="77" s="1"/>
  <c r="K2" i="22" s="1"/>
  <c r="C61" i="77"/>
  <c r="K4" i="77" s="1"/>
  <c r="K8" i="77" s="1"/>
  <c r="J2" i="22" s="1"/>
  <c r="G34" i="77"/>
  <c r="G33" i="77"/>
  <c r="G32" i="77"/>
  <c r="G31" i="77"/>
  <c r="G30" i="77"/>
  <c r="G29" i="77"/>
  <c r="G28" i="77"/>
  <c r="G27" i="77"/>
  <c r="G26" i="77"/>
  <c r="G25" i="77"/>
  <c r="G24" i="77"/>
  <c r="G23" i="77"/>
  <c r="G22" i="77"/>
  <c r="G21" i="77"/>
  <c r="G20" i="77"/>
  <c r="G19" i="77"/>
  <c r="G18" i="77"/>
  <c r="L17" i="77"/>
  <c r="G17" i="77"/>
  <c r="L16" i="77"/>
  <c r="G16" i="77"/>
  <c r="L15" i="77"/>
  <c r="G15" i="77"/>
  <c r="L14" i="77"/>
  <c r="G14" i="77"/>
  <c r="L13" i="77"/>
  <c r="G13" i="77"/>
  <c r="L12" i="77"/>
  <c r="G12" i="77"/>
  <c r="P8" i="77"/>
  <c r="D8" i="77"/>
  <c r="C8" i="77"/>
  <c r="J5" i="77"/>
  <c r="E5" i="77"/>
  <c r="R4" i="77"/>
  <c r="J4" i="77"/>
  <c r="E4" i="77"/>
  <c r="J1" i="77"/>
  <c r="L18" i="77" l="1"/>
  <c r="Q8" i="77"/>
  <c r="H2" i="22"/>
  <c r="O8" i="77"/>
  <c r="I2" i="22" s="1"/>
  <c r="E8" i="77"/>
  <c r="M14" i="77"/>
  <c r="M18" i="77"/>
  <c r="M16" i="77"/>
  <c r="M15" i="77"/>
  <c r="M13" i="77"/>
  <c r="M17" i="77"/>
  <c r="F4" i="77"/>
  <c r="F8" i="77" s="1"/>
  <c r="G4" i="77"/>
  <c r="G8" i="77" s="1"/>
  <c r="E2" i="22" s="1"/>
  <c r="G61" i="77"/>
  <c r="M12" i="77"/>
  <c r="L4" i="77" l="1"/>
  <c r="L8" i="77" s="1"/>
  <c r="L2" i="22" s="1"/>
  <c r="G2" i="22"/>
  <c r="H8" i="77"/>
  <c r="F2" i="22" s="1"/>
  <c r="H4" i="77"/>
  <c r="I9" i="77"/>
  <c r="N4" i="77"/>
  <c r="N8" i="77" s="1"/>
  <c r="L27" i="77" l="1"/>
  <c r="O2" i="22" s="1"/>
  <c r="M2" i="22"/>
  <c r="L22" i="77"/>
  <c r="L21" i="77"/>
  <c r="N2" i="22" s="1"/>
  <c r="G28" i="70" l="1"/>
  <c r="G29" i="70"/>
  <c r="G30" i="70"/>
  <c r="G31" i="70"/>
  <c r="G32" i="70"/>
  <c r="G33" i="70"/>
  <c r="G34" i="70"/>
  <c r="G35" i="70"/>
  <c r="G36" i="70"/>
  <c r="G37" i="70"/>
  <c r="G38" i="70"/>
  <c r="G39" i="70"/>
  <c r="G40" i="70"/>
  <c r="G41" i="70"/>
  <c r="G42" i="70"/>
  <c r="G43" i="70"/>
  <c r="G44" i="70"/>
  <c r="J65" i="70"/>
  <c r="D8" i="70" l="1"/>
  <c r="F65" i="70"/>
  <c r="E65" i="70"/>
  <c r="M4" i="70" s="1"/>
  <c r="M8" i="70" s="1"/>
  <c r="C65" i="70"/>
  <c r="K4" i="70" s="1"/>
  <c r="K8" i="70" s="1"/>
  <c r="G27" i="70"/>
  <c r="G26" i="70"/>
  <c r="G25" i="70"/>
  <c r="G24" i="70"/>
  <c r="G23" i="70"/>
  <c r="G22" i="70"/>
  <c r="G21" i="70"/>
  <c r="G20" i="70"/>
  <c r="G19" i="70"/>
  <c r="G18" i="70"/>
  <c r="G17" i="70"/>
  <c r="L16" i="70"/>
  <c r="G16" i="70"/>
  <c r="L15" i="70"/>
  <c r="G15" i="70"/>
  <c r="L14" i="70"/>
  <c r="G14" i="70"/>
  <c r="L13" i="70"/>
  <c r="G13" i="70"/>
  <c r="L12" i="70"/>
  <c r="G12" i="70"/>
  <c r="P8" i="70"/>
  <c r="C8" i="70"/>
  <c r="E7" i="70"/>
  <c r="J6" i="70"/>
  <c r="E6" i="70"/>
  <c r="J5" i="70"/>
  <c r="E5" i="70"/>
  <c r="J4" i="70"/>
  <c r="I1" i="70"/>
  <c r="E1" i="70"/>
  <c r="F1" i="70" s="1"/>
  <c r="J10" i="22" l="1"/>
  <c r="G65" i="70"/>
  <c r="Q8" i="70"/>
  <c r="F4" i="70"/>
  <c r="F8" i="70" s="1"/>
  <c r="O8" i="70"/>
  <c r="M12" i="70"/>
  <c r="M16" i="70"/>
  <c r="M13" i="70"/>
  <c r="M15" i="70"/>
  <c r="M14" i="70"/>
  <c r="E8" i="70"/>
  <c r="G4" i="70"/>
  <c r="L17" i="70"/>
  <c r="E4" i="70"/>
  <c r="L4" i="70" l="1"/>
  <c r="L8" i="70" s="1"/>
  <c r="I9" i="70"/>
  <c r="N4" i="70"/>
  <c r="N8" i="70" s="1"/>
  <c r="M17" i="70"/>
  <c r="G8" i="70"/>
  <c r="H4" i="70"/>
  <c r="M10" i="22" l="1"/>
  <c r="L10" i="22"/>
  <c r="H8" i="70"/>
  <c r="L21" i="70"/>
  <c r="L20" i="70"/>
  <c r="G15" i="51" l="1"/>
  <c r="G16" i="51"/>
  <c r="G17" i="51"/>
  <c r="G18" i="51"/>
  <c r="L15" i="51" l="1"/>
  <c r="L16" i="51"/>
  <c r="Q3" i="22" l="1"/>
  <c r="O3" i="22"/>
  <c r="N3" i="22"/>
  <c r="E3" i="22"/>
  <c r="J32" i="22" l="1"/>
  <c r="F21" i="46" l="1"/>
  <c r="F22" i="42"/>
  <c r="F14" i="46" l="1"/>
  <c r="F21" i="42"/>
  <c r="L38" i="51" l="1"/>
  <c r="F18" i="45" l="1"/>
  <c r="L32" i="42" l="1"/>
  <c r="L33" i="42" s="1"/>
  <c r="L24" i="46" l="1"/>
  <c r="L25" i="42"/>
  <c r="L23" i="46"/>
  <c r="G19" i="40" l="1"/>
  <c r="F24" i="39"/>
  <c r="L37" i="39" l="1"/>
  <c r="L38" i="39" s="1"/>
  <c r="G24" i="40" l="1"/>
  <c r="G25" i="40"/>
  <c r="G26" i="40"/>
  <c r="G27" i="40"/>
  <c r="G28" i="40"/>
  <c r="G29" i="40"/>
  <c r="F14" i="39" l="1"/>
  <c r="F31" i="36"/>
  <c r="J1" i="31" l="1"/>
  <c r="I9" i="36" l="1"/>
  <c r="G30" i="36" l="1"/>
  <c r="G31" i="36"/>
  <c r="G32" i="36"/>
  <c r="G33" i="36"/>
  <c r="G34" i="36"/>
  <c r="G35" i="36"/>
  <c r="G36" i="36"/>
  <c r="G29" i="36"/>
  <c r="G28" i="36"/>
  <c r="L33" i="36" l="1"/>
  <c r="G24" i="34" l="1"/>
  <c r="G25" i="34"/>
  <c r="G26" i="34"/>
  <c r="G27" i="34"/>
  <c r="J69" i="51" l="1"/>
  <c r="F69" i="51"/>
  <c r="E69" i="51"/>
  <c r="C69" i="51"/>
  <c r="K4" i="51" s="1"/>
  <c r="K8" i="51" s="1"/>
  <c r="J3" i="22" s="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L17" i="51"/>
  <c r="L14" i="51"/>
  <c r="G14" i="51"/>
  <c r="L13" i="51"/>
  <c r="G13" i="51"/>
  <c r="L12" i="51"/>
  <c r="G12" i="51"/>
  <c r="P8" i="51"/>
  <c r="H3" i="22" s="1"/>
  <c r="D8" i="51"/>
  <c r="C8" i="51"/>
  <c r="E7" i="51"/>
  <c r="J6" i="51"/>
  <c r="E6" i="51"/>
  <c r="J5" i="51"/>
  <c r="E5" i="51"/>
  <c r="J4" i="51"/>
  <c r="E4" i="51"/>
  <c r="E1" i="51"/>
  <c r="F1" i="51" s="1"/>
  <c r="M16" i="51" l="1"/>
  <c r="M15" i="51"/>
  <c r="M14" i="51"/>
  <c r="Q8" i="51"/>
  <c r="G69" i="51"/>
  <c r="M4" i="51"/>
  <c r="M8" i="51" s="1"/>
  <c r="K3" i="22" s="1"/>
  <c r="L18" i="51"/>
  <c r="M17" i="51"/>
  <c r="G4" i="51"/>
  <c r="G8" i="51" s="1"/>
  <c r="M12" i="51"/>
  <c r="F4" i="51"/>
  <c r="F8" i="51" s="1"/>
  <c r="G3" i="22" s="1"/>
  <c r="E8" i="51"/>
  <c r="O8" i="51"/>
  <c r="I3" i="22" s="1"/>
  <c r="M13" i="51"/>
  <c r="M18" i="51" l="1"/>
  <c r="L27" i="51"/>
  <c r="H4" i="51"/>
  <c r="N4" i="51"/>
  <c r="N8" i="51" s="1"/>
  <c r="M3" i="22" s="1"/>
  <c r="I9" i="51"/>
  <c r="L4" i="51"/>
  <c r="L8" i="51" s="1"/>
  <c r="L3" i="22" s="1"/>
  <c r="J1" i="51"/>
  <c r="H8" i="51"/>
  <c r="F3" i="22" s="1"/>
  <c r="L28" i="51" l="1"/>
  <c r="L39" i="51"/>
  <c r="L40" i="51" s="1"/>
  <c r="L22" i="51"/>
  <c r="L21" i="51"/>
  <c r="K9" i="33" l="1"/>
  <c r="J1" i="39" l="1"/>
  <c r="G26" i="39"/>
  <c r="G27" i="39"/>
  <c r="G28" i="39"/>
  <c r="G29" i="39"/>
  <c r="G30" i="39"/>
  <c r="G31" i="39"/>
  <c r="G24" i="41"/>
  <c r="G25" i="41"/>
  <c r="G26" i="41"/>
  <c r="G27" i="41"/>
  <c r="G28" i="41"/>
  <c r="G29" i="41"/>
  <c r="F22" i="36" l="1"/>
  <c r="F28" i="33"/>
  <c r="G30" i="35" l="1"/>
  <c r="G31" i="35"/>
  <c r="G32" i="35"/>
  <c r="G33" i="35"/>
  <c r="G34" i="35"/>
  <c r="G35" i="35"/>
  <c r="G36" i="35"/>
  <c r="G37" i="35"/>
  <c r="G38" i="35"/>
  <c r="G39" i="35"/>
  <c r="G40" i="35"/>
  <c r="G28" i="33" l="1"/>
  <c r="G29" i="33"/>
  <c r="G30" i="33"/>
  <c r="G31" i="33"/>
  <c r="G32" i="33"/>
  <c r="G33" i="33"/>
  <c r="G34" i="33"/>
  <c r="G35" i="33"/>
  <c r="G36" i="33"/>
  <c r="G37" i="33"/>
  <c r="G27" i="33"/>
  <c r="G26" i="33" l="1"/>
  <c r="F22" i="33" l="1"/>
  <c r="F31" i="30"/>
  <c r="G26" i="36" l="1"/>
  <c r="G27" i="36"/>
  <c r="D4" i="46" l="1"/>
  <c r="D8" i="46" s="1"/>
  <c r="J94" i="46"/>
  <c r="F94" i="46"/>
  <c r="E94" i="46"/>
  <c r="C94" i="46"/>
  <c r="K4" i="46" s="1"/>
  <c r="K8" i="46" s="1"/>
  <c r="G25" i="46"/>
  <c r="G24" i="46"/>
  <c r="G23" i="46"/>
  <c r="G22" i="46"/>
  <c r="G21" i="46"/>
  <c r="G20" i="46"/>
  <c r="G19" i="46"/>
  <c r="G18" i="46"/>
  <c r="G17" i="46"/>
  <c r="G16" i="46"/>
  <c r="L15" i="46"/>
  <c r="G15" i="46"/>
  <c r="L14" i="46"/>
  <c r="M14" i="46" s="1"/>
  <c r="G14" i="46"/>
  <c r="L13" i="46"/>
  <c r="G13" i="46"/>
  <c r="L12" i="46"/>
  <c r="G12" i="46"/>
  <c r="P8" i="46"/>
  <c r="C8" i="46"/>
  <c r="R5" i="46"/>
  <c r="J5" i="46"/>
  <c r="J4" i="46"/>
  <c r="E1" i="46"/>
  <c r="F1" i="46" s="1"/>
  <c r="M13" i="46" l="1"/>
  <c r="G94" i="46"/>
  <c r="M4" i="46"/>
  <c r="M8" i="46" s="1"/>
  <c r="L16" i="46"/>
  <c r="M16" i="46" s="1"/>
  <c r="O8" i="46"/>
  <c r="M15" i="46"/>
  <c r="Q8" i="46"/>
  <c r="F4" i="46"/>
  <c r="F8" i="46" s="1"/>
  <c r="L4" i="46" s="1"/>
  <c r="G4" i="46"/>
  <c r="E8" i="46"/>
  <c r="E4" i="46"/>
  <c r="M12" i="46"/>
  <c r="I9" i="46" l="1"/>
  <c r="L8" i="46"/>
  <c r="N4" i="46"/>
  <c r="N8" i="46" s="1"/>
  <c r="L27" i="46" s="1"/>
  <c r="H4" i="46"/>
  <c r="G8" i="46"/>
  <c r="H8" i="46" s="1"/>
  <c r="J63" i="45"/>
  <c r="F63" i="45"/>
  <c r="E63" i="45"/>
  <c r="M4" i="45" s="1"/>
  <c r="M8" i="45" s="1"/>
  <c r="C63" i="45"/>
  <c r="K4" i="45" s="1"/>
  <c r="K8" i="45" s="1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L15" i="45"/>
  <c r="G15" i="45"/>
  <c r="L14" i="45"/>
  <c r="G14" i="45"/>
  <c r="L13" i="45"/>
  <c r="G13" i="45"/>
  <c r="L12" i="45"/>
  <c r="G12" i="45"/>
  <c r="P8" i="45"/>
  <c r="Q8" i="45" s="1"/>
  <c r="C8" i="45"/>
  <c r="E7" i="45"/>
  <c r="J6" i="45"/>
  <c r="E6" i="45"/>
  <c r="J5" i="45"/>
  <c r="E5" i="45"/>
  <c r="R4" i="45"/>
  <c r="J4" i="45"/>
  <c r="D8" i="45"/>
  <c r="E1" i="45"/>
  <c r="F1" i="45" s="1"/>
  <c r="L19" i="46" l="1"/>
  <c r="G63" i="45"/>
  <c r="L16" i="45"/>
  <c r="M14" i="45"/>
  <c r="M13" i="45"/>
  <c r="M15" i="45"/>
  <c r="O8" i="45"/>
  <c r="F4" i="45"/>
  <c r="F8" i="45" s="1"/>
  <c r="G4" i="45"/>
  <c r="E8" i="45"/>
  <c r="L4" i="45"/>
  <c r="L8" i="45" s="1"/>
  <c r="M12" i="45"/>
  <c r="E4" i="45"/>
  <c r="M16" i="45" l="1"/>
  <c r="I9" i="45"/>
  <c r="N4" i="45"/>
  <c r="N8" i="45" s="1"/>
  <c r="G8" i="45"/>
  <c r="H8" i="45" s="1"/>
  <c r="H4" i="45"/>
  <c r="J1" i="45"/>
  <c r="L19" i="45" l="1"/>
  <c r="L20" i="45"/>
  <c r="F12" i="35" l="1"/>
  <c r="F18" i="31"/>
  <c r="D4" i="42" l="1"/>
  <c r="J108" i="42"/>
  <c r="F108" i="42"/>
  <c r="E108" i="42"/>
  <c r="M4" i="42" s="1"/>
  <c r="M8" i="42" s="1"/>
  <c r="C108" i="42"/>
  <c r="K4" i="42" s="1"/>
  <c r="K8" i="42" s="1"/>
  <c r="G25" i="42"/>
  <c r="G24" i="42"/>
  <c r="G23" i="42"/>
  <c r="G22" i="42"/>
  <c r="G21" i="42"/>
  <c r="G20" i="42"/>
  <c r="G19" i="42"/>
  <c r="G18" i="42"/>
  <c r="G17" i="42"/>
  <c r="G16" i="42"/>
  <c r="L15" i="42"/>
  <c r="M15" i="42" s="1"/>
  <c r="G15" i="42"/>
  <c r="L14" i="42"/>
  <c r="M14" i="42" s="1"/>
  <c r="G14" i="42"/>
  <c r="L13" i="42"/>
  <c r="M13" i="42" s="1"/>
  <c r="G13" i="42"/>
  <c r="L12" i="42"/>
  <c r="G12" i="42"/>
  <c r="P8" i="42"/>
  <c r="C8" i="42"/>
  <c r="R5" i="42"/>
  <c r="J5" i="42"/>
  <c r="J4" i="42"/>
  <c r="E4" i="42"/>
  <c r="E1" i="42"/>
  <c r="F1" i="42" s="1"/>
  <c r="G108" i="42" l="1"/>
  <c r="F4" i="42"/>
  <c r="F8" i="42" s="1"/>
  <c r="Q8" i="42"/>
  <c r="O8" i="42"/>
  <c r="L16" i="42"/>
  <c r="M16" i="42" s="1"/>
  <c r="D8" i="42"/>
  <c r="M12" i="42"/>
  <c r="L4" i="42" l="1"/>
  <c r="L8" i="42" s="1"/>
  <c r="N4" i="42"/>
  <c r="N8" i="42" s="1"/>
  <c r="L26" i="42" s="1"/>
  <c r="E8" i="42"/>
  <c r="G4" i="42"/>
  <c r="H4" i="42" l="1"/>
  <c r="G8" i="42"/>
  <c r="H8" i="42" s="1"/>
  <c r="L19" i="42" s="1"/>
  <c r="G26" i="30" l="1"/>
  <c r="G27" i="30"/>
  <c r="G28" i="30"/>
  <c r="G29" i="30"/>
  <c r="G30" i="30"/>
  <c r="G31" i="30"/>
  <c r="F15" i="30" l="1"/>
  <c r="F28" i="28"/>
  <c r="G28" i="28" l="1"/>
  <c r="R5" i="40" l="1"/>
  <c r="R5" i="39" l="1"/>
  <c r="F71" i="41" l="1"/>
  <c r="E71" i="41"/>
  <c r="M4" i="41" s="1"/>
  <c r="M8" i="41" s="1"/>
  <c r="C71" i="41"/>
  <c r="K4" i="41" s="1"/>
  <c r="K8" i="41" s="1"/>
  <c r="G23" i="41"/>
  <c r="G22" i="41"/>
  <c r="G21" i="41"/>
  <c r="G20" i="41"/>
  <c r="G19" i="41"/>
  <c r="G18" i="41"/>
  <c r="G17" i="41"/>
  <c r="G16" i="41"/>
  <c r="G15" i="41"/>
  <c r="L14" i="41"/>
  <c r="G14" i="41"/>
  <c r="L13" i="41"/>
  <c r="G13" i="41"/>
  <c r="L12" i="41"/>
  <c r="G12" i="41"/>
  <c r="P8" i="41"/>
  <c r="D8" i="41"/>
  <c r="C8" i="41"/>
  <c r="E7" i="41"/>
  <c r="E6" i="41"/>
  <c r="J5" i="41"/>
  <c r="E5" i="41"/>
  <c r="J4" i="41"/>
  <c r="E4" i="41"/>
  <c r="E1" i="41"/>
  <c r="F1" i="41" s="1"/>
  <c r="L24" i="41" l="1"/>
  <c r="G71" i="41"/>
  <c r="F4" i="41"/>
  <c r="F8" i="41" s="1"/>
  <c r="M13" i="41"/>
  <c r="O8" i="41"/>
  <c r="M14" i="41"/>
  <c r="M12" i="41"/>
  <c r="E8" i="41"/>
  <c r="Q8" i="41"/>
  <c r="G4" i="41"/>
  <c r="D4" i="40"/>
  <c r="D8" i="40" s="1"/>
  <c r="F59" i="40"/>
  <c r="E59" i="40"/>
  <c r="M4" i="40" s="1"/>
  <c r="M8" i="40" s="1"/>
  <c r="C59" i="40"/>
  <c r="K4" i="40" s="1"/>
  <c r="K8" i="40" s="1"/>
  <c r="G23" i="40"/>
  <c r="G22" i="40"/>
  <c r="G21" i="40"/>
  <c r="G20" i="40"/>
  <c r="G18" i="40"/>
  <c r="G17" i="40"/>
  <c r="G16" i="40"/>
  <c r="L15" i="40"/>
  <c r="G15" i="40"/>
  <c r="L14" i="40"/>
  <c r="G14" i="40"/>
  <c r="L13" i="40"/>
  <c r="G13" i="40"/>
  <c r="L12" i="40"/>
  <c r="G12" i="40"/>
  <c r="P8" i="40"/>
  <c r="Q8" i="40" s="1"/>
  <c r="C8" i="40"/>
  <c r="E7" i="40"/>
  <c r="E6" i="40"/>
  <c r="J5" i="40"/>
  <c r="E5" i="40"/>
  <c r="J4" i="40"/>
  <c r="E1" i="40"/>
  <c r="F1" i="40" s="1"/>
  <c r="N4" i="41" l="1"/>
  <c r="N8" i="41" s="1"/>
  <c r="I9" i="41" s="1"/>
  <c r="F9" i="41"/>
  <c r="G59" i="40"/>
  <c r="L16" i="40"/>
  <c r="L4" i="41"/>
  <c r="L8" i="41" s="1"/>
  <c r="G8" i="41"/>
  <c r="H8" i="41" s="1"/>
  <c r="H4" i="41"/>
  <c r="E4" i="40"/>
  <c r="E8" i="40"/>
  <c r="F4" i="40"/>
  <c r="F8" i="40" s="1"/>
  <c r="F9" i="40" s="1"/>
  <c r="O8" i="40"/>
  <c r="M13" i="40"/>
  <c r="M14" i="40"/>
  <c r="M15" i="40"/>
  <c r="G4" i="40"/>
  <c r="M12" i="40"/>
  <c r="M16" i="40" l="1"/>
  <c r="I1" i="40"/>
  <c r="N4" i="40"/>
  <c r="N8" i="40" s="1"/>
  <c r="L4" i="40"/>
  <c r="L8" i="40" s="1"/>
  <c r="H4" i="40"/>
  <c r="G8" i="40"/>
  <c r="H8" i="40" s="1"/>
  <c r="L20" i="28"/>
  <c r="L21" i="40" l="1"/>
  <c r="I9" i="40"/>
  <c r="E1" i="34"/>
  <c r="E1" i="35"/>
  <c r="F1" i="35" s="1"/>
  <c r="E1" i="31"/>
  <c r="F1" i="31" s="1"/>
  <c r="J59" i="40" l="1"/>
  <c r="L20" i="40" s="1"/>
  <c r="F1" i="34"/>
  <c r="D4" i="39"/>
  <c r="E4" i="39" s="1"/>
  <c r="L19" i="40" l="1"/>
  <c r="J76" i="39" l="1"/>
  <c r="F76" i="39"/>
  <c r="E76" i="39"/>
  <c r="M4" i="39" s="1"/>
  <c r="M8" i="39" s="1"/>
  <c r="C76" i="39"/>
  <c r="K4" i="39" s="1"/>
  <c r="K8" i="39" s="1"/>
  <c r="G25" i="39"/>
  <c r="G24" i="39"/>
  <c r="G23" i="39"/>
  <c r="G22" i="39"/>
  <c r="G21" i="39"/>
  <c r="G20" i="39"/>
  <c r="G19" i="39"/>
  <c r="G18" i="39"/>
  <c r="G17" i="39"/>
  <c r="G16" i="39"/>
  <c r="L15" i="39"/>
  <c r="G15" i="39"/>
  <c r="L14" i="39"/>
  <c r="G14" i="39"/>
  <c r="L13" i="39"/>
  <c r="G13" i="39"/>
  <c r="L12" i="39"/>
  <c r="G12" i="39"/>
  <c r="P8" i="39"/>
  <c r="C8" i="39"/>
  <c r="J5" i="39"/>
  <c r="J4" i="39"/>
  <c r="D8" i="39"/>
  <c r="E1" i="39"/>
  <c r="F1" i="39" s="1"/>
  <c r="G76" i="39" l="1"/>
  <c r="O8" i="39"/>
  <c r="Q8" i="39"/>
  <c r="F4" i="39"/>
  <c r="F8" i="39" s="1"/>
  <c r="M15" i="39"/>
  <c r="M14" i="39"/>
  <c r="M13" i="39"/>
  <c r="L16" i="39"/>
  <c r="M16" i="39" s="1"/>
  <c r="E8" i="39"/>
  <c r="G4" i="39"/>
  <c r="M12" i="39"/>
  <c r="L4" i="39" l="1"/>
  <c r="L8" i="39" s="1"/>
  <c r="N4" i="39"/>
  <c r="N8" i="39" s="1"/>
  <c r="H4" i="39"/>
  <c r="G8" i="39"/>
  <c r="H8" i="39" s="1"/>
  <c r="L19" i="39" s="1"/>
  <c r="L20" i="39" l="1"/>
  <c r="F26" i="23" l="1"/>
  <c r="F22" i="28"/>
  <c r="R3" i="26" l="1"/>
  <c r="R4" i="26" s="1"/>
  <c r="T3" i="26" l="1"/>
  <c r="F21" i="26" l="1"/>
  <c r="G26" i="23" l="1"/>
  <c r="D4" i="36" l="1"/>
  <c r="F59" i="36" l="1"/>
  <c r="E59" i="36"/>
  <c r="C59" i="36"/>
  <c r="K4" i="36" s="1"/>
  <c r="K8" i="36" s="1"/>
  <c r="G25" i="36"/>
  <c r="G24" i="36"/>
  <c r="G23" i="36"/>
  <c r="G22" i="36"/>
  <c r="G21" i="36"/>
  <c r="G20" i="36"/>
  <c r="G19" i="36"/>
  <c r="G18" i="36"/>
  <c r="G17" i="36"/>
  <c r="G16" i="36"/>
  <c r="L15" i="36"/>
  <c r="G15" i="36"/>
  <c r="L14" i="36"/>
  <c r="G14" i="36"/>
  <c r="L13" i="36"/>
  <c r="G13" i="36"/>
  <c r="L12" i="36"/>
  <c r="G12" i="36"/>
  <c r="P8" i="36"/>
  <c r="C8" i="36"/>
  <c r="J5" i="36"/>
  <c r="J4" i="36"/>
  <c r="D8" i="36"/>
  <c r="R3" i="36"/>
  <c r="E1" i="36"/>
  <c r="F1" i="36" s="1"/>
  <c r="G59" i="36" l="1"/>
  <c r="M4" i="36"/>
  <c r="M8" i="36" s="1"/>
  <c r="O8" i="36"/>
  <c r="M15" i="36"/>
  <c r="M13" i="36"/>
  <c r="M14" i="36"/>
  <c r="Q8" i="36"/>
  <c r="F4" i="36"/>
  <c r="F8" i="36" s="1"/>
  <c r="N4" i="36" s="1"/>
  <c r="N8" i="36" s="1"/>
  <c r="L20" i="36" s="1"/>
  <c r="L16" i="36"/>
  <c r="M16" i="36" s="1"/>
  <c r="G4" i="36"/>
  <c r="E8" i="36"/>
  <c r="E4" i="36"/>
  <c r="M12" i="36"/>
  <c r="L4" i="36" l="1"/>
  <c r="L8" i="36" s="1"/>
  <c r="H4" i="36"/>
  <c r="G8" i="36"/>
  <c r="H8" i="36" s="1"/>
  <c r="L26" i="36" s="1"/>
  <c r="J59" i="36" l="1"/>
  <c r="L19" i="36" s="1"/>
  <c r="F16" i="26" l="1"/>
  <c r="F19" i="21"/>
  <c r="U1" i="22" l="1"/>
  <c r="P9" i="22" l="1"/>
  <c r="P3" i="22"/>
  <c r="P7" i="22"/>
  <c r="P8" i="22"/>
  <c r="P5" i="22"/>
  <c r="P6" i="22"/>
  <c r="P4" i="22"/>
  <c r="P2" i="22"/>
  <c r="P10" i="22"/>
  <c r="J30" i="29" l="1"/>
  <c r="J29" i="29"/>
  <c r="J27" i="29"/>
  <c r="Q93" i="35" l="1"/>
  <c r="F77" i="35"/>
  <c r="F78" i="35" s="1"/>
  <c r="S73" i="35"/>
  <c r="S76" i="35" s="1"/>
  <c r="F59" i="35"/>
  <c r="E59" i="35"/>
  <c r="M4" i="35" s="1"/>
  <c r="M8" i="35" s="1"/>
  <c r="C59" i="35"/>
  <c r="K4" i="35" s="1"/>
  <c r="K8" i="35" s="1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L15" i="35"/>
  <c r="G15" i="35"/>
  <c r="L14" i="35"/>
  <c r="G14" i="35"/>
  <c r="L13" i="35"/>
  <c r="G13" i="35"/>
  <c r="L12" i="35"/>
  <c r="G12" i="35"/>
  <c r="P8" i="35"/>
  <c r="D8" i="35"/>
  <c r="C8" i="35"/>
  <c r="O8" i="35" s="1"/>
  <c r="J5" i="35"/>
  <c r="E5" i="35"/>
  <c r="R4" i="35"/>
  <c r="J4" i="35"/>
  <c r="E4" i="35"/>
  <c r="G59" i="35" l="1"/>
  <c r="L16" i="35"/>
  <c r="M12" i="35"/>
  <c r="M13" i="35"/>
  <c r="E8" i="35"/>
  <c r="M14" i="35"/>
  <c r="M15" i="35"/>
  <c r="G4" i="35"/>
  <c r="G8" i="35" s="1"/>
  <c r="F4" i="35"/>
  <c r="F8" i="35" s="1"/>
  <c r="I9" i="35" s="1"/>
  <c r="Q8" i="35"/>
  <c r="M16" i="35" l="1"/>
  <c r="H8" i="35"/>
  <c r="L4" i="35"/>
  <c r="L8" i="35" s="1"/>
  <c r="H4" i="35"/>
  <c r="N4" i="35"/>
  <c r="N8" i="35" s="1"/>
  <c r="L20" i="35" l="1"/>
  <c r="J59" i="35" l="1"/>
  <c r="L19" i="35" l="1"/>
  <c r="G25" i="25"/>
  <c r="G26" i="25"/>
  <c r="G27" i="25"/>
  <c r="G28" i="25"/>
  <c r="G29" i="25"/>
  <c r="G30" i="25"/>
  <c r="J23" i="29" l="1"/>
  <c r="J21" i="29"/>
  <c r="J19" i="29"/>
  <c r="D4" i="34" l="1"/>
  <c r="E4" i="34" s="1"/>
  <c r="E59" i="34"/>
  <c r="C59" i="34"/>
  <c r="K4" i="34" s="1"/>
  <c r="K8" i="34" s="1"/>
  <c r="G23" i="34"/>
  <c r="G22" i="34"/>
  <c r="G21" i="34"/>
  <c r="G20" i="34"/>
  <c r="G19" i="34"/>
  <c r="G18" i="34"/>
  <c r="G17" i="34"/>
  <c r="G16" i="34"/>
  <c r="L15" i="34"/>
  <c r="G15" i="34"/>
  <c r="L14" i="34"/>
  <c r="G14" i="34"/>
  <c r="L13" i="34"/>
  <c r="G13" i="34"/>
  <c r="L12" i="34"/>
  <c r="M12" i="34" s="1"/>
  <c r="G12" i="34"/>
  <c r="P8" i="34"/>
  <c r="C8" i="34"/>
  <c r="E7" i="34"/>
  <c r="E6" i="34"/>
  <c r="J5" i="34"/>
  <c r="E5" i="34"/>
  <c r="J4" i="34"/>
  <c r="M4" i="34" l="1"/>
  <c r="M8" i="34" s="1"/>
  <c r="M13" i="34"/>
  <c r="M14" i="34"/>
  <c r="O8" i="34"/>
  <c r="M15" i="34"/>
  <c r="F4" i="34"/>
  <c r="F8" i="34" s="1"/>
  <c r="Q8" i="34"/>
  <c r="L16" i="34"/>
  <c r="L28" i="34" s="1"/>
  <c r="F59" i="34"/>
  <c r="G59" i="34" s="1"/>
  <c r="D8" i="34"/>
  <c r="L4" i="34" l="1"/>
  <c r="L8" i="34" s="1"/>
  <c r="F9" i="34"/>
  <c r="L1" i="34"/>
  <c r="N4" i="34"/>
  <c r="N8" i="34" s="1"/>
  <c r="M16" i="34" s="1"/>
  <c r="E8" i="34"/>
  <c r="G4" i="34"/>
  <c r="L21" i="34" l="1"/>
  <c r="L23" i="34"/>
  <c r="L24" i="34" s="1"/>
  <c r="L25" i="34"/>
  <c r="I1" i="34"/>
  <c r="H4" i="34"/>
  <c r="G8" i="34"/>
  <c r="H8" i="34" s="1"/>
  <c r="J59" i="34" l="1"/>
  <c r="L19" i="34" s="1"/>
  <c r="L20" i="34" l="1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12" i="28"/>
  <c r="U3" i="24" l="1"/>
  <c r="U4" i="24" s="1"/>
  <c r="U2" i="24"/>
  <c r="T2" i="24" l="1"/>
  <c r="T4" i="24"/>
  <c r="G23" i="26" l="1"/>
  <c r="G24" i="26"/>
  <c r="G25" i="26"/>
  <c r="G26" i="26"/>
  <c r="G27" i="26"/>
  <c r="G28" i="26"/>
  <c r="G29" i="26"/>
  <c r="G20" i="21" l="1"/>
  <c r="G21" i="21"/>
  <c r="G22" i="21"/>
  <c r="G23" i="21"/>
  <c r="F17" i="21"/>
  <c r="R2" i="21" l="1"/>
  <c r="S3" i="21" s="1"/>
  <c r="D4" i="33" l="1"/>
  <c r="F59" i="33" l="1"/>
  <c r="E59" i="33"/>
  <c r="M4" i="33" s="1"/>
  <c r="M8" i="33" s="1"/>
  <c r="C59" i="33"/>
  <c r="K4" i="33" s="1"/>
  <c r="K8" i="33" s="1"/>
  <c r="G25" i="33"/>
  <c r="G24" i="33"/>
  <c r="G23" i="33"/>
  <c r="G22" i="33"/>
  <c r="G21" i="33"/>
  <c r="G20" i="33"/>
  <c r="G19" i="33"/>
  <c r="G18" i="33"/>
  <c r="G17" i="33"/>
  <c r="G16" i="33"/>
  <c r="L15" i="33"/>
  <c r="G15" i="33"/>
  <c r="L14" i="33"/>
  <c r="G14" i="33"/>
  <c r="L13" i="33"/>
  <c r="M13" i="33" s="1"/>
  <c r="G13" i="33"/>
  <c r="L12" i="33"/>
  <c r="G12" i="33"/>
  <c r="P8" i="33"/>
  <c r="C8" i="33"/>
  <c r="J5" i="33"/>
  <c r="J4" i="33"/>
  <c r="D8" i="33"/>
  <c r="R3" i="33"/>
  <c r="E1" i="33"/>
  <c r="F1" i="33" s="1"/>
  <c r="G59" i="33" l="1"/>
  <c r="L16" i="33"/>
  <c r="Q8" i="33"/>
  <c r="O8" i="33"/>
  <c r="M15" i="33"/>
  <c r="F4" i="33"/>
  <c r="F8" i="33" s="1"/>
  <c r="I9" i="33" s="1"/>
  <c r="M14" i="33"/>
  <c r="E8" i="33"/>
  <c r="G4" i="33"/>
  <c r="E4" i="33"/>
  <c r="M12" i="33"/>
  <c r="M16" i="33" l="1"/>
  <c r="N4" i="33"/>
  <c r="N8" i="33" s="1"/>
  <c r="L20" i="33" s="1"/>
  <c r="L4" i="33"/>
  <c r="L8" i="33" s="1"/>
  <c r="H4" i="33"/>
  <c r="G8" i="33"/>
  <c r="H8" i="33" s="1"/>
  <c r="G13" i="26"/>
  <c r="G14" i="26"/>
  <c r="G15" i="26"/>
  <c r="G16" i="26"/>
  <c r="G17" i="26"/>
  <c r="G18" i="26"/>
  <c r="G19" i="26"/>
  <c r="G20" i="26"/>
  <c r="G21" i="26"/>
  <c r="G22" i="26"/>
  <c r="F12" i="26"/>
  <c r="G12" i="26" s="1"/>
  <c r="J1" i="33" l="1"/>
  <c r="J59" i="33" l="1"/>
  <c r="L19" i="33" l="1"/>
  <c r="R3" i="30"/>
  <c r="G14" i="17" l="1"/>
  <c r="F26" i="17"/>
  <c r="F25" i="17"/>
  <c r="F24" i="17"/>
  <c r="F21" i="17"/>
  <c r="F19" i="17"/>
  <c r="F13" i="25" l="1"/>
  <c r="D4" i="31" l="1"/>
  <c r="Q93" i="31"/>
  <c r="F77" i="31"/>
  <c r="F78" i="31" s="1"/>
  <c r="S73" i="31"/>
  <c r="S76" i="31" s="1"/>
  <c r="F59" i="31"/>
  <c r="E59" i="31"/>
  <c r="M4" i="31" s="1"/>
  <c r="M8" i="31" s="1"/>
  <c r="C59" i="31"/>
  <c r="K4" i="31" s="1"/>
  <c r="K8" i="31" s="1"/>
  <c r="G32" i="31"/>
  <c r="G31" i="31"/>
  <c r="G30" i="31"/>
  <c r="G29" i="31"/>
  <c r="G28" i="31"/>
  <c r="G27" i="31"/>
  <c r="G26" i="31"/>
  <c r="G25" i="31"/>
  <c r="G24" i="31"/>
  <c r="G23" i="31"/>
  <c r="G22" i="31"/>
  <c r="J59" i="31"/>
  <c r="G21" i="31"/>
  <c r="G20" i="31"/>
  <c r="G19" i="31"/>
  <c r="G18" i="31"/>
  <c r="G17" i="31"/>
  <c r="G16" i="31"/>
  <c r="L15" i="31"/>
  <c r="G15" i="31"/>
  <c r="L14" i="31"/>
  <c r="G14" i="31"/>
  <c r="L13" i="31"/>
  <c r="G13" i="31"/>
  <c r="L12" i="31"/>
  <c r="G12" i="31"/>
  <c r="P8" i="31"/>
  <c r="D8" i="31"/>
  <c r="C8" i="31"/>
  <c r="J5" i="31"/>
  <c r="E5" i="31"/>
  <c r="R4" i="31"/>
  <c r="J4" i="31"/>
  <c r="E4" i="31"/>
  <c r="G59" i="31" l="1"/>
  <c r="M15" i="31"/>
  <c r="O8" i="31"/>
  <c r="M12" i="31"/>
  <c r="M13" i="31"/>
  <c r="G4" i="31"/>
  <c r="M14" i="31"/>
  <c r="F4" i="31"/>
  <c r="F8" i="31" s="1"/>
  <c r="I9" i="31" s="1"/>
  <c r="G8" i="31"/>
  <c r="E8" i="31"/>
  <c r="Q8" i="31"/>
  <c r="L16" i="31"/>
  <c r="G13" i="25"/>
  <c r="G14" i="25"/>
  <c r="G15" i="25"/>
  <c r="G16" i="25"/>
  <c r="G17" i="25"/>
  <c r="G18" i="25"/>
  <c r="G19" i="25"/>
  <c r="G20" i="25"/>
  <c r="G21" i="25"/>
  <c r="G22" i="25"/>
  <c r="G23" i="25"/>
  <c r="G24" i="25"/>
  <c r="G12" i="25"/>
  <c r="M16" i="31" l="1"/>
  <c r="N4" i="31"/>
  <c r="N8" i="31" s="1"/>
  <c r="H4" i="31"/>
  <c r="H8" i="31"/>
  <c r="L19" i="31" s="1"/>
  <c r="L4" i="31"/>
  <c r="L8" i="31" s="1"/>
  <c r="L20" i="31" l="1"/>
  <c r="G27" i="17"/>
  <c r="G28" i="17"/>
  <c r="G29" i="17"/>
  <c r="G30" i="17"/>
  <c r="G26" i="17"/>
  <c r="L15" i="24" l="1"/>
  <c r="J23" i="24"/>
  <c r="J21" i="24"/>
  <c r="G15" i="24"/>
  <c r="G9" i="29" l="1"/>
  <c r="L14" i="28" l="1"/>
  <c r="L13" i="28"/>
  <c r="L14" i="25"/>
  <c r="D4" i="30" l="1"/>
  <c r="E59" i="30"/>
  <c r="M4" i="30" s="1"/>
  <c r="M8" i="30" s="1"/>
  <c r="C59" i="30"/>
  <c r="K4" i="30" s="1"/>
  <c r="K8" i="30" s="1"/>
  <c r="G25" i="30"/>
  <c r="G24" i="30"/>
  <c r="G23" i="30"/>
  <c r="G22" i="30"/>
  <c r="G21" i="30"/>
  <c r="G20" i="30"/>
  <c r="G19" i="30"/>
  <c r="G18" i="30"/>
  <c r="G17" i="30"/>
  <c r="G16" i="30"/>
  <c r="L15" i="30"/>
  <c r="M15" i="30" s="1"/>
  <c r="G15" i="30"/>
  <c r="L14" i="30"/>
  <c r="G14" i="30"/>
  <c r="L13" i="30"/>
  <c r="F59" i="30"/>
  <c r="L12" i="30"/>
  <c r="G12" i="30"/>
  <c r="P8" i="30"/>
  <c r="Q8" i="30" s="1"/>
  <c r="D8" i="30"/>
  <c r="E8" i="30" s="1"/>
  <c r="C8" i="30"/>
  <c r="J5" i="30"/>
  <c r="J4" i="30"/>
  <c r="E4" i="30"/>
  <c r="E1" i="30"/>
  <c r="F1" i="30" s="1"/>
  <c r="M13" i="30" l="1"/>
  <c r="M14" i="30"/>
  <c r="G59" i="30"/>
  <c r="L16" i="30"/>
  <c r="F4" i="30"/>
  <c r="F8" i="30" s="1"/>
  <c r="N4" i="30" s="1"/>
  <c r="N8" i="30" s="1"/>
  <c r="G4" i="30"/>
  <c r="M12" i="30"/>
  <c r="O8" i="30"/>
  <c r="G13" i="30"/>
  <c r="F13" i="23"/>
  <c r="M16" i="30" l="1"/>
  <c r="L4" i="30"/>
  <c r="L20" i="30"/>
  <c r="I9" i="30"/>
  <c r="L8" i="30"/>
  <c r="G8" i="30"/>
  <c r="H8" i="30" s="1"/>
  <c r="H4" i="30"/>
  <c r="G14" i="21"/>
  <c r="G15" i="21"/>
  <c r="G16" i="21"/>
  <c r="G17" i="21"/>
  <c r="G18" i="21"/>
  <c r="G19" i="21"/>
  <c r="F13" i="21"/>
  <c r="G13" i="21" s="1"/>
  <c r="J59" i="30" l="1"/>
  <c r="L19" i="30" s="1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12" i="23"/>
  <c r="L24" i="16" l="1"/>
  <c r="L25" i="16" s="1"/>
  <c r="J15" i="29" l="1"/>
  <c r="J65" i="20" l="1"/>
  <c r="I66" i="20"/>
  <c r="I67" i="20" s="1"/>
  <c r="I68" i="20" s="1"/>
  <c r="F26" i="16" l="1"/>
  <c r="G26" i="16" s="1"/>
  <c r="G25" i="16"/>
  <c r="G27" i="16"/>
  <c r="G28" i="16"/>
  <c r="G29" i="16"/>
  <c r="G30" i="16"/>
  <c r="M2" i="26" l="1"/>
  <c r="T3" i="21" l="1"/>
  <c r="F22" i="16" l="1"/>
  <c r="G12" i="21"/>
  <c r="Q4" i="20" l="1"/>
  <c r="L15" i="26" l="1"/>
  <c r="J17" i="26"/>
  <c r="L14" i="23" l="1"/>
  <c r="D4" i="29" l="1"/>
  <c r="J59" i="29"/>
  <c r="F59" i="29"/>
  <c r="E59" i="29"/>
  <c r="M4" i="29" s="1"/>
  <c r="M8" i="29" s="1"/>
  <c r="L27" i="29" s="1"/>
  <c r="C59" i="29"/>
  <c r="K4" i="29" s="1"/>
  <c r="K8" i="29" s="1"/>
  <c r="G45" i="29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L15" i="29"/>
  <c r="G15" i="29"/>
  <c r="L14" i="29"/>
  <c r="G14" i="29"/>
  <c r="L13" i="29"/>
  <c r="G13" i="29"/>
  <c r="L12" i="29"/>
  <c r="G12" i="29"/>
  <c r="P8" i="29"/>
  <c r="C8" i="29"/>
  <c r="E7" i="29"/>
  <c r="R6" i="29"/>
  <c r="J6" i="29"/>
  <c r="E6" i="29"/>
  <c r="R5" i="29"/>
  <c r="J5" i="29"/>
  <c r="E5" i="29"/>
  <c r="R4" i="29"/>
  <c r="J4" i="29"/>
  <c r="E4" i="29"/>
  <c r="D1" i="29"/>
  <c r="G59" i="29" l="1"/>
  <c r="L16" i="29"/>
  <c r="E1" i="29"/>
  <c r="Q8" i="29"/>
  <c r="M15" i="29"/>
  <c r="M13" i="29"/>
  <c r="M14" i="29"/>
  <c r="F4" i="29"/>
  <c r="F8" i="29" s="1"/>
  <c r="D8" i="29"/>
  <c r="M12" i="29"/>
  <c r="O8" i="29"/>
  <c r="L14" i="21"/>
  <c r="M16" i="29" l="1"/>
  <c r="L4" i="29"/>
  <c r="L8" i="29" s="1"/>
  <c r="I9" i="29"/>
  <c r="N4" i="29"/>
  <c r="N8" i="29" s="1"/>
  <c r="G4" i="29"/>
  <c r="E8" i="29"/>
  <c r="G21" i="16"/>
  <c r="G22" i="16"/>
  <c r="G23" i="16"/>
  <c r="G24" i="16"/>
  <c r="L20" i="29" l="1"/>
  <c r="G8" i="29"/>
  <c r="H8" i="29" s="1"/>
  <c r="L19" i="29" s="1"/>
  <c r="H4" i="29"/>
  <c r="J59" i="28" l="1"/>
  <c r="F59" i="28"/>
  <c r="E59" i="28"/>
  <c r="M4" i="28" s="1"/>
  <c r="M8" i="28" s="1"/>
  <c r="C59" i="28"/>
  <c r="K4" i="28" s="1"/>
  <c r="K8" i="28" s="1"/>
  <c r="L15" i="28"/>
  <c r="L12" i="28"/>
  <c r="P8" i="28"/>
  <c r="Q8" i="28" s="1"/>
  <c r="D8" i="28"/>
  <c r="C8" i="28"/>
  <c r="J5" i="28"/>
  <c r="R3" i="28"/>
  <c r="J4" i="28"/>
  <c r="E4" i="28"/>
  <c r="E1" i="28"/>
  <c r="M13" i="28" l="1"/>
  <c r="M14" i="28"/>
  <c r="F1" i="28"/>
  <c r="G59" i="28"/>
  <c r="G4" i="28"/>
  <c r="M15" i="28"/>
  <c r="M12" i="28"/>
  <c r="E8" i="28"/>
  <c r="F4" i="28"/>
  <c r="F8" i="28" s="1"/>
  <c r="I9" i="28" s="1"/>
  <c r="O8" i="28"/>
  <c r="L16" i="28"/>
  <c r="M16" i="28" l="1"/>
  <c r="L26" i="28"/>
  <c r="L4" i="28"/>
  <c r="L8" i="28" s="1"/>
  <c r="H4" i="28"/>
  <c r="N4" i="28"/>
  <c r="N8" i="28" s="1"/>
  <c r="G8" i="28"/>
  <c r="H8" i="28" s="1"/>
  <c r="L19" i="28" s="1"/>
  <c r="H1" i="20"/>
  <c r="U9" i="16" l="1"/>
  <c r="U11" i="16" s="1"/>
  <c r="G20" i="17" l="1"/>
  <c r="G21" i="17"/>
  <c r="G22" i="17"/>
  <c r="G23" i="17"/>
  <c r="G24" i="17"/>
  <c r="G25" i="17"/>
  <c r="G13" i="17"/>
  <c r="G15" i="17"/>
  <c r="G16" i="17"/>
  <c r="G17" i="17"/>
  <c r="G18" i="17"/>
  <c r="G19" i="17"/>
  <c r="G12" i="17"/>
  <c r="T3" i="20" l="1"/>
  <c r="F20" i="16" l="1"/>
  <c r="E20" i="16"/>
  <c r="L23" i="12" l="1"/>
  <c r="F18" i="16" l="1"/>
  <c r="F17" i="16"/>
  <c r="F16" i="16" l="1"/>
  <c r="J59" i="26" l="1"/>
  <c r="F59" i="26"/>
  <c r="E59" i="26"/>
  <c r="M4" i="26" s="1"/>
  <c r="M8" i="26" s="1"/>
  <c r="C59" i="26"/>
  <c r="K4" i="26" s="1"/>
  <c r="K8" i="26" s="1"/>
  <c r="L14" i="26"/>
  <c r="L13" i="26"/>
  <c r="L12" i="26"/>
  <c r="P8" i="26"/>
  <c r="Q8" i="26" s="1"/>
  <c r="C8" i="26"/>
  <c r="M15" i="26" s="1"/>
  <c r="E7" i="26"/>
  <c r="E6" i="26"/>
  <c r="J5" i="26"/>
  <c r="E5" i="26"/>
  <c r="J4" i="26"/>
  <c r="E4" i="26"/>
  <c r="D8" i="26"/>
  <c r="D1" i="26"/>
  <c r="E1" i="26" s="1"/>
  <c r="G59" i="26" l="1"/>
  <c r="L16" i="26"/>
  <c r="T5" i="26" s="1"/>
  <c r="O8" i="26"/>
  <c r="M13" i="26"/>
  <c r="M12" i="26"/>
  <c r="M14" i="26"/>
  <c r="F4" i="26"/>
  <c r="F8" i="26" s="1"/>
  <c r="I9" i="26" s="1"/>
  <c r="E8" i="26"/>
  <c r="G4" i="26"/>
  <c r="J35" i="12"/>
  <c r="G15" i="12"/>
  <c r="G16" i="12"/>
  <c r="J28" i="12"/>
  <c r="J26" i="12"/>
  <c r="J25" i="12"/>
  <c r="J24" i="12"/>
  <c r="J23" i="12"/>
  <c r="J22" i="12"/>
  <c r="J21" i="12"/>
  <c r="J20" i="12"/>
  <c r="J19" i="12"/>
  <c r="J18" i="12"/>
  <c r="J17" i="12"/>
  <c r="L15" i="12"/>
  <c r="M16" i="26" l="1"/>
  <c r="L4" i="26"/>
  <c r="L8" i="26" s="1"/>
  <c r="N4" i="26"/>
  <c r="N8" i="26" s="1"/>
  <c r="H4" i="26"/>
  <c r="G8" i="26"/>
  <c r="H8" i="26" s="1"/>
  <c r="L19" i="26" s="1"/>
  <c r="R4" i="24"/>
  <c r="F77" i="24" l="1"/>
  <c r="F78" i="24" s="1"/>
  <c r="F14" i="16" l="1"/>
  <c r="F24" i="11"/>
  <c r="G25" i="11"/>
  <c r="G26" i="11"/>
  <c r="Q4" i="25" l="1"/>
  <c r="G41" i="12" l="1"/>
  <c r="G42" i="12"/>
  <c r="G43" i="12"/>
  <c r="G44" i="12"/>
  <c r="G45" i="12"/>
  <c r="G34" i="12"/>
  <c r="G35" i="12"/>
  <c r="G36" i="12"/>
  <c r="G37" i="12"/>
  <c r="G38" i="12"/>
  <c r="G39" i="12"/>
  <c r="G40" i="12"/>
  <c r="Q4" i="12"/>
  <c r="G26" i="12" l="1"/>
  <c r="G27" i="12"/>
  <c r="G28" i="12"/>
  <c r="G29" i="12"/>
  <c r="G30" i="12"/>
  <c r="G31" i="12"/>
  <c r="G32" i="12"/>
  <c r="G33" i="12"/>
  <c r="U10" i="11" l="1"/>
  <c r="G13" i="16" l="1"/>
  <c r="G14" i="16"/>
  <c r="G15" i="16"/>
  <c r="G16" i="16"/>
  <c r="G17" i="16"/>
  <c r="G18" i="16"/>
  <c r="G19" i="16"/>
  <c r="G20" i="16"/>
  <c r="G12" i="16"/>
  <c r="D4" i="25"/>
  <c r="D8" i="25" s="1"/>
  <c r="J63" i="25"/>
  <c r="F63" i="25"/>
  <c r="E63" i="25"/>
  <c r="M4" i="25" s="1"/>
  <c r="M8" i="25" s="1"/>
  <c r="C63" i="25"/>
  <c r="K4" i="25" s="1"/>
  <c r="K8" i="25" s="1"/>
  <c r="L15" i="25"/>
  <c r="L13" i="25"/>
  <c r="L12" i="25"/>
  <c r="P8" i="25"/>
  <c r="C8" i="25"/>
  <c r="M14" i="25" s="1"/>
  <c r="J5" i="25"/>
  <c r="R3" i="25"/>
  <c r="J4" i="25"/>
  <c r="E1" i="25"/>
  <c r="F1" i="25" s="1"/>
  <c r="G63" i="25" l="1"/>
  <c r="Q8" i="25"/>
  <c r="M12" i="25"/>
  <c r="M13" i="25"/>
  <c r="M15" i="25"/>
  <c r="O8" i="25"/>
  <c r="F4" i="25"/>
  <c r="F8" i="25" s="1"/>
  <c r="I9" i="25" s="1"/>
  <c r="G4" i="25"/>
  <c r="E8" i="25"/>
  <c r="L16" i="25"/>
  <c r="E4" i="25"/>
  <c r="Q4" i="23"/>
  <c r="M16" i="25" l="1"/>
  <c r="N4" i="25"/>
  <c r="N8" i="25" s="1"/>
  <c r="L4" i="25"/>
  <c r="L8" i="25" s="1"/>
  <c r="H4" i="25"/>
  <c r="G8" i="25"/>
  <c r="H8" i="25" s="1"/>
  <c r="L19" i="25" s="1"/>
  <c r="G13" i="12" l="1"/>
  <c r="G14" i="12"/>
  <c r="G17" i="12"/>
  <c r="G18" i="12"/>
  <c r="G19" i="12"/>
  <c r="G20" i="12"/>
  <c r="G21" i="12"/>
  <c r="G22" i="12"/>
  <c r="G23" i="12"/>
  <c r="G24" i="12"/>
  <c r="G25" i="12"/>
  <c r="Q93" i="24" l="1"/>
  <c r="S73" i="24"/>
  <c r="S76" i="24" s="1"/>
  <c r="J59" i="24"/>
  <c r="F59" i="24"/>
  <c r="E59" i="24"/>
  <c r="M4" i="24" s="1"/>
  <c r="M8" i="24" s="1"/>
  <c r="C59" i="24"/>
  <c r="K4" i="24" s="1"/>
  <c r="K8" i="24" s="1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L14" i="24"/>
  <c r="G14" i="24"/>
  <c r="U13" i="24"/>
  <c r="L13" i="24"/>
  <c r="G13" i="24"/>
  <c r="L12" i="24"/>
  <c r="G12" i="24"/>
  <c r="P8" i="24"/>
  <c r="Q8" i="24" s="1"/>
  <c r="D8" i="24"/>
  <c r="C8" i="24"/>
  <c r="M15" i="24" s="1"/>
  <c r="J5" i="24"/>
  <c r="E5" i="24"/>
  <c r="J4" i="24"/>
  <c r="E4" i="24"/>
  <c r="J1" i="24"/>
  <c r="D1" i="24"/>
  <c r="E1" i="24" s="1"/>
  <c r="L16" i="24" l="1"/>
  <c r="G59" i="24"/>
  <c r="O8" i="24"/>
  <c r="G4" i="24"/>
  <c r="G8" i="24" s="1"/>
  <c r="E8" i="24"/>
  <c r="F4" i="24"/>
  <c r="F8" i="24" s="1"/>
  <c r="I9" i="24" s="1"/>
  <c r="M14" i="24"/>
  <c r="M13" i="24"/>
  <c r="M12" i="24"/>
  <c r="M16" i="24" l="1"/>
  <c r="L4" i="24"/>
  <c r="L8" i="24" s="1"/>
  <c r="H8" i="24"/>
  <c r="L19" i="24" s="1"/>
  <c r="H4" i="24"/>
  <c r="N4" i="24"/>
  <c r="N8" i="24" s="1"/>
  <c r="J5" i="20" l="1"/>
  <c r="E5" i="20" l="1"/>
  <c r="Q4" i="17" l="1"/>
  <c r="G20" i="11" l="1"/>
  <c r="G21" i="11"/>
  <c r="G22" i="11"/>
  <c r="G23" i="11"/>
  <c r="G24" i="11"/>
  <c r="F18" i="11" l="1"/>
  <c r="Q6" i="12" l="1"/>
  <c r="Q4" i="21"/>
  <c r="J12" i="17" l="1"/>
  <c r="D4" i="23" l="1"/>
  <c r="J62" i="23"/>
  <c r="F62" i="23"/>
  <c r="E62" i="23"/>
  <c r="M4" i="23" s="1"/>
  <c r="M8" i="23" s="1"/>
  <c r="C62" i="23"/>
  <c r="K4" i="23" s="1"/>
  <c r="K8" i="23" s="1"/>
  <c r="L15" i="23"/>
  <c r="L13" i="23"/>
  <c r="L12" i="23"/>
  <c r="M12" i="23" s="1"/>
  <c r="P8" i="23"/>
  <c r="D8" i="23"/>
  <c r="C8" i="23"/>
  <c r="M14" i="23" s="1"/>
  <c r="J5" i="23"/>
  <c r="R3" i="23"/>
  <c r="J4" i="23"/>
  <c r="E4" i="23"/>
  <c r="E1" i="23"/>
  <c r="F1" i="23" s="1"/>
  <c r="G12" i="12"/>
  <c r="M15" i="23" l="1"/>
  <c r="M13" i="23"/>
  <c r="E8" i="23"/>
  <c r="G62" i="23"/>
  <c r="Q8" i="23"/>
  <c r="F4" i="23"/>
  <c r="F8" i="23" s="1"/>
  <c r="I9" i="23" s="1"/>
  <c r="G4" i="23"/>
  <c r="G8" i="23" s="1"/>
  <c r="L16" i="23"/>
  <c r="O8" i="23"/>
  <c r="L4" i="23" l="1"/>
  <c r="L8" i="23" s="1"/>
  <c r="H8" i="23"/>
  <c r="L19" i="23"/>
  <c r="M16" i="23"/>
  <c r="N4" i="23"/>
  <c r="N8" i="23" s="1"/>
  <c r="H4" i="23"/>
  <c r="F16" i="11" l="1"/>
  <c r="G13" i="11" l="1"/>
  <c r="G14" i="11"/>
  <c r="G15" i="11"/>
  <c r="G16" i="11"/>
  <c r="G17" i="11"/>
  <c r="G18" i="11"/>
  <c r="G19" i="11"/>
  <c r="G12" i="11"/>
  <c r="D4" i="21" l="1"/>
  <c r="F59" i="21"/>
  <c r="E59" i="21"/>
  <c r="M4" i="21" s="1"/>
  <c r="M8" i="21" s="1"/>
  <c r="C59" i="21"/>
  <c r="K4" i="21" s="1"/>
  <c r="K8" i="21" s="1"/>
  <c r="J59" i="21"/>
  <c r="L20" i="21" s="1"/>
  <c r="L15" i="21"/>
  <c r="M15" i="21" s="1"/>
  <c r="L13" i="21"/>
  <c r="M13" i="21" s="1"/>
  <c r="L12" i="21"/>
  <c r="P8" i="21"/>
  <c r="C8" i="21"/>
  <c r="E7" i="21"/>
  <c r="E6" i="21"/>
  <c r="J5" i="21"/>
  <c r="E5" i="21"/>
  <c r="J4" i="21"/>
  <c r="D8" i="21"/>
  <c r="D1" i="21"/>
  <c r="E1" i="21" s="1"/>
  <c r="O8" i="21" l="1"/>
  <c r="M14" i="21"/>
  <c r="G59" i="21"/>
  <c r="Q8" i="21"/>
  <c r="L16" i="21"/>
  <c r="M16" i="21" s="1"/>
  <c r="E8" i="21"/>
  <c r="G4" i="21"/>
  <c r="M12" i="21"/>
  <c r="E4" i="21"/>
  <c r="F4" i="21"/>
  <c r="F8" i="21" s="1"/>
  <c r="I9" i="21" s="1"/>
  <c r="L4" i="21" l="1"/>
  <c r="L8" i="21" s="1"/>
  <c r="G8" i="21"/>
  <c r="H8" i="21" s="1"/>
  <c r="L19" i="21" s="1"/>
  <c r="H4" i="21"/>
  <c r="N4" i="21"/>
  <c r="N8" i="21" s="1"/>
  <c r="R5" i="12" l="1"/>
  <c r="R6" i="12"/>
  <c r="R4" i="12"/>
  <c r="D4" i="20" l="1"/>
  <c r="J59" i="20"/>
  <c r="F59" i="20"/>
  <c r="E59" i="20"/>
  <c r="C59" i="20"/>
  <c r="K4" i="20" s="1"/>
  <c r="K8" i="20" s="1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L14" i="20"/>
  <c r="G14" i="20"/>
  <c r="U13" i="20"/>
  <c r="L13" i="20"/>
  <c r="G13" i="20"/>
  <c r="L12" i="20"/>
  <c r="G12" i="20"/>
  <c r="P8" i="20"/>
  <c r="C8" i="20"/>
  <c r="J4" i="20"/>
  <c r="E4" i="20"/>
  <c r="D8" i="20"/>
  <c r="J1" i="20"/>
  <c r="D1" i="20"/>
  <c r="E1" i="20" s="1"/>
  <c r="G59" i="20" l="1"/>
  <c r="Q8" i="20"/>
  <c r="O8" i="20"/>
  <c r="L15" i="20"/>
  <c r="M13" i="20"/>
  <c r="M14" i="20"/>
  <c r="F4" i="20"/>
  <c r="F8" i="20" s="1"/>
  <c r="I9" i="20" s="1"/>
  <c r="M4" i="20"/>
  <c r="M8" i="20" s="1"/>
  <c r="G4" i="20"/>
  <c r="E8" i="20"/>
  <c r="M12" i="20"/>
  <c r="R3" i="20"/>
  <c r="M15" i="20" l="1"/>
  <c r="N4" i="20"/>
  <c r="N8" i="20" s="1"/>
  <c r="L4" i="20"/>
  <c r="L8" i="20" s="1"/>
  <c r="G8" i="20"/>
  <c r="H8" i="20" s="1"/>
  <c r="L18" i="20" s="1"/>
  <c r="H4" i="20"/>
  <c r="G9" i="17"/>
  <c r="Q4" i="16" l="1"/>
  <c r="J59" i="17" l="1"/>
  <c r="F59" i="17"/>
  <c r="E59" i="17"/>
  <c r="M4" i="17" s="1"/>
  <c r="M8" i="17" s="1"/>
  <c r="C59" i="17"/>
  <c r="K4" i="17" s="1"/>
  <c r="K8" i="17" s="1"/>
  <c r="L15" i="17"/>
  <c r="L13" i="17"/>
  <c r="L12" i="17"/>
  <c r="P8" i="17"/>
  <c r="D8" i="17"/>
  <c r="C8" i="17"/>
  <c r="J5" i="17"/>
  <c r="J4" i="17"/>
  <c r="E4" i="17"/>
  <c r="R3" i="17"/>
  <c r="E1" i="17"/>
  <c r="F1" i="17" s="1"/>
  <c r="G59" i="17" l="1"/>
  <c r="L19" i="17" s="1"/>
  <c r="Q8" i="17"/>
  <c r="G4" i="17"/>
  <c r="M13" i="17"/>
  <c r="M15" i="17"/>
  <c r="M12" i="17"/>
  <c r="G8" i="17"/>
  <c r="E8" i="17"/>
  <c r="O8" i="17"/>
  <c r="L16" i="17"/>
  <c r="M16" i="17" s="1"/>
  <c r="F4" i="17"/>
  <c r="F8" i="17" s="1"/>
  <c r="I9" i="17" s="1"/>
  <c r="H8" i="17" l="1"/>
  <c r="H4" i="17"/>
  <c r="N4" i="17"/>
  <c r="N8" i="17" s="1"/>
  <c r="L4" i="17"/>
  <c r="L8" i="17" s="1"/>
  <c r="Q5" i="12" l="1"/>
  <c r="J58" i="16" l="1"/>
  <c r="F58" i="16"/>
  <c r="E58" i="16"/>
  <c r="M4" i="16" s="1"/>
  <c r="M8" i="16" s="1"/>
  <c r="C58" i="16"/>
  <c r="K4" i="16" s="1"/>
  <c r="K8" i="16" s="1"/>
  <c r="L14" i="16"/>
  <c r="L13" i="16"/>
  <c r="L12" i="16"/>
  <c r="P8" i="16"/>
  <c r="Q8" i="16" s="1"/>
  <c r="D8" i="16"/>
  <c r="C8" i="16"/>
  <c r="O8" i="16" s="1"/>
  <c r="J5" i="16"/>
  <c r="J4" i="16"/>
  <c r="E4" i="16"/>
  <c r="R3" i="16"/>
  <c r="E1" i="16"/>
  <c r="F1" i="16" s="1"/>
  <c r="M13" i="16" l="1"/>
  <c r="M12" i="16"/>
  <c r="M14" i="16"/>
  <c r="K62" i="16"/>
  <c r="E8" i="16"/>
  <c r="G58" i="16"/>
  <c r="L15" i="16"/>
  <c r="M15" i="16" s="1"/>
  <c r="F4" i="16"/>
  <c r="F8" i="16" s="1"/>
  <c r="G4" i="16"/>
  <c r="I9" i="16" l="1"/>
  <c r="L18" i="16" s="1"/>
  <c r="N4" i="16"/>
  <c r="N8" i="16" s="1"/>
  <c r="G8" i="16"/>
  <c r="H8" i="16" s="1"/>
  <c r="H4" i="16"/>
  <c r="L4" i="16"/>
  <c r="L8" i="16" s="1"/>
  <c r="J6" i="12" l="1"/>
  <c r="G9" i="12" l="1"/>
  <c r="Q4" i="11" l="1"/>
  <c r="D6" i="12" l="1"/>
  <c r="D5" i="12" l="1"/>
  <c r="D4" i="12" l="1"/>
  <c r="E4" i="12" s="1"/>
  <c r="J59" i="12"/>
  <c r="F59" i="12"/>
  <c r="E59" i="12"/>
  <c r="M4" i="12" s="1"/>
  <c r="M8" i="12" s="1"/>
  <c r="C59" i="12"/>
  <c r="K4" i="12" s="1"/>
  <c r="K8" i="12" s="1"/>
  <c r="L14" i="12"/>
  <c r="L13" i="12"/>
  <c r="L12" i="12"/>
  <c r="P8" i="12"/>
  <c r="D8" i="12"/>
  <c r="C8" i="12"/>
  <c r="M15" i="12" s="1"/>
  <c r="E7" i="12"/>
  <c r="E6" i="12"/>
  <c r="J5" i="12"/>
  <c r="E5" i="12"/>
  <c r="J4" i="12"/>
  <c r="D1" i="12"/>
  <c r="E1" i="12" s="1"/>
  <c r="Q8" i="12" l="1"/>
  <c r="G59" i="12"/>
  <c r="L16" i="12"/>
  <c r="M16" i="12" s="1"/>
  <c r="E8" i="12"/>
  <c r="M13" i="12"/>
  <c r="O8" i="12"/>
  <c r="M14" i="12"/>
  <c r="G4" i="12"/>
  <c r="M12" i="12"/>
  <c r="F4" i="12"/>
  <c r="F8" i="12" s="1"/>
  <c r="I9" i="12" s="1"/>
  <c r="L19" i="12" s="1"/>
  <c r="L4" i="12" l="1"/>
  <c r="L8" i="12" s="1"/>
  <c r="N4" i="12"/>
  <c r="N8" i="12" s="1"/>
  <c r="H4" i="12"/>
  <c r="G8" i="12"/>
  <c r="H8" i="12" s="1"/>
  <c r="D1" i="5" l="1"/>
  <c r="D4" i="11" l="1"/>
  <c r="J62" i="11"/>
  <c r="F62" i="11"/>
  <c r="E62" i="11"/>
  <c r="M4" i="11" s="1"/>
  <c r="M8" i="11" s="1"/>
  <c r="C62" i="11"/>
  <c r="K4" i="11" s="1"/>
  <c r="K8" i="11" s="1"/>
  <c r="L14" i="11"/>
  <c r="L13" i="11"/>
  <c r="L12" i="11"/>
  <c r="M12" i="11" s="1"/>
  <c r="P8" i="11"/>
  <c r="D8" i="11"/>
  <c r="C8" i="11"/>
  <c r="J5" i="11"/>
  <c r="R3" i="11"/>
  <c r="J4" i="11"/>
  <c r="E4" i="11"/>
  <c r="E1" i="11"/>
  <c r="F1" i="11" s="1"/>
  <c r="M14" i="11" l="1"/>
  <c r="M13" i="11"/>
  <c r="E8" i="11"/>
  <c r="Q8" i="11"/>
  <c r="G62" i="11"/>
  <c r="G4" i="11"/>
  <c r="G8" i="11" s="1"/>
  <c r="O8" i="11"/>
  <c r="F4" i="11"/>
  <c r="F8" i="11" s="1"/>
  <c r="I9" i="11" s="1"/>
  <c r="L15" i="11"/>
  <c r="M15" i="11" s="1"/>
  <c r="L4" i="11" l="1"/>
  <c r="L8" i="11" s="1"/>
  <c r="L18" i="11"/>
  <c r="H4" i="11"/>
  <c r="H8" i="11"/>
  <c r="N4" i="11"/>
  <c r="N8" i="11" s="1"/>
  <c r="E5" i="5" l="1"/>
  <c r="E6" i="5"/>
  <c r="E7" i="5"/>
  <c r="E4" i="5"/>
  <c r="J58" i="5" l="1"/>
  <c r="F58" i="5"/>
  <c r="E58" i="5"/>
  <c r="M4" i="5" s="1"/>
  <c r="M8" i="5" s="1"/>
  <c r="C58" i="5"/>
  <c r="K4" i="5" s="1"/>
  <c r="K8" i="5" s="1"/>
  <c r="L14" i="5"/>
  <c r="L13" i="5"/>
  <c r="L12" i="5"/>
  <c r="M12" i="5" s="1"/>
  <c r="P8" i="5"/>
  <c r="F4" i="5" s="1"/>
  <c r="F8" i="5" s="1"/>
  <c r="C8" i="5"/>
  <c r="J5" i="5"/>
  <c r="J4" i="5"/>
  <c r="D8" i="5"/>
  <c r="M13" i="5" l="1"/>
  <c r="M14" i="5"/>
  <c r="N4" i="5"/>
  <c r="N8" i="5" s="1"/>
  <c r="I9" i="5"/>
  <c r="G58" i="5"/>
  <c r="L18" i="5"/>
  <c r="O8" i="5"/>
  <c r="L4" i="5"/>
  <c r="L8" i="5" s="1"/>
  <c r="E8" i="5"/>
  <c r="G4" i="5"/>
  <c r="L15" i="5"/>
  <c r="M15" i="5" s="1"/>
  <c r="G8" i="5" l="1"/>
  <c r="H8" i="5" s="1"/>
  <c r="H4" i="5"/>
  <c r="L15" i="41" l="1"/>
  <c r="M15" i="41" s="1"/>
  <c r="L16" i="41" l="1"/>
  <c r="M16" i="41" s="1"/>
  <c r="I1" i="41" l="1"/>
  <c r="L22" i="41"/>
  <c r="J71" i="41" l="1"/>
  <c r="L19" i="41" l="1"/>
  <c r="L20" i="41"/>
</calcChain>
</file>

<file path=xl/sharedStrings.xml><?xml version="1.0" encoding="utf-8"?>
<sst xmlns="http://schemas.openxmlformats.org/spreadsheetml/2006/main" count="2805" uniqueCount="225">
  <si>
    <t>일자</t>
    <phoneticPr fontId="2" type="noConversion"/>
  </si>
  <si>
    <t>두수</t>
    <phoneticPr fontId="2" type="noConversion"/>
  </si>
  <si>
    <t>총체</t>
    <phoneticPr fontId="2" type="noConversion"/>
  </si>
  <si>
    <t>평체</t>
    <phoneticPr fontId="2" type="noConversion"/>
  </si>
  <si>
    <t>폐사두수</t>
    <phoneticPr fontId="2" type="noConversion"/>
  </si>
  <si>
    <t>총폐사율</t>
    <phoneticPr fontId="2" type="noConversion"/>
  </si>
  <si>
    <t>출하두수</t>
    <phoneticPr fontId="2" type="noConversion"/>
  </si>
  <si>
    <t>재고</t>
    <phoneticPr fontId="2" type="noConversion"/>
  </si>
  <si>
    <t>클레임</t>
    <phoneticPr fontId="2" type="noConversion"/>
  </si>
  <si>
    <t>클레임적용</t>
    <phoneticPr fontId="2" type="noConversion"/>
  </si>
  <si>
    <t>계</t>
    <phoneticPr fontId="2" type="noConversion"/>
  </si>
  <si>
    <t>출하예정일</t>
    <phoneticPr fontId="2" type="noConversion"/>
  </si>
  <si>
    <t>폐사내역</t>
    <phoneticPr fontId="2" type="noConversion"/>
  </si>
  <si>
    <t>출하내역</t>
    <phoneticPr fontId="2" type="noConversion"/>
  </si>
  <si>
    <t>사료내역</t>
    <phoneticPr fontId="2" type="noConversion"/>
  </si>
  <si>
    <t>품목</t>
    <phoneticPr fontId="2" type="noConversion"/>
  </si>
  <si>
    <t>중량</t>
    <phoneticPr fontId="2" type="noConversion"/>
  </si>
  <si>
    <t>사료 두당 섭취량</t>
    <phoneticPr fontId="2" type="noConversion"/>
  </si>
  <si>
    <t>윈맥스S트랜스</t>
    <phoneticPr fontId="2" type="noConversion"/>
  </si>
  <si>
    <t>총중량</t>
    <phoneticPr fontId="2" type="noConversion"/>
  </si>
  <si>
    <t>두당 섭취량</t>
    <phoneticPr fontId="2" type="noConversion"/>
  </si>
  <si>
    <t>총량</t>
    <phoneticPr fontId="2" type="noConversion"/>
  </si>
  <si>
    <t>특이사항</t>
    <phoneticPr fontId="2" type="noConversion"/>
  </si>
  <si>
    <t>내용</t>
    <phoneticPr fontId="2" type="noConversion"/>
  </si>
  <si>
    <t>전입처</t>
    <phoneticPr fontId="2" type="noConversion"/>
  </si>
  <si>
    <t>리더MF1호</t>
    <phoneticPr fontId="2" type="noConversion"/>
  </si>
  <si>
    <t>리더MF2호</t>
    <phoneticPr fontId="2" type="noConversion"/>
  </si>
  <si>
    <t xml:space="preserve">농장명 : </t>
    <phoneticPr fontId="2" type="noConversion"/>
  </si>
  <si>
    <t>윈맥스S트랜스</t>
  </si>
  <si>
    <t>리더MF1호</t>
  </si>
  <si>
    <t>잘커농장(김정기)</t>
    <phoneticPr fontId="2" type="noConversion"/>
  </si>
  <si>
    <t>진일농장(0901)</t>
    <phoneticPr fontId="2" type="noConversion"/>
  </si>
  <si>
    <t>예상FCR</t>
    <phoneticPr fontId="2" type="noConversion"/>
  </si>
  <si>
    <t>익산</t>
    <phoneticPr fontId="2" type="noConversion"/>
  </si>
  <si>
    <t>10월3주</t>
  </si>
  <si>
    <t>10월4주</t>
  </si>
  <si>
    <t>9월4주</t>
  </si>
  <si>
    <t>9월5주</t>
  </si>
  <si>
    <t>1월1주</t>
    <phoneticPr fontId="2" type="noConversion"/>
  </si>
  <si>
    <t>1월2주</t>
    <phoneticPr fontId="2" type="noConversion"/>
  </si>
  <si>
    <t>1월3주</t>
    <phoneticPr fontId="2" type="noConversion"/>
  </si>
  <si>
    <t>1월4주</t>
    <phoneticPr fontId="2" type="noConversion"/>
  </si>
  <si>
    <t>1월5주</t>
    <phoneticPr fontId="2" type="noConversion"/>
  </si>
  <si>
    <t>출하예상</t>
    <phoneticPr fontId="2" type="noConversion"/>
  </si>
  <si>
    <t>주차</t>
    <phoneticPr fontId="2" type="noConversion"/>
  </si>
  <si>
    <t>두수</t>
    <phoneticPr fontId="2" type="noConversion"/>
  </si>
  <si>
    <t>대웅돈유전자1</t>
    <phoneticPr fontId="2" type="noConversion"/>
  </si>
  <si>
    <t>가산농장</t>
    <phoneticPr fontId="2" type="noConversion"/>
  </si>
  <si>
    <t>1월5주</t>
  </si>
  <si>
    <t>2월1주</t>
    <phoneticPr fontId="2" type="noConversion"/>
  </si>
  <si>
    <t>2월2주</t>
  </si>
  <si>
    <t>2월2주</t>
    <phoneticPr fontId="2" type="noConversion"/>
  </si>
  <si>
    <t>2월3주</t>
  </si>
  <si>
    <t>2월3주</t>
    <phoneticPr fontId="2" type="noConversion"/>
  </si>
  <si>
    <t>2월4주</t>
  </si>
  <si>
    <t>2월4주</t>
    <phoneticPr fontId="2" type="noConversion"/>
  </si>
  <si>
    <t>2월5주</t>
  </si>
  <si>
    <t>1월3주</t>
  </si>
  <si>
    <t>1월4주</t>
  </si>
  <si>
    <t>리더MF1호</t>
    <phoneticPr fontId="2" type="noConversion"/>
  </si>
  <si>
    <t>3월1주</t>
    <phoneticPr fontId="2" type="noConversion"/>
  </si>
  <si>
    <t>3월2주</t>
  </si>
  <si>
    <t>3월3주</t>
  </si>
  <si>
    <t>3월4주</t>
  </si>
  <si>
    <t>3월5주</t>
  </si>
  <si>
    <t>487두</t>
    <phoneticPr fontId="2" type="noConversion"/>
  </si>
  <si>
    <t>리더MF2호</t>
    <phoneticPr fontId="2" type="noConversion"/>
  </si>
  <si>
    <t>윈맥스S배로우</t>
    <phoneticPr fontId="2" type="noConversion"/>
  </si>
  <si>
    <t>1/8안올림</t>
    <phoneticPr fontId="2" type="noConversion"/>
  </si>
  <si>
    <t>한별농장</t>
    <phoneticPr fontId="2" type="noConversion"/>
  </si>
  <si>
    <t>농가명</t>
    <phoneticPr fontId="2" type="noConversion"/>
  </si>
  <si>
    <t>입식일</t>
    <phoneticPr fontId="2" type="noConversion"/>
  </si>
  <si>
    <t>전입처</t>
    <phoneticPr fontId="2" type="noConversion"/>
  </si>
  <si>
    <t>총체</t>
    <phoneticPr fontId="2" type="noConversion"/>
  </si>
  <si>
    <t>평체</t>
    <phoneticPr fontId="2" type="noConversion"/>
  </si>
  <si>
    <t>아빠</t>
    <phoneticPr fontId="2" type="noConversion"/>
  </si>
  <si>
    <t>전입두수</t>
    <phoneticPr fontId="2" type="noConversion"/>
  </si>
  <si>
    <t>폐사두수</t>
    <phoneticPr fontId="2" type="noConversion"/>
  </si>
  <si>
    <t>출하두수</t>
    <phoneticPr fontId="2" type="noConversion"/>
  </si>
  <si>
    <t>재고</t>
    <phoneticPr fontId="2" type="noConversion"/>
  </si>
  <si>
    <t>클레임두수</t>
    <phoneticPr fontId="2" type="noConversion"/>
  </si>
  <si>
    <t>폐사율</t>
    <phoneticPr fontId="2" type="noConversion"/>
  </si>
  <si>
    <t>클레임율</t>
    <phoneticPr fontId="2" type="noConversion"/>
  </si>
  <si>
    <t>익산</t>
    <phoneticPr fontId="2" type="noConversion"/>
  </si>
  <si>
    <t>진일농장(0124)</t>
    <phoneticPr fontId="2" type="noConversion"/>
  </si>
  <si>
    <t>4월1주</t>
    <phoneticPr fontId="2" type="noConversion"/>
  </si>
  <si>
    <t>4월2주</t>
  </si>
  <si>
    <t>4월3주</t>
  </si>
  <si>
    <t>4월4주</t>
  </si>
  <si>
    <t>4월5주</t>
  </si>
  <si>
    <t>4월3주</t>
    <phoneticPr fontId="2" type="noConversion"/>
  </si>
  <si>
    <t>비고</t>
    <phoneticPr fontId="2" type="noConversion"/>
  </si>
  <si>
    <t>프레쉬맥스제로육성돈</t>
  </si>
  <si>
    <t>프레쉬맥스제로육성돈</t>
    <phoneticPr fontId="2" type="noConversion"/>
  </si>
  <si>
    <t>외부</t>
    <phoneticPr fontId="2" type="noConversion"/>
  </si>
  <si>
    <t>5월2주</t>
  </si>
  <si>
    <t>5월2주</t>
    <phoneticPr fontId="2" type="noConversion"/>
  </si>
  <si>
    <t>5월3주</t>
  </si>
  <si>
    <t>5월4주</t>
  </si>
  <si>
    <t>5월1주</t>
  </si>
  <si>
    <t>5월5주</t>
  </si>
  <si>
    <t>6월1주</t>
    <phoneticPr fontId="2" type="noConversion"/>
  </si>
  <si>
    <t>6월2주</t>
  </si>
  <si>
    <t>6월3주</t>
  </si>
  <si>
    <t>6월4주</t>
  </si>
  <si>
    <t>5월3주</t>
    <phoneticPr fontId="2" type="noConversion"/>
  </si>
  <si>
    <t>5월1주</t>
    <phoneticPr fontId="2" type="noConversion"/>
  </si>
  <si>
    <t>6월1주</t>
    <phoneticPr fontId="2" type="noConversion"/>
  </si>
  <si>
    <t>리더MF2호</t>
    <phoneticPr fontId="2" type="noConversion"/>
  </si>
  <si>
    <t>리더MF1호</t>
    <phoneticPr fontId="2" type="noConversion"/>
  </si>
  <si>
    <t>3월4주</t>
    <phoneticPr fontId="2" type="noConversion"/>
  </si>
  <si>
    <t>3월5주</t>
    <phoneticPr fontId="2" type="noConversion"/>
  </si>
  <si>
    <t>3월5주</t>
    <phoneticPr fontId="2" type="noConversion"/>
  </si>
  <si>
    <t>6월3주</t>
    <phoneticPr fontId="2" type="noConversion"/>
  </si>
  <si>
    <t>5월5주</t>
    <phoneticPr fontId="2" type="noConversion"/>
  </si>
  <si>
    <t>6월1주</t>
    <phoneticPr fontId="2" type="noConversion"/>
  </si>
  <si>
    <t>6월5주</t>
  </si>
  <si>
    <t>돈앤돈</t>
    <phoneticPr fontId="2" type="noConversion"/>
  </si>
  <si>
    <t>오케이</t>
    <phoneticPr fontId="2" type="noConversion"/>
  </si>
  <si>
    <t>7월1주</t>
    <phoneticPr fontId="2" type="noConversion"/>
  </si>
  <si>
    <t>7월2주</t>
  </si>
  <si>
    <t>7월3주</t>
  </si>
  <si>
    <t>7월4주</t>
  </si>
  <si>
    <t>7월5주</t>
  </si>
  <si>
    <t>7월5주</t>
    <phoneticPr fontId="2" type="noConversion"/>
  </si>
  <si>
    <t>대웅돈</t>
    <phoneticPr fontId="2" type="noConversion"/>
  </si>
  <si>
    <t>4월4주</t>
    <phoneticPr fontId="2" type="noConversion"/>
  </si>
  <si>
    <t>리더MF2호</t>
  </si>
  <si>
    <t>5월1주</t>
    <phoneticPr fontId="2" type="noConversion"/>
  </si>
  <si>
    <t>5월2주</t>
    <phoneticPr fontId="2" type="noConversion"/>
  </si>
  <si>
    <t>써코전체접종</t>
    <phoneticPr fontId="2" type="noConversion"/>
  </si>
  <si>
    <t>구제역접종</t>
    <phoneticPr fontId="2" type="noConversion"/>
  </si>
  <si>
    <t>플로르페니콜 전체주사</t>
    <phoneticPr fontId="2" type="noConversion"/>
  </si>
  <si>
    <t>리더MF2호</t>
    <phoneticPr fontId="2" type="noConversion"/>
  </si>
  <si>
    <t>한양</t>
    <phoneticPr fontId="2" type="noConversion"/>
  </si>
  <si>
    <t>6월4주</t>
    <phoneticPr fontId="2" type="noConversion"/>
  </si>
  <si>
    <t>7월1주</t>
    <phoneticPr fontId="2" type="noConversion"/>
  </si>
  <si>
    <t>8월2주</t>
  </si>
  <si>
    <t>8월2주</t>
    <phoneticPr fontId="2" type="noConversion"/>
  </si>
  <si>
    <t>8월4주</t>
  </si>
  <si>
    <t>8월4주</t>
    <phoneticPr fontId="2" type="noConversion"/>
  </si>
  <si>
    <t>8월5주</t>
  </si>
  <si>
    <t>8월5주</t>
    <phoneticPr fontId="2" type="noConversion"/>
  </si>
  <si>
    <t>8월1주</t>
    <phoneticPr fontId="2" type="noConversion"/>
  </si>
  <si>
    <t>8월3주</t>
  </si>
  <si>
    <t>7월2주</t>
    <phoneticPr fontId="2" type="noConversion"/>
  </si>
  <si>
    <t>8월3주</t>
    <phoneticPr fontId="2" type="noConversion"/>
  </si>
  <si>
    <t>진일농장</t>
    <phoneticPr fontId="2" type="noConversion"/>
  </si>
  <si>
    <t>리더MF2호</t>
    <phoneticPr fontId="2" type="noConversion"/>
  </si>
  <si>
    <t>리더MF1호</t>
    <phoneticPr fontId="2" type="noConversion"/>
  </si>
  <si>
    <t>신한양</t>
    <phoneticPr fontId="2" type="noConversion"/>
  </si>
  <si>
    <t>9월1주</t>
    <phoneticPr fontId="2" type="noConversion"/>
  </si>
  <si>
    <t>9월2주</t>
  </si>
  <si>
    <t>9월2주</t>
    <phoneticPr fontId="2" type="noConversion"/>
  </si>
  <si>
    <t>7월1주</t>
    <phoneticPr fontId="2" type="noConversion"/>
  </si>
  <si>
    <t>6월2주</t>
    <phoneticPr fontId="2" type="noConversion"/>
  </si>
  <si>
    <t>9월3주</t>
  </si>
  <si>
    <t>총사료투입량</t>
    <phoneticPr fontId="2" type="noConversion"/>
  </si>
  <si>
    <t>예상FCR</t>
    <phoneticPr fontId="2" type="noConversion"/>
  </si>
  <si>
    <t>사육일령</t>
    <phoneticPr fontId="2" type="noConversion"/>
  </si>
  <si>
    <t>리더MF2호</t>
    <phoneticPr fontId="2" type="noConversion"/>
  </si>
  <si>
    <t>10월1주</t>
    <phoneticPr fontId="2" type="noConversion"/>
  </si>
  <si>
    <t>10월5주</t>
  </si>
  <si>
    <t>실출하</t>
    <phoneticPr fontId="2" type="noConversion"/>
  </si>
  <si>
    <t>10월1주</t>
    <phoneticPr fontId="2" type="noConversion"/>
  </si>
  <si>
    <t>해오름</t>
    <phoneticPr fontId="2" type="noConversion"/>
  </si>
  <si>
    <t>구제역</t>
    <phoneticPr fontId="2" type="noConversion"/>
  </si>
  <si>
    <t>툴라젝트</t>
    <phoneticPr fontId="2" type="noConversion"/>
  </si>
  <si>
    <t>호흡기</t>
    <phoneticPr fontId="2" type="noConversion"/>
  </si>
  <si>
    <t>폭염</t>
    <phoneticPr fontId="2" type="noConversion"/>
  </si>
  <si>
    <t>2동</t>
    <phoneticPr fontId="2" type="noConversion"/>
  </si>
  <si>
    <t>돈앤돈</t>
    <phoneticPr fontId="2" type="noConversion"/>
  </si>
  <si>
    <t>평균일당사료섭취량</t>
    <phoneticPr fontId="2" type="noConversion"/>
  </si>
  <si>
    <t>폭염</t>
    <phoneticPr fontId="2" type="noConversion"/>
  </si>
  <si>
    <t>일령</t>
    <phoneticPr fontId="2" type="noConversion"/>
  </si>
  <si>
    <t>11월3주</t>
  </si>
  <si>
    <t>11월4주</t>
  </si>
  <si>
    <t>11월5주</t>
  </si>
  <si>
    <t>리더MF1호</t>
    <phoneticPr fontId="2" type="noConversion"/>
  </si>
  <si>
    <t>11월2주</t>
  </si>
  <si>
    <t>11월2주</t>
    <phoneticPr fontId="2" type="noConversion"/>
  </si>
  <si>
    <t>12월1주</t>
    <phoneticPr fontId="2" type="noConversion"/>
  </si>
  <si>
    <t>12월2주</t>
  </si>
  <si>
    <t>12월3주</t>
  </si>
  <si>
    <t>12월4주</t>
  </si>
  <si>
    <t>12월5주</t>
  </si>
  <si>
    <t>1월2주</t>
  </si>
  <si>
    <t>11월3주</t>
    <phoneticPr fontId="2" type="noConversion"/>
  </si>
  <si>
    <t>10월2주</t>
    <phoneticPr fontId="2" type="noConversion"/>
  </si>
  <si>
    <t>11월1주</t>
    <phoneticPr fontId="2" type="noConversion"/>
  </si>
  <si>
    <t>리더MF1호</t>
    <phoneticPr fontId="2" type="noConversion"/>
  </si>
  <si>
    <t>태평</t>
    <phoneticPr fontId="2" type="noConversion"/>
  </si>
  <si>
    <t>1월1주</t>
    <phoneticPr fontId="2" type="noConversion"/>
  </si>
  <si>
    <t>12월1주</t>
    <phoneticPr fontId="2" type="noConversion"/>
  </si>
  <si>
    <t>리더MF2호</t>
    <phoneticPr fontId="2" type="noConversion"/>
  </si>
  <si>
    <t>1월1주</t>
    <phoneticPr fontId="2" type="noConversion"/>
  </si>
  <si>
    <t>2월1주</t>
    <phoneticPr fontId="2" type="noConversion"/>
  </si>
  <si>
    <t>2월1주</t>
    <phoneticPr fontId="2" type="noConversion"/>
  </si>
  <si>
    <t>2월2주</t>
    <phoneticPr fontId="2" type="noConversion"/>
  </si>
  <si>
    <t>fgk</t>
    <phoneticPr fontId="2" type="noConversion"/>
  </si>
  <si>
    <t>3월1주</t>
    <phoneticPr fontId="2" type="noConversion"/>
  </si>
  <si>
    <t>4월1주</t>
    <phoneticPr fontId="2" type="noConversion"/>
  </si>
  <si>
    <t>2월1주</t>
    <phoneticPr fontId="2" type="noConversion"/>
  </si>
  <si>
    <t>리더MF3호</t>
    <phoneticPr fontId="2" type="noConversion"/>
  </si>
  <si>
    <t>프레쉬맥스제로젖돈</t>
    <phoneticPr fontId="2" type="noConversion"/>
  </si>
  <si>
    <t>프레쉬맥스제로젖돈</t>
    <phoneticPr fontId="2" type="noConversion"/>
  </si>
  <si>
    <t>요셉</t>
    <phoneticPr fontId="2" type="noConversion"/>
  </si>
  <si>
    <t>요셉(1106)</t>
    <phoneticPr fontId="2" type="noConversion"/>
  </si>
  <si>
    <t>준석</t>
    <phoneticPr fontId="2" type="noConversion"/>
  </si>
  <si>
    <t>권영제</t>
    <phoneticPr fontId="2" type="noConversion"/>
  </si>
  <si>
    <t>신흥A-B동</t>
    <phoneticPr fontId="2" type="noConversion"/>
  </si>
  <si>
    <t>신흥C동</t>
    <phoneticPr fontId="2" type="noConversion"/>
  </si>
  <si>
    <t>신흥5동</t>
    <phoneticPr fontId="2" type="noConversion"/>
  </si>
  <si>
    <t>신흥4동</t>
    <phoneticPr fontId="2" type="noConversion"/>
  </si>
  <si>
    <t>신흥1동</t>
    <phoneticPr fontId="2" type="noConversion"/>
  </si>
  <si>
    <t>신흥2동</t>
    <phoneticPr fontId="2" type="noConversion"/>
  </si>
  <si>
    <t>신흥3동</t>
    <phoneticPr fontId="2" type="noConversion"/>
  </si>
  <si>
    <t>신흥1-6</t>
    <phoneticPr fontId="2" type="noConversion"/>
  </si>
  <si>
    <t>신흥1-4,5</t>
    <phoneticPr fontId="2" type="noConversion"/>
  </si>
  <si>
    <t>신흥2-10</t>
    <phoneticPr fontId="2" type="noConversion"/>
  </si>
  <si>
    <t>신흥2-11</t>
    <phoneticPr fontId="2" type="noConversion"/>
  </si>
  <si>
    <t>신흥2-12</t>
    <phoneticPr fontId="2" type="noConversion"/>
  </si>
  <si>
    <t>신흥2-13</t>
    <phoneticPr fontId="2" type="noConversion"/>
  </si>
  <si>
    <t>신흥2-14</t>
    <phoneticPr fontId="2" type="noConversion"/>
  </si>
  <si>
    <t>태농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</si>
</sst>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.0%"/>
    <numFmt numFmtId="178" formatCode="#,##0&quot;두&quot;"/>
    <numFmt numFmtId="179" formatCode="#,##0&quot;kg&quot;"/>
    <numFmt numFmtId="180" formatCode="#,##0.0&quot;kg&quot;"/>
    <numFmt numFmtId="181" formatCode="0.00_);[Red]\(0.00\)"/>
    <numFmt numFmtId="182" formatCode="0_);[Red]\(0\)"/>
    <numFmt numFmtId="183" formatCode="#,##0.0"/>
    <numFmt numFmtId="184" formatCode="0.0_);[Red]\(0.0\)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338">
    <xf numFmtId="0" fontId="0" fillId="0" borderId="0" xfId="0">
      <alignment vertical="center"/>
    </xf>
    <xf numFmtId="14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18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23" xfId="0" applyFill="1" applyBorder="1">
      <alignment vertical="center"/>
    </xf>
    <xf numFmtId="0" fontId="0" fillId="3" borderId="18" xfId="0" applyFill="1" applyBorder="1">
      <alignment vertical="center"/>
    </xf>
    <xf numFmtId="176" fontId="0" fillId="4" borderId="6" xfId="0" applyNumberFormat="1" applyFill="1" applyBorder="1">
      <alignment vertical="center"/>
    </xf>
    <xf numFmtId="0" fontId="0" fillId="4" borderId="6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8" xfId="0" applyFill="1" applyBorder="1">
      <alignment vertical="center"/>
    </xf>
    <xf numFmtId="176" fontId="0" fillId="5" borderId="5" xfId="0" applyNumberFormat="1" applyFill="1" applyBorder="1">
      <alignment vertical="center"/>
    </xf>
    <xf numFmtId="0" fontId="0" fillId="5" borderId="5" xfId="0" applyFill="1" applyBorder="1">
      <alignment vertical="center"/>
    </xf>
    <xf numFmtId="0" fontId="0" fillId="5" borderId="13" xfId="0" applyFill="1" applyBorder="1">
      <alignment vertical="center"/>
    </xf>
    <xf numFmtId="9" fontId="0" fillId="0" borderId="0" xfId="1" applyFont="1">
      <alignment vertical="center"/>
    </xf>
    <xf numFmtId="177" fontId="0" fillId="0" borderId="16" xfId="1" applyNumberFormat="1" applyFont="1" applyBorder="1">
      <alignment vertical="center"/>
    </xf>
    <xf numFmtId="14" fontId="0" fillId="2" borderId="10" xfId="0" applyNumberFormat="1" applyFill="1" applyBorder="1">
      <alignment vertical="center"/>
    </xf>
    <xf numFmtId="14" fontId="0" fillId="2" borderId="12" xfId="0" applyNumberFormat="1" applyFill="1" applyBorder="1">
      <alignment vertical="center"/>
    </xf>
    <xf numFmtId="0" fontId="0" fillId="0" borderId="3" xfId="0" applyBorder="1" applyAlignment="1">
      <alignment horizontal="center" vertical="center"/>
    </xf>
    <xf numFmtId="178" fontId="0" fillId="2" borderId="5" xfId="0" applyNumberFormat="1" applyFill="1" applyBorder="1">
      <alignment vertical="center"/>
    </xf>
    <xf numFmtId="178" fontId="0" fillId="2" borderId="13" xfId="0" applyNumberFormat="1" applyFill="1" applyBorder="1">
      <alignment vertical="center"/>
    </xf>
    <xf numFmtId="178" fontId="0" fillId="0" borderId="16" xfId="0" applyNumberFormat="1" applyBorder="1">
      <alignment vertical="center"/>
    </xf>
    <xf numFmtId="178" fontId="0" fillId="5" borderId="11" xfId="0" applyNumberFormat="1" applyFill="1" applyBorder="1">
      <alignment vertical="center"/>
    </xf>
    <xf numFmtId="178" fontId="0" fillId="5" borderId="14" xfId="0" applyNumberFormat="1" applyFill="1" applyBorder="1">
      <alignment vertical="center"/>
    </xf>
    <xf numFmtId="178" fontId="0" fillId="0" borderId="17" xfId="0" applyNumberFormat="1" applyBorder="1">
      <alignment vertical="center"/>
    </xf>
    <xf numFmtId="179" fontId="0" fillId="2" borderId="18" xfId="0" applyNumberFormat="1" applyFill="1" applyBorder="1">
      <alignment vertical="center"/>
    </xf>
    <xf numFmtId="179" fontId="0" fillId="2" borderId="5" xfId="0" applyNumberFormat="1" applyFill="1" applyBorder="1">
      <alignment vertical="center"/>
    </xf>
    <xf numFmtId="179" fontId="0" fillId="2" borderId="20" xfId="0" applyNumberFormat="1" applyFill="1" applyBorder="1">
      <alignment vertical="center"/>
    </xf>
    <xf numFmtId="179" fontId="0" fillId="0" borderId="16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0" fillId="4" borderId="11" xfId="0" applyNumberFormat="1" applyFill="1" applyBorder="1">
      <alignment vertical="center"/>
    </xf>
    <xf numFmtId="179" fontId="0" fillId="4" borderId="24" xfId="0" applyNumberFormat="1" applyFill="1" applyBorder="1">
      <alignment vertical="center"/>
    </xf>
    <xf numFmtId="179" fontId="0" fillId="0" borderId="17" xfId="0" applyNumberFormat="1" applyBorder="1">
      <alignment vertical="center"/>
    </xf>
    <xf numFmtId="179" fontId="0" fillId="2" borderId="6" xfId="0" applyNumberFormat="1" applyFill="1" applyBorder="1">
      <alignment vertical="center"/>
    </xf>
    <xf numFmtId="176" fontId="0" fillId="3" borderId="22" xfId="0" applyNumberFormat="1" applyFill="1" applyBorder="1">
      <alignment vertical="center"/>
    </xf>
    <xf numFmtId="177" fontId="0" fillId="0" borderId="16" xfId="0" applyNumberFormat="1" applyBorder="1">
      <alignment vertical="center"/>
    </xf>
    <xf numFmtId="176" fontId="0" fillId="4" borderId="5" xfId="0" applyNumberFormat="1" applyFill="1" applyBorder="1">
      <alignment vertical="center"/>
    </xf>
    <xf numFmtId="179" fontId="0" fillId="8" borderId="25" xfId="0" applyNumberFormat="1" applyFill="1" applyBorder="1">
      <alignment vertical="center"/>
    </xf>
    <xf numFmtId="179" fontId="0" fillId="8" borderId="27" xfId="0" applyNumberFormat="1" applyFill="1" applyBorder="1">
      <alignment vertical="center"/>
    </xf>
    <xf numFmtId="179" fontId="0" fillId="8" borderId="1" xfId="0" applyNumberFormat="1" applyFill="1" applyBorder="1">
      <alignment vertical="center"/>
    </xf>
    <xf numFmtId="0" fontId="3" fillId="0" borderId="0" xfId="0" applyFont="1">
      <alignment vertical="center"/>
    </xf>
    <xf numFmtId="179" fontId="0" fillId="8" borderId="8" xfId="0" applyNumberFormat="1" applyFill="1" applyBorder="1">
      <alignment vertical="center"/>
    </xf>
    <xf numFmtId="179" fontId="0" fillId="8" borderId="5" xfId="0" applyNumberFormat="1" applyFill="1" applyBorder="1">
      <alignment vertical="center"/>
    </xf>
    <xf numFmtId="179" fontId="0" fillId="8" borderId="20" xfId="0" applyNumberFormat="1" applyFill="1" applyBorder="1">
      <alignment vertical="center"/>
    </xf>
    <xf numFmtId="179" fontId="0" fillId="0" borderId="20" xfId="0" applyNumberFormat="1" applyBorder="1">
      <alignment vertical="center"/>
    </xf>
    <xf numFmtId="0" fontId="0" fillId="0" borderId="29" xfId="0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9" fontId="0" fillId="4" borderId="6" xfId="0" applyNumberFormat="1" applyFill="1" applyBorder="1">
      <alignment vertical="center"/>
    </xf>
    <xf numFmtId="179" fontId="0" fillId="4" borderId="5" xfId="0" applyNumberFormat="1" applyFill="1" applyBorder="1">
      <alignment vertical="center"/>
    </xf>
    <xf numFmtId="14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14" fontId="0" fillId="0" borderId="6" xfId="0" applyNumberFormat="1" applyBorder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8" fontId="0" fillId="0" borderId="0" xfId="0" applyNumberFormat="1">
      <alignment vertical="center"/>
    </xf>
    <xf numFmtId="180" fontId="0" fillId="2" borderId="18" xfId="0" applyNumberFormat="1" applyFill="1" applyBorder="1">
      <alignment vertical="center"/>
    </xf>
    <xf numFmtId="180" fontId="0" fillId="0" borderId="16" xfId="0" applyNumberFormat="1" applyBorder="1">
      <alignment vertical="center"/>
    </xf>
    <xf numFmtId="179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0" fillId="3" borderId="10" xfId="0" applyNumberFormat="1" applyFill="1" applyBorder="1">
      <alignment vertical="center"/>
    </xf>
    <xf numFmtId="176" fontId="0" fillId="2" borderId="6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177" fontId="0" fillId="0" borderId="0" xfId="1" applyNumberFormat="1" applyFont="1">
      <alignment vertical="center"/>
    </xf>
    <xf numFmtId="181" fontId="0" fillId="0" borderId="0" xfId="2" applyNumberFormat="1" applyFont="1">
      <alignment vertical="center"/>
    </xf>
    <xf numFmtId="180" fontId="0" fillId="2" borderId="6" xfId="0" applyNumberForma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0" fontId="0" fillId="0" borderId="16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1" fontId="0" fillId="0" borderId="0" xfId="2" applyFont="1">
      <alignment vertical="center"/>
    </xf>
    <xf numFmtId="176" fontId="0" fillId="3" borderId="23" xfId="0" applyNumberForma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5" xfId="3" quotePrefix="1" applyBorder="1">
      <alignment vertical="center"/>
    </xf>
    <xf numFmtId="177" fontId="0" fillId="0" borderId="5" xfId="1" applyNumberFormat="1" applyFont="1" applyBorder="1">
      <alignment vertical="center"/>
    </xf>
    <xf numFmtId="180" fontId="0" fillId="0" borderId="5" xfId="0" applyNumberFormat="1" applyBorder="1">
      <alignment vertical="center"/>
    </xf>
    <xf numFmtId="179" fontId="0" fillId="0" borderId="5" xfId="0" applyNumberFormat="1" applyBorder="1">
      <alignment vertical="center"/>
    </xf>
    <xf numFmtId="178" fontId="0" fillId="0" borderId="5" xfId="0" applyNumberFormat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79" fontId="0" fillId="8" borderId="32" xfId="0" applyNumberForma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0" fillId="4" borderId="18" xfId="0" applyNumberForma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179" fontId="0" fillId="8" borderId="6" xfId="0" applyNumberFormat="1" applyFill="1" applyBorder="1">
      <alignment vertical="center"/>
    </xf>
    <xf numFmtId="179" fontId="0" fillId="8" borderId="49" xfId="0" applyNumberFormat="1" applyFill="1" applyBorder="1">
      <alignment vertical="center"/>
    </xf>
    <xf numFmtId="182" fontId="0" fillId="0" borderId="0" xfId="1" applyNumberFormat="1" applyFont="1">
      <alignment vertical="center"/>
    </xf>
    <xf numFmtId="180" fontId="0" fillId="2" borderId="5" xfId="0" applyNumberForma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6" fontId="0" fillId="0" borderId="39" xfId="0" applyNumberFormat="1" applyBorder="1">
      <alignment vertical="center"/>
    </xf>
    <xf numFmtId="0" fontId="4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82" fontId="0" fillId="0" borderId="0" xfId="0" applyNumberFormat="1">
      <alignment vertical="center"/>
    </xf>
    <xf numFmtId="0" fontId="8" fillId="4" borderId="6" xfId="0" applyFont="1" applyFill="1" applyBorder="1">
      <alignment vertical="center"/>
    </xf>
    <xf numFmtId="1" fontId="0" fillId="0" borderId="0" xfId="0" applyNumberFormat="1">
      <alignment vertical="center"/>
    </xf>
    <xf numFmtId="176" fontId="8" fillId="2" borderId="6" xfId="0" applyNumberFormat="1" applyFont="1" applyFill="1" applyBorder="1">
      <alignment vertical="center"/>
    </xf>
    <xf numFmtId="0" fontId="8" fillId="2" borderId="6" xfId="0" applyFont="1" applyFill="1" applyBorder="1">
      <alignment vertical="center"/>
    </xf>
    <xf numFmtId="179" fontId="8" fillId="2" borderId="6" xfId="0" applyNumberFormat="1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9" fillId="2" borderId="5" xfId="0" applyNumberFormat="1" applyFont="1" applyFill="1" applyBorder="1">
      <alignment vertical="center"/>
    </xf>
    <xf numFmtId="0" fontId="9" fillId="2" borderId="5" xfId="0" applyFont="1" applyFill="1" applyBorder="1">
      <alignment vertical="center"/>
    </xf>
    <xf numFmtId="179" fontId="9" fillId="2" borderId="5" xfId="0" applyNumberFormat="1" applyFont="1" applyFill="1" applyBorder="1">
      <alignment vertical="center"/>
    </xf>
    <xf numFmtId="0" fontId="7" fillId="0" borderId="3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180" fontId="9" fillId="2" borderId="6" xfId="0" applyNumberFormat="1" applyFont="1" applyFill="1" applyBorder="1">
      <alignment vertical="center"/>
    </xf>
    <xf numFmtId="176" fontId="9" fillId="2" borderId="6" xfId="0" applyNumberFormat="1" applyFont="1" applyFill="1" applyBorder="1">
      <alignment vertical="center"/>
    </xf>
    <xf numFmtId="0" fontId="9" fillId="2" borderId="6" xfId="0" applyFont="1" applyFill="1" applyBorder="1">
      <alignment vertical="center"/>
    </xf>
    <xf numFmtId="179" fontId="9" fillId="2" borderId="6" xfId="0" applyNumberFormat="1" applyFon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6" fontId="8" fillId="2" borderId="5" xfId="0" applyNumberFormat="1" applyFont="1" applyFill="1" applyBorder="1">
      <alignment vertical="center"/>
    </xf>
    <xf numFmtId="0" fontId="8" fillId="2" borderId="5" xfId="0" applyFont="1" applyFill="1" applyBorder="1">
      <alignment vertical="center"/>
    </xf>
    <xf numFmtId="179" fontId="8" fillId="2" borderId="5" xfId="0" applyNumberFormat="1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8" fillId="4" borderId="5" xfId="0" applyNumberFormat="1" applyFont="1" applyFill="1" applyBorder="1">
      <alignment vertical="center"/>
    </xf>
    <xf numFmtId="179" fontId="10" fillId="4" borderId="11" xfId="0" applyNumberFormat="1" applyFont="1" applyFill="1" applyBorder="1">
      <alignment vertical="center"/>
    </xf>
    <xf numFmtId="3" fontId="0" fillId="0" borderId="5" xfId="0" applyNumberFormat="1" applyBorder="1">
      <alignment vertical="center"/>
    </xf>
    <xf numFmtId="4" fontId="0" fillId="0" borderId="5" xfId="0" applyNumberFormat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0" fillId="0" borderId="0" xfId="0" applyNumberFormat="1">
      <alignment vertical="center"/>
    </xf>
    <xf numFmtId="176" fontId="7" fillId="4" borderId="6" xfId="0" applyNumberFormat="1" applyFont="1" applyFill="1" applyBorder="1">
      <alignment vertical="center"/>
    </xf>
    <xf numFmtId="0" fontId="7" fillId="4" borderId="6" xfId="0" applyFont="1" applyFill="1" applyBorder="1">
      <alignment vertical="center"/>
    </xf>
    <xf numFmtId="179" fontId="7" fillId="4" borderId="6" xfId="0" applyNumberFormat="1" applyFont="1" applyFill="1" applyBorder="1">
      <alignment vertical="center"/>
    </xf>
    <xf numFmtId="176" fontId="0" fillId="9" borderId="5" xfId="0" applyNumberFormat="1" applyFill="1" applyBorder="1">
      <alignment vertical="center"/>
    </xf>
    <xf numFmtId="0" fontId="0" fillId="9" borderId="5" xfId="0" applyFill="1" applyBorder="1">
      <alignment vertical="center"/>
    </xf>
    <xf numFmtId="179" fontId="0" fillId="9" borderId="11" xfId="0" applyNumberFormat="1" applyFill="1" applyBorder="1">
      <alignment vertical="center"/>
    </xf>
    <xf numFmtId="180" fontId="8" fillId="2" borderId="6" xfId="0" applyNumberFormat="1" applyFont="1" applyFill="1" applyBorder="1">
      <alignment vertical="center"/>
    </xf>
    <xf numFmtId="176" fontId="8" fillId="3" borderId="10" xfId="0" applyNumberFormat="1" applyFont="1" applyFill="1" applyBorder="1">
      <alignment vertical="center"/>
    </xf>
    <xf numFmtId="0" fontId="8" fillId="3" borderId="5" xfId="0" applyFont="1" applyFill="1" applyBorder="1">
      <alignment vertical="center"/>
    </xf>
    <xf numFmtId="4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9" borderId="6" xfId="0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83" fontId="0" fillId="0" borderId="5" xfId="0" applyNumberFormat="1" applyBorder="1">
      <alignment vertical="center"/>
    </xf>
    <xf numFmtId="180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6" fontId="9" fillId="3" borderId="22" xfId="0" applyNumberFormat="1" applyFont="1" applyFill="1" applyBorder="1">
      <alignment vertical="center"/>
    </xf>
    <xf numFmtId="0" fontId="9" fillId="3" borderId="6" xfId="0" applyFont="1" applyFill="1" applyBorder="1">
      <alignment vertical="center"/>
    </xf>
    <xf numFmtId="176" fontId="9" fillId="3" borderId="10" xfId="0" applyNumberFormat="1" applyFont="1" applyFill="1" applyBorder="1">
      <alignment vertical="center"/>
    </xf>
    <xf numFmtId="0" fontId="9" fillId="3" borderId="5" xfId="0" applyFon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3" borderId="22" xfId="0" applyNumberFormat="1" applyFont="1" applyFill="1" applyBorder="1">
      <alignment vertical="center"/>
    </xf>
    <xf numFmtId="0" fontId="8" fillId="3" borderId="6" xfId="0" applyFon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2" fontId="0" fillId="0" borderId="0" xfId="0" applyNumberFormat="1">
      <alignment vertical="center"/>
    </xf>
    <xf numFmtId="184" fontId="0" fillId="0" borderId="0" xfId="0" applyNumberFormat="1">
      <alignment vertical="center"/>
    </xf>
    <xf numFmtId="179" fontId="10" fillId="4" borderId="5" xfId="0" applyNumberFormat="1" applyFont="1" applyFill="1" applyBorder="1">
      <alignment vertical="center"/>
    </xf>
    <xf numFmtId="0" fontId="8" fillId="4" borderId="5" xfId="0" applyFont="1" applyFill="1" applyBorder="1">
      <alignment vertical="center"/>
    </xf>
    <xf numFmtId="176" fontId="8" fillId="3" borderId="23" xfId="0" applyNumberFormat="1" applyFont="1" applyFill="1" applyBorder="1">
      <alignment vertical="center"/>
    </xf>
    <xf numFmtId="0" fontId="8" fillId="3" borderId="18" xfId="0" applyFont="1" applyFill="1" applyBorder="1">
      <alignment vertical="center"/>
    </xf>
    <xf numFmtId="176" fontId="0" fillId="3" borderId="10" xfId="0" applyNumberFormat="1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4" borderId="5" xfId="0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0" fillId="2" borderId="5" xfId="0" applyNumberFormat="1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179" fontId="0" fillId="2" borderId="5" xfId="0" applyNumberFormat="1" applyFill="1" applyBorder="1" applyAlignment="1">
      <alignment vertical="center" wrapText="1"/>
    </xf>
    <xf numFmtId="179" fontId="0" fillId="9" borderId="5" xfId="0" applyNumberForma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11" fillId="4" borderId="5" xfId="0" applyNumberFormat="1" applyFont="1" applyFill="1" applyBorder="1">
      <alignment vertical="center"/>
    </xf>
    <xf numFmtId="0" fontId="11" fillId="4" borderId="6" xfId="0" applyFont="1" applyFill="1" applyBorder="1">
      <alignment vertical="center"/>
    </xf>
    <xf numFmtId="179" fontId="11" fillId="4" borderId="11" xfId="0" applyNumberFormat="1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9" fontId="9" fillId="4" borderId="11" xfId="0" applyNumberFormat="1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4" borderId="5" xfId="0" applyNumberForma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8" fontId="0" fillId="6" borderId="18" xfId="0" applyNumberFormat="1" applyFill="1" applyBorder="1" applyAlignment="1">
      <alignment horizontal="center" vertical="center"/>
    </xf>
    <xf numFmtId="178" fontId="0" fillId="6" borderId="19" xfId="0" applyNumberFormat="1" applyFill="1" applyBorder="1" applyAlignment="1">
      <alignment horizontal="center" vertical="center"/>
    </xf>
    <xf numFmtId="178" fontId="0" fillId="6" borderId="20" xfId="0" applyNumberFormat="1" applyFill="1" applyBorder="1" applyAlignment="1">
      <alignment horizontal="center" vertical="center"/>
    </xf>
    <xf numFmtId="179" fontId="0" fillId="6" borderId="18" xfId="0" applyNumberFormat="1" applyFill="1" applyBorder="1" applyAlignment="1">
      <alignment horizontal="center" vertical="center"/>
    </xf>
    <xf numFmtId="179" fontId="0" fillId="6" borderId="19" xfId="0" applyNumberFormat="1" applyFill="1" applyBorder="1" applyAlignment="1">
      <alignment horizontal="center" vertical="center"/>
    </xf>
    <xf numFmtId="179" fontId="0" fillId="6" borderId="20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8" fontId="0" fillId="7" borderId="5" xfId="0" applyNumberFormat="1" applyFill="1" applyBorder="1" applyAlignment="1">
      <alignment horizontal="center" vertical="center"/>
    </xf>
    <xf numFmtId="178" fontId="0" fillId="7" borderId="13" xfId="0" applyNumberFormat="1" applyFill="1" applyBorder="1" applyAlignment="1">
      <alignment horizontal="center" vertical="center"/>
    </xf>
    <xf numFmtId="177" fontId="0" fillId="7" borderId="5" xfId="0" applyNumberFormat="1" applyFill="1" applyBorder="1" applyAlignment="1">
      <alignment horizontal="center" vertical="center"/>
    </xf>
    <xf numFmtId="177" fontId="0" fillId="7" borderId="13" xfId="0" applyNumberFormat="1" applyFill="1" applyBorder="1" applyAlignment="1">
      <alignment horizontal="center" vertical="center"/>
    </xf>
    <xf numFmtId="180" fontId="0" fillId="6" borderId="18" xfId="0" applyNumberFormat="1" applyFill="1" applyBorder="1" applyAlignment="1">
      <alignment horizontal="center" vertical="center"/>
    </xf>
    <xf numFmtId="180" fontId="0" fillId="6" borderId="19" xfId="0" applyNumberFormat="1" applyFill="1" applyBorder="1" applyAlignment="1">
      <alignment horizontal="center" vertical="center"/>
    </xf>
    <xf numFmtId="180" fontId="0" fillId="6" borderId="20" xfId="0" applyNumberForma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</cellXfs>
  <cellStyles count="5">
    <cellStyle name="백분율" xfId="1" builtinId="5"/>
    <cellStyle name="쉼표 [0]" xfId="2" builtinId="6"/>
    <cellStyle name="표준" xfId="0" builtinId="0"/>
    <cellStyle name="표준 2" xfId="4" xr:uid="{B7E81F26-2828-4255-9BE1-07C2DBE00E79}"/>
    <cellStyle name="하이퍼링크" xfId="3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36</xdr:row>
      <xdr:rowOff>0</xdr:rowOff>
    </xdr:from>
    <xdr:to>
      <xdr:col>37</xdr:col>
      <xdr:colOff>465011</xdr:colOff>
      <xdr:row>91</xdr:row>
      <xdr:rowOff>65224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F02583-AEF6-4F4F-AEC8-398B32C46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6125" y="7658100"/>
          <a:ext cx="13714286" cy="116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36</xdr:row>
      <xdr:rowOff>0</xdr:rowOff>
    </xdr:from>
    <xdr:to>
      <xdr:col>37</xdr:col>
      <xdr:colOff>303086</xdr:colOff>
      <xdr:row>91</xdr:row>
      <xdr:rowOff>84274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675764-B487-4880-9986-6D7C7BA4F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6125" y="7658100"/>
          <a:ext cx="13714286" cy="116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65</xdr:row>
      <xdr:rowOff>57150</xdr:rowOff>
    </xdr:from>
    <xdr:to>
      <xdr:col>7</xdr:col>
      <xdr:colOff>262350</xdr:colOff>
      <xdr:row>92</xdr:row>
      <xdr:rowOff>159300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6F0F32C-BD02-4163-8B87-0EB500672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13811250"/>
          <a:ext cx="4320000" cy="57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64</xdr:row>
      <xdr:rowOff>180975</xdr:rowOff>
    </xdr:from>
    <xdr:to>
      <xdr:col>10</xdr:col>
      <xdr:colOff>1091025</xdr:colOff>
      <xdr:row>92</xdr:row>
      <xdr:rowOff>73575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74AB67F-F71F-4F2C-9488-64DC57475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6850" y="13725525"/>
          <a:ext cx="4320000" cy="576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333375</xdr:colOff>
      <xdr:row>5</xdr:row>
      <xdr:rowOff>190500</xdr:rowOff>
    </xdr:from>
    <xdr:to>
      <xdr:col>24</xdr:col>
      <xdr:colOff>209137</xdr:colOff>
      <xdr:row>15</xdr:row>
      <xdr:rowOff>209277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A4C45A-BCDA-4E9B-A838-1B600E742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30650" y="1257300"/>
          <a:ext cx="3304762" cy="2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8"/>
  <sheetViews>
    <sheetView showGridLines="0" workbookViewId="0">
      <selection activeCell="I28" sqref="I28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8" max="8" width="9.8984375" bestFit="1" customWidth="1"/>
    <col min="9" max="9" width="14.09765625" bestFit="1" customWidth="1"/>
    <col min="10" max="10" width="11" bestFit="1" customWidth="1"/>
    <col min="11" max="11" width="14.0976562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/>
      <c r="D1" s="73">
        <f ca="1">TODAY()</f>
        <v>46325</v>
      </c>
    </row>
    <row r="2" spans="1:19" ht="18" thickBot="1">
      <c r="F2" s="302" t="s">
        <v>9</v>
      </c>
      <c r="G2" s="305"/>
      <c r="H2" s="314"/>
      <c r="O2" s="302" t="s">
        <v>8</v>
      </c>
      <c r="P2" s="314"/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19">
      <c r="B4" s="27"/>
      <c r="C4" s="30"/>
      <c r="D4" s="36"/>
      <c r="E4" s="36" t="e">
        <f>D4/C4</f>
        <v>#DIV/0!</v>
      </c>
      <c r="F4" s="315">
        <f>C8-P8</f>
        <v>0</v>
      </c>
      <c r="G4" s="318" t="e">
        <f>D8-(D8/C8*P8)</f>
        <v>#DIV/0!</v>
      </c>
      <c r="H4" s="318" t="e">
        <f>G4/F4</f>
        <v>#DIV/0!</v>
      </c>
      <c r="I4" s="321"/>
      <c r="J4" s="1">
        <f>B4+90</f>
        <v>90</v>
      </c>
      <c r="K4" s="323">
        <f>C58</f>
        <v>0</v>
      </c>
      <c r="L4" s="325" t="e">
        <f>K8/F8</f>
        <v>#DIV/0!</v>
      </c>
      <c r="M4" s="323">
        <f>E58</f>
        <v>0</v>
      </c>
      <c r="N4" s="323">
        <f>F8-C58-E58</f>
        <v>0</v>
      </c>
      <c r="O4" s="22"/>
      <c r="P4" s="33"/>
    </row>
    <row r="5" spans="1:19">
      <c r="B5" s="27"/>
      <c r="C5" s="30"/>
      <c r="D5" s="37"/>
      <c r="E5" s="36" t="e">
        <f t="shared" ref="E5:E7" si="0">D5/C5</f>
        <v>#DIV/0!</v>
      </c>
      <c r="F5" s="316"/>
      <c r="G5" s="319"/>
      <c r="H5" s="319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19">
      <c r="B6" s="27"/>
      <c r="C6" s="30"/>
      <c r="D6" s="37"/>
      <c r="E6" s="36" t="e">
        <f t="shared" si="0"/>
        <v>#DIV/0!</v>
      </c>
      <c r="F6" s="316"/>
      <c r="G6" s="319"/>
      <c r="H6" s="319"/>
      <c r="I6" s="321"/>
      <c r="J6" s="2"/>
      <c r="K6" s="323"/>
      <c r="L6" s="325"/>
      <c r="M6" s="323"/>
      <c r="N6" s="323"/>
      <c r="O6" s="23"/>
      <c r="P6" s="33"/>
    </row>
    <row r="7" spans="1:19" ht="18" thickBot="1">
      <c r="B7" s="28"/>
      <c r="C7" s="31"/>
      <c r="D7" s="38"/>
      <c r="E7" s="36" t="e">
        <f t="shared" si="0"/>
        <v>#DIV/0!</v>
      </c>
      <c r="F7" s="317"/>
      <c r="G7" s="320"/>
      <c r="H7" s="320"/>
      <c r="I7" s="322"/>
      <c r="J7" s="6"/>
      <c r="K7" s="324"/>
      <c r="L7" s="326"/>
      <c r="M7" s="324"/>
      <c r="N7" s="324"/>
      <c r="O7" s="24"/>
      <c r="P7" s="34"/>
    </row>
    <row r="8" spans="1:19" ht="18" thickBot="1">
      <c r="B8" s="9" t="s">
        <v>10</v>
      </c>
      <c r="C8" s="32">
        <f>SUM(C4:C7)</f>
        <v>0</v>
      </c>
      <c r="D8" s="39">
        <f>SUM(D4:D7)</f>
        <v>0</v>
      </c>
      <c r="E8" s="39" t="e">
        <f>D8/C8</f>
        <v>#DIV/0!</v>
      </c>
      <c r="F8" s="32">
        <f>SUM(F4)</f>
        <v>0</v>
      </c>
      <c r="G8" s="39" t="e">
        <f>SUM(G4)</f>
        <v>#DIV/0!</v>
      </c>
      <c r="H8" s="39" t="e">
        <f>G8/F8</f>
        <v>#DIV/0!</v>
      </c>
      <c r="I8" s="8"/>
      <c r="J8" s="8"/>
      <c r="K8" s="32">
        <f>K4</f>
        <v>0</v>
      </c>
      <c r="L8" s="26" t="e">
        <f>L4</f>
        <v>#DIV/0!</v>
      </c>
      <c r="M8" s="32">
        <f>M4</f>
        <v>0</v>
      </c>
      <c r="N8" s="32">
        <f>N4</f>
        <v>0</v>
      </c>
      <c r="O8" s="46" t="e">
        <f>P8/C8</f>
        <v>#DIV/0!</v>
      </c>
      <c r="P8" s="35">
        <f>SUM(P4:P7)</f>
        <v>0</v>
      </c>
    </row>
    <row r="9" spans="1:19" ht="18" thickBot="1">
      <c r="I9">
        <f>F8*0.95</f>
        <v>0</v>
      </c>
    </row>
    <row r="10" spans="1:19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19" ht="18" thickBot="1">
      <c r="B11" s="9" t="s">
        <v>0</v>
      </c>
      <c r="C11" s="68" t="s">
        <v>1</v>
      </c>
      <c r="D11" s="68" t="s">
        <v>0</v>
      </c>
      <c r="E11" s="68" t="s">
        <v>1</v>
      </c>
      <c r="F11" s="68" t="s">
        <v>2</v>
      </c>
      <c r="G11" s="68" t="s">
        <v>3</v>
      </c>
      <c r="H11" s="68" t="s">
        <v>0</v>
      </c>
      <c r="I11" s="68" t="s">
        <v>15</v>
      </c>
      <c r="J11" s="68" t="s">
        <v>16</v>
      </c>
      <c r="K11" s="56" t="s">
        <v>15</v>
      </c>
      <c r="L11" s="68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45</v>
      </c>
    </row>
    <row r="12" spans="1:19">
      <c r="B12" s="45"/>
      <c r="C12" s="13"/>
      <c r="D12" s="10"/>
      <c r="E12" s="10"/>
      <c r="F12" s="44"/>
      <c r="G12" s="44"/>
      <c r="H12" s="18"/>
      <c r="I12" s="19"/>
      <c r="J12" s="61"/>
      <c r="K12" s="57" t="s">
        <v>18</v>
      </c>
      <c r="L12" s="52">
        <f>SUMIF($I$12:$I$123,K12,$J$12:$J$123)</f>
        <v>0</v>
      </c>
      <c r="M12" s="48" t="e">
        <f>L12/$C$8</f>
        <v>#DIV/0!</v>
      </c>
      <c r="N12" s="66"/>
      <c r="O12" s="310"/>
      <c r="P12" s="311"/>
      <c r="R12" s="84"/>
      <c r="S12" s="85"/>
    </row>
    <row r="13" spans="1:19">
      <c r="B13" s="14"/>
      <c r="C13" s="15"/>
      <c r="D13" s="11"/>
      <c r="E13" s="11"/>
      <c r="F13" s="37"/>
      <c r="G13" s="37"/>
      <c r="H13" s="47"/>
      <c r="I13" s="19"/>
      <c r="J13" s="62"/>
      <c r="K13" s="58" t="s">
        <v>25</v>
      </c>
      <c r="L13" s="53">
        <f t="shared" ref="L13:L14" si="1">SUMIF($I$12:$I$123,K13,$J$12:$J$123)</f>
        <v>0</v>
      </c>
      <c r="M13" s="49" t="e">
        <f t="shared" ref="M13:M14" si="2">L13/$C$8</f>
        <v>#DIV/0!</v>
      </c>
      <c r="N13" s="1"/>
      <c r="O13" s="312"/>
      <c r="P13" s="313"/>
      <c r="R13" s="84"/>
      <c r="S13" s="85"/>
    </row>
    <row r="14" spans="1:19" ht="18" thickBot="1">
      <c r="B14" s="14"/>
      <c r="C14" s="15"/>
      <c r="D14" s="11"/>
      <c r="E14" s="11"/>
      <c r="F14" s="37"/>
      <c r="G14" s="37"/>
      <c r="H14" s="47"/>
      <c r="I14" s="20"/>
      <c r="J14" s="62"/>
      <c r="K14" s="59" t="s">
        <v>26</v>
      </c>
      <c r="L14" s="54">
        <f t="shared" si="1"/>
        <v>0</v>
      </c>
      <c r="M14" s="50" t="e">
        <f t="shared" si="2"/>
        <v>#DIV/0!</v>
      </c>
      <c r="N14" s="1"/>
      <c r="O14" s="298"/>
      <c r="P14" s="299"/>
      <c r="R14" s="84"/>
      <c r="S14" s="85"/>
    </row>
    <row r="15" spans="1:19" ht="18" thickBot="1">
      <c r="B15" s="14"/>
      <c r="C15" s="15"/>
      <c r="D15" s="11"/>
      <c r="E15" s="11"/>
      <c r="F15" s="37"/>
      <c r="G15" s="37"/>
      <c r="H15" s="47"/>
      <c r="I15" s="20"/>
      <c r="J15" s="62"/>
      <c r="K15" s="60" t="s">
        <v>21</v>
      </c>
      <c r="L15" s="55">
        <f>SUM(L12:L14)</f>
        <v>0</v>
      </c>
      <c r="M15" s="40" t="e">
        <f>L15/C8</f>
        <v>#DIV/0!</v>
      </c>
      <c r="N15" s="1"/>
      <c r="O15" s="298"/>
      <c r="P15" s="299"/>
      <c r="R15" s="84"/>
      <c r="S15" s="85"/>
    </row>
    <row r="16" spans="1:19">
      <c r="B16" s="14"/>
      <c r="C16" s="15"/>
      <c r="D16" s="11"/>
      <c r="E16" s="11"/>
      <c r="F16" s="37"/>
      <c r="G16" s="37"/>
      <c r="H16" s="20"/>
      <c r="I16" s="20"/>
      <c r="J16" s="41"/>
      <c r="N16" s="63"/>
      <c r="O16" s="298"/>
      <c r="P16" s="299"/>
      <c r="R16" s="84"/>
      <c r="S16" s="85"/>
    </row>
    <row r="17" spans="2:19">
      <c r="B17" s="14"/>
      <c r="C17" s="15"/>
      <c r="D17" s="11"/>
      <c r="E17" s="11"/>
      <c r="F17" s="37"/>
      <c r="G17" s="37"/>
      <c r="H17" s="20"/>
      <c r="I17" s="20"/>
      <c r="J17" s="41"/>
      <c r="N17" s="63"/>
      <c r="O17" s="298"/>
      <c r="P17" s="299"/>
      <c r="R17" s="84"/>
      <c r="S17" s="85"/>
    </row>
    <row r="18" spans="2:19">
      <c r="B18" s="14"/>
      <c r="C18" s="15"/>
      <c r="D18" s="11"/>
      <c r="E18" s="11"/>
      <c r="F18" s="37"/>
      <c r="G18" s="37"/>
      <c r="H18" s="20"/>
      <c r="I18" s="20"/>
      <c r="J18" s="41"/>
      <c r="K18" t="s">
        <v>32</v>
      </c>
      <c r="L18" s="78" t="e">
        <f>J58/((I9*G58)-(G9))</f>
        <v>#DIV/0!</v>
      </c>
      <c r="N18" s="63"/>
      <c r="O18" s="298"/>
      <c r="P18" s="299"/>
      <c r="R18" s="84"/>
      <c r="S18" s="85"/>
    </row>
    <row r="19" spans="2:19">
      <c r="B19" s="14"/>
      <c r="C19" s="15"/>
      <c r="D19" s="11"/>
      <c r="E19" s="11"/>
      <c r="F19" s="37"/>
      <c r="G19" s="37"/>
      <c r="H19" s="20"/>
      <c r="I19" s="20"/>
      <c r="J19" s="41"/>
      <c r="N19" s="63"/>
      <c r="O19" s="298"/>
      <c r="P19" s="299"/>
      <c r="R19" s="84"/>
      <c r="S19" s="85"/>
    </row>
    <row r="20" spans="2:19">
      <c r="B20" s="14"/>
      <c r="C20" s="15"/>
      <c r="D20" s="11"/>
      <c r="E20" s="11"/>
      <c r="F20" s="37"/>
      <c r="G20" s="37"/>
      <c r="H20" s="20"/>
      <c r="I20" s="20"/>
      <c r="J20" s="41"/>
      <c r="N20" s="63"/>
      <c r="O20" s="298"/>
      <c r="P20" s="299"/>
      <c r="R20" s="84"/>
      <c r="S20" s="85"/>
    </row>
    <row r="21" spans="2:19">
      <c r="B21" s="14"/>
      <c r="C21" s="15"/>
      <c r="D21" s="11"/>
      <c r="E21" s="11"/>
      <c r="F21" s="37"/>
      <c r="G21" s="37"/>
      <c r="H21" s="20"/>
      <c r="I21" s="20"/>
      <c r="J21" s="41"/>
      <c r="N21" s="63"/>
      <c r="O21" s="298"/>
      <c r="P21" s="299"/>
      <c r="R21" s="84"/>
      <c r="S21" s="85"/>
    </row>
    <row r="22" spans="2:19">
      <c r="B22" s="14"/>
      <c r="C22" s="15"/>
      <c r="D22" s="11"/>
      <c r="E22" s="11"/>
      <c r="F22" s="37"/>
      <c r="G22" s="37"/>
      <c r="H22" s="20"/>
      <c r="I22" s="20"/>
      <c r="J22" s="41"/>
      <c r="M22" s="25"/>
      <c r="N22" s="63"/>
      <c r="O22" s="298"/>
      <c r="P22" s="299"/>
      <c r="R22" s="84"/>
      <c r="S22" s="85"/>
    </row>
    <row r="23" spans="2:19">
      <c r="B23" s="14"/>
      <c r="C23" s="15"/>
      <c r="D23" s="11"/>
      <c r="E23" s="11"/>
      <c r="F23" s="37"/>
      <c r="G23" s="37"/>
      <c r="H23" s="20"/>
      <c r="I23" s="20"/>
      <c r="J23" s="41"/>
      <c r="N23" s="63"/>
      <c r="O23" s="298"/>
      <c r="P23" s="299"/>
      <c r="R23" s="84"/>
      <c r="S23" s="85"/>
    </row>
    <row r="24" spans="2:19">
      <c r="B24" s="14"/>
      <c r="C24" s="15"/>
      <c r="D24" s="11"/>
      <c r="E24" s="11"/>
      <c r="F24" s="37"/>
      <c r="G24" s="37"/>
      <c r="H24" s="20"/>
      <c r="I24" s="20"/>
      <c r="J24" s="41"/>
      <c r="N24" s="63"/>
      <c r="O24" s="298"/>
      <c r="P24" s="299"/>
      <c r="R24" s="84"/>
      <c r="S24" s="85"/>
    </row>
    <row r="25" spans="2:19">
      <c r="B25" s="14"/>
      <c r="C25" s="15"/>
      <c r="D25" s="11"/>
      <c r="E25" s="11"/>
      <c r="F25" s="37"/>
      <c r="G25" s="37"/>
      <c r="H25" s="20"/>
      <c r="I25" s="20"/>
      <c r="J25" s="41"/>
      <c r="N25" s="64"/>
      <c r="O25" s="298"/>
      <c r="P25" s="299"/>
      <c r="R25" s="84"/>
      <c r="S25" s="85"/>
    </row>
    <row r="26" spans="2:19">
      <c r="B26" s="14"/>
      <c r="C26" s="15"/>
      <c r="D26" s="11"/>
      <c r="E26" s="11"/>
      <c r="F26" s="37"/>
      <c r="G26" s="37"/>
      <c r="H26" s="20"/>
      <c r="I26" s="20"/>
      <c r="J26" s="41"/>
      <c r="N26" s="64"/>
      <c r="O26" s="298"/>
      <c r="P26" s="299"/>
      <c r="R26" s="84"/>
      <c r="S26" s="85"/>
    </row>
    <row r="27" spans="2:19">
      <c r="B27" s="14"/>
      <c r="C27" s="15"/>
      <c r="D27" s="11"/>
      <c r="E27" s="11"/>
      <c r="F27" s="37"/>
      <c r="G27" s="37"/>
      <c r="H27" s="20"/>
      <c r="I27" s="20"/>
      <c r="J27" s="41"/>
      <c r="N27" s="64"/>
      <c r="O27" s="298"/>
      <c r="P27" s="299"/>
      <c r="R27" s="84"/>
      <c r="S27" s="85"/>
    </row>
    <row r="28" spans="2:19">
      <c r="B28" s="14"/>
      <c r="C28" s="15"/>
      <c r="D28" s="11"/>
      <c r="E28" s="11"/>
      <c r="F28" s="37"/>
      <c r="G28" s="37"/>
      <c r="H28" s="20"/>
      <c r="I28" s="20"/>
      <c r="J28" s="41"/>
      <c r="N28" s="64"/>
      <c r="O28" s="298"/>
      <c r="P28" s="299"/>
      <c r="R28" s="84"/>
      <c r="S28" s="85"/>
    </row>
    <row r="29" spans="2:19">
      <c r="B29" s="14"/>
      <c r="C29" s="15"/>
      <c r="D29" s="11"/>
      <c r="E29" s="11"/>
      <c r="F29" s="37"/>
      <c r="G29" s="37"/>
      <c r="H29" s="20"/>
      <c r="I29" s="20"/>
      <c r="J29" s="41"/>
      <c r="N29" s="64"/>
      <c r="O29" s="298"/>
      <c r="P29" s="299"/>
      <c r="R29" s="84"/>
      <c r="S29" s="85"/>
    </row>
    <row r="30" spans="2:19">
      <c r="B30" s="14"/>
      <c r="C30" s="15"/>
      <c r="D30" s="11"/>
      <c r="E30" s="11"/>
      <c r="F30" s="37"/>
      <c r="G30" s="37"/>
      <c r="H30" s="20"/>
      <c r="I30" s="20"/>
      <c r="J30" s="41"/>
      <c r="N30" s="64"/>
      <c r="O30" s="298"/>
      <c r="P30" s="299"/>
      <c r="R30" s="84"/>
      <c r="S30" s="85"/>
    </row>
    <row r="31" spans="2:19" ht="18" thickBot="1">
      <c r="B31" s="14"/>
      <c r="C31" s="15"/>
      <c r="D31" s="11"/>
      <c r="E31" s="11"/>
      <c r="F31" s="37"/>
      <c r="G31" s="37"/>
      <c r="H31" s="20"/>
      <c r="I31" s="20"/>
      <c r="J31" s="41"/>
      <c r="N31" s="64"/>
      <c r="O31" s="298"/>
      <c r="P31" s="299"/>
      <c r="R31" s="86"/>
      <c r="S31" s="87"/>
    </row>
    <row r="32" spans="2:19" ht="18" thickTop="1">
      <c r="B32" s="14"/>
      <c r="C32" s="15"/>
      <c r="D32" s="11"/>
      <c r="E32" s="11"/>
      <c r="F32" s="37"/>
      <c r="G32" s="37"/>
      <c r="H32" s="20"/>
      <c r="I32" s="20"/>
      <c r="J32" s="41"/>
      <c r="N32" s="64"/>
      <c r="O32" s="298"/>
      <c r="P32" s="299"/>
    </row>
    <row r="33" spans="2:16">
      <c r="B33" s="14"/>
      <c r="C33" s="15"/>
      <c r="D33" s="11"/>
      <c r="E33" s="11"/>
      <c r="F33" s="37"/>
      <c r="G33" s="37"/>
      <c r="H33" s="20"/>
      <c r="I33" s="20"/>
      <c r="J33" s="41"/>
      <c r="N33" s="64"/>
      <c r="O33" s="298"/>
      <c r="P33" s="299"/>
    </row>
    <row r="34" spans="2:16">
      <c r="B34" s="14"/>
      <c r="C34" s="15"/>
      <c r="D34" s="11"/>
      <c r="E34" s="11"/>
      <c r="F34" s="37"/>
      <c r="G34" s="37"/>
      <c r="H34" s="20"/>
      <c r="I34" s="20"/>
      <c r="J34" s="41"/>
      <c r="N34" s="64"/>
      <c r="O34" s="298"/>
      <c r="P34" s="299"/>
    </row>
    <row r="35" spans="2:16">
      <c r="B35" s="14"/>
      <c r="C35" s="15"/>
      <c r="D35" s="11"/>
      <c r="E35" s="11"/>
      <c r="F35" s="37"/>
      <c r="G35" s="37"/>
      <c r="H35" s="20"/>
      <c r="I35" s="20"/>
      <c r="J35" s="41"/>
      <c r="N35" s="64"/>
      <c r="O35" s="298"/>
      <c r="P35" s="299"/>
    </row>
    <row r="36" spans="2:16">
      <c r="B36" s="14"/>
      <c r="C36" s="15"/>
      <c r="D36" s="11"/>
      <c r="E36" s="11"/>
      <c r="F36" s="37"/>
      <c r="G36" s="37"/>
      <c r="H36" s="20"/>
      <c r="I36" s="20"/>
      <c r="J36" s="41"/>
      <c r="N36" s="64"/>
      <c r="O36" s="298"/>
      <c r="P36" s="299"/>
    </row>
    <row r="37" spans="2:16">
      <c r="B37" s="14"/>
      <c r="C37" s="15"/>
      <c r="D37" s="11"/>
      <c r="E37" s="11"/>
      <c r="F37" s="37"/>
      <c r="G37" s="37"/>
      <c r="H37" s="20"/>
      <c r="I37" s="20"/>
      <c r="J37" s="41"/>
      <c r="N37" s="64"/>
      <c r="O37" s="298"/>
      <c r="P37" s="299"/>
    </row>
    <row r="38" spans="2:16">
      <c r="B38" s="14"/>
      <c r="C38" s="15"/>
      <c r="D38" s="11"/>
      <c r="E38" s="11"/>
      <c r="F38" s="37"/>
      <c r="G38" s="37"/>
      <c r="H38" s="20"/>
      <c r="I38" s="20"/>
      <c r="J38" s="41"/>
      <c r="N38" s="64"/>
      <c r="O38" s="298"/>
      <c r="P38" s="299"/>
    </row>
    <row r="39" spans="2:16">
      <c r="B39" s="14"/>
      <c r="C39" s="15"/>
      <c r="D39" s="11"/>
      <c r="E39" s="11"/>
      <c r="F39" s="37"/>
      <c r="G39" s="37"/>
      <c r="H39" s="20"/>
      <c r="I39" s="20"/>
      <c r="J39" s="41"/>
      <c r="N39" s="64"/>
      <c r="O39" s="298"/>
      <c r="P39" s="299"/>
    </row>
    <row r="40" spans="2:16">
      <c r="B40" s="14"/>
      <c r="C40" s="15"/>
      <c r="D40" s="11"/>
      <c r="E40" s="11"/>
      <c r="F40" s="37"/>
      <c r="G40" s="37"/>
      <c r="H40" s="20"/>
      <c r="I40" s="20"/>
      <c r="J40" s="41"/>
      <c r="N40" s="64"/>
      <c r="O40" s="298"/>
      <c r="P40" s="299"/>
    </row>
    <row r="41" spans="2:16">
      <c r="B41" s="14"/>
      <c r="C41" s="15"/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14"/>
      <c r="C42" s="15"/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14"/>
      <c r="C43" s="15"/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14"/>
      <c r="C44" s="15"/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14"/>
      <c r="C45" s="15"/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 ht="18" thickBot="1">
      <c r="B57" s="16"/>
      <c r="C57" s="17"/>
      <c r="D57" s="12"/>
      <c r="E57" s="12"/>
      <c r="F57" s="36"/>
      <c r="G57" s="36"/>
      <c r="H57" s="21"/>
      <c r="I57" s="21"/>
      <c r="J57" s="42"/>
      <c r="N57" s="64"/>
      <c r="O57" s="298"/>
      <c r="P57" s="299"/>
    </row>
    <row r="58" spans="2:16" ht="18" thickBot="1">
      <c r="B58" s="7"/>
      <c r="C58" s="8">
        <f>SUM(C12:C57)</f>
        <v>0</v>
      </c>
      <c r="D58" s="8"/>
      <c r="E58" s="8">
        <f>SUM(E12:E57)</f>
        <v>0</v>
      </c>
      <c r="F58" s="39">
        <f>SUM(F12:F57)</f>
        <v>0</v>
      </c>
      <c r="G58" s="39" t="e">
        <f>F58/E58</f>
        <v>#DIV/0!</v>
      </c>
      <c r="H58" s="8"/>
      <c r="I58" s="8"/>
      <c r="J58" s="43">
        <f>SUM(J12:J57)</f>
        <v>0</v>
      </c>
      <c r="N58" s="65"/>
      <c r="O58" s="300"/>
      <c r="P58" s="301"/>
    </row>
  </sheetData>
  <mergeCells count="64"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7:P17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5:P15"/>
    <mergeCell ref="O16:P16"/>
    <mergeCell ref="O40:P40"/>
    <mergeCell ref="O29:P29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58:P58"/>
    <mergeCell ref="O53:P53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R10:S10"/>
    <mergeCell ref="O54:P54"/>
    <mergeCell ref="O55:P55"/>
    <mergeCell ref="O56:P56"/>
    <mergeCell ref="O57:P57"/>
    <mergeCell ref="O41:P41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32"/>
  <sheetViews>
    <sheetView showGridLines="0" zoomScaleNormal="100" workbookViewId="0">
      <pane ySplit="1" topLeftCell="A2" activePane="bottomLeft" state="frozen"/>
      <selection activeCell="I28" sqref="I28"/>
      <selection pane="bottomLeft" activeCell="B4" sqref="B4"/>
    </sheetView>
  </sheetViews>
  <sheetFormatPr defaultRowHeight="17.399999999999999"/>
  <cols>
    <col min="2" max="2" width="26.69921875" customWidth="1"/>
    <col min="3" max="3" width="11.09765625" customWidth="1"/>
    <col min="4" max="5" width="11.5" customWidth="1"/>
    <col min="6" max="6" width="10" customWidth="1"/>
    <col min="7" max="7" width="9" customWidth="1"/>
    <col min="8" max="9" width="11" customWidth="1"/>
    <col min="10" max="11" width="9" customWidth="1"/>
    <col min="12" max="12" width="11.3984375" customWidth="1"/>
    <col min="13" max="13" width="9" customWidth="1"/>
    <col min="14" max="14" width="15.19921875" customWidth="1"/>
    <col min="16" max="16" width="9.19921875" bestFit="1" customWidth="1"/>
    <col min="17" max="17" width="18.69921875" customWidth="1"/>
    <col min="18" max="18" width="90" customWidth="1"/>
    <col min="19" max="19" width="26.8984375" customWidth="1"/>
    <col min="21" max="21" width="11.09765625" bestFit="1" customWidth="1"/>
  </cols>
  <sheetData>
    <row r="1" spans="2:21" ht="30.75" customHeight="1">
      <c r="B1" s="51" t="s">
        <v>70</v>
      </c>
      <c r="C1" s="51" t="s">
        <v>71</v>
      </c>
      <c r="D1" s="51" t="s">
        <v>72</v>
      </c>
      <c r="E1" s="51" t="s">
        <v>73</v>
      </c>
      <c r="F1" s="51" t="s">
        <v>74</v>
      </c>
      <c r="G1" s="51" t="s">
        <v>76</v>
      </c>
      <c r="H1" s="51" t="s">
        <v>80</v>
      </c>
      <c r="I1" s="51" t="s">
        <v>82</v>
      </c>
      <c r="J1" s="51" t="s">
        <v>77</v>
      </c>
      <c r="K1" s="51" t="s">
        <v>78</v>
      </c>
      <c r="L1" s="51" t="s">
        <v>81</v>
      </c>
      <c r="M1" s="51" t="s">
        <v>79</v>
      </c>
      <c r="N1" s="51" t="s">
        <v>157</v>
      </c>
      <c r="O1" s="51" t="s">
        <v>158</v>
      </c>
      <c r="P1" s="51" t="s">
        <v>159</v>
      </c>
      <c r="Q1" s="51" t="s">
        <v>172</v>
      </c>
      <c r="R1" s="105" t="s">
        <v>91</v>
      </c>
      <c r="U1" s="73">
        <f ca="1">TODAY()</f>
        <v>46325</v>
      </c>
    </row>
    <row r="2" spans="2:21" ht="39.75" customHeight="1">
      <c r="B2" s="98" t="s">
        <v>207</v>
      </c>
      <c r="C2" s="1">
        <f>'요셉(1106)'!B$4</f>
        <v>0</v>
      </c>
      <c r="D2" s="2" t="str">
        <f>'요셉(1106)'!I$4</f>
        <v>태평</v>
      </c>
      <c r="E2" s="101" t="e">
        <f>'요셉(1106)'!G$8</f>
        <v>#DIV/0!</v>
      </c>
      <c r="F2" s="100" t="e">
        <f>'요셉(1106)'!H$8</f>
        <v>#DIV/0!</v>
      </c>
      <c r="G2" s="102">
        <f>'요셉(1106)'!F$8</f>
        <v>0</v>
      </c>
      <c r="H2" s="102">
        <f>'요셉(1106)'!P$8</f>
        <v>0</v>
      </c>
      <c r="I2" s="99" t="e">
        <f>'요셉(1106)'!O$8</f>
        <v>#DIV/0!</v>
      </c>
      <c r="J2" s="102">
        <f>'요셉(1106)'!K$8</f>
        <v>0</v>
      </c>
      <c r="K2" s="102">
        <f>'요셉(1106)'!M$8</f>
        <v>0</v>
      </c>
      <c r="L2" s="99" t="e">
        <f>'요셉(1106)'!L$8</f>
        <v>#DIV/0!</v>
      </c>
      <c r="M2" s="102">
        <f>'요셉(1106)'!N$8</f>
        <v>0</v>
      </c>
      <c r="N2" s="101" t="e">
        <f>'요셉(1106)'!L21</f>
        <v>#DIV/0!</v>
      </c>
      <c r="O2" s="179" t="e">
        <f>'요셉(1106)'!L27</f>
        <v>#DIV/0!</v>
      </c>
      <c r="P2" s="178">
        <f t="shared" ref="P2" ca="1" si="0">$U$1-C2</f>
        <v>46325</v>
      </c>
      <c r="Q2" s="202">
        <f>'요셉(1106)'!L28</f>
        <v>0</v>
      </c>
      <c r="R2" s="2"/>
    </row>
    <row r="3" spans="2:21" ht="39.75" customHeight="1">
      <c r="B3" s="98" t="s">
        <v>218</v>
      </c>
      <c r="C3" s="1">
        <f>'신흥(1-1)'!B$4</f>
        <v>46224</v>
      </c>
      <c r="D3" s="2" t="str">
        <f>'신흥(1-1)'!I$4</f>
        <v>태농</v>
      </c>
      <c r="E3" s="101">
        <f>'신흥(1-1)'!G$9</f>
        <v>13730</v>
      </c>
      <c r="F3" s="100">
        <f>'신흥(1-1)'!H$8</f>
        <v>24.705263157894734</v>
      </c>
      <c r="G3" s="102">
        <f>'신흥(1-1)'!F$8</f>
        <v>936</v>
      </c>
      <c r="H3" s="102">
        <f>'신흥(1-1)'!P$8</f>
        <v>14</v>
      </c>
      <c r="I3" s="99">
        <f>'신흥(1-1)'!O$8</f>
        <v>1.4736842105263158E-2</v>
      </c>
      <c r="J3" s="102">
        <f>'신흥(1-1)'!K$8</f>
        <v>53</v>
      </c>
      <c r="K3" s="102">
        <f>'신흥(1-1)'!M$8</f>
        <v>0</v>
      </c>
      <c r="L3" s="99">
        <f>'신흥(1-1)'!L$8</f>
        <v>5.6623931623931624E-2</v>
      </c>
      <c r="M3" s="102">
        <f>'신흥(1-1)'!N$8</f>
        <v>883</v>
      </c>
      <c r="N3" s="101">
        <f>'신흥(1-1)'!L20</f>
        <v>0</v>
      </c>
      <c r="O3" s="179">
        <f>'신흥(1-1)'!L23</f>
        <v>0</v>
      </c>
      <c r="P3" s="178">
        <f ca="1">$U$1-C3</f>
        <v>101</v>
      </c>
      <c r="Q3" s="202">
        <f>'신흥(1-1)'!L23</f>
        <v>0</v>
      </c>
      <c r="R3" s="2"/>
    </row>
    <row r="4" spans="2:21" ht="39.75" customHeight="1">
      <c r="B4" s="98" t="s">
        <v>217</v>
      </c>
      <c r="C4" s="1">
        <f>'신흥(1-6)'!B$4</f>
        <v>46275</v>
      </c>
      <c r="D4" s="2" t="str">
        <f>'신흥(1-6)'!I$4</f>
        <v>태농</v>
      </c>
      <c r="E4" s="101">
        <f>'신흥(1-6)'!G$9</f>
        <v>13730</v>
      </c>
      <c r="F4" s="100">
        <f>'신흥(1-6)'!H$8</f>
        <v>29.5</v>
      </c>
      <c r="G4" s="102">
        <f>'신흥(1-6)'!F$8</f>
        <v>475</v>
      </c>
      <c r="H4" s="102">
        <f>'신흥(1-6)'!P$8</f>
        <v>5</v>
      </c>
      <c r="I4" s="99">
        <f>'신흥(1-6)'!O$8</f>
        <v>1.0416666666666666E-2</v>
      </c>
      <c r="J4" s="102">
        <f>'신흥(1-6)'!K$8</f>
        <v>19</v>
      </c>
      <c r="K4" s="102">
        <f>'신흥(1-6)'!M$8</f>
        <v>0</v>
      </c>
      <c r="L4" s="99">
        <f>'신흥(1-6)'!L$8</f>
        <v>0.04</v>
      </c>
      <c r="M4" s="102">
        <f>'신흥(1-6)'!N$8</f>
        <v>456</v>
      </c>
      <c r="N4" s="101">
        <f>'신흥(1-6)'!L21</f>
        <v>0</v>
      </c>
      <c r="O4" s="179">
        <f>'신흥(1-6)'!L24</f>
        <v>0</v>
      </c>
      <c r="P4" s="178">
        <f t="shared" ref="P4" ca="1" si="1">$U$1-C4</f>
        <v>50</v>
      </c>
      <c r="Q4" s="202">
        <f>'신흥(1-6)'!L24</f>
        <v>0</v>
      </c>
      <c r="R4" s="2"/>
    </row>
    <row r="5" spans="2:21" ht="39.75" customHeight="1">
      <c r="B5" s="98" t="s">
        <v>219</v>
      </c>
      <c r="C5" s="1">
        <f>'신흥(2-10)'!B$4</f>
        <v>46282</v>
      </c>
      <c r="D5" s="2" t="str">
        <f>'신흥(2-10)'!I$4</f>
        <v>태농</v>
      </c>
      <c r="E5" s="101">
        <f>'신흥(2-10)'!G$9</f>
        <v>13730</v>
      </c>
      <c r="F5" s="100">
        <f>'신흥(2-10)'!H$8</f>
        <v>28.9</v>
      </c>
      <c r="G5" s="102">
        <f>'신흥(2-10)'!F$8</f>
        <v>396</v>
      </c>
      <c r="H5" s="102">
        <f>'신흥(2-10)'!P$8</f>
        <v>4</v>
      </c>
      <c r="I5" s="99">
        <f>'신흥(2-10)'!O$8</f>
        <v>0.01</v>
      </c>
      <c r="J5" s="102">
        <f>'신흥(2-10)'!K$8</f>
        <v>15</v>
      </c>
      <c r="K5" s="102">
        <f>'신흥(2-10)'!M$8</f>
        <v>0</v>
      </c>
      <c r="L5" s="99">
        <f>'신흥(2-10)'!L$8</f>
        <v>3.787878787878788E-2</v>
      </c>
      <c r="M5" s="102">
        <f>'신흥(2-10)'!N$8</f>
        <v>381</v>
      </c>
      <c r="N5" s="101">
        <f>'신흥(2-10)'!L22</f>
        <v>0</v>
      </c>
      <c r="O5" s="179">
        <f>'신흥(2-10)'!L25</f>
        <v>0</v>
      </c>
      <c r="P5" s="178">
        <f t="shared" ref="P5:P9" ca="1" si="2">$U$1-C5</f>
        <v>43</v>
      </c>
      <c r="Q5" s="202">
        <f>'신흥(2-10)'!L25</f>
        <v>0</v>
      </c>
      <c r="R5" s="2"/>
    </row>
    <row r="6" spans="2:21" ht="39.75" customHeight="1">
      <c r="B6" s="98" t="s">
        <v>220</v>
      </c>
      <c r="C6" s="1">
        <f>'신흥(2-11)'!B$4</f>
        <v>46294</v>
      </c>
      <c r="D6" s="2" t="str">
        <f>'신흥(2-11)'!I$4</f>
        <v>태농</v>
      </c>
      <c r="E6" s="101">
        <f>'신흥(2-11)'!G$9</f>
        <v>13730</v>
      </c>
      <c r="F6" s="100">
        <f>'신흥(2-11)'!H$8</f>
        <v>31.299999999999997</v>
      </c>
      <c r="G6" s="102">
        <f>'신흥(2-11)'!F$8</f>
        <v>396</v>
      </c>
      <c r="H6" s="102">
        <f>'신흥(2-11)'!P$8</f>
        <v>4</v>
      </c>
      <c r="I6" s="99">
        <f>'신흥(2-11)'!O$8</f>
        <v>0.01</v>
      </c>
      <c r="J6" s="102">
        <f>'신흥(2-11)'!K$8</f>
        <v>12</v>
      </c>
      <c r="K6" s="102">
        <f>'신흥(2-11)'!M$8</f>
        <v>0</v>
      </c>
      <c r="L6" s="99">
        <f>'신흥(2-11)'!L$8</f>
        <v>3.0303030303030304E-2</v>
      </c>
      <c r="M6" s="102">
        <f>'신흥(2-11)'!N$8</f>
        <v>384</v>
      </c>
      <c r="N6" s="101">
        <f>'신흥(2-11)'!L23</f>
        <v>0</v>
      </c>
      <c r="O6" s="179">
        <f>'신흥(2-11)'!L26</f>
        <v>0</v>
      </c>
      <c r="P6" s="178">
        <f t="shared" ca="1" si="2"/>
        <v>31</v>
      </c>
      <c r="Q6" s="202">
        <f>'신흥(2-11)'!L26</f>
        <v>0</v>
      </c>
      <c r="R6" s="2"/>
    </row>
    <row r="7" spans="2:21" ht="39.75" customHeight="1">
      <c r="B7" s="98" t="s">
        <v>221</v>
      </c>
      <c r="C7" s="1">
        <f>'신흥(2-12)'!B$4</f>
        <v>46303</v>
      </c>
      <c r="D7" s="2" t="str">
        <f>'신흥(2-12)'!I$4</f>
        <v>태농</v>
      </c>
      <c r="E7" s="101">
        <f>'신흥(2-12)'!G$9</f>
        <v>13730</v>
      </c>
      <c r="F7" s="100">
        <f>'신흥(2-12)'!H$8</f>
        <v>28</v>
      </c>
      <c r="G7" s="102">
        <f>'신흥(2-12)'!F$8</f>
        <v>396</v>
      </c>
      <c r="H7" s="102">
        <f>'신흥(2-12)'!P$8</f>
        <v>4</v>
      </c>
      <c r="I7" s="99">
        <f>'신흥(2-12)'!O$8</f>
        <v>0.01</v>
      </c>
      <c r="J7" s="102">
        <f>'신흥(2-12)'!K$8</f>
        <v>11</v>
      </c>
      <c r="K7" s="102">
        <f>'신흥(2-12)'!M$8</f>
        <v>0</v>
      </c>
      <c r="L7" s="99">
        <f>'신흥(2-12)'!L$8</f>
        <v>2.7777777777777776E-2</v>
      </c>
      <c r="M7" s="102">
        <f>'신흥(2-12)'!N$8</f>
        <v>385</v>
      </c>
      <c r="N7" s="101">
        <f>'신흥(2-12)'!L24</f>
        <v>0</v>
      </c>
      <c r="O7" s="179">
        <f ca="1">'신흥(2-12)'!L27</f>
        <v>0</v>
      </c>
      <c r="P7" s="178">
        <f t="shared" ca="1" si="2"/>
        <v>22</v>
      </c>
      <c r="Q7" s="202">
        <f ca="1">'신흥(2-12)'!L27</f>
        <v>0</v>
      </c>
      <c r="R7" s="2"/>
    </row>
    <row r="8" spans="2:21" ht="39.75" customHeight="1">
      <c r="B8" s="98" t="s">
        <v>222</v>
      </c>
      <c r="C8" s="1">
        <f>'신흥(2-13)'!B$4</f>
        <v>46316</v>
      </c>
      <c r="D8" s="2" t="str">
        <f>'신흥(2-13)'!I$4</f>
        <v>태농</v>
      </c>
      <c r="E8" s="101">
        <f>'신흥(2-13)'!G$9</f>
        <v>13730</v>
      </c>
      <c r="F8" s="100">
        <f>'신흥(2-13)'!H$8</f>
        <v>26.5</v>
      </c>
      <c r="G8" s="102">
        <f>'신흥(2-13)'!F$8</f>
        <v>396</v>
      </c>
      <c r="H8" s="102">
        <f>'신흥(2-13)'!P$8</f>
        <v>4</v>
      </c>
      <c r="I8" s="99">
        <f>'신흥(2-13)'!O$8</f>
        <v>0.01</v>
      </c>
      <c r="J8" s="102">
        <f>'신흥(2-13)'!K$8</f>
        <v>6</v>
      </c>
      <c r="K8" s="102">
        <f>'신흥(2-13)'!M$8</f>
        <v>0</v>
      </c>
      <c r="L8" s="99">
        <f>'신흥(2-13)'!L$8</f>
        <v>1.5151515151515152E-2</v>
      </c>
      <c r="M8" s="102">
        <f>'신흥(2-13)'!N$8</f>
        <v>390</v>
      </c>
      <c r="N8" s="101">
        <f>'신흥(2-13)'!L25</f>
        <v>0</v>
      </c>
      <c r="O8" s="179">
        <f ca="1">'신흥(2-13)'!L28</f>
        <v>0</v>
      </c>
      <c r="P8" s="178">
        <f t="shared" ca="1" si="2"/>
        <v>9</v>
      </c>
      <c r="Q8" s="202">
        <f ca="1">'신흥(2-13)'!L28</f>
        <v>0</v>
      </c>
      <c r="R8" s="2"/>
    </row>
    <row r="9" spans="2:21" ht="39.75" customHeight="1">
      <c r="B9" s="98" t="s">
        <v>223</v>
      </c>
      <c r="C9" s="1">
        <f>'신흥(2-14)'!B$4</f>
        <v>46324</v>
      </c>
      <c r="D9" s="2" t="str">
        <f>'신흥(2-14)'!I$4</f>
        <v>태농</v>
      </c>
      <c r="E9" s="101">
        <f>'신흥(2-14)'!G$9</f>
        <v>13730</v>
      </c>
      <c r="F9" s="100">
        <f>'신흥(2-14)'!H$8</f>
        <v>26.200000000000003</v>
      </c>
      <c r="G9" s="102">
        <f>'신흥(2-14)'!F$8</f>
        <v>396</v>
      </c>
      <c r="H9" s="102">
        <f>'신흥(2-14)'!P$8</f>
        <v>4</v>
      </c>
      <c r="I9" s="99">
        <f>'신흥(2-14)'!O$8</f>
        <v>0.01</v>
      </c>
      <c r="J9" s="102">
        <f>'신흥(2-14)'!K$8</f>
        <v>0</v>
      </c>
      <c r="K9" s="102">
        <f>'신흥(2-14)'!M$8</f>
        <v>0</v>
      </c>
      <c r="L9" s="99">
        <f>'신흥(2-14)'!L$8</f>
        <v>0</v>
      </c>
      <c r="M9" s="102">
        <f>'신흥(2-14)'!N$8</f>
        <v>396</v>
      </c>
      <c r="N9" s="101">
        <f>'신흥(2-14)'!L26</f>
        <v>0</v>
      </c>
      <c r="O9" s="179">
        <f>'신흥(2-14)'!L29</f>
        <v>0</v>
      </c>
      <c r="P9" s="178">
        <f t="shared" ca="1" si="2"/>
        <v>1</v>
      </c>
      <c r="Q9" s="202">
        <f>'신흥(2-14)'!L29</f>
        <v>0</v>
      </c>
      <c r="R9" s="2"/>
    </row>
    <row r="10" spans="2:21" ht="39.75" customHeight="1">
      <c r="B10" s="98" t="s">
        <v>208</v>
      </c>
      <c r="C10" s="1">
        <f>'준석(26-003)'!B$4</f>
        <v>46318</v>
      </c>
      <c r="D10" s="2" t="str">
        <f>'준석(26-003)'!I$4</f>
        <v>태평</v>
      </c>
      <c r="E10" s="101">
        <f>'준석(26-003)'!G$9</f>
        <v>8051</v>
      </c>
      <c r="F10" s="100">
        <f>'준석(26-003)'!H$8</f>
        <v>31.2</v>
      </c>
      <c r="G10" s="102">
        <f>'준석(26-003)'!F$8</f>
        <v>938</v>
      </c>
      <c r="H10" s="102">
        <f>'준석(26-003)'!P$8</f>
        <v>12</v>
      </c>
      <c r="I10" s="99">
        <f>'준석(26-003)'!O$8</f>
        <v>1.2631578947368421E-2</v>
      </c>
      <c r="J10" s="102">
        <f>'준석(26-003)'!K$8</f>
        <v>3</v>
      </c>
      <c r="K10" s="102">
        <f>'준석(26-003)'!M$8</f>
        <v>0</v>
      </c>
      <c r="L10" s="99">
        <f>'준석(26-003)'!L$8</f>
        <v>3.1982942430703624E-3</v>
      </c>
      <c r="M10" s="102">
        <f>'준석(26-003)'!N$8</f>
        <v>935</v>
      </c>
      <c r="N10" s="101">
        <f>'준석(26-003)'!L22</f>
        <v>0</v>
      </c>
      <c r="O10" s="179">
        <f>'준석(26-003)'!L25</f>
        <v>0</v>
      </c>
      <c r="P10" s="178">
        <f t="shared" ref="P10" ca="1" si="3">$U$1-C10</f>
        <v>7</v>
      </c>
      <c r="Q10" s="202">
        <f>'준석(26-003)'!L26</f>
        <v>0</v>
      </c>
      <c r="R10" s="2"/>
    </row>
    <row r="11" spans="2:21" ht="39.75" customHeight="1">
      <c r="B11" s="98"/>
      <c r="C11" s="1"/>
      <c r="D11" s="2"/>
      <c r="E11" s="101"/>
      <c r="F11" s="100"/>
      <c r="G11" s="102"/>
      <c r="H11" s="102"/>
      <c r="I11" s="99"/>
      <c r="J11" s="102"/>
      <c r="K11" s="102"/>
      <c r="L11" s="99"/>
      <c r="M11" s="102"/>
      <c r="N11" s="101"/>
      <c r="O11" s="179"/>
      <c r="P11" s="178"/>
      <c r="Q11" s="202"/>
      <c r="R11" s="2"/>
    </row>
    <row r="12" spans="2:21" ht="39.75" customHeight="1">
      <c r="B12" s="98"/>
      <c r="C12" s="1"/>
      <c r="D12" s="2"/>
      <c r="E12" s="101"/>
      <c r="F12" s="100"/>
      <c r="G12" s="102"/>
      <c r="H12" s="102"/>
      <c r="I12" s="99"/>
      <c r="J12" s="102"/>
      <c r="K12" s="102"/>
      <c r="L12" s="99"/>
      <c r="M12" s="102"/>
      <c r="N12" s="101"/>
      <c r="O12" s="179"/>
      <c r="P12" s="178"/>
      <c r="Q12" s="202"/>
      <c r="R12" s="2"/>
    </row>
    <row r="13" spans="2:21" ht="39.75" customHeight="1">
      <c r="B13" s="98"/>
      <c r="C13" s="1"/>
      <c r="D13" s="2"/>
      <c r="E13" s="101"/>
      <c r="F13" s="100"/>
      <c r="G13" s="102"/>
      <c r="H13" s="102"/>
      <c r="I13" s="99"/>
      <c r="J13" s="102"/>
      <c r="K13" s="102"/>
      <c r="L13" s="99"/>
      <c r="M13" s="102"/>
      <c r="N13" s="101"/>
      <c r="O13" s="179"/>
      <c r="P13" s="178"/>
      <c r="Q13" s="202"/>
      <c r="R13" s="2"/>
    </row>
    <row r="14" spans="2:21" ht="39.75" customHeight="1">
      <c r="B14" s="98"/>
      <c r="C14" s="1"/>
      <c r="D14" s="2"/>
      <c r="E14" s="101"/>
      <c r="F14" s="100"/>
      <c r="G14" s="102"/>
      <c r="H14" s="102"/>
      <c r="I14" s="99"/>
      <c r="J14" s="102"/>
      <c r="K14" s="102"/>
      <c r="L14" s="99"/>
      <c r="M14" s="102"/>
      <c r="N14" s="101"/>
      <c r="O14" s="179"/>
      <c r="P14" s="178"/>
      <c r="Q14" s="202"/>
      <c r="R14" s="2"/>
    </row>
    <row r="15" spans="2:21" ht="39.75" customHeight="1">
      <c r="B15" s="98"/>
      <c r="C15" s="1"/>
      <c r="D15" s="2"/>
      <c r="E15" s="101"/>
      <c r="F15" s="100"/>
      <c r="G15" s="102"/>
      <c r="H15" s="102"/>
      <c r="I15" s="99"/>
      <c r="J15" s="102"/>
      <c r="K15" s="102"/>
      <c r="L15" s="99"/>
      <c r="M15" s="102"/>
      <c r="N15" s="101"/>
      <c r="O15" s="179"/>
      <c r="P15" s="178"/>
      <c r="Q15" s="202"/>
      <c r="R15" s="2"/>
    </row>
    <row r="16" spans="2:21" ht="39.75" customHeight="1">
      <c r="B16" s="98"/>
      <c r="C16" s="1"/>
      <c r="D16" s="2"/>
      <c r="E16" s="101"/>
      <c r="F16" s="100"/>
      <c r="G16" s="102"/>
      <c r="H16" s="102"/>
      <c r="I16" s="99"/>
      <c r="J16" s="102"/>
      <c r="K16" s="102"/>
      <c r="L16" s="99"/>
      <c r="M16" s="102"/>
      <c r="N16" s="101"/>
      <c r="O16" s="179"/>
      <c r="P16" s="178"/>
      <c r="Q16" s="202"/>
      <c r="R16" s="2"/>
    </row>
    <row r="17" spans="2:18" ht="39.75" customHeight="1">
      <c r="B17" s="98"/>
      <c r="C17" s="1"/>
      <c r="D17" s="2"/>
      <c r="E17" s="101"/>
      <c r="F17" s="100"/>
      <c r="G17" s="102"/>
      <c r="H17" s="102"/>
      <c r="I17" s="99"/>
      <c r="J17" s="102"/>
      <c r="K17" s="102"/>
      <c r="L17" s="99"/>
      <c r="M17" s="102"/>
      <c r="N17" s="101"/>
      <c r="O17" s="179"/>
      <c r="P17" s="178"/>
      <c r="Q17" s="202"/>
      <c r="R17" s="2"/>
    </row>
    <row r="18" spans="2:18" ht="39.75" customHeight="1">
      <c r="B18" s="98"/>
      <c r="C18" s="1"/>
      <c r="D18" s="2"/>
      <c r="E18" s="101"/>
      <c r="F18" s="100"/>
      <c r="G18" s="102"/>
      <c r="H18" s="102"/>
      <c r="I18" s="99"/>
      <c r="J18" s="102"/>
      <c r="K18" s="102"/>
      <c r="L18" s="99"/>
      <c r="M18" s="102"/>
      <c r="N18" s="101"/>
      <c r="O18" s="179"/>
      <c r="P18" s="178"/>
      <c r="Q18" s="202"/>
      <c r="R18" s="2"/>
    </row>
    <row r="23" spans="2:18">
      <c r="J23" s="69"/>
    </row>
    <row r="24" spans="2:18">
      <c r="J24" s="69"/>
    </row>
    <row r="30" spans="2:18">
      <c r="J30">
        <v>526</v>
      </c>
    </row>
    <row r="31" spans="2:18">
      <c r="J31">
        <v>696</v>
      </c>
    </row>
    <row r="32" spans="2:18">
      <c r="J32">
        <f>J30/J31</f>
        <v>0.75574712643678166</v>
      </c>
    </row>
  </sheetData>
  <autoFilter ref="B1:R14" xr:uid="{3D8161E4-0828-44EA-ACFD-85E0027D3401}"/>
  <phoneticPr fontId="2" type="noConversion"/>
  <conditionalFormatting sqref="L2:L18">
    <cfRule type="colorScale" priority="79">
      <colorScale>
        <cfvo type="percent" val="0"/>
        <cfvo type="percent" val="10"/>
        <cfvo type="percent" val="50"/>
        <color rgb="FF92D050"/>
        <color rgb="FFFFEB84"/>
        <color rgb="FFFF0000"/>
      </colorScale>
    </cfRule>
  </conditionalFormatting>
  <hyperlinks>
    <hyperlink ref="B3" location="'신흥(1-1)'!A1" display="신흥1-4,5" xr:uid="{39297F27-542E-4617-8707-00E0F8BF05F3}"/>
    <hyperlink ref="B10" location="'준석(26-003)'!A1" display="석이농장(0112)'" xr:uid="{ABBABA3E-20FB-4277-9F3B-F439776AF783}"/>
    <hyperlink ref="B2" location="'잘커농장(1121)'!A1" display="잘커농장(1121)'" xr:uid="{D91DA262-6450-42BC-A5C7-BE736103CCE4}"/>
    <hyperlink ref="B4" location="'신흥(1-6)'!A1" display="신흥1-6" xr:uid="{D2172212-5B7D-4579-B16F-561E57BC8F57}"/>
    <hyperlink ref="B5" location="'신흥(2-10)'!A1" display="신흥2-10" xr:uid="{13DD5215-E25C-49EA-858D-6874CB76DB10}"/>
    <hyperlink ref="B6" location="'신흥(2-11)'!A1" display="신흥2-11" xr:uid="{A630C973-EBCF-4E29-8C0C-6F4E530116D4}"/>
    <hyperlink ref="B7" location="'신흥(2-12)'!A1" display="신흥2-12" xr:uid="{3D2B1D69-8B58-487D-ABAE-5483EE09E33C}"/>
    <hyperlink ref="B8" location="'신흥(2-13)'!A1" display="신흥2-13" xr:uid="{F44034E0-571E-489E-BD27-B80A91115D58}"/>
    <hyperlink ref="B9" location="'신흥(2-14)'!A1" display="신흥2-14" xr:uid="{5812E64E-2D5A-4FF5-B8FF-AB4B4C1A192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9"/>
  <sheetViews>
    <sheetView showGridLines="0" workbookViewId="0">
      <selection activeCell="E35" sqref="E35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7" max="7" width="9" customWidth="1"/>
    <col min="8" max="8" width="9.8984375" bestFit="1" customWidth="1"/>
    <col min="9" max="9" width="12.5" customWidth="1"/>
    <col min="10" max="10" width="11" bestFit="1" customWidth="1"/>
    <col min="11" max="11" width="14.09765625" bestFit="1" customWidth="1"/>
    <col min="12" max="12" width="10.6992187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 t="s">
        <v>46</v>
      </c>
      <c r="D1" s="73">
        <f ca="1">TODAY()</f>
        <v>46325</v>
      </c>
      <c r="E1">
        <f ca="1">D1-B4</f>
        <v>1099</v>
      </c>
      <c r="I1" s="73"/>
    </row>
    <row r="2" spans="1:19" ht="18" thickBot="1">
      <c r="F2" s="302" t="s">
        <v>9</v>
      </c>
      <c r="G2" s="305"/>
      <c r="H2" s="314"/>
      <c r="O2" s="302" t="s">
        <v>8</v>
      </c>
      <c r="P2" s="314"/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19">
      <c r="B4" s="27">
        <v>45226</v>
      </c>
      <c r="C4" s="30">
        <v>400</v>
      </c>
      <c r="D4" s="36">
        <f>3650+3920+4820</f>
        <v>12390</v>
      </c>
      <c r="E4" s="70">
        <f>D4/C4</f>
        <v>30.975000000000001</v>
      </c>
      <c r="F4" s="315">
        <f>C8-P8</f>
        <v>875</v>
      </c>
      <c r="G4" s="318">
        <f>D8-(D8/C8*P8)</f>
        <v>25112.5</v>
      </c>
      <c r="H4" s="327">
        <f>G4/F4</f>
        <v>28.7</v>
      </c>
      <c r="I4" s="321" t="s">
        <v>75</v>
      </c>
      <c r="J4" s="1">
        <f>B4+90</f>
        <v>45316</v>
      </c>
      <c r="K4" s="323">
        <f>C59</f>
        <v>27</v>
      </c>
      <c r="L4" s="325">
        <f>K8/F8</f>
        <v>3.0857142857142857E-2</v>
      </c>
      <c r="M4" s="323">
        <f>E59</f>
        <v>848</v>
      </c>
      <c r="N4" s="323">
        <f>F8-C59-E59</f>
        <v>0</v>
      </c>
      <c r="O4" s="22">
        <v>45226</v>
      </c>
      <c r="P4" s="33">
        <v>12</v>
      </c>
      <c r="Q4">
        <f>3+1+1+1+2+1+1*4</f>
        <v>13</v>
      </c>
      <c r="R4" s="69">
        <f>C4-P4</f>
        <v>388</v>
      </c>
    </row>
    <row r="5" spans="1:19">
      <c r="B5" s="27">
        <v>45234</v>
      </c>
      <c r="C5" s="30">
        <v>250</v>
      </c>
      <c r="D5" s="37">
        <f>3620+3660</f>
        <v>7280</v>
      </c>
      <c r="E5" s="70">
        <f t="shared" ref="E5:E7" si="0">D5/C5</f>
        <v>29.12</v>
      </c>
      <c r="F5" s="316"/>
      <c r="G5" s="319"/>
      <c r="H5" s="328"/>
      <c r="I5" s="321"/>
      <c r="J5" s="1">
        <f>B5+90</f>
        <v>45324</v>
      </c>
      <c r="K5" s="323"/>
      <c r="L5" s="325"/>
      <c r="M5" s="323"/>
      <c r="N5" s="323"/>
      <c r="O5" s="22">
        <v>45234</v>
      </c>
      <c r="P5" s="33">
        <v>7</v>
      </c>
      <c r="Q5">
        <f>1+1+1+2+3+1+1+1</f>
        <v>11</v>
      </c>
      <c r="R5" s="69">
        <f t="shared" ref="R5:R6" si="1">C5-P5</f>
        <v>243</v>
      </c>
    </row>
    <row r="6" spans="1:19">
      <c r="B6" s="27">
        <v>45240</v>
      </c>
      <c r="C6" s="30">
        <v>250</v>
      </c>
      <c r="D6" s="37">
        <f>3090+3070</f>
        <v>6160</v>
      </c>
      <c r="E6" s="70">
        <f t="shared" si="0"/>
        <v>24.64</v>
      </c>
      <c r="F6" s="316"/>
      <c r="G6" s="319"/>
      <c r="H6" s="328"/>
      <c r="I6" s="321"/>
      <c r="J6" s="1">
        <f>B6+90</f>
        <v>45330</v>
      </c>
      <c r="K6" s="323"/>
      <c r="L6" s="325"/>
      <c r="M6" s="323"/>
      <c r="N6" s="323"/>
      <c r="O6" s="22">
        <v>45240</v>
      </c>
      <c r="P6" s="33">
        <v>6</v>
      </c>
      <c r="Q6">
        <f>1+2+1+1+2+2+1+2+3+1+2+1</f>
        <v>19</v>
      </c>
      <c r="R6" s="69">
        <f t="shared" si="1"/>
        <v>244</v>
      </c>
    </row>
    <row r="7" spans="1:19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19" ht="18" thickBot="1">
      <c r="B8" s="9" t="s">
        <v>10</v>
      </c>
      <c r="C8" s="32">
        <f>SUM(C4:C7)</f>
        <v>900</v>
      </c>
      <c r="D8" s="39">
        <f>SUM(D4:D7)</f>
        <v>25830</v>
      </c>
      <c r="E8" s="39">
        <f>D8/C8</f>
        <v>28.7</v>
      </c>
      <c r="F8" s="32">
        <f>SUM(F4)</f>
        <v>875</v>
      </c>
      <c r="G8" s="39">
        <f>SUM(G4)</f>
        <v>25112.5</v>
      </c>
      <c r="H8" s="71">
        <f>G8/F8</f>
        <v>28.7</v>
      </c>
      <c r="I8" s="8"/>
      <c r="J8" s="8"/>
      <c r="K8" s="32">
        <f>K4</f>
        <v>27</v>
      </c>
      <c r="L8" s="26">
        <f>L4</f>
        <v>3.0857142857142857E-2</v>
      </c>
      <c r="M8" s="32">
        <f>M4</f>
        <v>848</v>
      </c>
      <c r="N8" s="32">
        <f>N4</f>
        <v>0</v>
      </c>
      <c r="O8" s="46">
        <f>P8/C8</f>
        <v>2.7777777777777776E-2</v>
      </c>
      <c r="P8" s="35">
        <f>SUM(P4:P7)</f>
        <v>25</v>
      </c>
      <c r="Q8" s="69">
        <f>P8-Q4-Q5-Q6</f>
        <v>-18</v>
      </c>
    </row>
    <row r="9" spans="1:19" ht="18" thickBot="1">
      <c r="G9">
        <f>12024+7077+6016</f>
        <v>25117</v>
      </c>
      <c r="I9">
        <f>F8*0.95</f>
        <v>831.25</v>
      </c>
    </row>
    <row r="10" spans="1:19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19" ht="18" thickBot="1">
      <c r="B11" s="9" t="s">
        <v>0</v>
      </c>
      <c r="C11" s="90" t="s">
        <v>1</v>
      </c>
      <c r="D11" s="90" t="s">
        <v>0</v>
      </c>
      <c r="E11" s="90" t="s">
        <v>1</v>
      </c>
      <c r="F11" s="90" t="s">
        <v>2</v>
      </c>
      <c r="G11" s="90" t="s">
        <v>3</v>
      </c>
      <c r="H11" s="90" t="s">
        <v>0</v>
      </c>
      <c r="I11" s="90" t="s">
        <v>15</v>
      </c>
      <c r="J11" s="90" t="s">
        <v>16</v>
      </c>
      <c r="K11" s="56" t="s">
        <v>15</v>
      </c>
      <c r="L11" s="90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19">
      <c r="B12" s="45">
        <v>45235</v>
      </c>
      <c r="C12" s="13">
        <v>3</v>
      </c>
      <c r="D12" s="75">
        <v>45315</v>
      </c>
      <c r="E12" s="10">
        <v>30</v>
      </c>
      <c r="F12" s="44">
        <v>3230</v>
      </c>
      <c r="G12" s="79">
        <f>F12/E12</f>
        <v>107.66666666666667</v>
      </c>
      <c r="H12" s="18">
        <v>45226</v>
      </c>
      <c r="I12" s="19" t="s">
        <v>28</v>
      </c>
      <c r="J12" s="61">
        <v>5040</v>
      </c>
      <c r="K12" s="57" t="s">
        <v>18</v>
      </c>
      <c r="L12" s="52">
        <f>SUMIF($I$12:$I$124,K12,$J$12:$J$124)</f>
        <v>48040</v>
      </c>
      <c r="M12" s="48">
        <f>L12/$C$8</f>
        <v>53.37777777777778</v>
      </c>
      <c r="N12" s="66"/>
      <c r="O12" s="310"/>
      <c r="P12" s="311"/>
      <c r="R12" s="84" t="s">
        <v>41</v>
      </c>
      <c r="S12" s="85">
        <v>30</v>
      </c>
    </row>
    <row r="13" spans="1:19">
      <c r="B13" s="74">
        <v>45237</v>
      </c>
      <c r="C13" s="15">
        <v>1</v>
      </c>
      <c r="D13" s="76">
        <v>45329</v>
      </c>
      <c r="E13" s="11">
        <v>45</v>
      </c>
      <c r="F13" s="37">
        <v>5020</v>
      </c>
      <c r="G13" s="79">
        <f t="shared" ref="G13:G45" si="2">F13/E13</f>
        <v>111.55555555555556</v>
      </c>
      <c r="H13" s="47">
        <v>45234</v>
      </c>
      <c r="I13" s="19" t="s">
        <v>28</v>
      </c>
      <c r="J13" s="62">
        <v>5000</v>
      </c>
      <c r="K13" s="58" t="s">
        <v>25</v>
      </c>
      <c r="L13" s="53">
        <f t="shared" ref="L13:L14" si="3">SUMIF($I$12:$I$124,K13,$J$12:$J$124)</f>
        <v>36980</v>
      </c>
      <c r="M13" s="49">
        <f t="shared" ref="M13:M14" si="4">L13/$C$8</f>
        <v>41.088888888888889</v>
      </c>
      <c r="N13" s="1"/>
      <c r="O13" s="312"/>
      <c r="P13" s="313"/>
      <c r="R13" s="84" t="s">
        <v>49</v>
      </c>
      <c r="S13" s="85"/>
    </row>
    <row r="14" spans="1:19">
      <c r="B14" s="74">
        <v>45239</v>
      </c>
      <c r="C14" s="15">
        <v>2</v>
      </c>
      <c r="D14" s="76">
        <v>45337</v>
      </c>
      <c r="E14" s="11">
        <v>60</v>
      </c>
      <c r="F14" s="37">
        <v>6560</v>
      </c>
      <c r="G14" s="79">
        <f t="shared" si="2"/>
        <v>109.33333333333333</v>
      </c>
      <c r="H14" s="47">
        <v>45240</v>
      </c>
      <c r="I14" s="19" t="s">
        <v>28</v>
      </c>
      <c r="J14" s="62">
        <v>4970</v>
      </c>
      <c r="K14" s="106" t="s">
        <v>67</v>
      </c>
      <c r="L14" s="53">
        <f t="shared" si="3"/>
        <v>132170</v>
      </c>
      <c r="M14" s="107">
        <f t="shared" si="4"/>
        <v>146.85555555555555</v>
      </c>
      <c r="N14" s="1"/>
      <c r="O14" s="298"/>
      <c r="P14" s="299"/>
      <c r="R14" s="84" t="s">
        <v>51</v>
      </c>
      <c r="S14" s="85">
        <v>45</v>
      </c>
    </row>
    <row r="15" spans="1:19" ht="18" thickBot="1">
      <c r="B15" s="74">
        <v>45240</v>
      </c>
      <c r="C15" s="15">
        <v>1</v>
      </c>
      <c r="D15" s="76">
        <v>45344</v>
      </c>
      <c r="E15" s="11">
        <v>60</v>
      </c>
      <c r="F15" s="37">
        <v>7190</v>
      </c>
      <c r="G15" s="79">
        <f t="shared" si="2"/>
        <v>119.83333333333333</v>
      </c>
      <c r="H15" s="47">
        <v>45241</v>
      </c>
      <c r="I15" s="19" t="s">
        <v>28</v>
      </c>
      <c r="J15" s="62">
        <v>4990</v>
      </c>
      <c r="K15" s="59" t="s">
        <v>108</v>
      </c>
      <c r="L15" s="54">
        <f t="shared" ref="L15" si="5">SUMIF($I$12:$I$124,K15,$J$12:$J$124)</f>
        <v>23110</v>
      </c>
      <c r="M15" s="50">
        <f t="shared" ref="M15" si="6">L15/$C$8</f>
        <v>25.677777777777777</v>
      </c>
      <c r="N15" s="1"/>
      <c r="O15" s="111"/>
      <c r="P15" s="112"/>
      <c r="R15" s="84" t="s">
        <v>53</v>
      </c>
      <c r="S15" s="85">
        <v>60</v>
      </c>
    </row>
    <row r="16" spans="1:19" ht="18" thickBot="1">
      <c r="B16" s="74">
        <v>45242</v>
      </c>
      <c r="C16" s="15">
        <v>2</v>
      </c>
      <c r="D16" s="76">
        <v>45344</v>
      </c>
      <c r="E16" s="11">
        <v>60</v>
      </c>
      <c r="F16" s="37">
        <v>7180</v>
      </c>
      <c r="G16" s="79">
        <f t="shared" si="2"/>
        <v>119.66666666666667</v>
      </c>
      <c r="H16" s="47">
        <v>45247</v>
      </c>
      <c r="I16" s="19" t="s">
        <v>28</v>
      </c>
      <c r="J16" s="41">
        <v>10040</v>
      </c>
      <c r="K16" s="60" t="s">
        <v>21</v>
      </c>
      <c r="L16" s="55">
        <f>SUM(L12:L14)</f>
        <v>217190</v>
      </c>
      <c r="M16" s="40">
        <f>L16/C8</f>
        <v>241.32222222222222</v>
      </c>
      <c r="N16" s="1"/>
      <c r="O16" s="298"/>
      <c r="P16" s="299"/>
      <c r="R16" s="84" t="s">
        <v>55</v>
      </c>
      <c r="S16" s="85">
        <v>120</v>
      </c>
    </row>
    <row r="17" spans="2:19">
      <c r="B17" s="74">
        <v>45245</v>
      </c>
      <c r="C17" s="15">
        <v>2</v>
      </c>
      <c r="D17" s="76">
        <v>45348</v>
      </c>
      <c r="E17" s="11">
        <v>52</v>
      </c>
      <c r="F17" s="37">
        <v>5940</v>
      </c>
      <c r="G17" s="79">
        <f t="shared" si="2"/>
        <v>114.23076923076923</v>
      </c>
      <c r="H17" s="47">
        <v>45254</v>
      </c>
      <c r="I17" s="19" t="s">
        <v>28</v>
      </c>
      <c r="J17" s="41">
        <f>2000+2020+3990</f>
        <v>8010</v>
      </c>
      <c r="N17" s="63"/>
      <c r="O17" s="298"/>
      <c r="P17" s="299"/>
      <c r="R17" s="84" t="s">
        <v>56</v>
      </c>
      <c r="S17" s="85">
        <v>103</v>
      </c>
    </row>
    <row r="18" spans="2:19">
      <c r="B18" s="74">
        <v>45247</v>
      </c>
      <c r="C18" s="15">
        <v>1</v>
      </c>
      <c r="D18" s="76">
        <v>45348</v>
      </c>
      <c r="E18" s="11">
        <v>51</v>
      </c>
      <c r="F18" s="37">
        <v>5850</v>
      </c>
      <c r="G18" s="79">
        <f t="shared" si="2"/>
        <v>114.70588235294117</v>
      </c>
      <c r="H18" s="47">
        <v>45260</v>
      </c>
      <c r="I18" s="19" t="s">
        <v>28</v>
      </c>
      <c r="J18" s="41">
        <f>3000+4990+2000</f>
        <v>9990</v>
      </c>
      <c r="N18" s="63"/>
      <c r="O18" s="298"/>
      <c r="P18" s="299"/>
      <c r="R18" s="84" t="s">
        <v>60</v>
      </c>
      <c r="S18" s="85"/>
    </row>
    <row r="19" spans="2:19">
      <c r="B19" s="74">
        <v>45248</v>
      </c>
      <c r="C19" s="15">
        <v>2</v>
      </c>
      <c r="D19" s="76">
        <v>45358</v>
      </c>
      <c r="E19" s="11">
        <v>65</v>
      </c>
      <c r="F19" s="37">
        <v>8000</v>
      </c>
      <c r="G19" s="79">
        <f t="shared" si="2"/>
        <v>123.07692307692308</v>
      </c>
      <c r="H19" s="47">
        <v>45268</v>
      </c>
      <c r="I19" s="20" t="s">
        <v>25</v>
      </c>
      <c r="J19" s="41">
        <f>3010+4010+5010</f>
        <v>12030</v>
      </c>
      <c r="K19" t="s">
        <v>32</v>
      </c>
      <c r="L19" s="78">
        <f>J59/((I9*G59)-(G9))</f>
        <v>3.3795515491468762</v>
      </c>
      <c r="N19" s="63"/>
      <c r="O19" s="298"/>
      <c r="P19" s="299"/>
      <c r="R19" s="84" t="s">
        <v>61</v>
      </c>
      <c r="S19" s="85">
        <v>129</v>
      </c>
    </row>
    <row r="20" spans="2:19">
      <c r="B20" s="74">
        <v>45252</v>
      </c>
      <c r="C20" s="15">
        <v>3</v>
      </c>
      <c r="D20" s="76">
        <v>45358</v>
      </c>
      <c r="E20" s="11">
        <v>64</v>
      </c>
      <c r="F20" s="37">
        <v>8020</v>
      </c>
      <c r="G20" s="79">
        <f t="shared" si="2"/>
        <v>125.3125</v>
      </c>
      <c r="H20" s="47">
        <v>45274</v>
      </c>
      <c r="I20" s="20" t="s">
        <v>25</v>
      </c>
      <c r="J20" s="41">
        <f>2000+6060+4000</f>
        <v>12060</v>
      </c>
      <c r="N20" s="63"/>
      <c r="O20" s="298"/>
      <c r="P20" s="299"/>
      <c r="R20" s="84" t="s">
        <v>62</v>
      </c>
      <c r="S20" s="85">
        <v>243</v>
      </c>
    </row>
    <row r="21" spans="2:19">
      <c r="B21" s="74">
        <v>45253</v>
      </c>
      <c r="C21" s="15">
        <v>2</v>
      </c>
      <c r="D21" s="76">
        <v>45362</v>
      </c>
      <c r="E21" s="11">
        <v>61</v>
      </c>
      <c r="F21" s="37">
        <v>7260</v>
      </c>
      <c r="G21" s="79">
        <f t="shared" si="2"/>
        <v>119.01639344262296</v>
      </c>
      <c r="H21" s="47">
        <v>45647</v>
      </c>
      <c r="I21" s="20" t="s">
        <v>25</v>
      </c>
      <c r="J21" s="41">
        <f>5940+3990+2960</f>
        <v>12890</v>
      </c>
      <c r="N21" s="63"/>
      <c r="O21" s="298"/>
      <c r="P21" s="299"/>
      <c r="R21" s="84" t="s">
        <v>63</v>
      </c>
      <c r="S21" s="85">
        <v>93</v>
      </c>
    </row>
    <row r="22" spans="2:19">
      <c r="B22" s="74">
        <v>45254</v>
      </c>
      <c r="C22" s="15">
        <v>3</v>
      </c>
      <c r="D22" s="76">
        <v>45362</v>
      </c>
      <c r="E22" s="11">
        <v>62</v>
      </c>
      <c r="F22" s="37">
        <v>7390</v>
      </c>
      <c r="G22" s="79">
        <f t="shared" si="2"/>
        <v>119.19354838709677</v>
      </c>
      <c r="H22" s="47">
        <v>45656</v>
      </c>
      <c r="I22" s="20" t="s">
        <v>67</v>
      </c>
      <c r="J22" s="41">
        <f>4010+6050+3050</f>
        <v>13110</v>
      </c>
      <c r="N22" s="63"/>
      <c r="O22" s="298"/>
      <c r="P22" s="299"/>
      <c r="R22" s="84" t="s">
        <v>64</v>
      </c>
      <c r="S22" s="85"/>
    </row>
    <row r="23" spans="2:19">
      <c r="B23" s="74">
        <v>45256</v>
      </c>
      <c r="C23" s="15">
        <v>4</v>
      </c>
      <c r="D23" s="76">
        <v>45364</v>
      </c>
      <c r="E23" s="11">
        <v>60</v>
      </c>
      <c r="F23" s="37">
        <v>7290</v>
      </c>
      <c r="G23" s="79">
        <f t="shared" si="2"/>
        <v>121.5</v>
      </c>
      <c r="H23" s="47">
        <v>45295</v>
      </c>
      <c r="I23" s="20" t="s">
        <v>67</v>
      </c>
      <c r="J23" s="41">
        <f>3000+3000+5960</f>
        <v>11960</v>
      </c>
      <c r="L23">
        <f>108+90+46</f>
        <v>244</v>
      </c>
      <c r="M23" s="25"/>
      <c r="N23" s="63"/>
      <c r="O23" s="298"/>
      <c r="P23" s="299"/>
      <c r="R23" s="84"/>
      <c r="S23" s="85"/>
    </row>
    <row r="24" spans="2:19">
      <c r="B24" s="74">
        <v>45260</v>
      </c>
      <c r="C24" s="15">
        <v>1</v>
      </c>
      <c r="D24" s="76">
        <v>45364</v>
      </c>
      <c r="E24" s="11">
        <v>60</v>
      </c>
      <c r="F24" s="37">
        <v>6980</v>
      </c>
      <c r="G24" s="79">
        <f t="shared" si="2"/>
        <v>116.33333333333333</v>
      </c>
      <c r="H24" s="47">
        <v>45300</v>
      </c>
      <c r="I24" s="20" t="s">
        <v>67</v>
      </c>
      <c r="J24" s="41">
        <f>2990+5040+4030</f>
        <v>12060</v>
      </c>
      <c r="N24" s="63"/>
      <c r="O24" s="298"/>
      <c r="P24" s="299"/>
      <c r="R24" s="84"/>
      <c r="S24" s="85"/>
    </row>
    <row r="25" spans="2:19">
      <c r="B25" s="74"/>
      <c r="C25" s="15"/>
      <c r="D25" s="76">
        <v>45365</v>
      </c>
      <c r="E25" s="11">
        <v>20</v>
      </c>
      <c r="F25" s="37">
        <v>1500</v>
      </c>
      <c r="G25" s="79">
        <f t="shared" si="2"/>
        <v>75</v>
      </c>
      <c r="H25" s="47">
        <v>45306</v>
      </c>
      <c r="I25" s="20" t="s">
        <v>67</v>
      </c>
      <c r="J25" s="41">
        <f>5010+5000+5000</f>
        <v>15010</v>
      </c>
      <c r="L25">
        <v>238</v>
      </c>
      <c r="N25" s="63"/>
      <c r="O25" s="298"/>
      <c r="P25" s="299"/>
      <c r="R25" s="84"/>
      <c r="S25" s="85"/>
    </row>
    <row r="26" spans="2:19">
      <c r="B26" s="74"/>
      <c r="C26" s="15"/>
      <c r="D26" s="76">
        <v>45372</v>
      </c>
      <c r="E26" s="11">
        <v>51</v>
      </c>
      <c r="F26" s="37">
        <v>5600</v>
      </c>
      <c r="G26" s="79">
        <f t="shared" si="2"/>
        <v>109.80392156862744</v>
      </c>
      <c r="H26" s="47">
        <v>45311</v>
      </c>
      <c r="I26" s="20" t="s">
        <v>67</v>
      </c>
      <c r="J26" s="41">
        <f>4010+2030+4050</f>
        <v>10090</v>
      </c>
      <c r="N26" s="64"/>
      <c r="O26" s="298"/>
      <c r="P26" s="299"/>
      <c r="R26" s="84"/>
      <c r="S26" s="85"/>
    </row>
    <row r="27" spans="2:19">
      <c r="B27" s="74"/>
      <c r="C27" s="15"/>
      <c r="D27" s="76">
        <v>45372</v>
      </c>
      <c r="E27" s="11">
        <v>47</v>
      </c>
      <c r="F27" s="37">
        <v>5150</v>
      </c>
      <c r="G27" s="79">
        <f t="shared" si="2"/>
        <v>109.57446808510639</v>
      </c>
      <c r="H27" s="47">
        <v>45316</v>
      </c>
      <c r="I27" s="20" t="s">
        <v>67</v>
      </c>
      <c r="J27" s="41">
        <v>10010</v>
      </c>
      <c r="N27" s="64"/>
      <c r="O27" s="298"/>
      <c r="P27" s="299"/>
      <c r="R27" s="84"/>
      <c r="S27" s="85"/>
    </row>
    <row r="28" spans="2:19">
      <c r="B28" s="14"/>
      <c r="C28" s="15"/>
      <c r="D28" s="11"/>
      <c r="E28" s="11"/>
      <c r="F28" s="37"/>
      <c r="G28" s="79" t="e">
        <f t="shared" si="2"/>
        <v>#DIV/0!</v>
      </c>
      <c r="H28" s="47">
        <v>45320</v>
      </c>
      <c r="I28" s="20" t="s">
        <v>67</v>
      </c>
      <c r="J28" s="41">
        <f>5020+3000+3020</f>
        <v>11040</v>
      </c>
      <c r="N28" s="64"/>
      <c r="O28" s="298"/>
      <c r="P28" s="299"/>
      <c r="R28" s="84"/>
      <c r="S28" s="85"/>
    </row>
    <row r="29" spans="2:19">
      <c r="B29" s="14"/>
      <c r="C29" s="15"/>
      <c r="D29" s="11"/>
      <c r="E29" s="11"/>
      <c r="F29" s="37"/>
      <c r="G29" s="79" t="e">
        <f t="shared" si="2"/>
        <v>#DIV/0!</v>
      </c>
      <c r="H29" s="47">
        <v>45324</v>
      </c>
      <c r="I29" s="20" t="s">
        <v>67</v>
      </c>
      <c r="J29" s="41">
        <v>9920</v>
      </c>
      <c r="N29" s="64"/>
      <c r="O29" s="298"/>
      <c r="P29" s="299"/>
      <c r="R29" s="84"/>
      <c r="S29" s="85"/>
    </row>
    <row r="30" spans="2:19">
      <c r="B30" s="14"/>
      <c r="C30" s="15"/>
      <c r="D30" s="11"/>
      <c r="E30" s="11"/>
      <c r="F30" s="37"/>
      <c r="G30" s="79" t="e">
        <f t="shared" si="2"/>
        <v>#DIV/0!</v>
      </c>
      <c r="H30" s="47">
        <v>45328</v>
      </c>
      <c r="I30" s="20" t="s">
        <v>67</v>
      </c>
      <c r="J30" s="41">
        <v>8010</v>
      </c>
      <c r="N30" s="64"/>
      <c r="O30" s="298"/>
      <c r="P30" s="299"/>
      <c r="R30" s="84"/>
      <c r="S30" s="85"/>
    </row>
    <row r="31" spans="2:19">
      <c r="B31" s="14"/>
      <c r="C31" s="15"/>
      <c r="D31" s="11"/>
      <c r="E31" s="11"/>
      <c r="F31" s="37"/>
      <c r="G31" s="79" t="e">
        <f t="shared" si="2"/>
        <v>#DIV/0!</v>
      </c>
      <c r="H31" s="47">
        <v>45334</v>
      </c>
      <c r="I31" s="20" t="s">
        <v>67</v>
      </c>
      <c r="J31" s="41">
        <v>14970</v>
      </c>
      <c r="N31" s="64"/>
      <c r="O31" s="298"/>
      <c r="P31" s="299"/>
      <c r="R31" s="84"/>
      <c r="S31" s="85"/>
    </row>
    <row r="32" spans="2:19" ht="18" thickBot="1">
      <c r="B32" s="14"/>
      <c r="C32" s="15"/>
      <c r="D32" s="11"/>
      <c r="E32" s="11"/>
      <c r="F32" s="37"/>
      <c r="G32" s="79" t="e">
        <f t="shared" si="2"/>
        <v>#DIV/0!</v>
      </c>
      <c r="H32" s="47">
        <v>45337</v>
      </c>
      <c r="I32" s="20" t="s">
        <v>67</v>
      </c>
      <c r="J32" s="41">
        <v>10970</v>
      </c>
      <c r="N32" s="64"/>
      <c r="O32" s="298"/>
      <c r="P32" s="299"/>
      <c r="R32" s="86"/>
      <c r="S32" s="87"/>
    </row>
    <row r="33" spans="2:16" ht="18" thickTop="1">
      <c r="B33" s="14"/>
      <c r="C33" s="15"/>
      <c r="D33" s="11"/>
      <c r="E33" s="11"/>
      <c r="F33" s="37"/>
      <c r="G33" s="79" t="e">
        <f t="shared" si="2"/>
        <v>#DIV/0!</v>
      </c>
      <c r="H33" s="47">
        <v>45342</v>
      </c>
      <c r="I33" s="20" t="s">
        <v>67</v>
      </c>
      <c r="J33" s="41">
        <v>5020</v>
      </c>
      <c r="N33" s="64"/>
      <c r="O33" s="298"/>
      <c r="P33" s="299"/>
    </row>
    <row r="34" spans="2:16">
      <c r="B34" s="14"/>
      <c r="C34" s="15"/>
      <c r="D34" s="11"/>
      <c r="E34" s="11"/>
      <c r="F34" s="37"/>
      <c r="G34" s="79" t="e">
        <f t="shared" si="2"/>
        <v>#DIV/0!</v>
      </c>
      <c r="H34" s="47">
        <v>45345</v>
      </c>
      <c r="I34" s="20" t="s">
        <v>108</v>
      </c>
      <c r="J34" s="41">
        <v>9060</v>
      </c>
      <c r="N34" s="64"/>
      <c r="O34" s="298"/>
      <c r="P34" s="299"/>
    </row>
    <row r="35" spans="2:16">
      <c r="B35" s="14"/>
      <c r="C35" s="15"/>
      <c r="D35" s="11"/>
      <c r="E35" s="11"/>
      <c r="F35" s="37"/>
      <c r="G35" s="79" t="e">
        <f t="shared" si="2"/>
        <v>#DIV/0!</v>
      </c>
      <c r="H35" s="47">
        <v>45350</v>
      </c>
      <c r="I35" s="20" t="s">
        <v>108</v>
      </c>
      <c r="J35" s="41">
        <f>4960+1990</f>
        <v>6950</v>
      </c>
      <c r="N35" s="64"/>
      <c r="O35" s="298"/>
      <c r="P35" s="299"/>
    </row>
    <row r="36" spans="2:16">
      <c r="B36" s="14"/>
      <c r="C36" s="15"/>
      <c r="D36" s="11"/>
      <c r="E36" s="11"/>
      <c r="F36" s="37"/>
      <c r="G36" s="79" t="e">
        <f t="shared" si="2"/>
        <v>#DIV/0!</v>
      </c>
      <c r="H36" s="47">
        <v>45355</v>
      </c>
      <c r="I36" s="20" t="s">
        <v>108</v>
      </c>
      <c r="J36" s="41">
        <v>7100</v>
      </c>
      <c r="N36" s="64"/>
      <c r="O36" s="298"/>
      <c r="P36" s="299"/>
    </row>
    <row r="37" spans="2:16">
      <c r="B37" s="14"/>
      <c r="C37" s="15"/>
      <c r="D37" s="11"/>
      <c r="E37" s="11"/>
      <c r="F37" s="37"/>
      <c r="G37" s="79" t="e">
        <f t="shared" si="2"/>
        <v>#DIV/0!</v>
      </c>
      <c r="H37" s="47"/>
      <c r="I37" s="20"/>
      <c r="J37" s="41"/>
      <c r="N37" s="64"/>
      <c r="O37" s="298"/>
      <c r="P37" s="299"/>
    </row>
    <row r="38" spans="2:16">
      <c r="B38" s="14"/>
      <c r="C38" s="15"/>
      <c r="D38" s="11"/>
      <c r="E38" s="11"/>
      <c r="F38" s="37"/>
      <c r="G38" s="79" t="e">
        <f t="shared" si="2"/>
        <v>#DIV/0!</v>
      </c>
      <c r="H38" s="20"/>
      <c r="I38" s="20"/>
      <c r="J38" s="41"/>
      <c r="N38" s="64"/>
      <c r="O38" s="298"/>
      <c r="P38" s="299"/>
    </row>
    <row r="39" spans="2:16">
      <c r="B39" s="14"/>
      <c r="C39" s="15"/>
      <c r="D39" s="11"/>
      <c r="E39" s="11"/>
      <c r="F39" s="37"/>
      <c r="G39" s="79" t="e">
        <f t="shared" si="2"/>
        <v>#DIV/0!</v>
      </c>
      <c r="H39" s="20"/>
      <c r="I39" s="20"/>
      <c r="J39" s="41"/>
      <c r="N39" s="64"/>
      <c r="O39" s="298"/>
      <c r="P39" s="299"/>
    </row>
    <row r="40" spans="2:16">
      <c r="B40" s="14"/>
      <c r="C40" s="15"/>
      <c r="D40" s="11"/>
      <c r="E40" s="11"/>
      <c r="F40" s="37"/>
      <c r="G40" s="79" t="e">
        <f t="shared" si="2"/>
        <v>#DIV/0!</v>
      </c>
      <c r="H40" s="20"/>
      <c r="I40" s="20"/>
      <c r="J40" s="41"/>
      <c r="N40" s="64"/>
      <c r="O40" s="298"/>
      <c r="P40" s="299"/>
    </row>
    <row r="41" spans="2:16">
      <c r="B41" s="14"/>
      <c r="C41" s="15"/>
      <c r="D41" s="11"/>
      <c r="E41" s="11"/>
      <c r="F41" s="37"/>
      <c r="G41" s="79" t="e">
        <f t="shared" si="2"/>
        <v>#DIV/0!</v>
      </c>
      <c r="H41" s="20"/>
      <c r="I41" s="20"/>
      <c r="J41" s="41"/>
      <c r="N41" s="64"/>
      <c r="O41" s="298"/>
      <c r="P41" s="299"/>
    </row>
    <row r="42" spans="2:16">
      <c r="B42" s="14"/>
      <c r="C42" s="15"/>
      <c r="D42" s="11"/>
      <c r="E42" s="11"/>
      <c r="F42" s="37"/>
      <c r="G42" s="79" t="e">
        <f t="shared" si="2"/>
        <v>#DIV/0!</v>
      </c>
      <c r="H42" s="20"/>
      <c r="I42" s="20"/>
      <c r="J42" s="41"/>
      <c r="N42" s="64"/>
      <c r="O42" s="298"/>
      <c r="P42" s="299"/>
    </row>
    <row r="43" spans="2:16">
      <c r="B43" s="14"/>
      <c r="C43" s="15"/>
      <c r="D43" s="11"/>
      <c r="E43" s="11"/>
      <c r="F43" s="37"/>
      <c r="G43" s="79" t="e">
        <f t="shared" si="2"/>
        <v>#DIV/0!</v>
      </c>
      <c r="H43" s="20"/>
      <c r="I43" s="20"/>
      <c r="J43" s="41"/>
      <c r="N43" s="64"/>
      <c r="O43" s="298"/>
      <c r="P43" s="299"/>
    </row>
    <row r="44" spans="2:16">
      <c r="B44" s="14"/>
      <c r="C44" s="15"/>
      <c r="D44" s="11"/>
      <c r="E44" s="11"/>
      <c r="F44" s="37"/>
      <c r="G44" s="79" t="e">
        <f t="shared" si="2"/>
        <v>#DIV/0!</v>
      </c>
      <c r="H44" s="20"/>
      <c r="I44" s="20"/>
      <c r="J44" s="41"/>
      <c r="N44" s="64"/>
      <c r="O44" s="298"/>
      <c r="P44" s="299"/>
    </row>
    <row r="45" spans="2:16">
      <c r="B45" s="14"/>
      <c r="C45" s="15"/>
      <c r="D45" s="11"/>
      <c r="E45" s="11"/>
      <c r="F45" s="37"/>
      <c r="G45" s="79" t="e">
        <f t="shared" si="2"/>
        <v>#DIV/0!</v>
      </c>
      <c r="H45" s="20"/>
      <c r="I45" s="20"/>
      <c r="J45" s="41"/>
      <c r="N45" s="64"/>
      <c r="O45" s="298"/>
      <c r="P45" s="299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27</v>
      </c>
      <c r="D59" s="8"/>
      <c r="E59" s="8">
        <f>SUM(E12:E58)</f>
        <v>848</v>
      </c>
      <c r="F59" s="39">
        <f>SUM(F12:F58)</f>
        <v>98160</v>
      </c>
      <c r="G59" s="39">
        <f>F59/E59</f>
        <v>115.75471698113208</v>
      </c>
      <c r="H59" s="8"/>
      <c r="I59" s="8"/>
      <c r="J59" s="43">
        <f>SUM(J12:J58)</f>
        <v>240300</v>
      </c>
      <c r="N59" s="65"/>
      <c r="O59" s="300"/>
      <c r="P59" s="301"/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72"/>
  <sheetViews>
    <sheetView showGridLines="0" workbookViewId="0">
      <selection activeCell="D26" sqref="D26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14.09765625" bestFit="1" customWidth="1"/>
    <col min="12" max="12" width="9.898437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1" ht="18" thickBot="1">
      <c r="A1" t="s">
        <v>27</v>
      </c>
      <c r="B1" s="51" t="s">
        <v>31</v>
      </c>
      <c r="E1" s="73">
        <f ca="1">TODAY()</f>
        <v>46325</v>
      </c>
      <c r="F1">
        <f ca="1">E1-B4</f>
        <v>1122</v>
      </c>
      <c r="L1" s="83"/>
    </row>
    <row r="2" spans="1:21" ht="18" thickBot="1">
      <c r="F2" s="302" t="s">
        <v>9</v>
      </c>
      <c r="G2" s="305"/>
      <c r="H2" s="314"/>
      <c r="O2" s="302" t="s">
        <v>8</v>
      </c>
      <c r="P2" s="314"/>
      <c r="R2">
        <v>902</v>
      </c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863</v>
      </c>
    </row>
    <row r="4" spans="1:21">
      <c r="B4" s="27">
        <v>45203</v>
      </c>
      <c r="C4" s="30">
        <v>900</v>
      </c>
      <c r="D4" s="36">
        <f>5410+4520+5270+5300+4740</f>
        <v>25240</v>
      </c>
      <c r="E4" s="70">
        <f>D4/C4</f>
        <v>28.044444444444444</v>
      </c>
      <c r="F4" s="315">
        <f>C8-P8</f>
        <v>880</v>
      </c>
      <c r="G4" s="318">
        <f>D8-(D8/C8*P8)</f>
        <v>24679.111111111109</v>
      </c>
      <c r="H4" s="327">
        <f>G4/F4</f>
        <v>28.044444444444444</v>
      </c>
      <c r="I4" s="321" t="s">
        <v>33</v>
      </c>
      <c r="J4" s="1">
        <f>B4+90</f>
        <v>45293</v>
      </c>
      <c r="K4" s="323">
        <f>C62</f>
        <v>100</v>
      </c>
      <c r="L4" s="325">
        <f>K8/F8</f>
        <v>0.11363636363636363</v>
      </c>
      <c r="M4" s="323">
        <f>E62</f>
        <v>780</v>
      </c>
      <c r="N4" s="323">
        <f>F8-C62-E62</f>
        <v>0</v>
      </c>
      <c r="O4" s="22">
        <v>45203</v>
      </c>
      <c r="P4" s="33">
        <v>20</v>
      </c>
      <c r="Q4">
        <f>1+1+1+1+2+1+3+1+2+1+3+2+2+1+4+12+1</f>
        <v>39</v>
      </c>
    </row>
    <row r="5" spans="1:21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21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1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1" ht="18" thickBot="1">
      <c r="B8" s="9" t="s">
        <v>10</v>
      </c>
      <c r="C8" s="32">
        <f>SUM(C4:C7)</f>
        <v>900</v>
      </c>
      <c r="D8" s="39">
        <f>SUM(D4:D7)</f>
        <v>25240</v>
      </c>
      <c r="E8" s="71">
        <f>D8/C8</f>
        <v>28.044444444444444</v>
      </c>
      <c r="F8" s="32">
        <f>SUM(F4)</f>
        <v>880</v>
      </c>
      <c r="G8" s="39">
        <f>SUM(G4)</f>
        <v>24679.111111111109</v>
      </c>
      <c r="H8" s="71">
        <f>G8/F8</f>
        <v>28.044444444444444</v>
      </c>
      <c r="I8" s="8"/>
      <c r="J8" s="8"/>
      <c r="K8" s="32">
        <f>K4</f>
        <v>100</v>
      </c>
      <c r="L8" s="26">
        <f>L4</f>
        <v>0.11363636363636363</v>
      </c>
      <c r="M8" s="32">
        <f>M4</f>
        <v>780</v>
      </c>
      <c r="N8" s="32">
        <f>N4</f>
        <v>0</v>
      </c>
      <c r="O8" s="46">
        <f>P8/C8</f>
        <v>2.2222222222222223E-2</v>
      </c>
      <c r="P8" s="35">
        <f>SUM(P4:P7)</f>
        <v>20</v>
      </c>
      <c r="Q8" s="69">
        <f>P8-Q4</f>
        <v>-19</v>
      </c>
    </row>
    <row r="9" spans="1:21" ht="18" thickBot="1">
      <c r="G9">
        <v>25740</v>
      </c>
      <c r="I9">
        <f>F8*0.886</f>
        <v>779.68000000000006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>
        <f>82-13</f>
        <v>69</v>
      </c>
    </row>
    <row r="11" spans="1:21" ht="18" thickBot="1">
      <c r="B11" s="9" t="s">
        <v>0</v>
      </c>
      <c r="C11" s="82" t="s">
        <v>1</v>
      </c>
      <c r="D11" s="82" t="s">
        <v>0</v>
      </c>
      <c r="E11" s="82" t="s">
        <v>1</v>
      </c>
      <c r="F11" s="82" t="s">
        <v>2</v>
      </c>
      <c r="G11" s="82" t="s">
        <v>3</v>
      </c>
      <c r="H11" s="82" t="s">
        <v>0</v>
      </c>
      <c r="I11" s="82" t="s">
        <v>15</v>
      </c>
      <c r="J11" s="82" t="s">
        <v>16</v>
      </c>
      <c r="K11" s="56" t="s">
        <v>15</v>
      </c>
      <c r="L11" s="82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>
        <v>45206</v>
      </c>
      <c r="C12" s="13">
        <v>1</v>
      </c>
      <c r="D12" s="75">
        <v>45303</v>
      </c>
      <c r="E12" s="10">
        <v>61</v>
      </c>
      <c r="F12" s="44">
        <v>7290</v>
      </c>
      <c r="G12" s="79">
        <f>F12/E12</f>
        <v>119.50819672131148</v>
      </c>
      <c r="H12" s="18">
        <v>45203</v>
      </c>
      <c r="I12" s="19" t="s">
        <v>28</v>
      </c>
      <c r="J12" s="61">
        <v>9880</v>
      </c>
      <c r="K12" s="57" t="s">
        <v>18</v>
      </c>
      <c r="L12" s="52">
        <f>SUMIF($I$12:$I$127,K12,$J$12:$J$127)</f>
        <v>39930</v>
      </c>
      <c r="M12" s="48">
        <f>L12/$C$8</f>
        <v>44.366666666666667</v>
      </c>
      <c r="N12" s="66"/>
      <c r="O12" s="310"/>
      <c r="P12" s="311"/>
      <c r="R12" s="84" t="s">
        <v>39</v>
      </c>
      <c r="S12" s="85">
        <v>61</v>
      </c>
    </row>
    <row r="13" spans="1:21">
      <c r="B13" s="74">
        <v>45210</v>
      </c>
      <c r="C13" s="15">
        <v>1</v>
      </c>
      <c r="D13" s="76">
        <v>45307</v>
      </c>
      <c r="E13" s="11">
        <v>61</v>
      </c>
      <c r="F13" s="37">
        <v>7110</v>
      </c>
      <c r="G13" s="79">
        <f t="shared" ref="G13:G26" si="0">F13/E13</f>
        <v>116.55737704918033</v>
      </c>
      <c r="H13" s="47">
        <v>45211</v>
      </c>
      <c r="I13" s="19" t="s">
        <v>28</v>
      </c>
      <c r="J13" s="62">
        <v>10050</v>
      </c>
      <c r="K13" s="58" t="s">
        <v>25</v>
      </c>
      <c r="L13" s="53">
        <f t="shared" ref="L13:L14" si="1">SUMIF($I$12:$I$127,K13,$J$12:$J$127)</f>
        <v>84960</v>
      </c>
      <c r="M13" s="49">
        <f t="shared" ref="M13:M14" si="2">L13/$C$8</f>
        <v>94.4</v>
      </c>
      <c r="N13" s="1"/>
      <c r="O13" s="312"/>
      <c r="P13" s="313"/>
      <c r="R13" s="84" t="s">
        <v>57</v>
      </c>
      <c r="S13" s="85">
        <v>220</v>
      </c>
    </row>
    <row r="14" spans="1:21" ht="18" thickBot="1">
      <c r="B14" s="74">
        <v>45211</v>
      </c>
      <c r="C14" s="15">
        <v>1</v>
      </c>
      <c r="D14" s="76">
        <v>45307</v>
      </c>
      <c r="E14" s="11">
        <v>62</v>
      </c>
      <c r="F14" s="37">
        <v>7120</v>
      </c>
      <c r="G14" s="79">
        <f t="shared" si="0"/>
        <v>114.83870967741936</v>
      </c>
      <c r="H14" s="47">
        <v>45218</v>
      </c>
      <c r="I14" s="19" t="s">
        <v>28</v>
      </c>
      <c r="J14" s="62">
        <v>9990</v>
      </c>
      <c r="K14" s="59" t="s">
        <v>26</v>
      </c>
      <c r="L14" s="54">
        <f t="shared" si="1"/>
        <v>87040</v>
      </c>
      <c r="M14" s="50">
        <f t="shared" si="2"/>
        <v>96.711111111111109</v>
      </c>
      <c r="N14" s="1"/>
      <c r="O14" s="298"/>
      <c r="P14" s="299"/>
      <c r="R14" s="84" t="s">
        <v>58</v>
      </c>
      <c r="S14" s="85">
        <v>234</v>
      </c>
    </row>
    <row r="15" spans="1:21" ht="18" thickBot="1">
      <c r="B15" s="74">
        <v>45212</v>
      </c>
      <c r="C15" s="15">
        <v>1</v>
      </c>
      <c r="D15" s="76">
        <v>45310</v>
      </c>
      <c r="E15" s="11">
        <v>60</v>
      </c>
      <c r="F15" s="37">
        <v>6920</v>
      </c>
      <c r="G15" s="79">
        <f t="shared" si="0"/>
        <v>115.33333333333333</v>
      </c>
      <c r="H15" s="47">
        <v>45227</v>
      </c>
      <c r="I15" s="19" t="s">
        <v>29</v>
      </c>
      <c r="J15" s="62">
        <v>9990</v>
      </c>
      <c r="K15" s="60" t="s">
        <v>21</v>
      </c>
      <c r="L15" s="55">
        <f>SUM(L12:L14)</f>
        <v>211930</v>
      </c>
      <c r="M15" s="40">
        <f>L15/C8</f>
        <v>235.47777777777779</v>
      </c>
      <c r="N15" s="1"/>
      <c r="O15" s="298"/>
      <c r="P15" s="299"/>
      <c r="R15" s="84" t="s">
        <v>48</v>
      </c>
      <c r="S15" s="85"/>
    </row>
    <row r="16" spans="1:21">
      <c r="B16" s="74">
        <v>45213</v>
      </c>
      <c r="C16" s="15">
        <v>2</v>
      </c>
      <c r="D16" s="76">
        <v>45310</v>
      </c>
      <c r="E16" s="11">
        <v>37</v>
      </c>
      <c r="F16" s="37">
        <f>6280/55*37</f>
        <v>4224.727272727273</v>
      </c>
      <c r="G16" s="79">
        <f t="shared" si="0"/>
        <v>114.18181818181819</v>
      </c>
      <c r="H16" s="47">
        <v>45237</v>
      </c>
      <c r="I16" s="19" t="s">
        <v>28</v>
      </c>
      <c r="J16" s="62">
        <v>10010</v>
      </c>
      <c r="N16" s="63"/>
      <c r="O16" s="298"/>
      <c r="P16" s="299"/>
      <c r="R16" s="84" t="s">
        <v>49</v>
      </c>
      <c r="S16" s="85"/>
    </row>
    <row r="17" spans="1:19">
      <c r="B17" s="74">
        <v>45216</v>
      </c>
      <c r="C17" s="15">
        <v>1</v>
      </c>
      <c r="D17" s="76">
        <v>45316</v>
      </c>
      <c r="E17" s="11">
        <v>71</v>
      </c>
      <c r="F17" s="37">
        <v>7960</v>
      </c>
      <c r="G17" s="79">
        <f t="shared" si="0"/>
        <v>112.11267605633803</v>
      </c>
      <c r="H17" s="47">
        <v>45239</v>
      </c>
      <c r="I17" s="19" t="s">
        <v>29</v>
      </c>
      <c r="J17" s="41">
        <v>7000</v>
      </c>
      <c r="N17" s="63"/>
      <c r="O17" s="298"/>
      <c r="P17" s="299"/>
      <c r="R17" s="84" t="s">
        <v>50</v>
      </c>
      <c r="S17" s="85">
        <v>61</v>
      </c>
    </row>
    <row r="18" spans="1:19">
      <c r="B18" s="74">
        <v>45219</v>
      </c>
      <c r="C18" s="15">
        <v>3</v>
      </c>
      <c r="D18" s="76">
        <v>45316</v>
      </c>
      <c r="E18" s="11">
        <v>53</v>
      </c>
      <c r="F18" s="37">
        <f>7850/71*E18</f>
        <v>5859.8591549295779</v>
      </c>
      <c r="G18" s="79">
        <f t="shared" si="0"/>
        <v>110.56338028169014</v>
      </c>
      <c r="H18" s="47">
        <v>45248</v>
      </c>
      <c r="I18" s="19" t="s">
        <v>29</v>
      </c>
      <c r="J18" s="41">
        <v>8050</v>
      </c>
      <c r="K18" t="s">
        <v>32</v>
      </c>
      <c r="L18" s="78">
        <f>J62/((I9*G62)-(G9))</f>
        <v>3.4663508800378953</v>
      </c>
      <c r="N18" s="63"/>
      <c r="O18" s="298"/>
      <c r="P18" s="299"/>
      <c r="R18" s="84" t="s">
        <v>52</v>
      </c>
      <c r="S18" s="85">
        <v>50</v>
      </c>
    </row>
    <row r="19" spans="1:19">
      <c r="B19" s="74">
        <v>45220</v>
      </c>
      <c r="C19" s="15">
        <v>1</v>
      </c>
      <c r="D19" s="76">
        <v>45323</v>
      </c>
      <c r="E19" s="11">
        <v>55</v>
      </c>
      <c r="F19" s="37">
        <v>5970</v>
      </c>
      <c r="G19" s="79">
        <f t="shared" si="0"/>
        <v>108.54545454545455</v>
      </c>
      <c r="H19" s="47">
        <v>45618</v>
      </c>
      <c r="I19" s="19" t="s">
        <v>29</v>
      </c>
      <c r="J19" s="41">
        <v>6050</v>
      </c>
      <c r="N19" s="63"/>
      <c r="O19" s="298"/>
      <c r="P19" s="299"/>
      <c r="R19" s="84" t="s">
        <v>54</v>
      </c>
      <c r="S19" s="85">
        <v>71</v>
      </c>
    </row>
    <row r="20" spans="1:19">
      <c r="B20" s="74">
        <v>45222</v>
      </c>
      <c r="C20" s="15">
        <v>2</v>
      </c>
      <c r="D20" s="76">
        <v>45323</v>
      </c>
      <c r="E20" s="11">
        <v>55</v>
      </c>
      <c r="F20" s="37">
        <v>5980</v>
      </c>
      <c r="G20" s="79">
        <f t="shared" si="0"/>
        <v>108.72727272727273</v>
      </c>
      <c r="H20" s="47">
        <v>45257</v>
      </c>
      <c r="I20" s="19" t="s">
        <v>29</v>
      </c>
      <c r="J20" s="41">
        <v>9970</v>
      </c>
      <c r="N20" s="63"/>
      <c r="O20" s="298"/>
      <c r="P20" s="299"/>
      <c r="R20" s="84" t="s">
        <v>56</v>
      </c>
      <c r="S20" s="85">
        <v>68</v>
      </c>
    </row>
    <row r="21" spans="1:19">
      <c r="B21" s="74">
        <v>45225</v>
      </c>
      <c r="C21" s="15">
        <v>1</v>
      </c>
      <c r="D21" s="76">
        <v>45329</v>
      </c>
      <c r="E21" s="11">
        <v>61</v>
      </c>
      <c r="F21" s="37">
        <v>7110</v>
      </c>
      <c r="G21" s="79">
        <f t="shared" si="0"/>
        <v>116.55737704918033</v>
      </c>
      <c r="H21" s="47">
        <v>45257</v>
      </c>
      <c r="I21" s="19" t="s">
        <v>26</v>
      </c>
      <c r="J21" s="41">
        <v>5010</v>
      </c>
      <c r="N21" s="63"/>
      <c r="O21" s="298"/>
      <c r="P21" s="299"/>
      <c r="R21" s="84"/>
      <c r="S21" s="85"/>
    </row>
    <row r="22" spans="1:19">
      <c r="B22" s="74">
        <v>45226</v>
      </c>
      <c r="C22" s="15">
        <v>3</v>
      </c>
      <c r="D22" s="76">
        <v>45337</v>
      </c>
      <c r="E22" s="11">
        <v>50</v>
      </c>
      <c r="F22" s="37">
        <v>5780</v>
      </c>
      <c r="G22" s="79">
        <f t="shared" si="0"/>
        <v>115.6</v>
      </c>
      <c r="H22" s="47">
        <v>45262</v>
      </c>
      <c r="I22" s="19" t="s">
        <v>29</v>
      </c>
      <c r="J22" s="41">
        <v>12820</v>
      </c>
      <c r="M22" s="25"/>
      <c r="N22" s="63"/>
      <c r="O22" s="298"/>
      <c r="P22" s="299"/>
      <c r="R22" s="84"/>
      <c r="S22" s="85"/>
    </row>
    <row r="23" spans="1:19">
      <c r="B23" s="74">
        <v>45227</v>
      </c>
      <c r="C23" s="15">
        <v>2</v>
      </c>
      <c r="D23" s="76">
        <v>45343</v>
      </c>
      <c r="E23" s="11">
        <v>71</v>
      </c>
      <c r="F23" s="37">
        <v>8050</v>
      </c>
      <c r="G23" s="79">
        <f t="shared" si="0"/>
        <v>113.38028169014085</v>
      </c>
      <c r="H23" s="47">
        <v>45266</v>
      </c>
      <c r="I23" s="19" t="s">
        <v>29</v>
      </c>
      <c r="J23" s="41">
        <v>10140</v>
      </c>
      <c r="N23" s="63"/>
      <c r="O23" s="298"/>
      <c r="P23" s="299"/>
      <c r="R23" s="84"/>
      <c r="S23" s="85"/>
    </row>
    <row r="24" spans="1:19">
      <c r="B24" s="74">
        <v>45231</v>
      </c>
      <c r="C24" s="15">
        <v>2</v>
      </c>
      <c r="D24" s="76">
        <v>45348</v>
      </c>
      <c r="E24" s="11">
        <v>55</v>
      </c>
      <c r="F24" s="37">
        <f>7060/68*E24</f>
        <v>5710.2941176470595</v>
      </c>
      <c r="G24" s="79">
        <f t="shared" si="0"/>
        <v>103.82352941176472</v>
      </c>
      <c r="H24" s="47">
        <v>45273</v>
      </c>
      <c r="I24" s="19" t="s">
        <v>29</v>
      </c>
      <c r="J24" s="41">
        <v>13170</v>
      </c>
      <c r="N24" s="63"/>
      <c r="O24" s="298"/>
      <c r="P24" s="299"/>
      <c r="R24" s="84"/>
      <c r="S24" s="85"/>
    </row>
    <row r="25" spans="1:19">
      <c r="A25">
        <v>0</v>
      </c>
      <c r="B25" s="74">
        <v>45232</v>
      </c>
      <c r="C25" s="15">
        <v>1</v>
      </c>
      <c r="D25" s="76">
        <v>45344</v>
      </c>
      <c r="E25" s="11">
        <v>28</v>
      </c>
      <c r="F25" s="37">
        <v>1830</v>
      </c>
      <c r="G25" s="79">
        <f t="shared" si="0"/>
        <v>65.357142857142861</v>
      </c>
      <c r="H25" s="47">
        <v>45280</v>
      </c>
      <c r="I25" s="19" t="s">
        <v>26</v>
      </c>
      <c r="J25" s="41">
        <v>5030</v>
      </c>
      <c r="N25" s="64"/>
      <c r="O25" s="298"/>
      <c r="P25" s="299"/>
      <c r="R25" s="84"/>
      <c r="S25" s="85"/>
    </row>
    <row r="26" spans="1:19">
      <c r="B26" s="74">
        <v>45233</v>
      </c>
      <c r="C26" s="15">
        <v>4</v>
      </c>
      <c r="D26" s="11"/>
      <c r="E26" s="11"/>
      <c r="F26" s="37"/>
      <c r="G26" s="79" t="e">
        <f t="shared" si="0"/>
        <v>#DIV/0!</v>
      </c>
      <c r="H26" s="47">
        <v>45281</v>
      </c>
      <c r="I26" s="19" t="s">
        <v>26</v>
      </c>
      <c r="J26" s="41">
        <v>15190</v>
      </c>
      <c r="N26" s="64"/>
      <c r="O26" s="298"/>
      <c r="P26" s="299"/>
      <c r="R26" s="84"/>
      <c r="S26" s="85"/>
    </row>
    <row r="27" spans="1:19">
      <c r="B27" s="74">
        <v>45234</v>
      </c>
      <c r="C27" s="15">
        <v>1</v>
      </c>
      <c r="D27" s="11"/>
      <c r="E27" s="11"/>
      <c r="F27" s="37"/>
      <c r="G27" s="37"/>
      <c r="H27" s="47">
        <v>45287</v>
      </c>
      <c r="I27" s="19" t="s">
        <v>29</v>
      </c>
      <c r="J27" s="41">
        <v>7770</v>
      </c>
      <c r="N27" s="64"/>
      <c r="O27" s="298"/>
      <c r="P27" s="299"/>
      <c r="R27" s="84"/>
      <c r="S27" s="85"/>
    </row>
    <row r="28" spans="1:19">
      <c r="B28" s="74">
        <v>45235</v>
      </c>
      <c r="C28" s="15">
        <v>2</v>
      </c>
      <c r="D28" s="11"/>
      <c r="E28" s="11"/>
      <c r="F28" s="37"/>
      <c r="G28" s="37"/>
      <c r="H28" s="47">
        <v>45290</v>
      </c>
      <c r="I28" s="19" t="s">
        <v>26</v>
      </c>
      <c r="J28" s="41">
        <v>5050</v>
      </c>
      <c r="N28" s="64"/>
      <c r="O28" s="298"/>
      <c r="P28" s="299"/>
      <c r="R28" s="84"/>
      <c r="S28" s="85"/>
    </row>
    <row r="29" spans="1:19">
      <c r="B29" s="74">
        <v>45238</v>
      </c>
      <c r="C29" s="15">
        <v>2</v>
      </c>
      <c r="D29" s="11"/>
      <c r="E29" s="11"/>
      <c r="F29" s="37"/>
      <c r="G29" s="37"/>
      <c r="H29" s="47">
        <v>45293</v>
      </c>
      <c r="I29" s="19" t="s">
        <v>66</v>
      </c>
      <c r="J29" s="41">
        <v>10620</v>
      </c>
      <c r="N29" s="64"/>
      <c r="O29" s="298"/>
      <c r="P29" s="299"/>
      <c r="R29" s="84"/>
      <c r="S29" s="85"/>
    </row>
    <row r="30" spans="1:19">
      <c r="B30" s="74">
        <v>45239</v>
      </c>
      <c r="C30" s="15">
        <v>5</v>
      </c>
      <c r="D30" s="11"/>
      <c r="E30" s="11"/>
      <c r="F30" s="37"/>
      <c r="G30" s="37"/>
      <c r="H30" s="47">
        <v>45297</v>
      </c>
      <c r="I30" s="19" t="s">
        <v>26</v>
      </c>
      <c r="J30" s="41">
        <v>12220</v>
      </c>
      <c r="N30" s="64"/>
      <c r="O30" s="298"/>
      <c r="P30" s="299"/>
      <c r="R30" s="84"/>
      <c r="S30" s="85"/>
    </row>
    <row r="31" spans="1:19" ht="18" thickBot="1">
      <c r="B31" s="74">
        <v>45240</v>
      </c>
      <c r="C31" s="15">
        <v>4</v>
      </c>
      <c r="D31" s="11"/>
      <c r="E31" s="11"/>
      <c r="F31" s="37"/>
      <c r="G31" s="37"/>
      <c r="H31" s="47">
        <v>45304</v>
      </c>
      <c r="I31" s="19" t="s">
        <v>26</v>
      </c>
      <c r="J31" s="41">
        <v>12150</v>
      </c>
      <c r="N31" s="64"/>
      <c r="O31" s="298"/>
      <c r="P31" s="299"/>
      <c r="R31" s="86"/>
      <c r="S31" s="87"/>
    </row>
    <row r="32" spans="1:19" ht="18" thickTop="1">
      <c r="B32" s="74">
        <v>45241</v>
      </c>
      <c r="C32" s="15">
        <v>1</v>
      </c>
      <c r="D32" s="11"/>
      <c r="E32" s="11"/>
      <c r="F32" s="37"/>
      <c r="G32" s="37"/>
      <c r="H32" s="47">
        <v>45311</v>
      </c>
      <c r="I32" s="19" t="s">
        <v>26</v>
      </c>
      <c r="J32" s="41">
        <v>5070</v>
      </c>
      <c r="N32" s="64"/>
      <c r="O32" s="298"/>
      <c r="P32" s="299"/>
    </row>
    <row r="33" spans="1:16">
      <c r="B33" s="74">
        <v>45243</v>
      </c>
      <c r="C33" s="15">
        <v>2</v>
      </c>
      <c r="D33" s="11"/>
      <c r="E33" s="11"/>
      <c r="F33" s="37"/>
      <c r="G33" s="37"/>
      <c r="H33" s="47">
        <v>45318</v>
      </c>
      <c r="I33" s="19" t="s">
        <v>26</v>
      </c>
      <c r="J33" s="41">
        <v>6640</v>
      </c>
      <c r="N33" s="64"/>
      <c r="O33" s="298"/>
      <c r="P33" s="299"/>
    </row>
    <row r="34" spans="1:16">
      <c r="B34" s="92">
        <v>45247</v>
      </c>
      <c r="C34" s="17">
        <v>1</v>
      </c>
      <c r="D34" s="11"/>
      <c r="E34" s="11"/>
      <c r="F34" s="37"/>
      <c r="G34" s="37"/>
      <c r="H34" s="47">
        <v>45318</v>
      </c>
      <c r="I34" s="19" t="s">
        <v>26</v>
      </c>
      <c r="J34" s="41">
        <v>5060</v>
      </c>
      <c r="N34" s="64"/>
      <c r="O34" s="298"/>
      <c r="P34" s="299"/>
    </row>
    <row r="35" spans="1:16">
      <c r="B35" s="74">
        <v>45248</v>
      </c>
      <c r="C35" s="15">
        <v>3</v>
      </c>
      <c r="D35" s="11"/>
      <c r="E35" s="11"/>
      <c r="F35" s="37"/>
      <c r="G35" s="37"/>
      <c r="H35" s="47">
        <v>45327</v>
      </c>
      <c r="I35" s="19" t="s">
        <v>26</v>
      </c>
      <c r="J35" s="41">
        <v>5000</v>
      </c>
      <c r="N35" s="64"/>
      <c r="O35" s="298"/>
      <c r="P35" s="299"/>
    </row>
    <row r="36" spans="1:16">
      <c r="B36" s="74">
        <v>45250</v>
      </c>
      <c r="C36" s="15">
        <v>1</v>
      </c>
      <c r="D36" s="11"/>
      <c r="E36" s="11"/>
      <c r="F36" s="37"/>
      <c r="G36" s="37"/>
      <c r="H36" s="20"/>
      <c r="I36" s="20"/>
      <c r="J36" s="41"/>
      <c r="N36" s="64"/>
      <c r="O36" s="298"/>
      <c r="P36" s="299"/>
    </row>
    <row r="37" spans="1:16">
      <c r="B37" s="74">
        <v>45254</v>
      </c>
      <c r="C37" s="15">
        <v>1</v>
      </c>
      <c r="D37" s="11"/>
      <c r="E37" s="11"/>
      <c r="F37" s="37"/>
      <c r="G37" s="37"/>
      <c r="H37" s="20"/>
      <c r="I37" s="20"/>
      <c r="J37" s="41"/>
      <c r="N37" s="64"/>
      <c r="O37" s="298"/>
      <c r="P37" s="299"/>
    </row>
    <row r="38" spans="1:16">
      <c r="B38" s="74">
        <v>45269</v>
      </c>
      <c r="C38" s="15">
        <v>2</v>
      </c>
      <c r="D38" s="11"/>
      <c r="E38" s="11"/>
      <c r="F38" s="37"/>
      <c r="G38" s="37"/>
      <c r="H38" s="20"/>
      <c r="I38" s="20"/>
      <c r="J38" s="41"/>
      <c r="N38" s="64"/>
      <c r="O38" s="298"/>
      <c r="P38" s="299"/>
    </row>
    <row r="39" spans="1:16">
      <c r="B39" s="74">
        <v>45283</v>
      </c>
      <c r="C39" s="15">
        <v>4</v>
      </c>
      <c r="D39" s="11"/>
      <c r="E39" s="11"/>
      <c r="F39" s="37"/>
      <c r="G39" s="37"/>
      <c r="H39" s="20"/>
      <c r="I39" s="20"/>
      <c r="J39" s="41"/>
      <c r="N39" s="64"/>
      <c r="O39" s="298"/>
      <c r="P39" s="299"/>
    </row>
    <row r="40" spans="1:16">
      <c r="B40" s="74">
        <v>45284</v>
      </c>
      <c r="C40" s="15">
        <v>1</v>
      </c>
      <c r="D40" s="11"/>
      <c r="E40" s="11"/>
      <c r="F40" s="37"/>
      <c r="G40" s="37"/>
      <c r="H40" s="20"/>
      <c r="I40" s="20"/>
      <c r="J40" s="41"/>
      <c r="N40" s="64"/>
      <c r="O40" s="298"/>
      <c r="P40" s="299"/>
    </row>
    <row r="41" spans="1:16">
      <c r="B41" s="74">
        <v>45286</v>
      </c>
      <c r="C41" s="15">
        <v>3</v>
      </c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1:16">
      <c r="B42" s="74">
        <v>45287</v>
      </c>
      <c r="C42" s="15">
        <v>3</v>
      </c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1:16">
      <c r="B43" s="74">
        <v>45288</v>
      </c>
      <c r="C43" s="15">
        <v>1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1:16">
      <c r="B44" s="74">
        <v>45293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1:16">
      <c r="B45" s="74">
        <v>45294</v>
      </c>
      <c r="C45" s="15">
        <v>1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1:16">
      <c r="B46" s="74">
        <v>45295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1:16">
      <c r="B47" s="74">
        <v>45296</v>
      </c>
      <c r="C47" s="15">
        <v>1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1:16">
      <c r="A48" t="s">
        <v>68</v>
      </c>
      <c r="B48" s="14"/>
      <c r="C48" s="15">
        <v>2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45300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74">
        <v>45303</v>
      </c>
      <c r="C50" s="15">
        <v>2</v>
      </c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74">
        <v>45305</v>
      </c>
      <c r="C51" s="15">
        <v>1</v>
      </c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74">
        <v>45313</v>
      </c>
      <c r="C52" s="15">
        <v>1</v>
      </c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74">
        <v>45314</v>
      </c>
      <c r="C53" s="15">
        <v>2</v>
      </c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74">
        <v>45329</v>
      </c>
      <c r="C54" s="15">
        <v>3</v>
      </c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74">
        <v>45332</v>
      </c>
      <c r="C55" s="15">
        <v>3</v>
      </c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74">
        <v>45338</v>
      </c>
      <c r="C56" s="15">
        <v>1</v>
      </c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92">
        <v>45341</v>
      </c>
      <c r="C57" s="17">
        <v>5</v>
      </c>
      <c r="D57" s="12"/>
      <c r="E57" s="12"/>
      <c r="F57" s="36"/>
      <c r="G57" s="36"/>
      <c r="H57" s="21"/>
      <c r="I57" s="21"/>
      <c r="J57" s="42"/>
      <c r="N57" s="64"/>
      <c r="O57" s="109"/>
      <c r="P57" s="110"/>
    </row>
    <row r="58" spans="2:16">
      <c r="B58" s="92">
        <v>45342</v>
      </c>
      <c r="C58" s="17">
        <v>4</v>
      </c>
      <c r="D58" s="12"/>
      <c r="E58" s="12"/>
      <c r="F58" s="36"/>
      <c r="G58" s="36"/>
      <c r="H58" s="21"/>
      <c r="I58" s="21"/>
      <c r="J58" s="42"/>
      <c r="N58" s="64"/>
      <c r="O58" s="109"/>
      <c r="P58" s="110"/>
    </row>
    <row r="59" spans="2:16">
      <c r="B59" s="92">
        <v>45343</v>
      </c>
      <c r="C59" s="17">
        <v>4</v>
      </c>
      <c r="D59" s="12"/>
      <c r="E59" s="12"/>
      <c r="F59" s="36"/>
      <c r="G59" s="36"/>
      <c r="H59" s="21"/>
      <c r="I59" s="21"/>
      <c r="J59" s="42"/>
      <c r="N59" s="64"/>
      <c r="O59" s="109"/>
      <c r="P59" s="110"/>
    </row>
    <row r="60" spans="2:16">
      <c r="B60" s="92">
        <v>45346</v>
      </c>
      <c r="C60" s="17">
        <v>1</v>
      </c>
      <c r="D60" s="12"/>
      <c r="E60" s="12"/>
      <c r="F60" s="36"/>
      <c r="G60" s="36"/>
      <c r="H60" s="21"/>
      <c r="I60" s="21"/>
      <c r="J60" s="42"/>
      <c r="N60" s="64"/>
      <c r="O60" s="109"/>
      <c r="P60" s="110"/>
    </row>
    <row r="61" spans="2:16" ht="18" thickBot="1">
      <c r="B61" s="92">
        <v>45348</v>
      </c>
      <c r="C61" s="17">
        <v>3</v>
      </c>
      <c r="D61" s="12"/>
      <c r="E61" s="12"/>
      <c r="F61" s="36"/>
      <c r="G61" s="36"/>
      <c r="H61" s="21"/>
      <c r="I61" s="21"/>
      <c r="J61" s="42"/>
      <c r="N61" s="64"/>
      <c r="O61" s="298"/>
      <c r="P61" s="299"/>
    </row>
    <row r="62" spans="2:16" ht="18" thickBot="1">
      <c r="B62" s="7"/>
      <c r="C62" s="8">
        <f>SUM(C12:C61)</f>
        <v>100</v>
      </c>
      <c r="D62" s="8"/>
      <c r="E62" s="8">
        <f>SUM(E12:E61)</f>
        <v>780</v>
      </c>
      <c r="F62" s="39">
        <f>SUM(F12:F61)</f>
        <v>86914.880545303909</v>
      </c>
      <c r="G62" s="39">
        <f>F62/E62</f>
        <v>111.42933403244091</v>
      </c>
      <c r="H62" s="8"/>
      <c r="I62" s="8"/>
      <c r="J62" s="43">
        <f>SUM(J12:J61)</f>
        <v>211930</v>
      </c>
      <c r="N62" s="65"/>
      <c r="O62" s="300"/>
      <c r="P62" s="301"/>
    </row>
    <row r="68" spans="4:5">
      <c r="D68" s="81" t="s">
        <v>38</v>
      </c>
      <c r="E68" s="80">
        <v>60</v>
      </c>
    </row>
    <row r="69" spans="4:5">
      <c r="D69" s="81" t="s">
        <v>39</v>
      </c>
      <c r="E69" s="80">
        <v>120</v>
      </c>
    </row>
    <row r="70" spans="4:5">
      <c r="D70" s="81" t="s">
        <v>40</v>
      </c>
      <c r="E70" s="80">
        <v>180</v>
      </c>
    </row>
    <row r="71" spans="4:5">
      <c r="D71" s="81" t="s">
        <v>41</v>
      </c>
      <c r="E71" s="80">
        <v>180</v>
      </c>
    </row>
    <row r="72" spans="4:5">
      <c r="D72" s="81" t="s">
        <v>42</v>
      </c>
      <c r="E72" s="80">
        <v>180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7:P17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5:P15"/>
    <mergeCell ref="O16:P16"/>
    <mergeCell ref="O29:P29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41:P41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53:P53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4:P54"/>
    <mergeCell ref="O55:P55"/>
    <mergeCell ref="O56:P56"/>
    <mergeCell ref="O61:P61"/>
    <mergeCell ref="O62:P62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3C3D-C841-4BD1-AFBE-3DBBDB4F2B3E}">
  <dimension ref="A1:V59"/>
  <sheetViews>
    <sheetView showGridLines="0" workbookViewId="0">
      <selection activeCell="K25" sqref="K25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7" max="7" width="9" customWidth="1"/>
    <col min="8" max="8" width="11.09765625" bestFit="1" customWidth="1"/>
    <col min="9" max="9" width="12.5" customWidth="1"/>
    <col min="10" max="10" width="11" bestFit="1" customWidth="1"/>
    <col min="11" max="11" width="21.3984375" bestFit="1" customWidth="1"/>
    <col min="12" max="12" width="10.69921875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</cols>
  <sheetData>
    <row r="1" spans="1:22" ht="18" thickBot="1">
      <c r="A1" t="s">
        <v>27</v>
      </c>
      <c r="B1" s="51" t="s">
        <v>46</v>
      </c>
      <c r="D1" s="73">
        <f ca="1">TODAY()</f>
        <v>46325</v>
      </c>
      <c r="E1">
        <f ca="1">D1-B4</f>
        <v>942</v>
      </c>
      <c r="H1" s="73"/>
      <c r="I1" s="140"/>
    </row>
    <row r="2" spans="1:22" ht="18" thickBot="1">
      <c r="F2" s="302" t="s">
        <v>9</v>
      </c>
      <c r="G2" s="305"/>
      <c r="H2" s="314"/>
      <c r="O2" s="302" t="s">
        <v>8</v>
      </c>
      <c r="P2" s="314"/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2">
      <c r="B4" s="27">
        <v>45383</v>
      </c>
      <c r="C4" s="30">
        <v>450</v>
      </c>
      <c r="D4" s="36">
        <f>3420+3300+3280</f>
        <v>10000</v>
      </c>
      <c r="E4" s="70">
        <f>D4/C4</f>
        <v>22.222222222222221</v>
      </c>
      <c r="F4" s="315">
        <f>C8-P8</f>
        <v>878</v>
      </c>
      <c r="G4" s="318">
        <f>D8-(D8/C8*P8)</f>
        <v>19667.2</v>
      </c>
      <c r="H4" s="327">
        <f>G4/F4</f>
        <v>22.400000000000002</v>
      </c>
      <c r="I4" s="321" t="s">
        <v>117</v>
      </c>
      <c r="J4" s="1">
        <f>B4+90</f>
        <v>45473</v>
      </c>
      <c r="K4" s="323">
        <f>C59</f>
        <v>44</v>
      </c>
      <c r="L4" s="325">
        <f>K8/F8</f>
        <v>5.011389521640091E-2</v>
      </c>
      <c r="M4" s="323">
        <f>E59</f>
        <v>834</v>
      </c>
      <c r="N4" s="323">
        <f>F8-C59-E59</f>
        <v>0</v>
      </c>
      <c r="O4" s="22">
        <v>45383</v>
      </c>
      <c r="P4" s="33">
        <v>13</v>
      </c>
      <c r="Q4">
        <v>18</v>
      </c>
      <c r="R4" s="69">
        <f>C4-P4</f>
        <v>437</v>
      </c>
    </row>
    <row r="5" spans="1:22">
      <c r="B5" s="27">
        <v>45397</v>
      </c>
      <c r="C5" s="30">
        <v>450</v>
      </c>
      <c r="D5" s="37">
        <v>10160</v>
      </c>
      <c r="E5" s="70">
        <f t="shared" ref="E5:E7" si="0">D5/C5</f>
        <v>22.577777777777779</v>
      </c>
      <c r="F5" s="316"/>
      <c r="G5" s="319"/>
      <c r="H5" s="328"/>
      <c r="I5" s="321"/>
      <c r="J5" s="1">
        <f>B5+90</f>
        <v>45487</v>
      </c>
      <c r="K5" s="323"/>
      <c r="L5" s="325"/>
      <c r="M5" s="323"/>
      <c r="N5" s="323"/>
      <c r="O5" s="22">
        <v>45397</v>
      </c>
      <c r="P5" s="33">
        <v>9</v>
      </c>
      <c r="Q5">
        <v>2</v>
      </c>
      <c r="R5" s="69">
        <f t="shared" ref="R5:R6" si="1">C5-P5</f>
        <v>441</v>
      </c>
    </row>
    <row r="6" spans="1:22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1">
        <f>B6+90</f>
        <v>90</v>
      </c>
      <c r="K6" s="323"/>
      <c r="L6" s="325"/>
      <c r="M6" s="323"/>
      <c r="N6" s="323"/>
      <c r="O6" s="22"/>
      <c r="P6" s="33"/>
      <c r="R6" s="69">
        <f t="shared" si="1"/>
        <v>0</v>
      </c>
    </row>
    <row r="7" spans="1:22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2" ht="18" thickBot="1">
      <c r="B8" s="9" t="s">
        <v>10</v>
      </c>
      <c r="C8" s="32">
        <f>SUM(C4:C7)</f>
        <v>900</v>
      </c>
      <c r="D8" s="39">
        <f>SUM(D4:D7)</f>
        <v>20160</v>
      </c>
      <c r="E8" s="71">
        <f>D8/C8</f>
        <v>22.4</v>
      </c>
      <c r="F8" s="32">
        <f>SUM(F4)</f>
        <v>878</v>
      </c>
      <c r="G8" s="39">
        <f>SUM(G4)</f>
        <v>19667.2</v>
      </c>
      <c r="H8" s="71">
        <f>G8/F8</f>
        <v>22.400000000000002</v>
      </c>
      <c r="I8" s="8"/>
      <c r="J8" s="8"/>
      <c r="K8" s="32">
        <f>K4</f>
        <v>44</v>
      </c>
      <c r="L8" s="26">
        <f>L4</f>
        <v>5.011389521640091E-2</v>
      </c>
      <c r="M8" s="32">
        <f>M4</f>
        <v>834</v>
      </c>
      <c r="N8" s="32">
        <f>N4</f>
        <v>0</v>
      </c>
      <c r="O8" s="46">
        <f>P8/C8</f>
        <v>2.4444444444444446E-2</v>
      </c>
      <c r="P8" s="35">
        <f>SUM(P4:P7)</f>
        <v>22</v>
      </c>
      <c r="Q8" s="69">
        <f>P8-Q4-Q5-Q6</f>
        <v>2</v>
      </c>
    </row>
    <row r="9" spans="1:22" ht="18" thickBot="1">
      <c r="G9">
        <f>9714+9962</f>
        <v>19676</v>
      </c>
      <c r="I9">
        <f>F8*0.95</f>
        <v>834.09999999999991</v>
      </c>
      <c r="R9" t="s">
        <v>125</v>
      </c>
    </row>
    <row r="10" spans="1:22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 s="296" t="s">
        <v>163</v>
      </c>
      <c r="V10" s="297"/>
    </row>
    <row r="11" spans="1:22" ht="18" thickBot="1">
      <c r="B11" s="9" t="s">
        <v>0</v>
      </c>
      <c r="C11" s="120" t="s">
        <v>1</v>
      </c>
      <c r="D11" s="120" t="s">
        <v>0</v>
      </c>
      <c r="E11" s="120" t="s">
        <v>1</v>
      </c>
      <c r="F11" s="120" t="s">
        <v>2</v>
      </c>
      <c r="G11" s="120" t="s">
        <v>3</v>
      </c>
      <c r="H11" s="120" t="s">
        <v>0</v>
      </c>
      <c r="I11" s="120" t="s">
        <v>15</v>
      </c>
      <c r="J11" s="120" t="s">
        <v>16</v>
      </c>
      <c r="K11" s="56" t="s">
        <v>15</v>
      </c>
      <c r="L11" s="120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45439</v>
      </c>
      <c r="C12" s="13">
        <v>2</v>
      </c>
      <c r="D12" s="75">
        <v>45497</v>
      </c>
      <c r="E12" s="10">
        <v>61</v>
      </c>
      <c r="F12" s="44">
        <v>6610</v>
      </c>
      <c r="G12" s="79">
        <f>F12/E12</f>
        <v>108.36065573770492</v>
      </c>
      <c r="H12" s="18">
        <v>45370</v>
      </c>
      <c r="I12" s="19" t="s">
        <v>28</v>
      </c>
      <c r="J12" s="61">
        <v>960</v>
      </c>
      <c r="K12" s="57" t="s">
        <v>18</v>
      </c>
      <c r="L12" s="52">
        <f>SUMIF($I$12:$I$124,K12,$J$12:$J$124)</f>
        <v>64620</v>
      </c>
      <c r="M12" s="48">
        <f>L12/$C$8</f>
        <v>71.8</v>
      </c>
      <c r="N12" s="66"/>
      <c r="O12" s="310"/>
      <c r="P12" s="311"/>
      <c r="R12" s="135" t="s">
        <v>119</v>
      </c>
      <c r="S12" s="85"/>
      <c r="U12" s="135" t="s">
        <v>119</v>
      </c>
      <c r="V12" s="85"/>
    </row>
    <row r="13" spans="1:22">
      <c r="B13" s="74">
        <v>45446</v>
      </c>
      <c r="C13" s="15">
        <v>1</v>
      </c>
      <c r="D13" s="76">
        <v>45503</v>
      </c>
      <c r="E13" s="11">
        <v>60</v>
      </c>
      <c r="F13" s="37">
        <v>6470</v>
      </c>
      <c r="G13" s="79">
        <f t="shared" ref="G13:G45" si="2">F13/E13</f>
        <v>107.83333333333333</v>
      </c>
      <c r="H13" s="47">
        <v>45383</v>
      </c>
      <c r="I13" s="19" t="s">
        <v>28</v>
      </c>
      <c r="J13" s="62">
        <v>4780</v>
      </c>
      <c r="K13" s="58" t="s">
        <v>25</v>
      </c>
      <c r="L13" s="53">
        <f t="shared" ref="L13:L15" si="3">SUMIF($I$12:$I$124,K13,$J$12:$J$124)</f>
        <v>50140</v>
      </c>
      <c r="M13" s="49">
        <f t="shared" ref="M13:M15" si="4">L13/$C$8</f>
        <v>55.711111111111109</v>
      </c>
      <c r="N13" s="1"/>
      <c r="O13" s="312"/>
      <c r="P13" s="313"/>
      <c r="R13" s="135" t="s">
        <v>120</v>
      </c>
      <c r="S13" s="85"/>
      <c r="U13" s="135" t="s">
        <v>120</v>
      </c>
      <c r="V13" s="85"/>
    </row>
    <row r="14" spans="1:22">
      <c r="B14" s="74">
        <v>45453</v>
      </c>
      <c r="C14" s="15">
        <v>1</v>
      </c>
      <c r="D14" s="76">
        <v>45511</v>
      </c>
      <c r="E14" s="11">
        <v>58</v>
      </c>
      <c r="F14" s="37">
        <v>6550</v>
      </c>
      <c r="G14" s="79">
        <f t="shared" si="2"/>
        <v>112.93103448275862</v>
      </c>
      <c r="H14" s="47">
        <v>45394</v>
      </c>
      <c r="I14" s="19" t="s">
        <v>28</v>
      </c>
      <c r="J14" s="62">
        <v>4900</v>
      </c>
      <c r="K14" s="106" t="s">
        <v>93</v>
      </c>
      <c r="L14" s="53">
        <f t="shared" si="3"/>
        <v>84210</v>
      </c>
      <c r="M14" s="107">
        <f t="shared" si="4"/>
        <v>93.566666666666663</v>
      </c>
      <c r="N14" s="1"/>
      <c r="O14" s="298"/>
      <c r="P14" s="299"/>
      <c r="R14" s="135" t="s">
        <v>121</v>
      </c>
      <c r="S14" s="85"/>
      <c r="U14" s="135" t="s">
        <v>121</v>
      </c>
      <c r="V14" s="85"/>
    </row>
    <row r="15" spans="1:22" ht="18" thickBot="1">
      <c r="B15" s="74">
        <v>45461</v>
      </c>
      <c r="C15" s="15">
        <v>3</v>
      </c>
      <c r="D15" s="76">
        <v>45516</v>
      </c>
      <c r="E15" s="11">
        <v>60</v>
      </c>
      <c r="F15" s="37">
        <v>6640</v>
      </c>
      <c r="G15" s="79">
        <f t="shared" si="2"/>
        <v>110.66666666666667</v>
      </c>
      <c r="H15" s="47">
        <v>45399</v>
      </c>
      <c r="I15" s="19" t="s">
        <v>28</v>
      </c>
      <c r="J15" s="62">
        <f>4880+5190</f>
        <v>10070</v>
      </c>
      <c r="K15" s="59" t="s">
        <v>26</v>
      </c>
      <c r="L15" s="54">
        <f t="shared" si="3"/>
        <v>33240</v>
      </c>
      <c r="M15" s="50">
        <f t="shared" si="4"/>
        <v>36.93333333333333</v>
      </c>
      <c r="N15" s="1"/>
      <c r="O15" s="118"/>
      <c r="P15" s="119"/>
      <c r="R15" s="135" t="s">
        <v>122</v>
      </c>
      <c r="S15" s="85">
        <v>61</v>
      </c>
      <c r="U15" s="135" t="s">
        <v>122</v>
      </c>
      <c r="V15" s="85">
        <v>61</v>
      </c>
    </row>
    <row r="16" spans="1:22" ht="18" thickBot="1">
      <c r="B16" s="74">
        <v>45475</v>
      </c>
      <c r="C16" s="15">
        <v>2</v>
      </c>
      <c r="D16" s="76">
        <v>45516</v>
      </c>
      <c r="E16" s="11">
        <v>58</v>
      </c>
      <c r="F16" s="37">
        <v>6650</v>
      </c>
      <c r="G16" s="79">
        <f t="shared" si="2"/>
        <v>114.65517241379311</v>
      </c>
      <c r="H16" s="47">
        <v>45402</v>
      </c>
      <c r="I16" s="19" t="s">
        <v>28</v>
      </c>
      <c r="J16" s="41">
        <v>5340</v>
      </c>
      <c r="K16" s="60" t="s">
        <v>21</v>
      </c>
      <c r="L16" s="55">
        <f>SUM(L12:L15)</f>
        <v>232210</v>
      </c>
      <c r="M16" s="40">
        <f>L16/C8</f>
        <v>258.01111111111112</v>
      </c>
      <c r="N16" s="1"/>
      <c r="O16" s="298"/>
      <c r="P16" s="299"/>
      <c r="R16" s="84" t="s">
        <v>124</v>
      </c>
      <c r="S16" s="85">
        <v>70</v>
      </c>
      <c r="U16" s="84" t="s">
        <v>124</v>
      </c>
      <c r="V16" s="85">
        <v>60</v>
      </c>
    </row>
    <row r="17" spans="2:22">
      <c r="B17" s="74">
        <v>45489</v>
      </c>
      <c r="C17" s="15">
        <v>2</v>
      </c>
      <c r="D17" s="76">
        <v>45520</v>
      </c>
      <c r="E17" s="11">
        <v>24</v>
      </c>
      <c r="F17" s="37">
        <v>2790</v>
      </c>
      <c r="G17" s="79">
        <f t="shared" si="2"/>
        <v>116.25</v>
      </c>
      <c r="H17" s="47">
        <v>45411</v>
      </c>
      <c r="I17" s="19" t="s">
        <v>92</v>
      </c>
      <c r="J17" s="41">
        <v>7850</v>
      </c>
      <c r="N17" s="63"/>
      <c r="O17" s="298"/>
      <c r="P17" s="299"/>
      <c r="R17" s="84" t="s">
        <v>143</v>
      </c>
      <c r="S17" s="85"/>
      <c r="U17" s="84" t="s">
        <v>143</v>
      </c>
      <c r="V17" s="85"/>
    </row>
    <row r="18" spans="2:22">
      <c r="B18" s="74">
        <v>45490</v>
      </c>
      <c r="C18" s="15">
        <v>3</v>
      </c>
      <c r="D18" s="76">
        <v>45524</v>
      </c>
      <c r="E18" s="11">
        <v>52</v>
      </c>
      <c r="F18" s="37">
        <v>5710</v>
      </c>
      <c r="G18" s="79">
        <f t="shared" si="2"/>
        <v>109.80769230769231</v>
      </c>
      <c r="H18" s="47">
        <v>45418</v>
      </c>
      <c r="I18" s="19" t="s">
        <v>92</v>
      </c>
      <c r="J18" s="41">
        <v>11470</v>
      </c>
      <c r="N18" s="63"/>
      <c r="O18" s="298"/>
      <c r="P18" s="299"/>
      <c r="R18" s="84" t="s">
        <v>137</v>
      </c>
      <c r="S18" s="85">
        <v>100</v>
      </c>
      <c r="U18" s="84" t="s">
        <v>137</v>
      </c>
      <c r="V18" s="85">
        <v>58</v>
      </c>
    </row>
    <row r="19" spans="2:22">
      <c r="B19" s="74">
        <v>45517</v>
      </c>
      <c r="C19" s="15">
        <v>2</v>
      </c>
      <c r="D19" s="76">
        <v>45526</v>
      </c>
      <c r="E19" s="11">
        <v>64</v>
      </c>
      <c r="F19" s="37">
        <v>7050</v>
      </c>
      <c r="G19" s="79">
        <f t="shared" si="2"/>
        <v>110.15625</v>
      </c>
      <c r="H19" s="47">
        <v>45425</v>
      </c>
      <c r="I19" s="19" t="s">
        <v>92</v>
      </c>
      <c r="J19" s="41">
        <f>3960+2800+6000</f>
        <v>12760</v>
      </c>
      <c r="K19" t="s">
        <v>32</v>
      </c>
      <c r="L19" s="78">
        <f>(J59/I9)/(113-H8)</f>
        <v>3.0728021610846508</v>
      </c>
      <c r="N19" s="63"/>
      <c r="O19" s="298"/>
      <c r="P19" s="299"/>
      <c r="R19" s="84" t="s">
        <v>144</v>
      </c>
      <c r="S19" s="85">
        <v>60</v>
      </c>
      <c r="U19" s="84" t="s">
        <v>144</v>
      </c>
      <c r="V19" s="85">
        <v>143</v>
      </c>
    </row>
    <row r="20" spans="2:22">
      <c r="B20" s="74">
        <v>45524</v>
      </c>
      <c r="C20" s="15">
        <v>3</v>
      </c>
      <c r="D20" s="76">
        <v>45531</v>
      </c>
      <c r="E20" s="11">
        <v>44</v>
      </c>
      <c r="F20" s="37">
        <v>4730</v>
      </c>
      <c r="G20" s="79">
        <f t="shared" si="2"/>
        <v>107.5</v>
      </c>
      <c r="H20" s="47">
        <v>45432</v>
      </c>
      <c r="I20" s="19" t="s">
        <v>92</v>
      </c>
      <c r="J20" s="41">
        <v>6000</v>
      </c>
      <c r="K20" t="s">
        <v>172</v>
      </c>
      <c r="L20" s="203" t="e">
        <f>(J45+J46+J47)/N8/6</f>
        <v>#DIV/0!</v>
      </c>
      <c r="N20" s="63"/>
      <c r="O20" s="298"/>
      <c r="P20" s="299"/>
      <c r="R20" s="84" t="s">
        <v>139</v>
      </c>
      <c r="S20" s="85">
        <v>70</v>
      </c>
      <c r="U20" s="84" t="s">
        <v>139</v>
      </c>
      <c r="V20" s="85">
        <v>116</v>
      </c>
    </row>
    <row r="21" spans="2:22">
      <c r="B21" s="74">
        <v>45526</v>
      </c>
      <c r="C21" s="15">
        <v>3</v>
      </c>
      <c r="D21" s="76">
        <v>45531</v>
      </c>
      <c r="E21" s="11">
        <v>20</v>
      </c>
      <c r="F21" s="37">
        <v>1200</v>
      </c>
      <c r="G21" s="79">
        <f t="shared" si="2"/>
        <v>60</v>
      </c>
      <c r="H21" s="47">
        <v>45436</v>
      </c>
      <c r="I21" s="19" t="s">
        <v>92</v>
      </c>
      <c r="J21" s="41">
        <f>3940+3970</f>
        <v>7910</v>
      </c>
      <c r="N21" s="63"/>
      <c r="O21" s="298"/>
      <c r="P21" s="299"/>
      <c r="R21" s="84" t="s">
        <v>141</v>
      </c>
      <c r="S21" s="85">
        <v>120</v>
      </c>
      <c r="U21" s="84" t="s">
        <v>141</v>
      </c>
      <c r="V21" s="85">
        <v>150</v>
      </c>
    </row>
    <row r="22" spans="2:22">
      <c r="B22" s="74">
        <v>45531</v>
      </c>
      <c r="C22" s="15">
        <v>4</v>
      </c>
      <c r="D22" s="76">
        <v>45534</v>
      </c>
      <c r="E22" s="11">
        <v>36</v>
      </c>
      <c r="F22" s="37">
        <v>4030</v>
      </c>
      <c r="G22" s="79">
        <f t="shared" si="2"/>
        <v>111.94444444444444</v>
      </c>
      <c r="H22" s="47">
        <v>45440</v>
      </c>
      <c r="I22" s="20" t="s">
        <v>29</v>
      </c>
      <c r="J22" s="41">
        <v>4990</v>
      </c>
      <c r="N22" s="63"/>
      <c r="O22" s="298"/>
      <c r="P22" s="299"/>
      <c r="R22" s="84" t="s">
        <v>151</v>
      </c>
      <c r="S22" s="85">
        <v>120</v>
      </c>
      <c r="U22" s="84" t="s">
        <v>151</v>
      </c>
      <c r="V22" s="85">
        <v>120</v>
      </c>
    </row>
    <row r="23" spans="2:22">
      <c r="B23" s="74">
        <v>45538</v>
      </c>
      <c r="C23" s="15">
        <v>4</v>
      </c>
      <c r="D23" s="76">
        <v>45534</v>
      </c>
      <c r="E23" s="11">
        <v>35</v>
      </c>
      <c r="F23" s="37">
        <v>3920</v>
      </c>
      <c r="G23" s="79">
        <f t="shared" si="2"/>
        <v>112</v>
      </c>
      <c r="H23" s="47">
        <v>45443</v>
      </c>
      <c r="I23" s="20" t="s">
        <v>29</v>
      </c>
      <c r="J23" s="41">
        <f>3030+5040</f>
        <v>8070</v>
      </c>
      <c r="M23" s="25"/>
      <c r="N23" s="63"/>
      <c r="O23" s="298"/>
      <c r="P23" s="299"/>
      <c r="R23" s="84" t="s">
        <v>153</v>
      </c>
      <c r="S23" s="85">
        <v>90</v>
      </c>
      <c r="U23" s="84" t="s">
        <v>153</v>
      </c>
      <c r="V23" s="85">
        <v>100</v>
      </c>
    </row>
    <row r="24" spans="2:22">
      <c r="B24" s="74"/>
      <c r="C24" s="15">
        <v>14</v>
      </c>
      <c r="D24" s="76"/>
      <c r="E24" s="11"/>
      <c r="F24" s="37"/>
      <c r="G24" s="79" t="e">
        <f t="shared" si="2"/>
        <v>#DIV/0!</v>
      </c>
      <c r="H24" s="47">
        <v>45446</v>
      </c>
      <c r="I24" s="20" t="s">
        <v>29</v>
      </c>
      <c r="J24" s="41">
        <v>3900</v>
      </c>
      <c r="N24" s="63"/>
      <c r="O24" s="298"/>
      <c r="P24" s="299"/>
      <c r="R24" s="84" t="s">
        <v>156</v>
      </c>
      <c r="S24" s="85">
        <v>100</v>
      </c>
      <c r="U24" s="84" t="s">
        <v>156</v>
      </c>
      <c r="V24" s="85"/>
    </row>
    <row r="25" spans="2:22">
      <c r="B25" s="74"/>
      <c r="C25" s="15"/>
      <c r="D25" s="76">
        <v>45541</v>
      </c>
      <c r="E25" s="11">
        <v>62</v>
      </c>
      <c r="F25" s="37">
        <v>6970</v>
      </c>
      <c r="G25" s="79">
        <f t="shared" si="2"/>
        <v>112.41935483870968</v>
      </c>
      <c r="H25" s="47">
        <v>45450</v>
      </c>
      <c r="I25" s="20" t="s">
        <v>29</v>
      </c>
      <c r="J25" s="41">
        <v>12120</v>
      </c>
      <c r="N25" s="63"/>
      <c r="O25" s="298"/>
      <c r="P25" s="299"/>
      <c r="R25" s="84" t="s">
        <v>36</v>
      </c>
      <c r="S25" s="85">
        <v>50</v>
      </c>
      <c r="U25" s="84" t="s">
        <v>36</v>
      </c>
      <c r="V25" s="85"/>
    </row>
    <row r="26" spans="2:22">
      <c r="B26" s="74"/>
      <c r="C26" s="15"/>
      <c r="D26" s="76">
        <v>45545</v>
      </c>
      <c r="E26" s="11">
        <v>78</v>
      </c>
      <c r="F26" s="37">
        <v>8070</v>
      </c>
      <c r="G26" s="79">
        <f t="shared" si="2"/>
        <v>103.46153846153847</v>
      </c>
      <c r="H26" s="47">
        <v>45456</v>
      </c>
      <c r="I26" s="20" t="s">
        <v>29</v>
      </c>
      <c r="J26" s="41">
        <v>5010</v>
      </c>
      <c r="N26" s="64"/>
      <c r="O26" s="298"/>
      <c r="P26" s="299"/>
      <c r="R26" s="84"/>
      <c r="S26" s="85"/>
      <c r="U26" s="84"/>
      <c r="V26" s="85"/>
    </row>
    <row r="27" spans="2:22">
      <c r="B27" s="74"/>
      <c r="C27" s="15"/>
      <c r="D27" s="76">
        <v>45545</v>
      </c>
      <c r="E27" s="11">
        <v>73</v>
      </c>
      <c r="F27" s="37">
        <v>7560</v>
      </c>
      <c r="G27" s="79">
        <f t="shared" si="2"/>
        <v>103.56164383561644</v>
      </c>
      <c r="H27" s="47">
        <v>45460</v>
      </c>
      <c r="I27" s="20" t="s">
        <v>29</v>
      </c>
      <c r="J27" s="41">
        <f>5040+5040+2010</f>
        <v>12090</v>
      </c>
      <c r="L27" s="69">
        <f>M8-E21</f>
        <v>814</v>
      </c>
      <c r="N27" s="64"/>
      <c r="O27" s="298"/>
      <c r="P27" s="299"/>
      <c r="R27" s="84"/>
      <c r="S27" s="85"/>
      <c r="U27" s="84"/>
      <c r="V27" s="85"/>
    </row>
    <row r="28" spans="2:22">
      <c r="B28" s="14"/>
      <c r="C28" s="15"/>
      <c r="D28" s="76">
        <v>45554</v>
      </c>
      <c r="E28" s="11">
        <v>49</v>
      </c>
      <c r="F28" s="37">
        <v>5520</v>
      </c>
      <c r="G28" s="79">
        <f t="shared" si="2"/>
        <v>112.65306122448979</v>
      </c>
      <c r="H28" s="47">
        <v>45464</v>
      </c>
      <c r="I28" s="19" t="s">
        <v>92</v>
      </c>
      <c r="J28" s="41">
        <v>5010</v>
      </c>
      <c r="N28" s="64"/>
      <c r="O28" s="298"/>
      <c r="P28" s="299"/>
      <c r="R28" s="84"/>
      <c r="S28" s="85"/>
      <c r="U28" s="84"/>
      <c r="V28" s="85"/>
    </row>
    <row r="29" spans="2:22">
      <c r="B29" s="14"/>
      <c r="C29" s="15"/>
      <c r="D29" s="11"/>
      <c r="E29" s="11"/>
      <c r="F29" s="37"/>
      <c r="G29" s="79" t="e">
        <f t="shared" si="2"/>
        <v>#DIV/0!</v>
      </c>
      <c r="H29" s="47">
        <v>45468</v>
      </c>
      <c r="I29" s="19" t="s">
        <v>92</v>
      </c>
      <c r="J29" s="41">
        <f>4020+6090</f>
        <v>10110</v>
      </c>
      <c r="N29" s="64"/>
      <c r="O29" s="298"/>
      <c r="P29" s="299"/>
      <c r="R29" s="84"/>
      <c r="S29" s="85"/>
      <c r="U29" s="84"/>
      <c r="V29" s="85"/>
    </row>
    <row r="30" spans="2:22">
      <c r="B30" s="14"/>
      <c r="C30" s="15"/>
      <c r="D30" s="11"/>
      <c r="E30" s="11"/>
      <c r="F30" s="37"/>
      <c r="G30" s="79" t="e">
        <f t="shared" si="2"/>
        <v>#DIV/0!</v>
      </c>
      <c r="H30" s="47">
        <v>45470</v>
      </c>
      <c r="I30" s="19" t="s">
        <v>92</v>
      </c>
      <c r="J30" s="41">
        <f>6050+2010</f>
        <v>8060</v>
      </c>
      <c r="N30" s="64"/>
      <c r="O30" s="298"/>
      <c r="P30" s="299"/>
      <c r="R30" s="84"/>
      <c r="S30" s="85"/>
      <c r="U30" s="84"/>
      <c r="V30" s="85"/>
    </row>
    <row r="31" spans="2:22">
      <c r="B31" s="14"/>
      <c r="C31" s="15"/>
      <c r="D31" s="11"/>
      <c r="E31" s="11"/>
      <c r="F31" s="37"/>
      <c r="G31" s="79" t="e">
        <f t="shared" si="2"/>
        <v>#DIV/0!</v>
      </c>
      <c r="H31" s="47">
        <v>45474</v>
      </c>
      <c r="I31" s="20" t="s">
        <v>29</v>
      </c>
      <c r="J31" s="41">
        <v>1980</v>
      </c>
      <c r="N31" s="64"/>
      <c r="O31" s="298"/>
      <c r="P31" s="299"/>
      <c r="R31" s="84"/>
      <c r="S31" s="85"/>
      <c r="U31" s="84"/>
      <c r="V31" s="85"/>
    </row>
    <row r="32" spans="2:22" ht="18" thickBot="1">
      <c r="B32" s="14"/>
      <c r="C32" s="15"/>
      <c r="D32" s="11"/>
      <c r="E32" s="11"/>
      <c r="F32" s="37"/>
      <c r="G32" s="79" t="e">
        <f t="shared" si="2"/>
        <v>#DIV/0!</v>
      </c>
      <c r="H32" s="47">
        <v>45474</v>
      </c>
      <c r="I32" s="20" t="s">
        <v>127</v>
      </c>
      <c r="J32" s="41">
        <v>5030</v>
      </c>
      <c r="N32" s="64"/>
      <c r="O32" s="298"/>
      <c r="P32" s="299"/>
      <c r="R32" s="86"/>
      <c r="S32" s="87"/>
      <c r="U32" s="86"/>
      <c r="V32" s="87"/>
    </row>
    <row r="33" spans="2:16" ht="18" thickTop="1">
      <c r="B33" s="14"/>
      <c r="C33" s="15"/>
      <c r="D33" s="11"/>
      <c r="E33" s="11"/>
      <c r="F33" s="37"/>
      <c r="G33" s="79" t="e">
        <f t="shared" si="2"/>
        <v>#DIV/0!</v>
      </c>
      <c r="H33" s="47">
        <v>45474</v>
      </c>
      <c r="I33" s="20" t="s">
        <v>29</v>
      </c>
      <c r="J33" s="41">
        <v>1980</v>
      </c>
      <c r="N33" s="64"/>
      <c r="O33" s="298"/>
      <c r="P33" s="299"/>
    </row>
    <row r="34" spans="2:16">
      <c r="B34" s="14"/>
      <c r="C34" s="15"/>
      <c r="D34" s="11"/>
      <c r="E34" s="11"/>
      <c r="F34" s="37"/>
      <c r="G34" s="79" t="e">
        <f t="shared" si="2"/>
        <v>#DIV/0!</v>
      </c>
      <c r="H34" s="47">
        <v>45478</v>
      </c>
      <c r="I34" s="20" t="s">
        <v>127</v>
      </c>
      <c r="J34" s="41">
        <v>5030</v>
      </c>
      <c r="N34" s="64"/>
      <c r="O34" s="298"/>
      <c r="P34" s="299"/>
    </row>
    <row r="35" spans="2:16">
      <c r="B35" s="14"/>
      <c r="C35" s="15"/>
      <c r="D35" s="11"/>
      <c r="E35" s="11"/>
      <c r="F35" s="37"/>
      <c r="G35" s="79" t="e">
        <f t="shared" si="2"/>
        <v>#DIV/0!</v>
      </c>
      <c r="H35" s="47">
        <v>45478</v>
      </c>
      <c r="I35" s="20" t="s">
        <v>127</v>
      </c>
      <c r="J35" s="41">
        <v>3040</v>
      </c>
      <c r="N35" s="64"/>
      <c r="O35" s="298"/>
      <c r="P35" s="299"/>
    </row>
    <row r="36" spans="2:16">
      <c r="B36" s="14"/>
      <c r="C36" s="15"/>
      <c r="D36" s="11"/>
      <c r="E36" s="11"/>
      <c r="F36" s="37"/>
      <c r="G36" s="79" t="e">
        <f t="shared" si="2"/>
        <v>#DIV/0!</v>
      </c>
      <c r="H36" s="47">
        <v>45478</v>
      </c>
      <c r="I36" s="20" t="s">
        <v>127</v>
      </c>
      <c r="J36" s="41">
        <v>5020</v>
      </c>
      <c r="N36" s="64"/>
      <c r="O36" s="298"/>
      <c r="P36" s="299"/>
    </row>
    <row r="37" spans="2:16">
      <c r="B37" s="14"/>
      <c r="C37" s="15"/>
      <c r="D37" s="11"/>
      <c r="E37" s="11"/>
      <c r="F37" s="37"/>
      <c r="G37" s="79" t="e">
        <f t="shared" si="2"/>
        <v>#DIV/0!</v>
      </c>
      <c r="H37" s="47">
        <v>45484</v>
      </c>
      <c r="I37" s="20" t="s">
        <v>127</v>
      </c>
      <c r="J37" s="41">
        <v>5030</v>
      </c>
      <c r="N37" s="64"/>
      <c r="O37" s="298"/>
      <c r="P37" s="299"/>
    </row>
    <row r="38" spans="2:16">
      <c r="B38" s="14"/>
      <c r="C38" s="15"/>
      <c r="D38" s="11"/>
      <c r="E38" s="11"/>
      <c r="F38" s="37"/>
      <c r="G38" s="79" t="e">
        <f t="shared" si="2"/>
        <v>#DIV/0!</v>
      </c>
      <c r="H38" s="47">
        <v>45485</v>
      </c>
      <c r="I38" s="19" t="s">
        <v>92</v>
      </c>
      <c r="J38" s="41">
        <v>5000</v>
      </c>
      <c r="N38" s="64"/>
      <c r="O38" s="298"/>
      <c r="P38" s="299"/>
    </row>
    <row r="39" spans="2:16">
      <c r="B39" s="14"/>
      <c r="C39" s="15"/>
      <c r="D39" s="11"/>
      <c r="E39" s="11"/>
      <c r="F39" s="37"/>
      <c r="G39" s="79" t="e">
        <f t="shared" si="2"/>
        <v>#DIV/0!</v>
      </c>
      <c r="H39" s="47">
        <v>45485</v>
      </c>
      <c r="I39" s="19" t="s">
        <v>92</v>
      </c>
      <c r="J39" s="41">
        <v>10040</v>
      </c>
      <c r="N39" s="64"/>
      <c r="O39" s="298"/>
      <c r="P39" s="299"/>
    </row>
    <row r="40" spans="2:16">
      <c r="B40" s="14"/>
      <c r="C40" s="15"/>
      <c r="D40" s="11"/>
      <c r="E40" s="11"/>
      <c r="F40" s="37"/>
      <c r="G40" s="79" t="e">
        <f t="shared" si="2"/>
        <v>#DIV/0!</v>
      </c>
      <c r="H40" s="47">
        <v>45490</v>
      </c>
      <c r="I40" s="19" t="s">
        <v>28</v>
      </c>
      <c r="J40" s="41">
        <v>5930</v>
      </c>
      <c r="N40" s="64"/>
      <c r="O40" s="298"/>
      <c r="P40" s="299"/>
    </row>
    <row r="41" spans="2:16">
      <c r="B41" s="14"/>
      <c r="C41" s="15"/>
      <c r="D41" s="11"/>
      <c r="E41" s="11"/>
      <c r="F41" s="37"/>
      <c r="G41" s="79" t="e">
        <f t="shared" si="2"/>
        <v>#DIV/0!</v>
      </c>
      <c r="H41" s="47">
        <v>45495</v>
      </c>
      <c r="I41" s="19" t="s">
        <v>28</v>
      </c>
      <c r="J41" s="41">
        <v>4930</v>
      </c>
      <c r="N41" s="64"/>
      <c r="O41" s="298"/>
      <c r="P41" s="299"/>
    </row>
    <row r="42" spans="2:16">
      <c r="B42" s="14"/>
      <c r="C42" s="15"/>
      <c r="D42" s="11"/>
      <c r="E42" s="11"/>
      <c r="F42" s="37"/>
      <c r="G42" s="79" t="e">
        <f t="shared" si="2"/>
        <v>#DIV/0!</v>
      </c>
      <c r="H42" s="47">
        <v>45495</v>
      </c>
      <c r="I42" s="19" t="s">
        <v>28</v>
      </c>
      <c r="J42" s="41">
        <v>4910</v>
      </c>
      <c r="N42" s="64"/>
      <c r="O42" s="298"/>
      <c r="P42" s="299"/>
    </row>
    <row r="43" spans="2:16">
      <c r="B43" s="14"/>
      <c r="C43" s="15"/>
      <c r="D43" s="11"/>
      <c r="E43" s="11"/>
      <c r="F43" s="37"/>
      <c r="G43" s="79" t="e">
        <f t="shared" si="2"/>
        <v>#DIV/0!</v>
      </c>
      <c r="H43" s="47">
        <v>45499</v>
      </c>
      <c r="I43" s="19" t="s">
        <v>28</v>
      </c>
      <c r="J43" s="41">
        <v>4920</v>
      </c>
      <c r="N43" s="64"/>
      <c r="O43" s="298"/>
      <c r="P43" s="299"/>
    </row>
    <row r="44" spans="2:16">
      <c r="B44" s="14"/>
      <c r="C44" s="15"/>
      <c r="D44" s="11"/>
      <c r="E44" s="11"/>
      <c r="F44" s="37"/>
      <c r="G44" s="79" t="e">
        <f t="shared" si="2"/>
        <v>#DIV/0!</v>
      </c>
      <c r="H44" s="47">
        <v>45499</v>
      </c>
      <c r="I44" s="19" t="s">
        <v>28</v>
      </c>
      <c r="J44" s="41">
        <v>5980</v>
      </c>
      <c r="N44" s="64"/>
      <c r="O44" s="298"/>
      <c r="P44" s="299"/>
    </row>
    <row r="45" spans="2:16">
      <c r="B45" s="14"/>
      <c r="C45" s="15"/>
      <c r="D45" s="11"/>
      <c r="E45" s="11"/>
      <c r="F45" s="37"/>
      <c r="G45" s="79" t="e">
        <f t="shared" si="2"/>
        <v>#DIV/0!</v>
      </c>
      <c r="H45" s="47">
        <v>45506</v>
      </c>
      <c r="I45" s="19" t="s">
        <v>28</v>
      </c>
      <c r="J45" s="41">
        <v>2950</v>
      </c>
      <c r="N45" s="64"/>
      <c r="O45" s="298"/>
      <c r="P45" s="299"/>
    </row>
    <row r="46" spans="2:16">
      <c r="B46" s="14"/>
      <c r="C46" s="15"/>
      <c r="D46" s="11"/>
      <c r="E46" s="11"/>
      <c r="F46" s="37"/>
      <c r="G46" s="37"/>
      <c r="H46" s="47">
        <v>45506</v>
      </c>
      <c r="I46" s="19" t="s">
        <v>28</v>
      </c>
      <c r="J46" s="41">
        <v>3040</v>
      </c>
      <c r="N46" s="64"/>
      <c r="O46" s="298"/>
      <c r="P46" s="299"/>
    </row>
    <row r="47" spans="2:16">
      <c r="B47" s="14"/>
      <c r="C47" s="15"/>
      <c r="D47" s="11"/>
      <c r="E47" s="11"/>
      <c r="F47" s="37"/>
      <c r="G47" s="37"/>
      <c r="H47" s="47">
        <v>45506</v>
      </c>
      <c r="I47" s="19" t="s">
        <v>28</v>
      </c>
      <c r="J47" s="41">
        <v>5910</v>
      </c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47">
        <v>45513</v>
      </c>
      <c r="I48" s="20" t="s">
        <v>127</v>
      </c>
      <c r="J48" s="41">
        <v>2020</v>
      </c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>
        <v>45513</v>
      </c>
      <c r="I49" s="20" t="s">
        <v>127</v>
      </c>
      <c r="J49" s="41">
        <v>4030</v>
      </c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>
        <v>45513</v>
      </c>
      <c r="I50" s="20" t="s">
        <v>127</v>
      </c>
      <c r="J50" s="41">
        <v>4040</v>
      </c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44</v>
      </c>
      <c r="D59" s="8"/>
      <c r="E59" s="8">
        <f>SUM(E12:E58)</f>
        <v>834</v>
      </c>
      <c r="F59" s="39">
        <f>SUM(F12:F58)</f>
        <v>90470</v>
      </c>
      <c r="G59" s="71">
        <f>F59/E59</f>
        <v>108.47721822541966</v>
      </c>
      <c r="H59" s="8"/>
      <c r="I59" s="8"/>
      <c r="J59" s="43">
        <f>SUM(J12:J58)</f>
        <v>232210</v>
      </c>
      <c r="N59" s="65"/>
      <c r="O59" s="300"/>
      <c r="P59" s="301"/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34:P34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43:P43"/>
    <mergeCell ref="O44:P44"/>
    <mergeCell ref="O45:P45"/>
    <mergeCell ref="O46:P46"/>
    <mergeCell ref="O35:P35"/>
    <mergeCell ref="O38:P38"/>
    <mergeCell ref="O39:P39"/>
    <mergeCell ref="O40:P40"/>
    <mergeCell ref="O41:P41"/>
    <mergeCell ref="O42:P42"/>
    <mergeCell ref="U10:V10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8"/>
  <sheetViews>
    <sheetView showGridLines="0" workbookViewId="0">
      <selection activeCell="L12" sqref="L12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14.0976562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1" ht="18" thickBot="1">
      <c r="A1" t="s">
        <v>27</v>
      </c>
      <c r="B1" s="51" t="s">
        <v>31</v>
      </c>
      <c r="E1" s="73">
        <f ca="1">TODAY()</f>
        <v>46325</v>
      </c>
      <c r="F1">
        <f ca="1">E1-B4</f>
        <v>1094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R2">
        <v>903</v>
      </c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835</v>
      </c>
    </row>
    <row r="4" spans="1:21">
      <c r="B4" s="27">
        <v>45231</v>
      </c>
      <c r="C4" s="30">
        <v>903</v>
      </c>
      <c r="D4" s="36">
        <v>21080</v>
      </c>
      <c r="E4" s="70">
        <f>D4/C4</f>
        <v>23.344407530454042</v>
      </c>
      <c r="F4" s="315">
        <f>C8-P8</f>
        <v>876</v>
      </c>
      <c r="G4" s="318">
        <f>D8-(D8/C8*P8)</f>
        <v>20449.70099667774</v>
      </c>
      <c r="H4" s="327">
        <f>G4/F4</f>
        <v>23.344407530454042</v>
      </c>
      <c r="I4" s="321" t="s">
        <v>33</v>
      </c>
      <c r="J4" s="1">
        <f>B4+90</f>
        <v>45321</v>
      </c>
      <c r="K4" s="323">
        <f>C58</f>
        <v>265</v>
      </c>
      <c r="L4" s="325">
        <f>K8/F8</f>
        <v>0.30251141552511418</v>
      </c>
      <c r="M4" s="323">
        <f>E58</f>
        <v>779</v>
      </c>
      <c r="N4" s="323">
        <f>F8-C58-E58</f>
        <v>-168</v>
      </c>
      <c r="O4" s="22">
        <v>45231</v>
      </c>
      <c r="P4" s="33">
        <v>27</v>
      </c>
      <c r="Q4">
        <f>2+1+1+1+1+3+1+4+1+3+2+2+2+1+3+4+3+5+2+2+1+2+3+1+2+2+9+4</f>
        <v>68</v>
      </c>
    </row>
    <row r="5" spans="1:21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21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1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1" ht="18" thickBot="1">
      <c r="B8" s="9" t="s">
        <v>10</v>
      </c>
      <c r="C8" s="32">
        <f>SUM(C4:C7)</f>
        <v>903</v>
      </c>
      <c r="D8" s="39">
        <f>SUM(D4:D7)</f>
        <v>21080</v>
      </c>
      <c r="E8" s="71">
        <f>D8/C8</f>
        <v>23.344407530454042</v>
      </c>
      <c r="F8" s="32">
        <f>SUM(F4)</f>
        <v>876</v>
      </c>
      <c r="G8" s="39">
        <f>SUM(G4)</f>
        <v>20449.70099667774</v>
      </c>
      <c r="H8" s="71">
        <f>G8/F8</f>
        <v>23.344407530454042</v>
      </c>
      <c r="I8" s="8"/>
      <c r="J8" s="8"/>
      <c r="K8" s="32">
        <f>K4</f>
        <v>265</v>
      </c>
      <c r="L8" s="26">
        <f>L4</f>
        <v>0.30251141552511418</v>
      </c>
      <c r="M8" s="32">
        <f>M4</f>
        <v>779</v>
      </c>
      <c r="N8" s="32">
        <f>N4</f>
        <v>-168</v>
      </c>
      <c r="O8" s="46">
        <f>P8/C8</f>
        <v>2.9900332225913623E-2</v>
      </c>
      <c r="P8" s="35">
        <f>SUM(P4:P7)</f>
        <v>27</v>
      </c>
      <c r="Q8" s="69">
        <f>P8-Q4</f>
        <v>-41</v>
      </c>
    </row>
    <row r="9" spans="1:21" ht="18" thickBot="1">
      <c r="G9">
        <v>20459</v>
      </c>
      <c r="I9">
        <f>F8*0.95</f>
        <v>832.19999999999993</v>
      </c>
      <c r="U9">
        <f>3600</f>
        <v>3600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>
        <v>168</v>
      </c>
    </row>
    <row r="11" spans="1:21" ht="18" thickBot="1">
      <c r="B11" s="9" t="s">
        <v>0</v>
      </c>
      <c r="C11" s="93" t="s">
        <v>1</v>
      </c>
      <c r="D11" s="93" t="s">
        <v>0</v>
      </c>
      <c r="E11" s="93" t="s">
        <v>1</v>
      </c>
      <c r="F11" s="93" t="s">
        <v>2</v>
      </c>
      <c r="G11" s="93" t="s">
        <v>3</v>
      </c>
      <c r="H11" s="93" t="s">
        <v>0</v>
      </c>
      <c r="I11" s="93" t="s">
        <v>15</v>
      </c>
      <c r="J11" s="93" t="s">
        <v>16</v>
      </c>
      <c r="K11" s="56" t="s">
        <v>15</v>
      </c>
      <c r="L11" s="93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>
        <f>U10/U9</f>
        <v>4.6666666666666669E-2</v>
      </c>
    </row>
    <row r="12" spans="1:21">
      <c r="B12" s="45">
        <v>45234</v>
      </c>
      <c r="C12" s="13">
        <v>7</v>
      </c>
      <c r="D12" s="75">
        <v>45337</v>
      </c>
      <c r="E12" s="10">
        <v>53</v>
      </c>
      <c r="F12" s="44">
        <v>5960</v>
      </c>
      <c r="G12" s="79">
        <f>F12/E12</f>
        <v>112.45283018867924</v>
      </c>
      <c r="H12" s="18">
        <v>45231</v>
      </c>
      <c r="I12" s="19" t="s">
        <v>28</v>
      </c>
      <c r="J12" s="61">
        <v>5040</v>
      </c>
      <c r="K12" s="57" t="s">
        <v>18</v>
      </c>
      <c r="L12" s="52">
        <f>SUMIF($I$12:$I$123,K12,$J$12:$J$123)</f>
        <v>48080</v>
      </c>
      <c r="M12" s="48">
        <f>L12/$C$8</f>
        <v>53.244739756367665</v>
      </c>
      <c r="N12" s="66"/>
      <c r="O12" s="310"/>
      <c r="P12" s="311"/>
      <c r="R12" s="84" t="s">
        <v>52</v>
      </c>
      <c r="S12" s="85">
        <v>53</v>
      </c>
    </row>
    <row r="13" spans="1:21">
      <c r="B13" s="45">
        <v>45236</v>
      </c>
      <c r="C13" s="13">
        <v>3</v>
      </c>
      <c r="D13" s="76">
        <v>45343</v>
      </c>
      <c r="E13" s="11">
        <v>40</v>
      </c>
      <c r="F13" s="37">
        <v>4490</v>
      </c>
      <c r="G13" s="79">
        <f t="shared" ref="G13:G30" si="0">F13/E13</f>
        <v>112.25</v>
      </c>
      <c r="H13" s="47">
        <v>45234</v>
      </c>
      <c r="I13" s="19" t="s">
        <v>28</v>
      </c>
      <c r="J13" s="62">
        <v>10050</v>
      </c>
      <c r="K13" s="58" t="s">
        <v>25</v>
      </c>
      <c r="L13" s="53">
        <f t="shared" ref="L13:L14" si="1">SUMIF($I$12:$I$123,K13,$J$12:$J$123)</f>
        <v>79470</v>
      </c>
      <c r="M13" s="49">
        <f t="shared" ref="M13:M14" si="2">L13/$C$8</f>
        <v>88.006644518272424</v>
      </c>
      <c r="N13" s="1"/>
      <c r="O13" s="312"/>
      <c r="P13" s="313"/>
      <c r="R13" s="84" t="s">
        <v>54</v>
      </c>
      <c r="S13" s="85">
        <v>40</v>
      </c>
    </row>
    <row r="14" spans="1:21" ht="18" thickBot="1">
      <c r="B14" s="74">
        <v>45240</v>
      </c>
      <c r="C14" s="15">
        <v>4</v>
      </c>
      <c r="D14" s="76">
        <v>45348</v>
      </c>
      <c r="E14" s="11">
        <v>13</v>
      </c>
      <c r="F14" s="37">
        <f>7060/68*E14</f>
        <v>1349.7058823529412</v>
      </c>
      <c r="G14" s="79">
        <f t="shared" si="0"/>
        <v>103.82352941176471</v>
      </c>
      <c r="H14" s="47">
        <v>45245</v>
      </c>
      <c r="I14" s="19" t="s">
        <v>28</v>
      </c>
      <c r="J14" s="62">
        <v>10010</v>
      </c>
      <c r="K14" s="59" t="s">
        <v>26</v>
      </c>
      <c r="L14" s="54">
        <f t="shared" si="1"/>
        <v>69970</v>
      </c>
      <c r="M14" s="50">
        <f t="shared" si="2"/>
        <v>77.486157253599117</v>
      </c>
      <c r="N14" s="1"/>
      <c r="O14" s="298"/>
      <c r="P14" s="299"/>
      <c r="R14" s="84" t="s">
        <v>56</v>
      </c>
      <c r="S14" s="85">
        <v>13</v>
      </c>
    </row>
    <row r="15" spans="1:21" ht="18" thickBot="1">
      <c r="B15" s="74">
        <v>45242</v>
      </c>
      <c r="C15" s="15">
        <v>5</v>
      </c>
      <c r="D15" s="76">
        <v>45358</v>
      </c>
      <c r="E15" s="11">
        <v>60</v>
      </c>
      <c r="F15" s="37">
        <v>6720</v>
      </c>
      <c r="G15" s="79">
        <f t="shared" si="0"/>
        <v>112</v>
      </c>
      <c r="H15" s="47">
        <v>45255</v>
      </c>
      <c r="I15" s="19" t="s">
        <v>28</v>
      </c>
      <c r="J15" s="62">
        <v>10030</v>
      </c>
      <c r="K15" s="60" t="s">
        <v>21</v>
      </c>
      <c r="L15" s="55">
        <f>SUM(L12:L14)</f>
        <v>197520</v>
      </c>
      <c r="M15" s="40">
        <f>L15/C8</f>
        <v>218.73754152823921</v>
      </c>
      <c r="N15" s="1"/>
      <c r="O15" s="298"/>
      <c r="P15" s="299"/>
      <c r="R15" s="84" t="s">
        <v>60</v>
      </c>
      <c r="S15" s="85"/>
    </row>
    <row r="16" spans="1:21">
      <c r="B16" s="74">
        <v>45251</v>
      </c>
      <c r="C16" s="15">
        <v>5</v>
      </c>
      <c r="D16" s="76">
        <v>45358</v>
      </c>
      <c r="E16" s="11">
        <v>61</v>
      </c>
      <c r="F16" s="37">
        <f>3460+3440</f>
        <v>6900</v>
      </c>
      <c r="G16" s="79">
        <f t="shared" si="0"/>
        <v>113.11475409836065</v>
      </c>
      <c r="H16" s="47">
        <v>45259</v>
      </c>
      <c r="I16" s="19" t="s">
        <v>28</v>
      </c>
      <c r="J16" s="62">
        <v>5040</v>
      </c>
      <c r="N16" s="63"/>
      <c r="O16" s="298"/>
      <c r="P16" s="299"/>
      <c r="R16" s="84" t="s">
        <v>61</v>
      </c>
      <c r="S16" s="85">
        <v>121</v>
      </c>
    </row>
    <row r="17" spans="2:19">
      <c r="B17" s="74">
        <v>45254</v>
      </c>
      <c r="C17" s="15">
        <v>5</v>
      </c>
      <c r="D17" s="76">
        <v>45364</v>
      </c>
      <c r="E17" s="11">
        <v>75</v>
      </c>
      <c r="F17" s="37">
        <f>4030+4700</f>
        <v>8730</v>
      </c>
      <c r="G17" s="79">
        <f t="shared" si="0"/>
        <v>116.4</v>
      </c>
      <c r="H17" s="47">
        <v>45266</v>
      </c>
      <c r="I17" s="20" t="s">
        <v>59</v>
      </c>
      <c r="J17" s="41">
        <v>5060</v>
      </c>
      <c r="N17" s="63"/>
      <c r="O17" s="298"/>
      <c r="P17" s="299"/>
      <c r="R17" s="84" t="s">
        <v>62</v>
      </c>
      <c r="S17" s="85">
        <v>150</v>
      </c>
    </row>
    <row r="18" spans="2:19">
      <c r="B18" s="74">
        <v>45258</v>
      </c>
      <c r="C18" s="15">
        <v>2</v>
      </c>
      <c r="D18" s="76">
        <v>45364</v>
      </c>
      <c r="E18" s="11">
        <v>75</v>
      </c>
      <c r="F18" s="37">
        <f>4520+3990</f>
        <v>8510</v>
      </c>
      <c r="G18" s="79">
        <f t="shared" si="0"/>
        <v>113.46666666666667</v>
      </c>
      <c r="H18" s="47">
        <v>45268</v>
      </c>
      <c r="I18" s="19" t="s">
        <v>28</v>
      </c>
      <c r="J18" s="41">
        <v>7910</v>
      </c>
      <c r="K18" t="s">
        <v>32</v>
      </c>
      <c r="L18" s="78">
        <f>J58/((I9*G58)-(G9))</f>
        <v>3.1928293801101701</v>
      </c>
      <c r="N18" s="63"/>
      <c r="O18" s="298"/>
      <c r="P18" s="299"/>
      <c r="R18" s="84" t="s">
        <v>63</v>
      </c>
      <c r="S18" s="85">
        <v>120</v>
      </c>
    </row>
    <row r="19" spans="2:19">
      <c r="B19" s="74">
        <v>45260</v>
      </c>
      <c r="C19" s="15">
        <v>2</v>
      </c>
      <c r="D19" s="76">
        <v>45369</v>
      </c>
      <c r="E19" s="11">
        <v>62</v>
      </c>
      <c r="F19" s="37">
        <v>6880</v>
      </c>
      <c r="G19" s="79">
        <f t="shared" si="0"/>
        <v>110.96774193548387</v>
      </c>
      <c r="H19" s="47">
        <v>45648</v>
      </c>
      <c r="I19" s="20" t="s">
        <v>25</v>
      </c>
      <c r="J19" s="41">
        <v>7950</v>
      </c>
      <c r="N19" s="63"/>
      <c r="O19" s="298"/>
      <c r="P19" s="299"/>
      <c r="R19" s="84" t="s">
        <v>64</v>
      </c>
      <c r="S19" s="85"/>
    </row>
    <row r="20" spans="2:19">
      <c r="B20" s="74">
        <v>45261</v>
      </c>
      <c r="C20" s="15">
        <v>1</v>
      </c>
      <c r="D20" s="76">
        <v>45369</v>
      </c>
      <c r="E20" s="11">
        <f>32+31</f>
        <v>63</v>
      </c>
      <c r="F20" s="37">
        <f>3590+3530</f>
        <v>7120</v>
      </c>
      <c r="G20" s="79">
        <f t="shared" si="0"/>
        <v>113.01587301587301</v>
      </c>
      <c r="H20" s="47">
        <v>45653</v>
      </c>
      <c r="I20" s="20" t="s">
        <v>25</v>
      </c>
      <c r="J20" s="41">
        <v>1990</v>
      </c>
      <c r="N20" s="63"/>
      <c r="O20" s="298"/>
      <c r="P20" s="299"/>
      <c r="R20" s="84" t="s">
        <v>85</v>
      </c>
      <c r="S20" s="85">
        <v>60</v>
      </c>
    </row>
    <row r="21" spans="2:19">
      <c r="B21" s="74">
        <v>45262</v>
      </c>
      <c r="C21" s="15">
        <v>2</v>
      </c>
      <c r="D21" s="76">
        <v>45383</v>
      </c>
      <c r="E21" s="11">
        <v>54</v>
      </c>
      <c r="F21" s="37">
        <v>6010</v>
      </c>
      <c r="G21" s="79">
        <f t="shared" si="0"/>
        <v>111.29629629629629</v>
      </c>
      <c r="H21" s="47">
        <v>45656</v>
      </c>
      <c r="I21" s="20" t="s">
        <v>25</v>
      </c>
      <c r="J21" s="41">
        <v>8140</v>
      </c>
      <c r="N21" s="63"/>
      <c r="O21" s="298"/>
      <c r="P21" s="299"/>
      <c r="R21" s="84" t="s">
        <v>86</v>
      </c>
      <c r="S21" s="85">
        <v>40</v>
      </c>
    </row>
    <row r="22" spans="2:19">
      <c r="B22" s="92">
        <v>45266</v>
      </c>
      <c r="C22" s="17">
        <v>1</v>
      </c>
      <c r="D22" s="76">
        <v>45397</v>
      </c>
      <c r="E22" s="11">
        <v>34</v>
      </c>
      <c r="F22" s="37">
        <f>7680/70*E22</f>
        <v>3730.2857142857142</v>
      </c>
      <c r="G22" s="79">
        <f t="shared" si="0"/>
        <v>109.71428571428571</v>
      </c>
      <c r="H22" s="47">
        <v>45297</v>
      </c>
      <c r="I22" s="20" t="s">
        <v>25</v>
      </c>
      <c r="J22" s="41">
        <v>12210</v>
      </c>
      <c r="M22" s="25"/>
      <c r="N22" s="63"/>
      <c r="O22" s="298"/>
      <c r="P22" s="299"/>
      <c r="R22" s="84"/>
      <c r="S22" s="85"/>
    </row>
    <row r="23" spans="2:19">
      <c r="B23" s="74">
        <v>45267</v>
      </c>
      <c r="C23" s="15">
        <v>2</v>
      </c>
      <c r="D23" s="76">
        <v>45399</v>
      </c>
      <c r="E23" s="11">
        <v>21</v>
      </c>
      <c r="F23" s="37">
        <v>1420</v>
      </c>
      <c r="G23" s="79">
        <f t="shared" si="0"/>
        <v>67.61904761904762</v>
      </c>
      <c r="H23" s="47">
        <v>45300</v>
      </c>
      <c r="I23" s="20" t="s">
        <v>26</v>
      </c>
      <c r="J23" s="41">
        <v>5040</v>
      </c>
      <c r="N23" s="63"/>
      <c r="O23" s="298"/>
      <c r="P23" s="299"/>
      <c r="R23" s="84"/>
      <c r="S23" s="85"/>
    </row>
    <row r="24" spans="2:19">
      <c r="B24" s="74">
        <v>45269</v>
      </c>
      <c r="C24" s="15">
        <v>3</v>
      </c>
      <c r="D24" s="11"/>
      <c r="E24" s="11"/>
      <c r="F24" s="37"/>
      <c r="G24" s="79" t="e">
        <f t="shared" si="0"/>
        <v>#DIV/0!</v>
      </c>
      <c r="H24" s="47">
        <v>45304</v>
      </c>
      <c r="I24" s="20" t="s">
        <v>25</v>
      </c>
      <c r="J24" s="41">
        <v>1610</v>
      </c>
      <c r="L24">
        <f>876</f>
        <v>876</v>
      </c>
      <c r="N24" s="63"/>
      <c r="O24" s="298"/>
      <c r="P24" s="299"/>
      <c r="R24" s="84"/>
      <c r="S24" s="85"/>
    </row>
    <row r="25" spans="2:19">
      <c r="B25" s="74">
        <v>45272</v>
      </c>
      <c r="C25" s="15">
        <v>1</v>
      </c>
      <c r="D25" s="11"/>
      <c r="E25" s="11"/>
      <c r="F25" s="37"/>
      <c r="G25" s="79" t="e">
        <f t="shared" si="0"/>
        <v>#DIV/0!</v>
      </c>
      <c r="H25" s="47">
        <v>45306</v>
      </c>
      <c r="I25" s="20" t="s">
        <v>25</v>
      </c>
      <c r="J25" s="41">
        <v>12200</v>
      </c>
      <c r="L25">
        <f>21/L24</f>
        <v>2.3972602739726026E-2</v>
      </c>
      <c r="N25" s="64"/>
      <c r="O25" s="298"/>
      <c r="P25" s="299"/>
      <c r="R25" s="84"/>
      <c r="S25" s="85"/>
    </row>
    <row r="26" spans="2:19">
      <c r="B26" s="74">
        <v>45274</v>
      </c>
      <c r="C26" s="15">
        <v>2</v>
      </c>
      <c r="D26" s="11"/>
      <c r="E26" s="11">
        <v>168</v>
      </c>
      <c r="F26" s="37">
        <f>E26*55</f>
        <v>9240</v>
      </c>
      <c r="G26" s="79">
        <f t="shared" si="0"/>
        <v>55</v>
      </c>
      <c r="H26" s="47">
        <v>45311</v>
      </c>
      <c r="I26" s="20" t="s">
        <v>25</v>
      </c>
      <c r="J26" s="41">
        <v>10210</v>
      </c>
      <c r="N26" s="64"/>
      <c r="O26" s="298"/>
      <c r="P26" s="299"/>
      <c r="R26" s="84"/>
      <c r="S26" s="85"/>
    </row>
    <row r="27" spans="2:19">
      <c r="B27" s="74">
        <v>45275</v>
      </c>
      <c r="C27" s="15">
        <v>168</v>
      </c>
      <c r="D27" s="11"/>
      <c r="E27" s="11"/>
      <c r="F27" s="37"/>
      <c r="G27" s="79" t="e">
        <f t="shared" si="0"/>
        <v>#DIV/0!</v>
      </c>
      <c r="H27" s="47">
        <v>45318</v>
      </c>
      <c r="I27" s="20" t="s">
        <v>25</v>
      </c>
      <c r="J27" s="41">
        <v>4990</v>
      </c>
      <c r="N27" s="64"/>
      <c r="O27" s="298"/>
      <c r="P27" s="299"/>
      <c r="R27" s="84"/>
      <c r="S27" s="85"/>
    </row>
    <row r="28" spans="2:19">
      <c r="B28" s="74">
        <v>45281</v>
      </c>
      <c r="C28" s="15">
        <v>2</v>
      </c>
      <c r="D28" s="11"/>
      <c r="E28" s="11"/>
      <c r="F28" s="37"/>
      <c r="G28" s="79" t="e">
        <f t="shared" si="0"/>
        <v>#DIV/0!</v>
      </c>
      <c r="H28" s="47">
        <v>45322</v>
      </c>
      <c r="I28" s="20" t="s">
        <v>26</v>
      </c>
      <c r="J28" s="41">
        <v>12200</v>
      </c>
      <c r="N28" s="64"/>
      <c r="O28" s="298"/>
      <c r="P28" s="299"/>
      <c r="R28" s="84"/>
      <c r="S28" s="85"/>
    </row>
    <row r="29" spans="2:19">
      <c r="B29" s="74">
        <v>45282</v>
      </c>
      <c r="C29" s="15">
        <v>2</v>
      </c>
      <c r="D29" s="11"/>
      <c r="E29" s="11"/>
      <c r="F29" s="37"/>
      <c r="G29" s="79" t="e">
        <f t="shared" si="0"/>
        <v>#DIV/0!</v>
      </c>
      <c r="H29" s="47">
        <v>45325</v>
      </c>
      <c r="I29" s="20" t="s">
        <v>26</v>
      </c>
      <c r="J29" s="41">
        <v>8100</v>
      </c>
      <c r="N29" s="64"/>
      <c r="O29" s="298"/>
      <c r="P29" s="299"/>
      <c r="R29" s="84"/>
      <c r="S29" s="85"/>
    </row>
    <row r="30" spans="2:19">
      <c r="B30" s="74">
        <v>45285</v>
      </c>
      <c r="C30" s="15">
        <v>4</v>
      </c>
      <c r="D30" s="11"/>
      <c r="E30" s="11"/>
      <c r="F30" s="37"/>
      <c r="G30" s="79" t="e">
        <f t="shared" si="0"/>
        <v>#DIV/0!</v>
      </c>
      <c r="H30" s="47">
        <v>45330</v>
      </c>
      <c r="I30" s="20" t="s">
        <v>26</v>
      </c>
      <c r="J30" s="41">
        <v>7140</v>
      </c>
      <c r="N30" s="64"/>
      <c r="O30" s="298"/>
      <c r="P30" s="299"/>
      <c r="R30" s="84"/>
      <c r="S30" s="85"/>
    </row>
    <row r="31" spans="2:19" ht="18" thickBot="1">
      <c r="B31" s="74">
        <v>45287</v>
      </c>
      <c r="C31" s="15">
        <v>1</v>
      </c>
      <c r="D31" s="11"/>
      <c r="E31" s="11"/>
      <c r="F31" s="37"/>
      <c r="G31" s="37"/>
      <c r="H31" s="47">
        <v>45336</v>
      </c>
      <c r="I31" s="20" t="s">
        <v>26</v>
      </c>
      <c r="J31" s="41">
        <v>6100</v>
      </c>
      <c r="N31" s="64"/>
      <c r="O31" s="298"/>
      <c r="P31" s="299"/>
      <c r="R31" s="86"/>
      <c r="S31" s="87"/>
    </row>
    <row r="32" spans="2:19" ht="18" thickTop="1">
      <c r="B32" s="74">
        <v>45299</v>
      </c>
      <c r="C32" s="15">
        <v>1</v>
      </c>
      <c r="D32" s="11"/>
      <c r="E32" s="11"/>
      <c r="F32" s="37"/>
      <c r="G32" s="37"/>
      <c r="H32" s="47">
        <v>45336</v>
      </c>
      <c r="I32" s="20" t="s">
        <v>26</v>
      </c>
      <c r="J32" s="41">
        <v>5050</v>
      </c>
      <c r="N32" s="64"/>
      <c r="O32" s="298"/>
      <c r="P32" s="299"/>
    </row>
    <row r="33" spans="2:16">
      <c r="B33" s="74">
        <v>45300</v>
      </c>
      <c r="C33" s="15">
        <v>2</v>
      </c>
      <c r="D33" s="11"/>
      <c r="E33" s="11"/>
      <c r="F33" s="37"/>
      <c r="G33" s="37"/>
      <c r="H33" s="47">
        <v>45341</v>
      </c>
      <c r="I33" s="20" t="s">
        <v>26</v>
      </c>
      <c r="J33" s="41">
        <v>6100</v>
      </c>
      <c r="N33" s="64"/>
      <c r="O33" s="298"/>
      <c r="P33" s="299"/>
    </row>
    <row r="34" spans="2:16">
      <c r="B34" s="74">
        <v>45301</v>
      </c>
      <c r="C34" s="15">
        <v>2</v>
      </c>
      <c r="D34" s="11"/>
      <c r="E34" s="11"/>
      <c r="F34" s="37"/>
      <c r="G34" s="37"/>
      <c r="H34" s="47">
        <v>45345</v>
      </c>
      <c r="I34" s="20" t="s">
        <v>26</v>
      </c>
      <c r="J34" s="41">
        <v>5030</v>
      </c>
      <c r="N34" s="64"/>
      <c r="O34" s="298"/>
      <c r="P34" s="299"/>
    </row>
    <row r="35" spans="2:16">
      <c r="B35" s="74">
        <v>45303</v>
      </c>
      <c r="C35" s="15">
        <v>1</v>
      </c>
      <c r="D35" s="11"/>
      <c r="E35" s="11"/>
      <c r="F35" s="37"/>
      <c r="G35" s="37"/>
      <c r="H35" s="47">
        <v>45345</v>
      </c>
      <c r="I35" s="20" t="s">
        <v>26</v>
      </c>
      <c r="J35" s="41">
        <v>5070</v>
      </c>
      <c r="N35" s="64"/>
      <c r="O35" s="298"/>
      <c r="P35" s="299"/>
    </row>
    <row r="36" spans="2:16">
      <c r="B36" s="74">
        <v>45304</v>
      </c>
      <c r="C36" s="15">
        <v>1</v>
      </c>
      <c r="D36" s="11"/>
      <c r="E36" s="11"/>
      <c r="F36" s="37"/>
      <c r="G36" s="37"/>
      <c r="H36" s="47">
        <v>45350</v>
      </c>
      <c r="I36" s="20" t="s">
        <v>25</v>
      </c>
      <c r="J36" s="41">
        <v>5070</v>
      </c>
      <c r="N36" s="64"/>
      <c r="O36" s="298"/>
      <c r="P36" s="299"/>
    </row>
    <row r="37" spans="2:16">
      <c r="B37" s="74">
        <v>45308</v>
      </c>
      <c r="C37" s="15">
        <v>2</v>
      </c>
      <c r="D37" s="11"/>
      <c r="E37" s="11"/>
      <c r="F37" s="37"/>
      <c r="G37" s="37"/>
      <c r="H37" s="47">
        <v>45352</v>
      </c>
      <c r="I37" s="20" t="s">
        <v>26</v>
      </c>
      <c r="J37" s="41">
        <v>5060</v>
      </c>
      <c r="N37" s="64"/>
      <c r="O37" s="298"/>
      <c r="P37" s="299"/>
    </row>
    <row r="38" spans="2:16">
      <c r="B38" s="74">
        <v>45310</v>
      </c>
      <c r="C38" s="15">
        <v>1</v>
      </c>
      <c r="D38" s="11"/>
      <c r="E38" s="11"/>
      <c r="F38" s="37"/>
      <c r="G38" s="37"/>
      <c r="H38" s="47">
        <v>45352</v>
      </c>
      <c r="I38" s="20" t="s">
        <v>25</v>
      </c>
      <c r="J38" s="41">
        <v>5010</v>
      </c>
      <c r="N38" s="64"/>
      <c r="O38" s="298"/>
      <c r="P38" s="299"/>
    </row>
    <row r="39" spans="2:16">
      <c r="B39" s="74">
        <v>45311</v>
      </c>
      <c r="C39" s="15">
        <v>3</v>
      </c>
      <c r="D39" s="11"/>
      <c r="E39" s="11"/>
      <c r="F39" s="37"/>
      <c r="G39" s="37"/>
      <c r="H39" s="47">
        <v>45369</v>
      </c>
      <c r="I39" s="20" t="s">
        <v>26</v>
      </c>
      <c r="J39" s="41">
        <v>5080</v>
      </c>
      <c r="N39" s="64"/>
      <c r="O39" s="298"/>
      <c r="P39" s="299"/>
    </row>
    <row r="40" spans="2:16">
      <c r="B40" s="74">
        <v>45320</v>
      </c>
      <c r="C40" s="15">
        <v>1</v>
      </c>
      <c r="D40" s="11"/>
      <c r="E40" s="11"/>
      <c r="F40" s="37"/>
      <c r="G40" s="37"/>
      <c r="H40" s="47">
        <v>45376</v>
      </c>
      <c r="I40" s="20" t="s">
        <v>25</v>
      </c>
      <c r="J40" s="41">
        <v>5030</v>
      </c>
      <c r="N40" s="64"/>
      <c r="O40" s="298"/>
      <c r="P40" s="299"/>
    </row>
    <row r="41" spans="2:16">
      <c r="B41" s="74">
        <v>45324</v>
      </c>
      <c r="C41" s="15">
        <v>2</v>
      </c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74">
        <v>45326</v>
      </c>
      <c r="C42" s="15">
        <v>2</v>
      </c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74">
        <v>45327</v>
      </c>
      <c r="C43" s="15">
        <v>1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74">
        <v>45328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74">
        <v>45331</v>
      </c>
      <c r="C45" s="15">
        <v>3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74">
        <v>45334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74">
        <v>45337</v>
      </c>
      <c r="C47" s="15">
        <v>1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45338</v>
      </c>
      <c r="C48" s="15">
        <v>2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45347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74">
        <v>45351</v>
      </c>
      <c r="C50" s="15">
        <v>2</v>
      </c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74">
        <v>45352</v>
      </c>
      <c r="C51" s="15">
        <v>2</v>
      </c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74">
        <v>45354</v>
      </c>
      <c r="C52" s="15">
        <v>2</v>
      </c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74">
        <v>45362</v>
      </c>
      <c r="C53" s="15">
        <v>1</v>
      </c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74">
        <v>45363</v>
      </c>
      <c r="C54" s="15">
        <v>1</v>
      </c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74">
        <v>45390</v>
      </c>
      <c r="C55" s="15">
        <v>1</v>
      </c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74">
        <v>45400</v>
      </c>
      <c r="C56" s="15">
        <v>5</v>
      </c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 ht="18" thickBot="1">
      <c r="B57" s="16"/>
      <c r="C57" s="17">
        <v>1</v>
      </c>
      <c r="D57" s="12"/>
      <c r="E57" s="12"/>
      <c r="F57" s="36"/>
      <c r="G57" s="36"/>
      <c r="H57" s="21"/>
      <c r="I57" s="21"/>
      <c r="J57" s="42"/>
      <c r="N57" s="64"/>
      <c r="O57" s="298"/>
      <c r="P57" s="299"/>
    </row>
    <row r="58" spans="2:16" ht="18" thickBot="1">
      <c r="B58" s="7"/>
      <c r="C58" s="8">
        <f>SUM(C12:C57)</f>
        <v>265</v>
      </c>
      <c r="D58" s="8"/>
      <c r="E58" s="8">
        <f>SUM(E12:E57)</f>
        <v>779</v>
      </c>
      <c r="F58" s="39">
        <f>SUM(F12:F57)</f>
        <v>77059.991596638647</v>
      </c>
      <c r="G58" s="39">
        <f>F58/E58</f>
        <v>98.921683692732543</v>
      </c>
      <c r="H58" s="8"/>
      <c r="I58" s="8"/>
      <c r="J58" s="43">
        <f>SUM(J12:J57)</f>
        <v>197520</v>
      </c>
      <c r="N58" s="65"/>
      <c r="O58" s="300"/>
      <c r="P58" s="301"/>
    </row>
    <row r="61" spans="2:16">
      <c r="K61">
        <v>182370</v>
      </c>
    </row>
    <row r="62" spans="2:16">
      <c r="K62" s="72">
        <f>J58-K61</f>
        <v>15150</v>
      </c>
    </row>
    <row r="64" spans="2:16">
      <c r="D64" s="81" t="s">
        <v>38</v>
      </c>
      <c r="E64" s="80">
        <v>60</v>
      </c>
    </row>
    <row r="65" spans="4:5">
      <c r="D65" s="81" t="s">
        <v>39</v>
      </c>
      <c r="E65" s="80">
        <v>120</v>
      </c>
    </row>
    <row r="66" spans="4:5">
      <c r="D66" s="81" t="s">
        <v>40</v>
      </c>
      <c r="E66" s="80">
        <v>180</v>
      </c>
    </row>
    <row r="67" spans="4:5">
      <c r="D67" s="81" t="s">
        <v>41</v>
      </c>
      <c r="E67" s="80">
        <v>180</v>
      </c>
    </row>
    <row r="68" spans="4:5">
      <c r="D68" s="81" t="s">
        <v>42</v>
      </c>
      <c r="E68" s="80">
        <v>180</v>
      </c>
    </row>
  </sheetData>
  <mergeCells count="64">
    <mergeCell ref="O58:P58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46:P46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34:P34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22:P22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9"/>
  <sheetViews>
    <sheetView showGridLines="0" workbookViewId="0">
      <selection activeCell="J31" sqref="J31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18.19921875" customWidth="1"/>
    <col min="12" max="12" width="12.0976562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 t="s">
        <v>147</v>
      </c>
      <c r="E1" s="73">
        <f ca="1">TODAY()</f>
        <v>46325</v>
      </c>
      <c r="F1">
        <f ca="1">E1-B4</f>
        <v>1045</v>
      </c>
    </row>
    <row r="2" spans="1:19" ht="18" thickBot="1">
      <c r="F2" s="302" t="s">
        <v>9</v>
      </c>
      <c r="G2" s="305"/>
      <c r="H2" s="314"/>
      <c r="O2" s="302" t="s">
        <v>8</v>
      </c>
      <c r="P2" s="314"/>
      <c r="R2">
        <v>901</v>
      </c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862</v>
      </c>
    </row>
    <row r="4" spans="1:19">
      <c r="B4" s="27">
        <v>45280</v>
      </c>
      <c r="C4" s="30">
        <v>900</v>
      </c>
      <c r="D4" s="36">
        <v>22110</v>
      </c>
      <c r="E4" s="70">
        <f>D4/C4</f>
        <v>24.566666666666666</v>
      </c>
      <c r="F4" s="315">
        <f>C8-P8</f>
        <v>873</v>
      </c>
      <c r="G4" s="318">
        <f>D8-(D8/C8*P8)</f>
        <v>21446.7</v>
      </c>
      <c r="H4" s="327">
        <f>G4/F4</f>
        <v>24.566666666666666</v>
      </c>
      <c r="I4" s="321" t="s">
        <v>33</v>
      </c>
      <c r="J4" s="1">
        <f>B4+90</f>
        <v>45370</v>
      </c>
      <c r="K4" s="323">
        <f>C59</f>
        <v>69</v>
      </c>
      <c r="L4" s="325">
        <f>K8/F8</f>
        <v>7.903780068728522E-2</v>
      </c>
      <c r="M4" s="323">
        <f>E59</f>
        <v>804</v>
      </c>
      <c r="N4" s="323">
        <f>F8-C59-E59</f>
        <v>0</v>
      </c>
      <c r="O4" s="22">
        <v>45280</v>
      </c>
      <c r="P4" s="33">
        <v>27</v>
      </c>
      <c r="Q4">
        <f>2+2+1+1+2+4+2+4+1+1+3+2+3+2+1+4+1+2+1</f>
        <v>39</v>
      </c>
    </row>
    <row r="5" spans="1:19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19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19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19" ht="18" thickBot="1">
      <c r="B8" s="9" t="s">
        <v>10</v>
      </c>
      <c r="C8" s="32">
        <f>SUM(C4:C7)</f>
        <v>900</v>
      </c>
      <c r="D8" s="39">
        <f>SUM(D4:D7)</f>
        <v>22110</v>
      </c>
      <c r="E8" s="71">
        <f>D8/C8</f>
        <v>24.566666666666666</v>
      </c>
      <c r="F8" s="32">
        <f>SUM(F4)</f>
        <v>873</v>
      </c>
      <c r="G8" s="39">
        <f>SUM(G4)</f>
        <v>21446.7</v>
      </c>
      <c r="H8" s="71">
        <f>G8/F8</f>
        <v>24.566666666666666</v>
      </c>
      <c r="I8" s="8"/>
      <c r="J8" s="8"/>
      <c r="K8" s="32">
        <f>K4</f>
        <v>69</v>
      </c>
      <c r="L8" s="26">
        <f>L4</f>
        <v>7.903780068728522E-2</v>
      </c>
      <c r="M8" s="32">
        <f>M4</f>
        <v>804</v>
      </c>
      <c r="N8" s="32">
        <f>N4</f>
        <v>0</v>
      </c>
      <c r="O8" s="46">
        <f>P8/C8</f>
        <v>0.03</v>
      </c>
      <c r="P8" s="35">
        <f>SUM(P4:P7)</f>
        <v>27</v>
      </c>
      <c r="Q8" s="69">
        <f>P8-Q4</f>
        <v>-12</v>
      </c>
    </row>
    <row r="9" spans="1:19" ht="18" thickBot="1">
      <c r="G9">
        <f>18362+3100</f>
        <v>21462</v>
      </c>
      <c r="I9">
        <f>F8*0.95</f>
        <v>829.34999999999991</v>
      </c>
    </row>
    <row r="10" spans="1:19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334" t="s">
        <v>43</v>
      </c>
      <c r="S10" s="335"/>
    </row>
    <row r="11" spans="1:19" ht="18" thickBot="1">
      <c r="B11" s="9" t="s">
        <v>0</v>
      </c>
      <c r="C11" s="94" t="s">
        <v>1</v>
      </c>
      <c r="D11" s="94" t="s">
        <v>0</v>
      </c>
      <c r="E11" s="94" t="s">
        <v>1</v>
      </c>
      <c r="F11" s="94" t="s">
        <v>2</v>
      </c>
      <c r="G11" s="94" t="s">
        <v>3</v>
      </c>
      <c r="H11" s="94" t="s">
        <v>0</v>
      </c>
      <c r="I11" s="94" t="s">
        <v>15</v>
      </c>
      <c r="J11" s="94" t="s">
        <v>16</v>
      </c>
      <c r="K11" s="56" t="s">
        <v>15</v>
      </c>
      <c r="L11" s="94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19">
      <c r="B12" s="45">
        <v>45300</v>
      </c>
      <c r="C12" s="13">
        <v>2</v>
      </c>
      <c r="D12" s="75">
        <v>45372</v>
      </c>
      <c r="E12" s="10">
        <v>38</v>
      </c>
      <c r="F12" s="44">
        <v>4310</v>
      </c>
      <c r="G12" s="79">
        <f>F12/E12</f>
        <v>113.42105263157895</v>
      </c>
      <c r="H12" s="18">
        <v>45647</v>
      </c>
      <c r="I12" s="19" t="s">
        <v>28</v>
      </c>
      <c r="J12" s="61">
        <f>7100+2990</f>
        <v>10090</v>
      </c>
      <c r="K12" s="57" t="s">
        <v>18</v>
      </c>
      <c r="L12" s="52">
        <f>SUMIF($I$12:$I$124,K12,$J$12:$J$124)</f>
        <v>39190</v>
      </c>
      <c r="M12" s="48">
        <f>L12/$C$8</f>
        <v>43.544444444444444</v>
      </c>
      <c r="N12" s="66">
        <v>45646</v>
      </c>
      <c r="O12" s="330" t="s">
        <v>130</v>
      </c>
      <c r="P12" s="331"/>
      <c r="R12" s="84" t="s">
        <v>110</v>
      </c>
      <c r="S12" s="85">
        <v>38</v>
      </c>
    </row>
    <row r="13" spans="1:19">
      <c r="B13" s="45">
        <v>45302</v>
      </c>
      <c r="C13" s="13">
        <v>3</v>
      </c>
      <c r="D13" s="76">
        <v>45378</v>
      </c>
      <c r="E13" s="11">
        <v>79</v>
      </c>
      <c r="F13" s="37">
        <v>8790</v>
      </c>
      <c r="G13" s="79">
        <f t="shared" ref="G13:G30" si="0">F13/E13</f>
        <v>111.26582278481013</v>
      </c>
      <c r="H13" s="47">
        <v>45655</v>
      </c>
      <c r="I13" s="19" t="s">
        <v>28</v>
      </c>
      <c r="J13" s="62">
        <v>10070</v>
      </c>
      <c r="K13" s="58" t="s">
        <v>25</v>
      </c>
      <c r="L13" s="53">
        <f t="shared" ref="L13:L15" si="1">SUMIF($I$12:$I$124,K13,$J$12:$J$124)</f>
        <v>49610</v>
      </c>
      <c r="M13" s="49">
        <f t="shared" ref="M13:M15" si="2">L13/$C$8</f>
        <v>55.12222222222222</v>
      </c>
      <c r="N13" s="1">
        <v>45321</v>
      </c>
      <c r="O13" s="332" t="s">
        <v>131</v>
      </c>
      <c r="P13" s="333"/>
      <c r="R13" s="84" t="s">
        <v>111</v>
      </c>
      <c r="S13" s="85">
        <v>79</v>
      </c>
    </row>
    <row r="14" spans="1:19">
      <c r="B14" s="74">
        <v>45303</v>
      </c>
      <c r="C14" s="15">
        <v>2</v>
      </c>
      <c r="D14" s="76">
        <v>45385</v>
      </c>
      <c r="E14" s="11">
        <v>82</v>
      </c>
      <c r="F14" s="37">
        <v>9250</v>
      </c>
      <c r="G14" s="79">
        <f t="shared" si="0"/>
        <v>112.80487804878049</v>
      </c>
      <c r="H14" s="47">
        <v>45300</v>
      </c>
      <c r="I14" s="19" t="s">
        <v>28</v>
      </c>
      <c r="J14" s="62">
        <v>10000</v>
      </c>
      <c r="K14" s="106" t="s">
        <v>127</v>
      </c>
      <c r="L14" s="53">
        <v>119330</v>
      </c>
      <c r="M14" s="107">
        <v>132.5888888888889</v>
      </c>
      <c r="N14" s="1"/>
      <c r="O14" s="152"/>
      <c r="P14" s="153"/>
      <c r="R14" s="84"/>
      <c r="S14" s="85"/>
    </row>
    <row r="15" spans="1:19" ht="18" thickBot="1">
      <c r="B15" s="74">
        <v>45305</v>
      </c>
      <c r="C15" s="15">
        <v>1</v>
      </c>
      <c r="D15" s="76">
        <v>45390</v>
      </c>
      <c r="E15" s="11">
        <v>70</v>
      </c>
      <c r="F15" s="37">
        <v>8260</v>
      </c>
      <c r="G15" s="79">
        <f t="shared" si="0"/>
        <v>118</v>
      </c>
      <c r="H15" s="47">
        <v>45308</v>
      </c>
      <c r="I15" s="19" t="s">
        <v>28</v>
      </c>
      <c r="J15" s="62">
        <v>9030</v>
      </c>
      <c r="K15" s="59" t="s">
        <v>93</v>
      </c>
      <c r="L15" s="54">
        <f t="shared" si="1"/>
        <v>8680</v>
      </c>
      <c r="M15" s="50">
        <f t="shared" si="2"/>
        <v>9.6444444444444439</v>
      </c>
      <c r="N15" s="1"/>
      <c r="O15" s="332"/>
      <c r="P15" s="333"/>
      <c r="R15" s="84" t="s">
        <v>85</v>
      </c>
      <c r="S15" s="85">
        <v>70</v>
      </c>
    </row>
    <row r="16" spans="1:19" ht="18" thickBot="1">
      <c r="B16" s="74">
        <v>45307</v>
      </c>
      <c r="C16" s="15">
        <v>2</v>
      </c>
      <c r="D16" s="76">
        <v>45393</v>
      </c>
      <c r="E16" s="11">
        <v>60</v>
      </c>
      <c r="F16" s="37">
        <v>6920</v>
      </c>
      <c r="G16" s="79">
        <f t="shared" si="0"/>
        <v>115.33333333333333</v>
      </c>
      <c r="H16" s="47">
        <v>45314</v>
      </c>
      <c r="I16" s="19" t="s">
        <v>29</v>
      </c>
      <c r="J16" s="62">
        <v>10180</v>
      </c>
      <c r="K16" s="60" t="s">
        <v>21</v>
      </c>
      <c r="L16" s="55">
        <f>SUM(L12:L15)</f>
        <v>216810</v>
      </c>
      <c r="M16" s="40">
        <f>L16/C8</f>
        <v>240.9</v>
      </c>
      <c r="N16" s="1"/>
      <c r="O16" s="332"/>
      <c r="P16" s="333"/>
      <c r="R16" s="84" t="s">
        <v>86</v>
      </c>
      <c r="S16" s="85">
        <v>251</v>
      </c>
    </row>
    <row r="17" spans="2:19">
      <c r="B17" s="74">
        <v>45308</v>
      </c>
      <c r="C17" s="15">
        <v>3</v>
      </c>
      <c r="D17" s="76">
        <v>45394</v>
      </c>
      <c r="E17" s="11">
        <v>60</v>
      </c>
      <c r="F17" s="37">
        <v>6930</v>
      </c>
      <c r="G17" s="79">
        <f t="shared" si="0"/>
        <v>115.5</v>
      </c>
      <c r="H17" s="47">
        <v>45321</v>
      </c>
      <c r="I17" s="19" t="s">
        <v>29</v>
      </c>
      <c r="J17" s="41">
        <v>10130</v>
      </c>
      <c r="N17" s="63"/>
      <c r="O17" s="332"/>
      <c r="P17" s="333"/>
      <c r="R17" s="84" t="s">
        <v>87</v>
      </c>
      <c r="S17" s="85">
        <v>182</v>
      </c>
    </row>
    <row r="18" spans="2:19">
      <c r="B18" s="74">
        <v>45309</v>
      </c>
      <c r="C18" s="15">
        <v>2</v>
      </c>
      <c r="D18" s="76">
        <v>45394</v>
      </c>
      <c r="E18" s="11">
        <v>61</v>
      </c>
      <c r="F18" s="37">
        <v>7050</v>
      </c>
      <c r="G18" s="79">
        <f t="shared" si="0"/>
        <v>115.57377049180327</v>
      </c>
      <c r="H18" s="47">
        <v>45327</v>
      </c>
      <c r="I18" s="19" t="s">
        <v>29</v>
      </c>
      <c r="J18" s="41">
        <v>10080</v>
      </c>
      <c r="N18" s="63"/>
      <c r="O18" s="332"/>
      <c r="P18" s="333"/>
      <c r="R18" s="84" t="s">
        <v>88</v>
      </c>
      <c r="S18" s="85">
        <v>82</v>
      </c>
    </row>
    <row r="19" spans="2:19">
      <c r="B19" s="74">
        <v>45310</v>
      </c>
      <c r="C19" s="15">
        <v>1</v>
      </c>
      <c r="D19" s="76">
        <v>45397</v>
      </c>
      <c r="E19" s="11">
        <v>36</v>
      </c>
      <c r="F19" s="37">
        <f>7680/70*E19</f>
        <v>3949.7142857142853</v>
      </c>
      <c r="G19" s="79">
        <f t="shared" si="0"/>
        <v>109.71428571428571</v>
      </c>
      <c r="H19" s="47">
        <v>45330</v>
      </c>
      <c r="I19" s="19" t="s">
        <v>29</v>
      </c>
      <c r="J19" s="41">
        <v>8110</v>
      </c>
      <c r="K19" t="s">
        <v>32</v>
      </c>
      <c r="L19" s="78">
        <f>J59/((M8*G59)-(G9))</f>
        <v>3.180172513207717</v>
      </c>
      <c r="N19" s="63"/>
      <c r="O19" s="332"/>
      <c r="P19" s="333"/>
      <c r="R19" s="84" t="s">
        <v>89</v>
      </c>
      <c r="S19" s="85"/>
    </row>
    <row r="20" spans="2:19">
      <c r="B20" s="74">
        <v>45311</v>
      </c>
      <c r="C20" s="15">
        <v>4</v>
      </c>
      <c r="D20" s="76">
        <v>45399</v>
      </c>
      <c r="E20" s="11">
        <v>70</v>
      </c>
      <c r="F20" s="37">
        <v>7870</v>
      </c>
      <c r="G20" s="79">
        <f t="shared" si="0"/>
        <v>112.42857142857143</v>
      </c>
      <c r="H20" s="47">
        <v>45336</v>
      </c>
      <c r="I20" s="19" t="s">
        <v>29</v>
      </c>
      <c r="J20" s="41">
        <v>6150</v>
      </c>
      <c r="N20" s="63"/>
      <c r="O20" s="332"/>
      <c r="P20" s="333"/>
      <c r="R20" s="84" t="s">
        <v>106</v>
      </c>
      <c r="S20" s="85">
        <v>41</v>
      </c>
    </row>
    <row r="21" spans="2:19">
      <c r="B21" s="74">
        <v>45314</v>
      </c>
      <c r="C21" s="15">
        <v>1</v>
      </c>
      <c r="D21" s="76">
        <v>45399</v>
      </c>
      <c r="E21" s="11">
        <v>76</v>
      </c>
      <c r="F21" s="37">
        <f>4160+4140</f>
        <v>8300</v>
      </c>
      <c r="G21" s="79">
        <f t="shared" si="0"/>
        <v>109.21052631578948</v>
      </c>
      <c r="H21" s="47">
        <v>45341</v>
      </c>
      <c r="I21" s="19" t="s">
        <v>26</v>
      </c>
      <c r="J21" s="41">
        <v>8120</v>
      </c>
      <c r="N21" s="63"/>
      <c r="O21" s="298"/>
      <c r="P21" s="299"/>
      <c r="R21" s="84" t="s">
        <v>96</v>
      </c>
      <c r="S21" s="85"/>
    </row>
    <row r="22" spans="2:19">
      <c r="B22" s="92">
        <v>45315</v>
      </c>
      <c r="C22" s="17">
        <v>2</v>
      </c>
      <c r="D22" s="76">
        <v>45405</v>
      </c>
      <c r="E22" s="11">
        <v>50</v>
      </c>
      <c r="F22" s="37">
        <v>5500</v>
      </c>
      <c r="G22" s="79">
        <f t="shared" si="0"/>
        <v>110</v>
      </c>
      <c r="H22" s="47">
        <v>45345</v>
      </c>
      <c r="I22" s="19" t="s">
        <v>26</v>
      </c>
      <c r="J22" s="41">
        <v>10140</v>
      </c>
      <c r="N22" s="63"/>
      <c r="O22" s="298"/>
      <c r="P22" s="299"/>
      <c r="R22" s="84" t="s">
        <v>97</v>
      </c>
      <c r="S22" s="85">
        <v>28</v>
      </c>
    </row>
    <row r="23" spans="2:19">
      <c r="B23" s="74">
        <v>45320</v>
      </c>
      <c r="C23" s="15">
        <v>1</v>
      </c>
      <c r="D23" s="76">
        <v>45407</v>
      </c>
      <c r="E23" s="11">
        <v>21</v>
      </c>
      <c r="F23" s="37">
        <v>1300</v>
      </c>
      <c r="G23" s="79">
        <f t="shared" si="0"/>
        <v>61.904761904761905</v>
      </c>
      <c r="H23" s="47">
        <v>45349</v>
      </c>
      <c r="I23" s="19" t="s">
        <v>26</v>
      </c>
      <c r="J23" s="41">
        <v>11240</v>
      </c>
      <c r="M23" s="25"/>
      <c r="N23" s="63"/>
      <c r="O23" s="298"/>
      <c r="P23" s="299"/>
      <c r="R23" s="84" t="s">
        <v>98</v>
      </c>
      <c r="S23" s="85"/>
    </row>
    <row r="24" spans="2:19">
      <c r="B24" s="74">
        <v>45321</v>
      </c>
      <c r="C24" s="15">
        <v>1</v>
      </c>
      <c r="D24" s="76">
        <v>45407</v>
      </c>
      <c r="E24" s="11">
        <v>32</v>
      </c>
      <c r="F24" s="37">
        <f>6050/56*E24</f>
        <v>3457.1428571428573</v>
      </c>
      <c r="G24" s="79">
        <f t="shared" si="0"/>
        <v>108.03571428571429</v>
      </c>
      <c r="H24" s="47">
        <v>45353</v>
      </c>
      <c r="I24" s="19" t="s">
        <v>26</v>
      </c>
      <c r="J24" s="41">
        <v>7660</v>
      </c>
      <c r="N24" s="63"/>
      <c r="O24" s="298"/>
      <c r="P24" s="299"/>
      <c r="R24" s="84" t="s">
        <v>100</v>
      </c>
      <c r="S24" s="85"/>
    </row>
    <row r="25" spans="2:19">
      <c r="B25" s="74">
        <v>45324</v>
      </c>
      <c r="C25" s="15">
        <v>2</v>
      </c>
      <c r="D25" s="149">
        <v>45414</v>
      </c>
      <c r="E25" s="150">
        <v>41</v>
      </c>
      <c r="F25" s="151">
        <f>4550/41*E25</f>
        <v>4550</v>
      </c>
      <c r="G25" s="79">
        <f t="shared" si="0"/>
        <v>110.97560975609755</v>
      </c>
      <c r="H25" s="47">
        <v>45357</v>
      </c>
      <c r="I25" s="19" t="s">
        <v>26</v>
      </c>
      <c r="J25" s="41">
        <v>10190</v>
      </c>
      <c r="N25" s="63"/>
      <c r="O25" s="298"/>
      <c r="P25" s="299"/>
      <c r="R25" s="84"/>
      <c r="S25" s="85"/>
    </row>
    <row r="26" spans="2:19">
      <c r="B26" s="74">
        <v>45326</v>
      </c>
      <c r="C26" s="15">
        <v>4</v>
      </c>
      <c r="D26" s="76">
        <v>45428</v>
      </c>
      <c r="E26" s="11">
        <v>28</v>
      </c>
      <c r="F26" s="37">
        <f>6630/58*E26</f>
        <v>3200.6896551724139</v>
      </c>
      <c r="G26" s="129">
        <f t="shared" si="0"/>
        <v>114.31034482758621</v>
      </c>
      <c r="H26" s="47">
        <v>45362</v>
      </c>
      <c r="I26" s="19" t="s">
        <v>26</v>
      </c>
      <c r="J26" s="41">
        <v>10190</v>
      </c>
      <c r="N26" s="64"/>
      <c r="O26" s="298"/>
      <c r="P26" s="299"/>
      <c r="R26" s="84"/>
      <c r="S26" s="85"/>
    </row>
    <row r="27" spans="2:19">
      <c r="B27" s="74">
        <v>45328</v>
      </c>
      <c r="C27" s="15">
        <v>1</v>
      </c>
      <c r="D27" s="11"/>
      <c r="E27" s="11"/>
      <c r="F27" s="37"/>
      <c r="G27" s="129" t="e">
        <f t="shared" si="0"/>
        <v>#DIV/0!</v>
      </c>
      <c r="H27" s="47">
        <v>45366</v>
      </c>
      <c r="I27" s="19" t="s">
        <v>26</v>
      </c>
      <c r="J27" s="41">
        <v>12210</v>
      </c>
      <c r="N27" s="64"/>
      <c r="O27" s="298"/>
      <c r="P27" s="299"/>
      <c r="R27" s="84"/>
      <c r="S27" s="85"/>
    </row>
    <row r="28" spans="2:19">
      <c r="B28" s="74">
        <v>45329</v>
      </c>
      <c r="C28" s="15">
        <v>1</v>
      </c>
      <c r="D28" s="11"/>
      <c r="E28" s="11"/>
      <c r="F28" s="37"/>
      <c r="G28" s="129" t="e">
        <f t="shared" si="0"/>
        <v>#DIV/0!</v>
      </c>
      <c r="H28" s="47">
        <v>45370</v>
      </c>
      <c r="I28" s="19" t="s">
        <v>26</v>
      </c>
      <c r="J28" s="41">
        <v>15140</v>
      </c>
      <c r="N28" s="64"/>
      <c r="O28" s="298"/>
      <c r="P28" s="299"/>
      <c r="R28" s="84"/>
      <c r="S28" s="85"/>
    </row>
    <row r="29" spans="2:19">
      <c r="B29" s="74">
        <v>45332</v>
      </c>
      <c r="C29" s="15">
        <v>2</v>
      </c>
      <c r="D29" s="11"/>
      <c r="E29" s="11"/>
      <c r="F29" s="37"/>
      <c r="G29" s="129" t="e">
        <f t="shared" si="0"/>
        <v>#DIV/0!</v>
      </c>
      <c r="H29" s="47">
        <v>45376</v>
      </c>
      <c r="I29" s="19" t="s">
        <v>26</v>
      </c>
      <c r="J29" s="41">
        <v>12200</v>
      </c>
      <c r="N29" s="64"/>
      <c r="O29" s="298"/>
      <c r="P29" s="299"/>
      <c r="R29" s="84"/>
      <c r="S29" s="85"/>
    </row>
    <row r="30" spans="2:19">
      <c r="B30" s="74">
        <v>45334</v>
      </c>
      <c r="C30" s="15">
        <v>2</v>
      </c>
      <c r="D30" s="11"/>
      <c r="E30" s="11"/>
      <c r="F30" s="37"/>
      <c r="G30" s="129" t="e">
        <f t="shared" si="0"/>
        <v>#DIV/0!</v>
      </c>
      <c r="H30" s="47">
        <v>45384</v>
      </c>
      <c r="I30" s="19" t="s">
        <v>29</v>
      </c>
      <c r="J30" s="41">
        <v>4960</v>
      </c>
      <c r="N30" s="64"/>
      <c r="O30" s="298"/>
      <c r="P30" s="299"/>
      <c r="R30" s="84"/>
      <c r="S30" s="85"/>
    </row>
    <row r="31" spans="2:19">
      <c r="B31" s="74">
        <v>45335</v>
      </c>
      <c r="C31" s="15">
        <v>1</v>
      </c>
      <c r="D31" s="11"/>
      <c r="E31" s="11"/>
      <c r="F31" s="37"/>
      <c r="G31" s="37"/>
      <c r="H31" s="47">
        <v>45385</v>
      </c>
      <c r="I31" s="19" t="s">
        <v>26</v>
      </c>
      <c r="J31" s="41">
        <v>5140</v>
      </c>
      <c r="N31" s="64"/>
      <c r="O31" s="298"/>
      <c r="P31" s="299"/>
      <c r="R31" s="84"/>
      <c r="S31" s="85"/>
    </row>
    <row r="32" spans="2:19" ht="18" thickBot="1">
      <c r="B32" s="74">
        <v>45338</v>
      </c>
      <c r="C32" s="15">
        <v>2</v>
      </c>
      <c r="D32" s="11"/>
      <c r="E32" s="11"/>
      <c r="F32" s="37"/>
      <c r="G32" s="37"/>
      <c r="H32" s="47">
        <v>45390</v>
      </c>
      <c r="I32" s="20" t="s">
        <v>92</v>
      </c>
      <c r="J32" s="41">
        <v>5030</v>
      </c>
      <c r="N32" s="64"/>
      <c r="O32" s="298"/>
      <c r="P32" s="299"/>
      <c r="R32" s="86"/>
      <c r="S32" s="87"/>
    </row>
    <row r="33" spans="2:16" ht="18" thickTop="1">
      <c r="B33" s="74">
        <v>45342</v>
      </c>
      <c r="C33" s="15">
        <v>2</v>
      </c>
      <c r="D33" s="11"/>
      <c r="E33" s="11"/>
      <c r="F33" s="37"/>
      <c r="G33" s="37"/>
      <c r="H33" s="47">
        <v>45391</v>
      </c>
      <c r="I33" s="19" t="s">
        <v>26</v>
      </c>
      <c r="J33" s="41">
        <v>10090</v>
      </c>
      <c r="N33" s="64"/>
      <c r="O33" s="298"/>
      <c r="P33" s="299"/>
    </row>
    <row r="34" spans="2:16">
      <c r="B34" s="74">
        <v>45343</v>
      </c>
      <c r="C34" s="15">
        <v>1</v>
      </c>
      <c r="D34" s="11"/>
      <c r="E34" s="11"/>
      <c r="F34" s="37"/>
      <c r="G34" s="37"/>
      <c r="H34" s="47">
        <v>45400</v>
      </c>
      <c r="I34" s="20" t="s">
        <v>92</v>
      </c>
      <c r="J34" s="41">
        <v>3650</v>
      </c>
      <c r="N34" s="64"/>
      <c r="O34" s="298"/>
      <c r="P34" s="299"/>
    </row>
    <row r="35" spans="2:16">
      <c r="B35" s="74">
        <v>45344</v>
      </c>
      <c r="C35" s="15">
        <v>1</v>
      </c>
      <c r="D35" s="11"/>
      <c r="E35" s="11"/>
      <c r="F35" s="37"/>
      <c r="G35" s="37"/>
      <c r="H35" s="47">
        <v>45407</v>
      </c>
      <c r="I35" s="19" t="s">
        <v>26</v>
      </c>
      <c r="J35" s="41">
        <v>2020</v>
      </c>
      <c r="N35" s="64"/>
      <c r="O35" s="298"/>
      <c r="P35" s="299"/>
    </row>
    <row r="36" spans="2:16">
      <c r="B36" s="74">
        <v>45346</v>
      </c>
      <c r="C36" s="15">
        <v>4</v>
      </c>
      <c r="D36" s="11"/>
      <c r="E36" s="11"/>
      <c r="F36" s="37"/>
      <c r="G36" s="37"/>
      <c r="H36" s="47">
        <v>45412</v>
      </c>
      <c r="I36" s="19" t="s">
        <v>26</v>
      </c>
      <c r="J36" s="41">
        <v>4990</v>
      </c>
      <c r="N36" s="64"/>
      <c r="O36" s="298"/>
      <c r="P36" s="299"/>
    </row>
    <row r="37" spans="2:16">
      <c r="B37" s="74">
        <v>45350</v>
      </c>
      <c r="C37" s="15">
        <v>4</v>
      </c>
      <c r="D37" s="11"/>
      <c r="E37" s="11"/>
      <c r="F37" s="37"/>
      <c r="G37" s="37"/>
      <c r="H37" s="20"/>
      <c r="I37" s="20"/>
      <c r="J37" s="41"/>
      <c r="N37" s="64"/>
      <c r="O37" s="298"/>
      <c r="P37" s="299"/>
    </row>
    <row r="38" spans="2:16">
      <c r="B38" s="74">
        <v>45353</v>
      </c>
      <c r="C38" s="15">
        <v>2</v>
      </c>
      <c r="D38" s="11"/>
      <c r="E38" s="11"/>
      <c r="F38" s="37"/>
      <c r="G38" s="37"/>
      <c r="H38" s="47"/>
      <c r="I38" s="19"/>
      <c r="J38" s="41"/>
      <c r="N38" s="64"/>
      <c r="O38" s="298"/>
      <c r="P38" s="299"/>
    </row>
    <row r="39" spans="2:16">
      <c r="B39" s="74">
        <v>45356</v>
      </c>
      <c r="C39" s="15">
        <v>1</v>
      </c>
      <c r="D39" s="11"/>
      <c r="E39" s="11"/>
      <c r="F39" s="37"/>
      <c r="G39" s="37"/>
      <c r="H39" s="47"/>
      <c r="I39" s="19"/>
      <c r="J39" s="41"/>
      <c r="N39" s="64"/>
      <c r="O39" s="298"/>
      <c r="P39" s="299"/>
    </row>
    <row r="40" spans="2:16">
      <c r="B40" s="74">
        <v>45375</v>
      </c>
      <c r="C40" s="15">
        <v>2</v>
      </c>
      <c r="D40" s="11"/>
      <c r="E40" s="11"/>
      <c r="F40" s="37"/>
      <c r="G40" s="37"/>
      <c r="H40" s="47"/>
      <c r="I40" s="19"/>
      <c r="J40" s="41"/>
      <c r="N40" s="64"/>
      <c r="O40" s="298"/>
      <c r="P40" s="299"/>
    </row>
    <row r="41" spans="2:16">
      <c r="B41" s="74">
        <v>45380</v>
      </c>
      <c r="C41" s="15">
        <v>2</v>
      </c>
      <c r="D41" s="11"/>
      <c r="E41" s="11"/>
      <c r="F41" s="37"/>
      <c r="G41" s="37"/>
      <c r="H41" s="47"/>
      <c r="I41" s="20"/>
      <c r="J41" s="41"/>
      <c r="N41" s="64"/>
      <c r="O41" s="298"/>
      <c r="P41" s="299"/>
    </row>
    <row r="42" spans="2:16">
      <c r="B42" s="74">
        <v>45383</v>
      </c>
      <c r="C42" s="15">
        <v>1</v>
      </c>
      <c r="D42" s="11"/>
      <c r="E42" s="11"/>
      <c r="F42" s="37"/>
      <c r="G42" s="37"/>
      <c r="H42" s="47"/>
      <c r="I42" s="20"/>
      <c r="J42" s="41"/>
      <c r="N42" s="64"/>
      <c r="O42" s="298"/>
      <c r="P42" s="299"/>
    </row>
    <row r="43" spans="2:16">
      <c r="B43" s="74">
        <v>45385</v>
      </c>
      <c r="C43" s="15">
        <v>1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74">
        <v>45393</v>
      </c>
      <c r="C44" s="15">
        <v>2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74">
        <v>45426</v>
      </c>
      <c r="C45" s="15">
        <v>2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74">
        <v>45428</v>
      </c>
      <c r="C46" s="15">
        <v>2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14"/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69</v>
      </c>
      <c r="D59" s="8"/>
      <c r="E59" s="8">
        <f>SUM(E12:E58)</f>
        <v>804</v>
      </c>
      <c r="F59" s="39">
        <f>SUM(F12:F58)</f>
        <v>89637.546798029565</v>
      </c>
      <c r="G59" s="39">
        <f>F59/E59</f>
        <v>111.48948606720096</v>
      </c>
      <c r="H59" s="8"/>
      <c r="I59" s="8"/>
      <c r="J59" s="43">
        <f>SUM(J12:J58)</f>
        <v>216810</v>
      </c>
      <c r="N59" s="65"/>
      <c r="O59" s="300"/>
      <c r="P59" s="301"/>
    </row>
    <row r="65" spans="4:5">
      <c r="D65" s="81" t="s">
        <v>38</v>
      </c>
      <c r="E65" s="80">
        <v>60</v>
      </c>
    </row>
    <row r="66" spans="4:5">
      <c r="D66" s="81" t="s">
        <v>39</v>
      </c>
      <c r="E66" s="80">
        <v>120</v>
      </c>
    </row>
    <row r="67" spans="4:5">
      <c r="D67" s="81" t="s">
        <v>40</v>
      </c>
      <c r="E67" s="80">
        <v>180</v>
      </c>
    </row>
    <row r="68" spans="4:5">
      <c r="D68" s="81" t="s">
        <v>41</v>
      </c>
      <c r="E68" s="80">
        <v>180</v>
      </c>
    </row>
    <row r="69" spans="4:5">
      <c r="D69" s="81" t="s">
        <v>42</v>
      </c>
      <c r="E69" s="80">
        <v>180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72"/>
  <sheetViews>
    <sheetView showGridLines="0" topLeftCell="A13" zoomScaleNormal="100" workbookViewId="0">
      <selection activeCell="J40" sqref="J40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0.59765625" customWidth="1"/>
    <col min="13" max="13" width="11.59765625" bestFit="1" customWidth="1"/>
    <col min="14" max="14" width="11.09765625" bestFit="1" customWidth="1"/>
    <col min="15" max="15" width="9.8984375" bestFit="1" customWidth="1"/>
    <col min="19" max="19" width="11.8984375" bestFit="1" customWidth="1"/>
  </cols>
  <sheetData>
    <row r="1" spans="1:19" ht="18" thickBot="1">
      <c r="A1" t="s">
        <v>27</v>
      </c>
      <c r="B1" s="51" t="s">
        <v>84</v>
      </c>
      <c r="E1" s="73">
        <f ca="1">TODAY()</f>
        <v>46325</v>
      </c>
      <c r="F1">
        <f ca="1">E1-B4</f>
        <v>1010</v>
      </c>
    </row>
    <row r="2" spans="1:19" ht="18" thickBot="1">
      <c r="F2" s="302" t="s">
        <v>9</v>
      </c>
      <c r="G2" s="305"/>
      <c r="H2" s="314"/>
      <c r="O2" s="302" t="s">
        <v>8</v>
      </c>
      <c r="P2" s="314"/>
      <c r="R2">
        <v>901</v>
      </c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827</v>
      </c>
    </row>
    <row r="4" spans="1:19">
      <c r="B4" s="27">
        <v>45315</v>
      </c>
      <c r="C4" s="30">
        <v>900</v>
      </c>
      <c r="D4" s="36">
        <f>4420+4750+4930+4220+4000</f>
        <v>22320</v>
      </c>
      <c r="E4" s="70">
        <f>D4/C4</f>
        <v>24.8</v>
      </c>
      <c r="F4" s="315">
        <f>C8-P8</f>
        <v>866</v>
      </c>
      <c r="G4" s="318">
        <f>D8-(D8/C8*P8)</f>
        <v>21476.799999999999</v>
      </c>
      <c r="H4" s="327">
        <f>G4/F4</f>
        <v>24.8</v>
      </c>
      <c r="I4" s="321" t="s">
        <v>33</v>
      </c>
      <c r="J4" s="1">
        <f>B4+90</f>
        <v>45405</v>
      </c>
      <c r="K4" s="323">
        <f>C62</f>
        <v>147</v>
      </c>
      <c r="L4" s="325">
        <f>K8/F8</f>
        <v>0.16974595842956119</v>
      </c>
      <c r="M4" s="323">
        <f>E62</f>
        <v>719</v>
      </c>
      <c r="N4" s="323">
        <f>F8-C62-E62</f>
        <v>0</v>
      </c>
      <c r="O4" s="22">
        <v>45315</v>
      </c>
      <c r="P4" s="33">
        <v>34</v>
      </c>
      <c r="Q4">
        <f>3+2+2+5+8+9+1+9+2+4+4+5+5+2+4+1+2+6</f>
        <v>74</v>
      </c>
    </row>
    <row r="5" spans="1:19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19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19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19" ht="18" thickBot="1">
      <c r="B8" s="9" t="s">
        <v>10</v>
      </c>
      <c r="C8" s="32">
        <f>SUM(C4:C7)</f>
        <v>900</v>
      </c>
      <c r="D8" s="39">
        <f>SUM(D4:D7)</f>
        <v>22320</v>
      </c>
      <c r="E8" s="71">
        <f>D8/C8</f>
        <v>24.8</v>
      </c>
      <c r="F8" s="32">
        <f>SUM(F4)</f>
        <v>866</v>
      </c>
      <c r="G8" s="39">
        <f>SUM(G4)</f>
        <v>21476.799999999999</v>
      </c>
      <c r="H8" s="71">
        <f>G8/F8</f>
        <v>24.8</v>
      </c>
      <c r="I8" s="8"/>
      <c r="J8" s="8"/>
      <c r="K8" s="32">
        <f>K4</f>
        <v>147</v>
      </c>
      <c r="L8" s="26">
        <f>L4</f>
        <v>0.16974595842956119</v>
      </c>
      <c r="M8" s="32">
        <f>M4</f>
        <v>719</v>
      </c>
      <c r="N8" s="32">
        <f>N4</f>
        <v>0</v>
      </c>
      <c r="O8" s="46">
        <f>P8/C8</f>
        <v>3.7777777777777778E-2</v>
      </c>
      <c r="P8" s="35">
        <f>SUM(P4:P7)</f>
        <v>34</v>
      </c>
      <c r="Q8" s="69">
        <f>P8-Q4</f>
        <v>-40</v>
      </c>
    </row>
    <row r="9" spans="1:19" ht="18" thickBot="1">
      <c r="G9">
        <v>21484</v>
      </c>
      <c r="I9">
        <f>F8*0.834</f>
        <v>722.24399999999991</v>
      </c>
    </row>
    <row r="10" spans="1:19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19" ht="18" thickBot="1">
      <c r="B11" s="9" t="s">
        <v>0</v>
      </c>
      <c r="C11" s="103" t="s">
        <v>1</v>
      </c>
      <c r="D11" s="103" t="s">
        <v>0</v>
      </c>
      <c r="E11" s="103" t="s">
        <v>1</v>
      </c>
      <c r="F11" s="103" t="s">
        <v>2</v>
      </c>
      <c r="G11" s="103" t="s">
        <v>3</v>
      </c>
      <c r="H11" s="103" t="s">
        <v>0</v>
      </c>
      <c r="I11" s="103" t="s">
        <v>15</v>
      </c>
      <c r="J11" s="103" t="s">
        <v>16</v>
      </c>
      <c r="K11" s="56" t="s">
        <v>15</v>
      </c>
      <c r="L11" s="103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19">
      <c r="B12" s="45">
        <v>45322</v>
      </c>
      <c r="C12" s="13">
        <v>5</v>
      </c>
      <c r="D12" s="75">
        <v>45405</v>
      </c>
      <c r="E12" s="10">
        <v>51</v>
      </c>
      <c r="F12" s="44">
        <v>5500</v>
      </c>
      <c r="G12" s="79">
        <f>F12/E12</f>
        <v>107.84313725490196</v>
      </c>
      <c r="H12" s="18">
        <v>45323</v>
      </c>
      <c r="I12" s="19" t="s">
        <v>28</v>
      </c>
      <c r="J12" s="61">
        <v>10130</v>
      </c>
      <c r="K12" s="57" t="s">
        <v>18</v>
      </c>
      <c r="L12" s="52">
        <f>SUMIF($I$12:$I$127,K12,$J$12:$J$127)</f>
        <v>29970</v>
      </c>
      <c r="M12" s="48">
        <f>L12/$C$8</f>
        <v>33.299999999999997</v>
      </c>
      <c r="N12" s="66">
        <v>45315</v>
      </c>
      <c r="O12" s="330" t="s">
        <v>130</v>
      </c>
      <c r="P12" s="331"/>
      <c r="R12" s="84" t="s">
        <v>126</v>
      </c>
      <c r="S12" s="85">
        <v>75</v>
      </c>
    </row>
    <row r="13" spans="1:19">
      <c r="B13" s="45">
        <v>45323</v>
      </c>
      <c r="C13" s="13">
        <v>5</v>
      </c>
      <c r="D13" s="76">
        <v>45407</v>
      </c>
      <c r="E13" s="11">
        <v>24</v>
      </c>
      <c r="F13" s="37">
        <f>6050/56*E13</f>
        <v>2592.8571428571431</v>
      </c>
      <c r="G13" s="79">
        <f t="shared" ref="G13:G26" si="0">F13/E13</f>
        <v>108.03571428571429</v>
      </c>
      <c r="H13" s="47">
        <v>45336</v>
      </c>
      <c r="I13" s="19" t="s">
        <v>29</v>
      </c>
      <c r="J13" s="62">
        <v>5480</v>
      </c>
      <c r="K13" s="58" t="s">
        <v>25</v>
      </c>
      <c r="L13" s="53">
        <f t="shared" ref="L13:L15" si="1">SUMIF($I$12:$I$127,K13,$J$12:$J$127)</f>
        <v>109310</v>
      </c>
      <c r="M13" s="49">
        <f t="shared" ref="M13:M15" si="2">L13/$C$8</f>
        <v>121.45555555555555</v>
      </c>
      <c r="N13" s="1">
        <v>45385</v>
      </c>
      <c r="O13" s="332" t="s">
        <v>131</v>
      </c>
      <c r="P13" s="333"/>
      <c r="R13" s="84" t="s">
        <v>89</v>
      </c>
      <c r="S13" s="85"/>
    </row>
    <row r="14" spans="1:19">
      <c r="B14" s="74">
        <v>45324</v>
      </c>
      <c r="C14" s="15">
        <v>1</v>
      </c>
      <c r="D14" s="76">
        <v>45421</v>
      </c>
      <c r="E14" s="162">
        <v>61</v>
      </c>
      <c r="F14" s="37">
        <v>6810</v>
      </c>
      <c r="G14" s="79">
        <f t="shared" si="0"/>
        <v>111.63934426229508</v>
      </c>
      <c r="H14" s="47">
        <v>45342</v>
      </c>
      <c r="I14" s="19" t="s">
        <v>29</v>
      </c>
      <c r="J14" s="62">
        <v>15130</v>
      </c>
      <c r="K14" s="106" t="s">
        <v>26</v>
      </c>
      <c r="L14" s="53">
        <f t="shared" ref="L14" si="3">SUMIF($I$12:$I$127,K14,$J$12:$J$127)</f>
        <v>30170</v>
      </c>
      <c r="M14" s="107">
        <f t="shared" ref="M14" si="4">L14/$C$8</f>
        <v>33.522222222222226</v>
      </c>
      <c r="N14" s="1"/>
      <c r="O14" s="121"/>
      <c r="P14" s="122"/>
      <c r="R14" s="84" t="s">
        <v>99</v>
      </c>
      <c r="S14" s="85"/>
    </row>
    <row r="15" spans="1:19" ht="18" thickBot="1">
      <c r="B15" s="74">
        <v>45326</v>
      </c>
      <c r="C15" s="15">
        <v>9</v>
      </c>
      <c r="D15" s="76">
        <v>45428</v>
      </c>
      <c r="E15" s="162">
        <v>70</v>
      </c>
      <c r="F15" s="37">
        <v>7920</v>
      </c>
      <c r="G15" s="79">
        <f t="shared" si="0"/>
        <v>113.14285714285714</v>
      </c>
      <c r="H15" s="47">
        <v>45350</v>
      </c>
      <c r="I15" s="19" t="s">
        <v>29</v>
      </c>
      <c r="J15" s="62">
        <v>10170</v>
      </c>
      <c r="K15" s="59" t="s">
        <v>93</v>
      </c>
      <c r="L15" s="54">
        <f t="shared" si="1"/>
        <v>60940</v>
      </c>
      <c r="M15" s="50">
        <f t="shared" si="2"/>
        <v>67.711111111111109</v>
      </c>
      <c r="N15" s="1"/>
      <c r="O15" s="298"/>
      <c r="P15" s="299"/>
      <c r="R15" s="84" t="s">
        <v>96</v>
      </c>
      <c r="S15" s="85">
        <v>61</v>
      </c>
    </row>
    <row r="16" spans="1:19" ht="18" thickBot="1">
      <c r="B16" s="74">
        <v>45328</v>
      </c>
      <c r="C16" s="15">
        <v>4</v>
      </c>
      <c r="D16" s="76">
        <v>45435</v>
      </c>
      <c r="E16" s="11">
        <v>72</v>
      </c>
      <c r="F16" s="37">
        <v>8090</v>
      </c>
      <c r="G16" s="79">
        <f t="shared" si="0"/>
        <v>112.36111111111111</v>
      </c>
      <c r="H16" s="47">
        <v>45357</v>
      </c>
      <c r="I16" s="19" t="s">
        <v>29</v>
      </c>
      <c r="J16" s="62">
        <v>15240</v>
      </c>
      <c r="K16" s="60" t="s">
        <v>21</v>
      </c>
      <c r="L16" s="55">
        <f>SUM(L12:L15)</f>
        <v>230390</v>
      </c>
      <c r="M16" s="40">
        <f>L16/C8</f>
        <v>255.98888888888888</v>
      </c>
      <c r="N16" s="1"/>
      <c r="O16" s="298"/>
      <c r="P16" s="299"/>
      <c r="R16" s="84" t="s">
        <v>97</v>
      </c>
      <c r="S16" s="85">
        <v>70</v>
      </c>
    </row>
    <row r="17" spans="2:19">
      <c r="B17" s="74">
        <v>45329</v>
      </c>
      <c r="C17" s="15">
        <v>5</v>
      </c>
      <c r="D17" s="76">
        <v>45435</v>
      </c>
      <c r="E17" s="11">
        <v>31</v>
      </c>
      <c r="F17" s="37">
        <v>3650</v>
      </c>
      <c r="G17" s="79">
        <f t="shared" si="0"/>
        <v>117.74193548387096</v>
      </c>
      <c r="H17" s="47">
        <v>45363</v>
      </c>
      <c r="I17" s="19" t="s">
        <v>29</v>
      </c>
      <c r="J17" s="62">
        <v>8120</v>
      </c>
      <c r="N17" s="63"/>
      <c r="O17" s="298"/>
      <c r="P17" s="299"/>
      <c r="R17" s="84" t="s">
        <v>98</v>
      </c>
      <c r="S17" s="85">
        <v>173</v>
      </c>
    </row>
    <row r="18" spans="2:19">
      <c r="B18" s="74">
        <v>45331</v>
      </c>
      <c r="C18" s="15">
        <v>6</v>
      </c>
      <c r="D18" s="76">
        <v>45435</v>
      </c>
      <c r="E18" s="11">
        <v>70</v>
      </c>
      <c r="F18" s="37">
        <v>8130</v>
      </c>
      <c r="G18" s="79">
        <f t="shared" si="0"/>
        <v>116.14285714285714</v>
      </c>
      <c r="H18" s="47">
        <v>45363</v>
      </c>
      <c r="I18" s="19" t="s">
        <v>28</v>
      </c>
      <c r="J18" s="41">
        <v>5990</v>
      </c>
      <c r="N18" s="63"/>
      <c r="O18" s="298"/>
      <c r="P18" s="299"/>
      <c r="R18" s="84" t="s">
        <v>100</v>
      </c>
      <c r="S18" s="85">
        <v>125</v>
      </c>
    </row>
    <row r="19" spans="2:19">
      <c r="B19" s="74">
        <v>45334</v>
      </c>
      <c r="C19" s="15">
        <v>2</v>
      </c>
      <c r="D19" s="76">
        <v>45440</v>
      </c>
      <c r="E19" s="11">
        <v>60</v>
      </c>
      <c r="F19" s="37">
        <v>6610</v>
      </c>
      <c r="G19" s="79">
        <f t="shared" si="0"/>
        <v>110.16666666666667</v>
      </c>
      <c r="H19" s="47">
        <v>45369</v>
      </c>
      <c r="I19" s="19" t="s">
        <v>29</v>
      </c>
      <c r="J19" s="41">
        <v>10190</v>
      </c>
      <c r="K19" t="s">
        <v>32</v>
      </c>
      <c r="L19" s="78">
        <f>(J62/I9)/(G62-H8)</f>
        <v>3.6958667693850895</v>
      </c>
      <c r="N19" s="63"/>
      <c r="O19" s="298"/>
      <c r="P19" s="299"/>
      <c r="R19" s="84" t="s">
        <v>101</v>
      </c>
      <c r="S19" s="85"/>
    </row>
    <row r="20" spans="2:19">
      <c r="B20" s="74">
        <v>45335</v>
      </c>
      <c r="C20" s="15">
        <v>7</v>
      </c>
      <c r="D20" s="76">
        <v>45440</v>
      </c>
      <c r="E20" s="11">
        <v>60</v>
      </c>
      <c r="F20" s="37">
        <v>6560</v>
      </c>
      <c r="G20" s="79">
        <f t="shared" si="0"/>
        <v>109.33333333333333</v>
      </c>
      <c r="H20" s="47">
        <v>45374</v>
      </c>
      <c r="I20" s="19" t="s">
        <v>29</v>
      </c>
      <c r="J20" s="41">
        <v>12100</v>
      </c>
      <c r="N20" s="63"/>
      <c r="O20" s="298"/>
      <c r="P20" s="299"/>
      <c r="R20" s="84" t="s">
        <v>102</v>
      </c>
      <c r="S20" s="85">
        <v>70</v>
      </c>
    </row>
    <row r="21" spans="2:19">
      <c r="B21" s="74">
        <v>45337</v>
      </c>
      <c r="C21" s="15">
        <v>2</v>
      </c>
      <c r="D21" s="76">
        <v>45450</v>
      </c>
      <c r="E21" s="11">
        <v>61</v>
      </c>
      <c r="F21" s="37">
        <v>6740</v>
      </c>
      <c r="G21" s="79">
        <f t="shared" si="0"/>
        <v>110.49180327868852</v>
      </c>
      <c r="H21" s="47">
        <v>45383</v>
      </c>
      <c r="I21" s="19" t="s">
        <v>92</v>
      </c>
      <c r="J21" s="41">
        <v>9150</v>
      </c>
      <c r="N21" s="63"/>
      <c r="O21" s="298"/>
      <c r="P21" s="299"/>
      <c r="R21" s="84" t="s">
        <v>103</v>
      </c>
      <c r="S21" s="85">
        <v>70</v>
      </c>
    </row>
    <row r="22" spans="2:19">
      <c r="B22" s="92">
        <v>45338</v>
      </c>
      <c r="C22" s="17">
        <v>4</v>
      </c>
      <c r="D22" s="76">
        <v>45450</v>
      </c>
      <c r="E22" s="11">
        <v>60</v>
      </c>
      <c r="F22" s="37">
        <v>6490</v>
      </c>
      <c r="G22" s="79">
        <f t="shared" si="0"/>
        <v>108.16666666666667</v>
      </c>
      <c r="H22" s="47">
        <v>45388</v>
      </c>
      <c r="I22" s="19" t="s">
        <v>29</v>
      </c>
      <c r="J22" s="41">
        <v>10080</v>
      </c>
      <c r="N22" s="63"/>
      <c r="O22" s="298"/>
      <c r="P22" s="299"/>
      <c r="R22" s="84" t="s">
        <v>104</v>
      </c>
      <c r="S22" s="85">
        <v>70</v>
      </c>
    </row>
    <row r="23" spans="2:19">
      <c r="B23" s="74">
        <v>45340</v>
      </c>
      <c r="C23" s="15">
        <v>2</v>
      </c>
      <c r="D23" s="76">
        <v>45456</v>
      </c>
      <c r="E23" s="11">
        <v>41</v>
      </c>
      <c r="F23" s="37">
        <v>4470</v>
      </c>
      <c r="G23" s="79">
        <f t="shared" si="0"/>
        <v>109.02439024390245</v>
      </c>
      <c r="H23" s="47">
        <v>45391</v>
      </c>
      <c r="I23" s="19" t="s">
        <v>29</v>
      </c>
      <c r="J23" s="41">
        <v>5030</v>
      </c>
      <c r="M23" s="25"/>
      <c r="N23" s="63"/>
      <c r="O23" s="298"/>
      <c r="P23" s="299"/>
      <c r="R23" s="84" t="s">
        <v>154</v>
      </c>
      <c r="S23" s="85">
        <v>35</v>
      </c>
    </row>
    <row r="24" spans="2:19">
      <c r="B24" s="74">
        <v>45341</v>
      </c>
      <c r="C24" s="15">
        <v>4</v>
      </c>
      <c r="D24" s="76">
        <v>45457</v>
      </c>
      <c r="E24" s="11">
        <v>29</v>
      </c>
      <c r="F24" s="37">
        <v>3180</v>
      </c>
      <c r="G24" s="79">
        <f t="shared" si="0"/>
        <v>109.65517241379311</v>
      </c>
      <c r="H24" s="47">
        <v>45397</v>
      </c>
      <c r="I24" s="19" t="s">
        <v>92</v>
      </c>
      <c r="J24" s="41">
        <v>7980</v>
      </c>
      <c r="N24" s="63"/>
      <c r="O24" s="298"/>
      <c r="P24" s="299"/>
      <c r="R24" s="84"/>
      <c r="S24" s="85"/>
    </row>
    <row r="25" spans="2:19">
      <c r="B25" s="74">
        <v>45344</v>
      </c>
      <c r="C25" s="15">
        <v>1</v>
      </c>
      <c r="D25" s="76">
        <v>45474</v>
      </c>
      <c r="E25" s="11">
        <v>21</v>
      </c>
      <c r="F25" s="37">
        <v>2260</v>
      </c>
      <c r="G25" s="79">
        <f t="shared" si="0"/>
        <v>107.61904761904762</v>
      </c>
      <c r="H25" s="47">
        <v>45400</v>
      </c>
      <c r="I25" s="19" t="s">
        <v>92</v>
      </c>
      <c r="J25" s="41">
        <v>6990</v>
      </c>
      <c r="N25" s="63"/>
      <c r="O25" s="298"/>
      <c r="P25" s="299"/>
      <c r="R25" s="84"/>
      <c r="S25" s="85"/>
    </row>
    <row r="26" spans="2:19">
      <c r="B26" s="74">
        <v>45346</v>
      </c>
      <c r="C26" s="15">
        <v>6</v>
      </c>
      <c r="D26" s="76">
        <v>45495</v>
      </c>
      <c r="E26" s="11">
        <v>8</v>
      </c>
      <c r="F26" s="37">
        <f>7970/72*E26</f>
        <v>885.55555555555554</v>
      </c>
      <c r="G26" s="79">
        <f t="shared" si="0"/>
        <v>110.69444444444444</v>
      </c>
      <c r="H26" s="47">
        <v>45404</v>
      </c>
      <c r="I26" s="19" t="s">
        <v>133</v>
      </c>
      <c r="J26" s="41">
        <v>10050</v>
      </c>
      <c r="N26" s="64"/>
      <c r="O26" s="298"/>
      <c r="P26" s="299"/>
      <c r="R26" s="84"/>
      <c r="S26" s="85"/>
    </row>
    <row r="27" spans="2:19">
      <c r="B27" s="74">
        <v>45348</v>
      </c>
      <c r="C27" s="15">
        <v>3</v>
      </c>
      <c r="D27" s="11"/>
      <c r="E27" s="11"/>
      <c r="F27" s="37"/>
      <c r="G27" s="37"/>
      <c r="H27" s="47">
        <v>45411</v>
      </c>
      <c r="I27" s="19" t="s">
        <v>133</v>
      </c>
      <c r="J27" s="41">
        <v>10080</v>
      </c>
      <c r="N27" s="64"/>
      <c r="O27" s="298"/>
      <c r="P27" s="299"/>
      <c r="R27" s="84"/>
      <c r="S27" s="85"/>
    </row>
    <row r="28" spans="2:19">
      <c r="B28" s="74">
        <v>45349</v>
      </c>
      <c r="C28" s="15">
        <v>2</v>
      </c>
      <c r="D28" s="11"/>
      <c r="E28" s="11"/>
      <c r="F28" s="37"/>
      <c r="G28" s="37"/>
      <c r="H28" s="47">
        <v>45416</v>
      </c>
      <c r="I28" s="19" t="s">
        <v>26</v>
      </c>
      <c r="J28" s="41">
        <v>10040</v>
      </c>
      <c r="N28" s="64"/>
      <c r="O28" s="298"/>
      <c r="P28" s="299"/>
      <c r="R28" s="84"/>
      <c r="S28" s="85"/>
    </row>
    <row r="29" spans="2:19">
      <c r="B29" s="74">
        <v>45350</v>
      </c>
      <c r="C29" s="15">
        <v>4</v>
      </c>
      <c r="D29" s="11"/>
      <c r="E29" s="11"/>
      <c r="F29" s="37"/>
      <c r="G29" s="37"/>
      <c r="H29" s="47">
        <v>45421</v>
      </c>
      <c r="I29" s="19" t="s">
        <v>92</v>
      </c>
      <c r="J29" s="41">
        <v>12360</v>
      </c>
      <c r="N29" s="64"/>
      <c r="O29" s="298"/>
      <c r="P29" s="299"/>
      <c r="R29" s="84"/>
      <c r="S29" s="85"/>
    </row>
    <row r="30" spans="2:19">
      <c r="B30" s="74">
        <v>45351</v>
      </c>
      <c r="C30" s="15">
        <v>1</v>
      </c>
      <c r="D30" s="11"/>
      <c r="E30" s="11"/>
      <c r="F30" s="37"/>
      <c r="G30" s="37"/>
      <c r="H30" s="47">
        <v>45427</v>
      </c>
      <c r="I30" s="19" t="s">
        <v>92</v>
      </c>
      <c r="J30" s="41">
        <v>15050</v>
      </c>
      <c r="N30" s="64"/>
      <c r="O30" s="298"/>
      <c r="P30" s="299"/>
      <c r="R30" s="84"/>
      <c r="S30" s="85"/>
    </row>
    <row r="31" spans="2:19">
      <c r="B31" s="74">
        <v>45353</v>
      </c>
      <c r="C31" s="15">
        <v>7</v>
      </c>
      <c r="D31" s="11"/>
      <c r="E31" s="11"/>
      <c r="F31" s="37"/>
      <c r="G31" s="37"/>
      <c r="H31" s="47">
        <v>45432</v>
      </c>
      <c r="I31" s="19" t="s">
        <v>92</v>
      </c>
      <c r="J31" s="41">
        <v>4430</v>
      </c>
      <c r="N31" s="64"/>
      <c r="O31" s="298"/>
      <c r="P31" s="299"/>
      <c r="R31" s="84"/>
      <c r="S31" s="85"/>
    </row>
    <row r="32" spans="2:19" ht="18" thickBot="1">
      <c r="B32" s="74">
        <v>45356</v>
      </c>
      <c r="C32" s="15">
        <v>1</v>
      </c>
      <c r="D32" s="11"/>
      <c r="E32" s="11"/>
      <c r="F32" s="37"/>
      <c r="G32" s="37"/>
      <c r="H32" s="47">
        <v>45439</v>
      </c>
      <c r="I32" s="19" t="s">
        <v>92</v>
      </c>
      <c r="J32" s="41">
        <v>4980</v>
      </c>
      <c r="N32" s="64"/>
      <c r="O32" s="298"/>
      <c r="P32" s="299"/>
      <c r="R32" s="86"/>
      <c r="S32" s="87"/>
    </row>
    <row r="33" spans="2:19" ht="18" thickTop="1">
      <c r="B33" s="74">
        <v>45361</v>
      </c>
      <c r="C33" s="15">
        <v>4</v>
      </c>
      <c r="D33" s="11"/>
      <c r="E33" s="11"/>
      <c r="F33" s="37"/>
      <c r="G33" s="37"/>
      <c r="H33" s="47">
        <v>45446</v>
      </c>
      <c r="I33" s="19" t="s">
        <v>29</v>
      </c>
      <c r="J33" s="41">
        <v>2650</v>
      </c>
      <c r="N33" s="64"/>
      <c r="O33" s="298"/>
      <c r="P33" s="299"/>
    </row>
    <row r="34" spans="2:19">
      <c r="B34" s="74">
        <v>45362</v>
      </c>
      <c r="C34" s="15">
        <v>3</v>
      </c>
      <c r="D34" s="11"/>
      <c r="E34" s="11"/>
      <c r="F34" s="37"/>
      <c r="G34" s="37"/>
      <c r="H34" s="47">
        <v>45447</v>
      </c>
      <c r="I34" s="20" t="s">
        <v>28</v>
      </c>
      <c r="J34" s="41">
        <v>3010</v>
      </c>
      <c r="N34" s="64"/>
      <c r="O34" s="298"/>
      <c r="P34" s="299"/>
    </row>
    <row r="35" spans="2:19">
      <c r="B35" s="74">
        <v>45364</v>
      </c>
      <c r="C35" s="15">
        <v>1</v>
      </c>
      <c r="D35" s="11"/>
      <c r="E35" s="11"/>
      <c r="F35" s="37"/>
      <c r="G35" s="37"/>
      <c r="H35" s="47">
        <v>45450</v>
      </c>
      <c r="I35" s="20" t="s">
        <v>28</v>
      </c>
      <c r="J35" s="41">
        <v>10000</v>
      </c>
      <c r="N35" s="64"/>
      <c r="O35" s="298"/>
      <c r="P35" s="299"/>
    </row>
    <row r="36" spans="2:19">
      <c r="B36" s="74">
        <v>45369</v>
      </c>
      <c r="C36" s="15">
        <v>2</v>
      </c>
      <c r="D36" s="11"/>
      <c r="E36" s="11"/>
      <c r="F36" s="37"/>
      <c r="G36" s="37"/>
      <c r="H36" s="47">
        <v>45370</v>
      </c>
      <c r="I36" s="20" t="s">
        <v>28</v>
      </c>
      <c r="J36" s="41">
        <v>840</v>
      </c>
      <c r="N36" s="64"/>
      <c r="O36" s="298"/>
      <c r="P36" s="299"/>
    </row>
    <row r="37" spans="2:19">
      <c r="B37" s="74">
        <v>45375</v>
      </c>
      <c r="C37" s="15">
        <v>3</v>
      </c>
      <c r="D37" s="11"/>
      <c r="E37" s="11"/>
      <c r="F37" s="37"/>
      <c r="G37" s="37"/>
      <c r="H37" s="47">
        <v>45469</v>
      </c>
      <c r="I37" s="19" t="s">
        <v>29</v>
      </c>
      <c r="J37" s="41">
        <v>5040</v>
      </c>
      <c r="N37" s="64"/>
      <c r="O37" s="298"/>
      <c r="P37" s="299"/>
    </row>
    <row r="38" spans="2:19">
      <c r="B38" s="74">
        <v>45383</v>
      </c>
      <c r="C38" s="15">
        <v>1</v>
      </c>
      <c r="D38" s="11"/>
      <c r="E38" s="11"/>
      <c r="F38" s="37"/>
      <c r="G38" s="37"/>
      <c r="H38" s="47">
        <v>45475</v>
      </c>
      <c r="I38" s="19" t="s">
        <v>29</v>
      </c>
      <c r="J38" s="41">
        <v>5060</v>
      </c>
      <c r="N38" s="64"/>
      <c r="O38" s="298"/>
      <c r="P38" s="299"/>
    </row>
    <row r="39" spans="2:19">
      <c r="B39" s="74">
        <v>45392</v>
      </c>
      <c r="C39" s="15">
        <v>1</v>
      </c>
      <c r="D39" s="11"/>
      <c r="E39" s="11"/>
      <c r="F39" s="37"/>
      <c r="G39" s="37"/>
      <c r="H39" s="47">
        <v>45490</v>
      </c>
      <c r="I39" s="19" t="s">
        <v>29</v>
      </c>
      <c r="J39" s="41">
        <v>5020</v>
      </c>
      <c r="N39" s="64"/>
      <c r="O39" s="298"/>
      <c r="P39" s="299"/>
    </row>
    <row r="40" spans="2:19">
      <c r="B40" s="74">
        <v>45394</v>
      </c>
      <c r="C40" s="15">
        <v>1</v>
      </c>
      <c r="D40" s="11"/>
      <c r="E40" s="11"/>
      <c r="F40" s="37"/>
      <c r="G40" s="37"/>
      <c r="H40" s="20"/>
      <c r="I40" s="20"/>
      <c r="J40" s="41"/>
      <c r="N40" s="64"/>
      <c r="O40" s="298"/>
      <c r="P40" s="299"/>
    </row>
    <row r="41" spans="2:19">
      <c r="B41" s="74">
        <v>45398</v>
      </c>
      <c r="C41" s="15">
        <v>2</v>
      </c>
      <c r="D41" s="11"/>
      <c r="E41" s="11"/>
      <c r="F41" s="37"/>
      <c r="G41" s="37"/>
      <c r="H41" s="20"/>
      <c r="I41" s="20"/>
      <c r="J41" s="41"/>
      <c r="N41" s="64"/>
      <c r="O41" s="298"/>
      <c r="P41" s="299"/>
      <c r="S41" s="91"/>
    </row>
    <row r="42" spans="2:19">
      <c r="B42" s="74">
        <v>45399</v>
      </c>
      <c r="C42" s="15">
        <v>6</v>
      </c>
      <c r="D42" s="11"/>
      <c r="E42" s="11"/>
      <c r="F42" s="37"/>
      <c r="G42" s="37"/>
      <c r="H42" s="20"/>
      <c r="I42" s="20"/>
      <c r="J42" s="41"/>
      <c r="N42" s="64"/>
      <c r="O42" s="298"/>
      <c r="P42" s="299"/>
      <c r="S42" s="186"/>
    </row>
    <row r="43" spans="2:19">
      <c r="B43" s="74">
        <v>45400</v>
      </c>
      <c r="C43" s="15">
        <v>3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9">
      <c r="B44" s="74">
        <v>45403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9">
      <c r="B45" s="74">
        <v>45404</v>
      </c>
      <c r="C45" s="15">
        <v>3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9">
      <c r="B46" s="74">
        <v>45411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9">
      <c r="B47" s="74">
        <v>45412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9">
      <c r="B48" s="74">
        <v>45414</v>
      </c>
      <c r="C48" s="15">
        <v>1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45415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74">
        <v>45418</v>
      </c>
      <c r="C50" s="15">
        <v>3</v>
      </c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74">
        <v>45420</v>
      </c>
      <c r="C51" s="15">
        <v>1</v>
      </c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74">
        <v>45421</v>
      </c>
      <c r="C52" s="15">
        <v>1</v>
      </c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74">
        <v>45424</v>
      </c>
      <c r="C53" s="15">
        <v>2</v>
      </c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74">
        <v>45426</v>
      </c>
      <c r="C54" s="15">
        <v>1</v>
      </c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74">
        <v>45429</v>
      </c>
      <c r="C55" s="15">
        <v>1</v>
      </c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74">
        <v>45436</v>
      </c>
      <c r="C56" s="15">
        <v>7</v>
      </c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74">
        <v>45446</v>
      </c>
      <c r="C57" s="15">
        <v>1</v>
      </c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>
      <c r="B58" s="92">
        <v>45452</v>
      </c>
      <c r="C58" s="17">
        <v>1</v>
      </c>
      <c r="D58" s="12"/>
      <c r="E58" s="12"/>
      <c r="F58" s="36"/>
      <c r="G58" s="36"/>
      <c r="H58" s="21"/>
      <c r="I58" s="21"/>
      <c r="J58" s="42"/>
      <c r="N58" s="64"/>
      <c r="O58" s="166"/>
      <c r="P58" s="167"/>
    </row>
    <row r="59" spans="2:16">
      <c r="B59" s="92"/>
      <c r="C59" s="17">
        <v>12</v>
      </c>
      <c r="D59" s="12"/>
      <c r="E59" s="12"/>
      <c r="F59" s="36"/>
      <c r="G59" s="36"/>
      <c r="H59" s="21"/>
      <c r="I59" s="21"/>
      <c r="J59" s="42"/>
      <c r="N59" s="64"/>
      <c r="O59" s="166"/>
      <c r="P59" s="167"/>
    </row>
    <row r="60" spans="2:16">
      <c r="B60" s="92"/>
      <c r="C60" s="17"/>
      <c r="D60" s="12"/>
      <c r="E60" s="12"/>
      <c r="F60" s="36"/>
      <c r="G60" s="36"/>
      <c r="H60" s="21"/>
      <c r="I60" s="21"/>
      <c r="J60" s="42"/>
      <c r="N60" s="64"/>
      <c r="O60" s="166"/>
      <c r="P60" s="167"/>
    </row>
    <row r="61" spans="2:16" ht="18" thickBot="1">
      <c r="B61" s="92"/>
      <c r="C61" s="17"/>
      <c r="D61" s="12"/>
      <c r="E61" s="12"/>
      <c r="F61" s="36"/>
      <c r="G61" s="36"/>
      <c r="H61" s="21"/>
      <c r="I61" s="21"/>
      <c r="J61" s="42"/>
      <c r="N61" s="64"/>
      <c r="O61" s="298"/>
      <c r="P61" s="299"/>
    </row>
    <row r="62" spans="2:16" ht="18" thickBot="1">
      <c r="B62" s="7"/>
      <c r="C62" s="8">
        <f>SUM(C12:C61)</f>
        <v>147</v>
      </c>
      <c r="D62" s="8"/>
      <c r="E62" s="8">
        <f>SUM(E12:E61)</f>
        <v>719</v>
      </c>
      <c r="F62" s="39">
        <f>SUM(F12:F61)</f>
        <v>79888.412698412707</v>
      </c>
      <c r="G62" s="39">
        <f>F62/E62</f>
        <v>111.11044881559486</v>
      </c>
      <c r="H62" s="8"/>
      <c r="I62" s="8"/>
      <c r="J62" s="43">
        <f>SUM(J12:J61)</f>
        <v>230390</v>
      </c>
      <c r="N62" s="65"/>
      <c r="O62" s="300"/>
      <c r="P62" s="301"/>
    </row>
    <row r="68" spans="4:5">
      <c r="D68" s="81" t="s">
        <v>38</v>
      </c>
      <c r="E68" s="80">
        <v>60</v>
      </c>
    </row>
    <row r="69" spans="4:5">
      <c r="D69" s="81" t="s">
        <v>39</v>
      </c>
      <c r="E69" s="80">
        <v>120</v>
      </c>
    </row>
    <row r="70" spans="4:5">
      <c r="D70" s="81" t="s">
        <v>40</v>
      </c>
      <c r="E70" s="80">
        <v>180</v>
      </c>
    </row>
    <row r="71" spans="4:5">
      <c r="D71" s="81" t="s">
        <v>41</v>
      </c>
      <c r="E71" s="80">
        <v>180</v>
      </c>
    </row>
    <row r="72" spans="4:5">
      <c r="D72" s="81" t="s">
        <v>42</v>
      </c>
      <c r="E72" s="80">
        <v>180</v>
      </c>
    </row>
  </sheetData>
  <mergeCells count="64">
    <mergeCell ref="O62:P62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61:P61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73"/>
  <sheetViews>
    <sheetView showGridLines="0" topLeftCell="A7" workbookViewId="0">
      <selection activeCell="E13" sqref="E13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0.5976562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/>
      <c r="E1" s="73">
        <f ca="1">TODAY()</f>
        <v>46325</v>
      </c>
      <c r="F1">
        <f ca="1">E1-B4</f>
        <v>988</v>
      </c>
    </row>
    <row r="2" spans="1:19" ht="18" thickBot="1">
      <c r="F2" s="302" t="s">
        <v>9</v>
      </c>
      <c r="G2" s="305"/>
      <c r="H2" s="314"/>
      <c r="O2" s="302" t="s">
        <v>8</v>
      </c>
      <c r="P2" s="314"/>
      <c r="R2">
        <v>910</v>
      </c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901</v>
      </c>
    </row>
    <row r="4" spans="1:19">
      <c r="B4" s="27">
        <v>45337</v>
      </c>
      <c r="C4" s="30">
        <v>910</v>
      </c>
      <c r="D4" s="36">
        <f>6670+7370+7080+6940+7280</f>
        <v>35340</v>
      </c>
      <c r="E4" s="70">
        <f>D4/C4</f>
        <v>38.835164835164832</v>
      </c>
      <c r="F4" s="315">
        <f>C8-P8</f>
        <v>906</v>
      </c>
      <c r="G4" s="318">
        <f>D8-(D8/C8*P8)</f>
        <v>35184.659340659338</v>
      </c>
      <c r="H4" s="327">
        <f>G4/F4</f>
        <v>38.835164835164832</v>
      </c>
      <c r="I4" s="321" t="s">
        <v>94</v>
      </c>
      <c r="J4" s="1">
        <f>B4+90</f>
        <v>45427</v>
      </c>
      <c r="K4" s="323">
        <f>C63</f>
        <v>165</v>
      </c>
      <c r="L4" s="325">
        <f>K8/F8</f>
        <v>0.18211920529801323</v>
      </c>
      <c r="M4" s="323">
        <f>E63</f>
        <v>741</v>
      </c>
      <c r="N4" s="323">
        <f>F8-C63-E63</f>
        <v>0</v>
      </c>
      <c r="O4" s="22">
        <v>45337</v>
      </c>
      <c r="P4" s="33">
        <v>4</v>
      </c>
      <c r="Q4">
        <f>2+3+2+2</f>
        <v>9</v>
      </c>
    </row>
    <row r="5" spans="1:19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19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19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19" ht="18" thickBot="1">
      <c r="B8" s="9" t="s">
        <v>10</v>
      </c>
      <c r="C8" s="32">
        <f>SUM(C4:C7)</f>
        <v>910</v>
      </c>
      <c r="D8" s="39">
        <f>SUM(D4:D7)</f>
        <v>35340</v>
      </c>
      <c r="E8" s="71">
        <f>D8/C8</f>
        <v>38.835164835164832</v>
      </c>
      <c r="F8" s="32">
        <f>SUM(F4)</f>
        <v>906</v>
      </c>
      <c r="G8" s="39">
        <f>SUM(G4)</f>
        <v>35184.659340659338</v>
      </c>
      <c r="H8" s="71">
        <f>G8/F8</f>
        <v>38.835164835164832</v>
      </c>
      <c r="I8" s="8"/>
      <c r="J8" s="8"/>
      <c r="K8" s="32">
        <f>K4</f>
        <v>165</v>
      </c>
      <c r="L8" s="26">
        <f>L4</f>
        <v>0.18211920529801323</v>
      </c>
      <c r="M8" s="32">
        <f>M4</f>
        <v>741</v>
      </c>
      <c r="N8" s="32">
        <f>N4</f>
        <v>0</v>
      </c>
      <c r="O8" s="46">
        <f>P8/C8</f>
        <v>4.3956043956043956E-3</v>
      </c>
      <c r="P8" s="35">
        <f>SUM(P4:P7)</f>
        <v>4</v>
      </c>
      <c r="Q8" s="69">
        <f>P8-Q4</f>
        <v>-5</v>
      </c>
    </row>
    <row r="9" spans="1:19" ht="18" thickBot="1">
      <c r="G9">
        <v>35188</v>
      </c>
      <c r="I9">
        <f>F8*0.818</f>
        <v>741.10799999999995</v>
      </c>
    </row>
    <row r="10" spans="1:19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19" ht="18" thickBot="1">
      <c r="B11" s="9" t="s">
        <v>0</v>
      </c>
      <c r="C11" s="108" t="s">
        <v>1</v>
      </c>
      <c r="D11" s="108" t="s">
        <v>0</v>
      </c>
      <c r="E11" s="108" t="s">
        <v>1</v>
      </c>
      <c r="F11" s="108" t="s">
        <v>2</v>
      </c>
      <c r="G11" s="108" t="s">
        <v>3</v>
      </c>
      <c r="H11" s="108" t="s">
        <v>0</v>
      </c>
      <c r="I11" s="108" t="s">
        <v>15</v>
      </c>
      <c r="J11" s="108" t="s">
        <v>16</v>
      </c>
      <c r="K11" s="56" t="s">
        <v>15</v>
      </c>
      <c r="L11" s="108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19">
      <c r="B12" s="45">
        <v>45347</v>
      </c>
      <c r="C12" s="13">
        <v>5</v>
      </c>
      <c r="D12" s="75">
        <v>45421</v>
      </c>
      <c r="E12" s="144">
        <v>36</v>
      </c>
      <c r="F12" s="44">
        <v>4010</v>
      </c>
      <c r="G12" s="79">
        <f>F12/E12</f>
        <v>111.38888888888889</v>
      </c>
      <c r="H12" s="18">
        <v>45337</v>
      </c>
      <c r="I12" s="19" t="s">
        <v>28</v>
      </c>
      <c r="J12" s="61">
        <v>9850</v>
      </c>
      <c r="K12" s="57" t="s">
        <v>18</v>
      </c>
      <c r="L12" s="52">
        <f>SUMIF($I$12:$I$128,K12,$J$12:$J$128)</f>
        <v>77130</v>
      </c>
      <c r="M12" s="48">
        <f>L12/$C$8</f>
        <v>84.758241758241752</v>
      </c>
      <c r="N12" s="66"/>
      <c r="O12" s="310"/>
      <c r="P12" s="311"/>
      <c r="R12" s="84" t="s">
        <v>96</v>
      </c>
      <c r="S12" s="85">
        <v>36</v>
      </c>
    </row>
    <row r="13" spans="1:19" ht="15.75" customHeight="1">
      <c r="B13" s="45">
        <v>45348</v>
      </c>
      <c r="C13" s="13">
        <v>1</v>
      </c>
      <c r="D13" s="149">
        <v>45428</v>
      </c>
      <c r="E13" s="162">
        <v>30</v>
      </c>
      <c r="F13" s="151">
        <f>6630/58*E13</f>
        <v>3429.3103448275861</v>
      </c>
      <c r="G13" s="154">
        <f t="shared" ref="G13:G30" si="0">F13/E13</f>
        <v>114.31034482758621</v>
      </c>
      <c r="H13" s="47">
        <v>45345</v>
      </c>
      <c r="I13" s="19" t="s">
        <v>28</v>
      </c>
      <c r="J13" s="62">
        <v>9830</v>
      </c>
      <c r="K13" s="58" t="s">
        <v>25</v>
      </c>
      <c r="L13" s="53">
        <f>SUMIF($I$12:$I$128,K13,$J$12:$J$128)</f>
        <v>0</v>
      </c>
      <c r="M13" s="49">
        <f t="shared" ref="M13:M15" si="1">L13/$C$8</f>
        <v>0</v>
      </c>
      <c r="N13" s="1"/>
      <c r="O13" s="312"/>
      <c r="P13" s="313"/>
      <c r="R13" s="84" t="s">
        <v>105</v>
      </c>
      <c r="S13" s="85">
        <v>30</v>
      </c>
    </row>
    <row r="14" spans="1:19" ht="15.75" customHeight="1">
      <c r="B14" s="74">
        <v>45351</v>
      </c>
      <c r="C14" s="15">
        <v>1</v>
      </c>
      <c r="D14" s="76">
        <v>45434</v>
      </c>
      <c r="E14" s="11">
        <v>60</v>
      </c>
      <c r="F14" s="37">
        <v>6920</v>
      </c>
      <c r="G14" s="79">
        <f t="shared" si="0"/>
        <v>115.33333333333333</v>
      </c>
      <c r="H14" s="47">
        <v>45351</v>
      </c>
      <c r="I14" s="19" t="s">
        <v>28</v>
      </c>
      <c r="J14" s="62">
        <v>9820</v>
      </c>
      <c r="K14" s="106" t="s">
        <v>26</v>
      </c>
      <c r="L14" s="53">
        <f>SUMIF($I$12:$I$128,K14,$J$12:$J$128)</f>
        <v>32210</v>
      </c>
      <c r="M14" s="107">
        <f t="shared" ref="M14" si="2">L14/$C$8</f>
        <v>35.395604395604394</v>
      </c>
      <c r="N14" s="1"/>
      <c r="O14" s="133"/>
      <c r="P14" s="134"/>
      <c r="R14" s="84" t="s">
        <v>98</v>
      </c>
      <c r="S14" s="85">
        <v>60</v>
      </c>
    </row>
    <row r="15" spans="1:19" ht="18" thickBot="1">
      <c r="B15" s="74">
        <v>45354</v>
      </c>
      <c r="C15" s="15">
        <v>2</v>
      </c>
      <c r="D15" s="76">
        <v>45441</v>
      </c>
      <c r="E15" s="11">
        <v>65</v>
      </c>
      <c r="F15" s="37">
        <v>7390</v>
      </c>
      <c r="G15" s="79">
        <f t="shared" si="0"/>
        <v>113.69230769230769</v>
      </c>
      <c r="H15" s="47">
        <v>45357</v>
      </c>
      <c r="I15" s="19" t="s">
        <v>28</v>
      </c>
      <c r="J15" s="62">
        <v>4960</v>
      </c>
      <c r="K15" s="59" t="s">
        <v>93</v>
      </c>
      <c r="L15" s="54">
        <f>SUMIF($I$12:$I$128,K15,$J$12:$J$128)</f>
        <v>72240</v>
      </c>
      <c r="M15" s="50">
        <f t="shared" si="1"/>
        <v>79.384615384615387</v>
      </c>
      <c r="N15" s="1"/>
      <c r="O15" s="298"/>
      <c r="P15" s="299"/>
      <c r="R15" s="84" t="s">
        <v>100</v>
      </c>
      <c r="S15" s="85">
        <v>131</v>
      </c>
    </row>
    <row r="16" spans="1:19" ht="18" thickBot="1">
      <c r="B16" s="74">
        <v>45355</v>
      </c>
      <c r="C16" s="15">
        <v>1</v>
      </c>
      <c r="D16" s="76">
        <v>45441</v>
      </c>
      <c r="E16" s="11">
        <v>66</v>
      </c>
      <c r="F16" s="37">
        <v>7550</v>
      </c>
      <c r="G16" s="79">
        <f t="shared" si="0"/>
        <v>114.39393939393939</v>
      </c>
      <c r="H16" s="47">
        <v>45362</v>
      </c>
      <c r="I16" s="19" t="s">
        <v>28</v>
      </c>
      <c r="J16" s="62">
        <v>5040</v>
      </c>
      <c r="K16" s="60" t="s">
        <v>21</v>
      </c>
      <c r="L16" s="55">
        <f>SUM(L12:L15)</f>
        <v>181580</v>
      </c>
      <c r="M16" s="40">
        <f>L16/C8</f>
        <v>199.53846153846155</v>
      </c>
      <c r="N16" s="1"/>
      <c r="O16" s="298"/>
      <c r="P16" s="299"/>
      <c r="R16" s="84" t="s">
        <v>101</v>
      </c>
      <c r="S16" s="85">
        <v>121</v>
      </c>
    </row>
    <row r="17" spans="2:19">
      <c r="B17" s="74">
        <v>45361</v>
      </c>
      <c r="C17" s="15">
        <v>3</v>
      </c>
      <c r="D17" s="76">
        <v>45446</v>
      </c>
      <c r="E17" s="11">
        <v>61</v>
      </c>
      <c r="F17" s="37">
        <v>7010</v>
      </c>
      <c r="G17" s="79">
        <f t="shared" si="0"/>
        <v>114.91803278688525</v>
      </c>
      <c r="H17" s="47">
        <v>45366</v>
      </c>
      <c r="I17" s="19" t="s">
        <v>28</v>
      </c>
      <c r="J17" s="41">
        <v>2850</v>
      </c>
      <c r="N17" s="63"/>
      <c r="O17" s="298"/>
      <c r="P17" s="299"/>
      <c r="R17" s="84" t="s">
        <v>102</v>
      </c>
      <c r="S17" s="85">
        <v>70</v>
      </c>
    </row>
    <row r="18" spans="2:19">
      <c r="B18" s="74">
        <v>45362</v>
      </c>
      <c r="C18" s="15">
        <v>4</v>
      </c>
      <c r="D18" s="76">
        <v>45446</v>
      </c>
      <c r="E18" s="11">
        <v>60</v>
      </c>
      <c r="F18" s="37">
        <v>6840</v>
      </c>
      <c r="G18" s="79">
        <f t="shared" si="0"/>
        <v>114</v>
      </c>
      <c r="H18" s="47">
        <v>45370</v>
      </c>
      <c r="I18" s="19" t="s">
        <v>28</v>
      </c>
      <c r="J18" s="41">
        <v>9840</v>
      </c>
      <c r="N18" s="63"/>
      <c r="O18" s="298"/>
      <c r="P18" s="299"/>
      <c r="R18" s="84" t="s">
        <v>103</v>
      </c>
      <c r="S18" s="85">
        <v>120</v>
      </c>
    </row>
    <row r="19" spans="2:19">
      <c r="B19" s="74">
        <v>45363</v>
      </c>
      <c r="C19" s="15">
        <v>2</v>
      </c>
      <c r="D19" s="76">
        <v>45453</v>
      </c>
      <c r="E19" s="11">
        <v>60</v>
      </c>
      <c r="F19" s="37">
        <v>7050</v>
      </c>
      <c r="G19" s="79">
        <f t="shared" si="0"/>
        <v>117.5</v>
      </c>
      <c r="H19" s="47">
        <v>45376</v>
      </c>
      <c r="I19" s="19" t="s">
        <v>28</v>
      </c>
      <c r="J19" s="41">
        <v>9900</v>
      </c>
      <c r="K19" t="s">
        <v>32</v>
      </c>
      <c r="L19" s="78">
        <f>(J63/I9)/(G63-H8)</f>
        <v>3.2787700066903374</v>
      </c>
      <c r="N19" s="63"/>
      <c r="O19" s="298"/>
      <c r="P19" s="299"/>
      <c r="R19" s="84" t="s">
        <v>104</v>
      </c>
      <c r="S19" s="85">
        <v>60</v>
      </c>
    </row>
    <row r="20" spans="2:19">
      <c r="B20" s="74">
        <v>45364</v>
      </c>
      <c r="C20" s="15">
        <v>6</v>
      </c>
      <c r="D20" s="76">
        <v>45453</v>
      </c>
      <c r="E20" s="11">
        <v>60</v>
      </c>
      <c r="F20" s="37">
        <v>6950</v>
      </c>
      <c r="G20" s="79">
        <f t="shared" si="0"/>
        <v>115.83333333333333</v>
      </c>
      <c r="H20" s="47">
        <v>45384</v>
      </c>
      <c r="I20" s="20" t="s">
        <v>92</v>
      </c>
      <c r="J20" s="41">
        <v>9970</v>
      </c>
      <c r="N20" s="63"/>
      <c r="O20" s="298"/>
      <c r="P20" s="299"/>
      <c r="R20" s="84" t="s">
        <v>136</v>
      </c>
      <c r="S20" s="85">
        <v>40</v>
      </c>
    </row>
    <row r="21" spans="2:19">
      <c r="B21" s="74">
        <v>45365</v>
      </c>
      <c r="C21" s="15">
        <v>5</v>
      </c>
      <c r="D21" s="76">
        <v>45455</v>
      </c>
      <c r="E21" s="11">
        <v>53</v>
      </c>
      <c r="F21" s="37">
        <v>6220</v>
      </c>
      <c r="G21" s="79">
        <f t="shared" si="0"/>
        <v>117.35849056603773</v>
      </c>
      <c r="H21" s="47">
        <v>45388</v>
      </c>
      <c r="I21" s="20" t="s">
        <v>92</v>
      </c>
      <c r="J21" s="41">
        <v>5330</v>
      </c>
      <c r="N21" s="63"/>
      <c r="O21" s="298"/>
      <c r="P21" s="299"/>
      <c r="R21" s="84" t="s">
        <v>145</v>
      </c>
      <c r="S21" s="85"/>
    </row>
    <row r="22" spans="2:19">
      <c r="B22" s="92">
        <v>45367</v>
      </c>
      <c r="C22" s="17">
        <v>2</v>
      </c>
      <c r="D22" s="76">
        <v>45456</v>
      </c>
      <c r="E22" s="11">
        <v>40</v>
      </c>
      <c r="F22" s="37">
        <v>4690</v>
      </c>
      <c r="G22" s="79">
        <f t="shared" si="0"/>
        <v>117.25</v>
      </c>
      <c r="H22" s="47">
        <v>45391</v>
      </c>
      <c r="I22" s="20" t="s">
        <v>92</v>
      </c>
      <c r="J22" s="41">
        <v>4990</v>
      </c>
      <c r="N22" s="63"/>
      <c r="O22" s="298"/>
      <c r="P22" s="299"/>
      <c r="R22" s="84"/>
      <c r="S22" s="85"/>
    </row>
    <row r="23" spans="2:19">
      <c r="B23" s="74">
        <v>45369</v>
      </c>
      <c r="C23" s="15">
        <v>2</v>
      </c>
      <c r="D23" s="76">
        <v>45460</v>
      </c>
      <c r="E23" s="11">
        <v>50</v>
      </c>
      <c r="F23" s="37">
        <v>5660</v>
      </c>
      <c r="G23" s="79">
        <f t="shared" si="0"/>
        <v>113.2</v>
      </c>
      <c r="H23" s="47">
        <v>45397</v>
      </c>
      <c r="I23" s="20" t="s">
        <v>92</v>
      </c>
      <c r="J23" s="41">
        <v>10420</v>
      </c>
      <c r="M23" s="25"/>
      <c r="N23" s="63"/>
      <c r="O23" s="298"/>
      <c r="P23" s="299"/>
      <c r="R23" s="84"/>
      <c r="S23" s="85"/>
    </row>
    <row r="24" spans="2:19">
      <c r="B24" s="74">
        <v>45371</v>
      </c>
      <c r="C24" s="15">
        <v>6</v>
      </c>
      <c r="D24" s="76">
        <v>45460</v>
      </c>
      <c r="E24" s="11">
        <v>47</v>
      </c>
      <c r="F24" s="37">
        <v>5140</v>
      </c>
      <c r="G24" s="79">
        <f t="shared" si="0"/>
        <v>109.36170212765957</v>
      </c>
      <c r="H24" s="47">
        <v>45402</v>
      </c>
      <c r="I24" s="20" t="s">
        <v>92</v>
      </c>
      <c r="J24" s="41">
        <v>10060</v>
      </c>
      <c r="N24" s="63"/>
      <c r="O24" s="298"/>
      <c r="P24" s="299"/>
      <c r="R24" s="84"/>
      <c r="S24" s="85"/>
    </row>
    <row r="25" spans="2:19">
      <c r="B25" s="74">
        <v>45372</v>
      </c>
      <c r="C25" s="15">
        <v>4</v>
      </c>
      <c r="D25" s="76">
        <v>45463</v>
      </c>
      <c r="E25" s="11">
        <v>36</v>
      </c>
      <c r="F25" s="37">
        <v>4040</v>
      </c>
      <c r="G25" s="79">
        <f t="shared" si="0"/>
        <v>112.22222222222223</v>
      </c>
      <c r="H25" s="47">
        <v>45407</v>
      </c>
      <c r="I25" s="20" t="s">
        <v>127</v>
      </c>
      <c r="J25" s="41">
        <v>5020</v>
      </c>
      <c r="N25" s="63"/>
      <c r="O25" s="298"/>
      <c r="P25" s="299"/>
      <c r="R25" s="84"/>
      <c r="S25" s="85"/>
    </row>
    <row r="26" spans="2:19">
      <c r="B26" s="74">
        <v>45375</v>
      </c>
      <c r="C26" s="15">
        <v>7</v>
      </c>
      <c r="D26" s="76">
        <v>45484</v>
      </c>
      <c r="E26" s="11">
        <v>17</v>
      </c>
      <c r="F26" s="37">
        <v>1250</v>
      </c>
      <c r="G26" s="79">
        <f t="shared" si="0"/>
        <v>73.529411764705884</v>
      </c>
      <c r="H26" s="47">
        <v>45409</v>
      </c>
      <c r="I26" s="20" t="s">
        <v>127</v>
      </c>
      <c r="J26" s="41">
        <v>10060</v>
      </c>
      <c r="N26" s="64"/>
      <c r="O26" s="298"/>
      <c r="P26" s="299"/>
      <c r="R26" s="84"/>
      <c r="S26" s="85"/>
    </row>
    <row r="27" spans="2:19">
      <c r="B27" s="74">
        <v>45376</v>
      </c>
      <c r="C27" s="15">
        <v>6</v>
      </c>
      <c r="D27" s="11"/>
      <c r="E27" s="11"/>
      <c r="F27" s="37"/>
      <c r="G27" s="79" t="e">
        <f t="shared" si="0"/>
        <v>#DIV/0!</v>
      </c>
      <c r="H27" s="47">
        <v>45413</v>
      </c>
      <c r="I27" s="20" t="s">
        <v>127</v>
      </c>
      <c r="J27" s="41">
        <v>10070</v>
      </c>
      <c r="N27" s="64"/>
      <c r="O27" s="298"/>
      <c r="P27" s="299"/>
      <c r="R27" s="84"/>
      <c r="S27" s="85"/>
    </row>
    <row r="28" spans="2:19">
      <c r="B28" s="74">
        <v>45377</v>
      </c>
      <c r="C28" s="15">
        <v>7</v>
      </c>
      <c r="D28" s="11"/>
      <c r="E28" s="11"/>
      <c r="F28" s="37"/>
      <c r="G28" s="79" t="e">
        <f t="shared" si="0"/>
        <v>#DIV/0!</v>
      </c>
      <c r="H28" s="47">
        <v>45416</v>
      </c>
      <c r="I28" s="20" t="s">
        <v>92</v>
      </c>
      <c r="J28" s="41">
        <v>4610</v>
      </c>
      <c r="N28" s="64"/>
      <c r="O28" s="298"/>
      <c r="P28" s="299"/>
      <c r="R28" s="84"/>
      <c r="S28" s="85"/>
    </row>
    <row r="29" spans="2:19">
      <c r="B29" s="74">
        <v>45380</v>
      </c>
      <c r="C29" s="15">
        <v>4</v>
      </c>
      <c r="D29" s="11"/>
      <c r="E29" s="11"/>
      <c r="F29" s="37"/>
      <c r="G29" s="79" t="e">
        <f t="shared" si="0"/>
        <v>#DIV/0!</v>
      </c>
      <c r="H29" s="47">
        <v>45418</v>
      </c>
      <c r="I29" s="20" t="s">
        <v>92</v>
      </c>
      <c r="J29" s="41">
        <v>6430</v>
      </c>
      <c r="N29" s="64"/>
      <c r="O29" s="298"/>
      <c r="P29" s="299"/>
      <c r="R29" s="84"/>
      <c r="S29" s="85"/>
    </row>
    <row r="30" spans="2:19">
      <c r="B30" s="74">
        <v>45383</v>
      </c>
      <c r="C30" s="15">
        <v>4</v>
      </c>
      <c r="D30" s="11"/>
      <c r="E30" s="11"/>
      <c r="F30" s="37"/>
      <c r="G30" s="79" t="e">
        <f t="shared" si="0"/>
        <v>#DIV/0!</v>
      </c>
      <c r="H30" s="47">
        <v>45425</v>
      </c>
      <c r="I30" s="20" t="s">
        <v>127</v>
      </c>
      <c r="J30" s="41">
        <v>7060</v>
      </c>
      <c r="N30" s="64"/>
      <c r="O30" s="298"/>
      <c r="P30" s="299"/>
      <c r="R30" s="84"/>
      <c r="S30" s="85"/>
    </row>
    <row r="31" spans="2:19">
      <c r="B31" s="74">
        <v>45384</v>
      </c>
      <c r="C31" s="15">
        <v>4</v>
      </c>
      <c r="D31" s="11"/>
      <c r="E31" s="11"/>
      <c r="F31" s="37"/>
      <c r="G31" s="37"/>
      <c r="H31" s="47">
        <v>45430</v>
      </c>
      <c r="I31" s="20" t="s">
        <v>92</v>
      </c>
      <c r="J31" s="41">
        <v>10380</v>
      </c>
      <c r="N31" s="64"/>
      <c r="O31" s="298"/>
      <c r="P31" s="299"/>
      <c r="R31" s="84"/>
      <c r="S31" s="85"/>
    </row>
    <row r="32" spans="2:19" ht="18" thickBot="1">
      <c r="B32" s="74">
        <v>45385</v>
      </c>
      <c r="C32" s="15">
        <v>2</v>
      </c>
      <c r="D32" s="11"/>
      <c r="E32" s="11"/>
      <c r="F32" s="37"/>
      <c r="G32" s="37"/>
      <c r="H32" s="47">
        <v>45436</v>
      </c>
      <c r="I32" s="20" t="s">
        <v>92</v>
      </c>
      <c r="J32" s="41">
        <v>10050</v>
      </c>
      <c r="N32" s="64"/>
      <c r="O32" s="298"/>
      <c r="P32" s="299"/>
      <c r="R32" s="86"/>
      <c r="S32" s="87"/>
    </row>
    <row r="33" spans="2:16" ht="18" thickTop="1">
      <c r="B33" s="74">
        <v>45386</v>
      </c>
      <c r="C33" s="15">
        <v>2</v>
      </c>
      <c r="D33" s="11"/>
      <c r="E33" s="11"/>
      <c r="F33" s="37"/>
      <c r="G33" s="37"/>
      <c r="H33" s="47">
        <v>45441</v>
      </c>
      <c r="I33" s="19" t="s">
        <v>28</v>
      </c>
      <c r="J33" s="41">
        <v>10010</v>
      </c>
      <c r="N33" s="64"/>
      <c r="O33" s="298"/>
      <c r="P33" s="299"/>
    </row>
    <row r="34" spans="2:16">
      <c r="B34" s="74">
        <v>45389</v>
      </c>
      <c r="C34" s="15">
        <v>2</v>
      </c>
      <c r="D34" s="11"/>
      <c r="E34" s="11"/>
      <c r="F34" s="37"/>
      <c r="G34" s="37"/>
      <c r="H34" s="47">
        <v>45450</v>
      </c>
      <c r="I34" s="19" t="s">
        <v>28</v>
      </c>
      <c r="J34" s="41">
        <v>5030</v>
      </c>
      <c r="N34" s="64"/>
      <c r="O34" s="298"/>
      <c r="P34" s="299"/>
    </row>
    <row r="35" spans="2:16">
      <c r="B35" s="74">
        <v>45390</v>
      </c>
      <c r="C35" s="15">
        <v>1</v>
      </c>
      <c r="D35" s="11"/>
      <c r="E35" s="11"/>
      <c r="F35" s="37"/>
      <c r="G35" s="37"/>
      <c r="H35" s="20"/>
      <c r="I35" s="20"/>
      <c r="J35" s="41"/>
      <c r="N35" s="64"/>
      <c r="O35" s="298"/>
      <c r="P35" s="299"/>
    </row>
    <row r="36" spans="2:16">
      <c r="B36" s="74">
        <v>45392</v>
      </c>
      <c r="C36" s="15">
        <v>4</v>
      </c>
      <c r="D36" s="11"/>
      <c r="E36" s="11"/>
      <c r="F36" s="37"/>
      <c r="G36" s="37"/>
      <c r="H36" s="20"/>
      <c r="I36" s="20"/>
      <c r="J36" s="41"/>
      <c r="N36" s="64"/>
      <c r="O36" s="298"/>
      <c r="P36" s="299"/>
    </row>
    <row r="37" spans="2:16">
      <c r="B37" s="74">
        <v>45393</v>
      </c>
      <c r="C37" s="15">
        <v>1</v>
      </c>
      <c r="D37" s="11"/>
      <c r="E37" s="11"/>
      <c r="F37" s="37"/>
      <c r="G37" s="37"/>
      <c r="H37" s="20"/>
      <c r="I37" s="20"/>
      <c r="J37" s="41"/>
      <c r="N37" s="64"/>
      <c r="O37" s="298"/>
      <c r="P37" s="299"/>
    </row>
    <row r="38" spans="2:16">
      <c r="B38" s="74">
        <v>45394</v>
      </c>
      <c r="C38" s="15">
        <v>1</v>
      </c>
      <c r="D38" s="11"/>
      <c r="E38" s="11"/>
      <c r="F38" s="37"/>
      <c r="G38" s="37"/>
      <c r="H38" s="20"/>
      <c r="I38" s="20"/>
      <c r="J38" s="41"/>
      <c r="N38" s="64"/>
      <c r="O38" s="298"/>
      <c r="P38" s="299"/>
    </row>
    <row r="39" spans="2:16">
      <c r="B39" s="74">
        <v>45398</v>
      </c>
      <c r="C39" s="15">
        <v>2</v>
      </c>
      <c r="D39" s="11"/>
      <c r="E39" s="11"/>
      <c r="F39" s="37"/>
      <c r="G39" s="37"/>
      <c r="H39" s="20"/>
      <c r="I39" s="20"/>
      <c r="J39" s="41"/>
      <c r="N39" s="64"/>
      <c r="O39" s="298"/>
      <c r="P39" s="299"/>
    </row>
    <row r="40" spans="2:16">
      <c r="B40" s="74">
        <v>45399</v>
      </c>
      <c r="C40" s="15">
        <v>7</v>
      </c>
      <c r="D40" s="11"/>
      <c r="E40" s="11"/>
      <c r="F40" s="37"/>
      <c r="G40" s="37"/>
      <c r="H40" s="20"/>
      <c r="I40" s="20"/>
      <c r="J40" s="41"/>
      <c r="N40" s="64"/>
      <c r="O40" s="298"/>
      <c r="P40" s="299"/>
    </row>
    <row r="41" spans="2:16">
      <c r="B41" s="74">
        <v>45400</v>
      </c>
      <c r="C41" s="15">
        <v>1</v>
      </c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74">
        <v>45403</v>
      </c>
      <c r="C42" s="15">
        <v>2</v>
      </c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74">
        <v>45404</v>
      </c>
      <c r="C43" s="15">
        <v>2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74">
        <v>45405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74">
        <v>45407</v>
      </c>
      <c r="C45" s="15">
        <v>2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74">
        <v>45411</v>
      </c>
      <c r="C46" s="15">
        <v>2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74">
        <v>45412</v>
      </c>
      <c r="C47" s="15">
        <v>1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45413</v>
      </c>
      <c r="C48" s="15">
        <v>3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45414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74">
        <v>45415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74">
        <v>45420</v>
      </c>
      <c r="C51" s="15">
        <v>1</v>
      </c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74">
        <v>45422</v>
      </c>
      <c r="C52" s="15">
        <v>2</v>
      </c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74">
        <v>45427</v>
      </c>
      <c r="C53" s="15">
        <v>1</v>
      </c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74">
        <v>45428</v>
      </c>
      <c r="C54" s="15">
        <v>3</v>
      </c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74">
        <v>45430</v>
      </c>
      <c r="C55" s="15">
        <v>1</v>
      </c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74">
        <v>45431</v>
      </c>
      <c r="C56" s="15">
        <v>6</v>
      </c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74">
        <v>45441</v>
      </c>
      <c r="C57" s="15">
        <v>3</v>
      </c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>
      <c r="B58" s="92">
        <v>45450</v>
      </c>
      <c r="C58" s="17">
        <v>1</v>
      </c>
      <c r="D58" s="12"/>
      <c r="E58" s="12"/>
      <c r="F58" s="36"/>
      <c r="G58" s="36"/>
      <c r="H58" s="21"/>
      <c r="I58" s="21"/>
      <c r="J58" s="42"/>
      <c r="N58" s="64"/>
      <c r="O58" s="164"/>
      <c r="P58" s="165"/>
    </row>
    <row r="59" spans="2:16">
      <c r="B59" s="92">
        <v>45452</v>
      </c>
      <c r="C59" s="17">
        <v>1</v>
      </c>
      <c r="D59" s="12"/>
      <c r="E59" s="12"/>
      <c r="F59" s="36"/>
      <c r="G59" s="36"/>
      <c r="H59" s="21"/>
      <c r="I59" s="21"/>
      <c r="J59" s="42"/>
      <c r="N59" s="64"/>
      <c r="O59" s="164"/>
      <c r="P59" s="165"/>
    </row>
    <row r="60" spans="2:16">
      <c r="B60" s="92">
        <v>45457</v>
      </c>
      <c r="C60" s="17">
        <v>7</v>
      </c>
      <c r="D60" s="12"/>
      <c r="E60" s="12"/>
      <c r="F60" s="36"/>
      <c r="G60" s="36"/>
      <c r="H60" s="21"/>
      <c r="I60" s="21"/>
      <c r="J60" s="42"/>
      <c r="N60" s="64"/>
      <c r="O60" s="164"/>
      <c r="P60" s="165"/>
    </row>
    <row r="61" spans="2:16">
      <c r="B61" s="92">
        <v>45478</v>
      </c>
      <c r="C61" s="17">
        <v>2</v>
      </c>
      <c r="D61" s="12"/>
      <c r="E61" s="12"/>
      <c r="F61" s="36"/>
      <c r="G61" s="36"/>
      <c r="H61" s="21"/>
      <c r="I61" s="21"/>
      <c r="J61" s="42"/>
      <c r="N61" s="64"/>
      <c r="O61" s="184"/>
      <c r="P61" s="185"/>
    </row>
    <row r="62" spans="2:16" ht="18" thickBot="1">
      <c r="B62" s="92"/>
      <c r="C62" s="17">
        <v>23</v>
      </c>
      <c r="D62" s="12"/>
      <c r="E62" s="12"/>
      <c r="F62" s="36"/>
      <c r="G62" s="36"/>
      <c r="H62" s="21"/>
      <c r="I62" s="21"/>
      <c r="J62" s="42"/>
      <c r="N62" s="64"/>
      <c r="O62" s="298"/>
      <c r="P62" s="299"/>
    </row>
    <row r="63" spans="2:16" ht="18" thickBot="1">
      <c r="B63" s="7"/>
      <c r="C63" s="8">
        <f>SUM(C12:C62)</f>
        <v>165</v>
      </c>
      <c r="D63" s="8"/>
      <c r="E63" s="8">
        <f>SUM(E12:E62)</f>
        <v>741</v>
      </c>
      <c r="F63" s="39">
        <f>SUM(F12:F62)</f>
        <v>84149.310344827594</v>
      </c>
      <c r="G63" s="39">
        <f>F63/E63</f>
        <v>113.56182232770256</v>
      </c>
      <c r="H63" s="8"/>
      <c r="I63" s="8"/>
      <c r="J63" s="43">
        <f>SUM(J12:J62)</f>
        <v>181580</v>
      </c>
      <c r="N63" s="65"/>
      <c r="O63" s="300"/>
      <c r="P63" s="301"/>
    </row>
    <row r="69" spans="4:5">
      <c r="D69" s="81" t="s">
        <v>38</v>
      </c>
      <c r="E69" s="80">
        <v>60</v>
      </c>
    </row>
    <row r="70" spans="4:5">
      <c r="D70" s="81" t="s">
        <v>39</v>
      </c>
      <c r="E70" s="80">
        <v>120</v>
      </c>
    </row>
    <row r="71" spans="4:5">
      <c r="D71" s="81" t="s">
        <v>40</v>
      </c>
      <c r="E71" s="80">
        <v>180</v>
      </c>
    </row>
    <row r="72" spans="4:5">
      <c r="D72" s="81" t="s">
        <v>41</v>
      </c>
      <c r="E72" s="80">
        <v>180</v>
      </c>
    </row>
    <row r="73" spans="4:5">
      <c r="D73" s="81" t="s">
        <v>42</v>
      </c>
      <c r="E73" s="80">
        <v>180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63:P63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62:P6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F5B1-3902-4FE6-AD8F-511BBC0708FE}">
  <dimension ref="A1:V69"/>
  <sheetViews>
    <sheetView showGridLines="0" workbookViewId="0">
      <selection activeCell="N19" sqref="N19"/>
    </sheetView>
  </sheetViews>
  <sheetFormatPr defaultRowHeight="17.399999999999999"/>
  <cols>
    <col min="2" max="2" width="11.09765625" bestFit="1" customWidth="1"/>
    <col min="3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1.1992187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2" ht="18" thickBot="1">
      <c r="A1" t="s">
        <v>27</v>
      </c>
      <c r="B1" s="51"/>
      <c r="E1" s="73">
        <f ca="1">TODAY()</f>
        <v>46325</v>
      </c>
      <c r="F1">
        <f ca="1">E1-B4</f>
        <v>947</v>
      </c>
    </row>
    <row r="2" spans="1:22" ht="18" thickBot="1">
      <c r="F2" s="302" t="s">
        <v>9</v>
      </c>
      <c r="G2" s="305"/>
      <c r="H2" s="314"/>
      <c r="O2" s="302" t="s">
        <v>8</v>
      </c>
      <c r="P2" s="314"/>
      <c r="R2">
        <v>901</v>
      </c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874</v>
      </c>
    </row>
    <row r="4" spans="1:22">
      <c r="B4" s="27">
        <v>45378</v>
      </c>
      <c r="C4" s="30">
        <v>901</v>
      </c>
      <c r="D4" s="36">
        <v>34030</v>
      </c>
      <c r="E4" s="70">
        <f>D4/C4</f>
        <v>37.769145394006657</v>
      </c>
      <c r="F4" s="315">
        <f>C8-P8</f>
        <v>879</v>
      </c>
      <c r="G4" s="318">
        <f>D8-(D8/C8*P8)</f>
        <v>33199.078801331852</v>
      </c>
      <c r="H4" s="327">
        <f>G4/F4</f>
        <v>37.769145394006657</v>
      </c>
      <c r="I4" s="321" t="s">
        <v>33</v>
      </c>
      <c r="J4" s="1">
        <f>B4+90</f>
        <v>45468</v>
      </c>
      <c r="K4" s="323">
        <f>C59</f>
        <v>42</v>
      </c>
      <c r="L4" s="325">
        <f>K8/F8</f>
        <v>4.778156996587031E-2</v>
      </c>
      <c r="M4" s="323">
        <f>E59</f>
        <v>837</v>
      </c>
      <c r="N4" s="323">
        <f>F8-C59-E59</f>
        <v>0</v>
      </c>
      <c r="O4" s="22">
        <v>45378</v>
      </c>
      <c r="P4" s="33">
        <v>22</v>
      </c>
      <c r="Q4">
        <v>27</v>
      </c>
    </row>
    <row r="5" spans="1:22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22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2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2" ht="18" thickBot="1">
      <c r="B8" s="9" t="s">
        <v>10</v>
      </c>
      <c r="C8" s="32">
        <f>SUM(C4:C7)</f>
        <v>901</v>
      </c>
      <c r="D8" s="39">
        <f>SUM(D4:D7)</f>
        <v>34030</v>
      </c>
      <c r="E8" s="71">
        <f>D8/C8</f>
        <v>37.769145394006657</v>
      </c>
      <c r="F8" s="32">
        <f>SUM(F4)</f>
        <v>879</v>
      </c>
      <c r="G8" s="39">
        <f>SUM(G4)</f>
        <v>33199.078801331852</v>
      </c>
      <c r="H8" s="71">
        <f>G8/F8</f>
        <v>37.769145394006657</v>
      </c>
      <c r="I8" s="8"/>
      <c r="J8" s="8"/>
      <c r="K8" s="32">
        <f>K4</f>
        <v>42</v>
      </c>
      <c r="L8" s="26">
        <f>L4</f>
        <v>4.778156996587031E-2</v>
      </c>
      <c r="M8" s="32">
        <f>M4</f>
        <v>837</v>
      </c>
      <c r="N8" s="32">
        <f>N4</f>
        <v>0</v>
      </c>
      <c r="O8" s="46">
        <f>P8/C8</f>
        <v>2.4417314095449501E-2</v>
      </c>
      <c r="P8" s="35">
        <f>SUM(P4:P7)</f>
        <v>22</v>
      </c>
      <c r="Q8" s="69">
        <f>P8-Q4</f>
        <v>-5</v>
      </c>
    </row>
    <row r="9" spans="1:22" ht="18" thickBot="1">
      <c r="G9">
        <v>33216</v>
      </c>
      <c r="I9">
        <f>F8*0.95</f>
        <v>835.05</v>
      </c>
    </row>
    <row r="10" spans="1:22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 s="296" t="s">
        <v>163</v>
      </c>
      <c r="V10" s="297"/>
    </row>
    <row r="11" spans="1:22" ht="18" thickBot="1">
      <c r="B11" s="9" t="s">
        <v>0</v>
      </c>
      <c r="C11" s="115" t="s">
        <v>1</v>
      </c>
      <c r="D11" s="115" t="s">
        <v>0</v>
      </c>
      <c r="E11" s="115" t="s">
        <v>1</v>
      </c>
      <c r="F11" s="115" t="s">
        <v>2</v>
      </c>
      <c r="G11" s="115" t="s">
        <v>3</v>
      </c>
      <c r="H11" s="115" t="s">
        <v>0</v>
      </c>
      <c r="I11" s="115" t="s">
        <v>15</v>
      </c>
      <c r="J11" s="115" t="s">
        <v>16</v>
      </c>
      <c r="K11" s="56" t="s">
        <v>15</v>
      </c>
      <c r="L11" s="115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45409</v>
      </c>
      <c r="C12" s="13">
        <v>3</v>
      </c>
      <c r="D12" s="75">
        <v>45455</v>
      </c>
      <c r="E12" s="10">
        <v>24</v>
      </c>
      <c r="F12" s="44">
        <v>2700</v>
      </c>
      <c r="G12" s="79">
        <f>F12/E12</f>
        <v>112.5</v>
      </c>
      <c r="H12" s="18">
        <v>45379</v>
      </c>
      <c r="I12" s="19" t="s">
        <v>28</v>
      </c>
      <c r="J12" s="61">
        <v>7820</v>
      </c>
      <c r="K12" s="57" t="s">
        <v>18</v>
      </c>
      <c r="L12" s="52">
        <f>SUMIF($I$12:$I$124,K12,$J$12:$J$124)</f>
        <v>88330</v>
      </c>
      <c r="M12" s="48">
        <f>L12/$C$8</f>
        <v>98.035516093229745</v>
      </c>
      <c r="N12" s="66">
        <v>45400</v>
      </c>
      <c r="O12" s="330" t="s">
        <v>132</v>
      </c>
      <c r="P12" s="331"/>
      <c r="R12" s="84" t="s">
        <v>155</v>
      </c>
      <c r="S12" s="85">
        <v>24</v>
      </c>
      <c r="U12" s="84" t="s">
        <v>155</v>
      </c>
      <c r="V12" s="85">
        <v>24</v>
      </c>
    </row>
    <row r="13" spans="1:22">
      <c r="B13" s="45">
        <v>45418</v>
      </c>
      <c r="C13" s="13">
        <v>2</v>
      </c>
      <c r="D13" s="75">
        <v>45463</v>
      </c>
      <c r="E13" s="10">
        <v>45</v>
      </c>
      <c r="F13" s="44">
        <v>5030</v>
      </c>
      <c r="G13" s="79">
        <f t="shared" ref="G13:G28" si="0">F13/E13</f>
        <v>111.77777777777777</v>
      </c>
      <c r="H13" s="18">
        <v>45385</v>
      </c>
      <c r="I13" s="19" t="s">
        <v>28</v>
      </c>
      <c r="J13" s="61">
        <v>9860</v>
      </c>
      <c r="K13" s="58" t="s">
        <v>25</v>
      </c>
      <c r="L13" s="53">
        <f t="shared" ref="L13:L14" si="1">SUMIF($I$12:$I$124,K13,$J$12:$J$124)</f>
        <v>36330</v>
      </c>
      <c r="M13" s="49">
        <f t="shared" ref="M13:M14" si="2">L13/$C$8</f>
        <v>40.321864594894564</v>
      </c>
      <c r="N13" s="66"/>
      <c r="O13" s="136"/>
      <c r="P13" s="137"/>
      <c r="R13" s="84" t="s">
        <v>113</v>
      </c>
      <c r="S13" s="85">
        <v>45</v>
      </c>
      <c r="U13" s="84" t="s">
        <v>113</v>
      </c>
      <c r="V13" s="85">
        <v>45</v>
      </c>
    </row>
    <row r="14" spans="1:22">
      <c r="B14" s="45">
        <v>45421</v>
      </c>
      <c r="C14" s="13">
        <v>1</v>
      </c>
      <c r="D14" s="76">
        <v>45470</v>
      </c>
      <c r="E14" s="11">
        <v>44</v>
      </c>
      <c r="F14" s="37">
        <v>5050</v>
      </c>
      <c r="G14" s="79">
        <f t="shared" si="0"/>
        <v>114.77272727272727</v>
      </c>
      <c r="H14" s="47">
        <v>45391</v>
      </c>
      <c r="I14" s="19" t="s">
        <v>28</v>
      </c>
      <c r="J14" s="62">
        <v>8030</v>
      </c>
      <c r="K14" s="106" t="s">
        <v>26</v>
      </c>
      <c r="L14" s="53">
        <f t="shared" si="1"/>
        <v>29160</v>
      </c>
      <c r="M14" s="49">
        <f t="shared" si="2"/>
        <v>32.364039955604881</v>
      </c>
      <c r="N14" s="1"/>
      <c r="O14" s="312"/>
      <c r="P14" s="313"/>
      <c r="R14" s="84" t="s">
        <v>104</v>
      </c>
      <c r="S14" s="85">
        <v>100</v>
      </c>
      <c r="U14" s="84" t="s">
        <v>104</v>
      </c>
      <c r="V14" s="85">
        <v>107</v>
      </c>
    </row>
    <row r="15" spans="1:22" ht="18" thickBot="1">
      <c r="B15" s="74">
        <v>45424</v>
      </c>
      <c r="C15" s="15">
        <v>3</v>
      </c>
      <c r="D15" s="76">
        <v>45470</v>
      </c>
      <c r="E15" s="11">
        <v>63</v>
      </c>
      <c r="F15" s="37">
        <v>7000</v>
      </c>
      <c r="G15" s="79">
        <f t="shared" si="0"/>
        <v>111.11111111111111</v>
      </c>
      <c r="H15" s="47">
        <v>45397</v>
      </c>
      <c r="I15" s="19" t="s">
        <v>28</v>
      </c>
      <c r="J15" s="62">
        <v>4900</v>
      </c>
      <c r="K15" s="59" t="s">
        <v>93</v>
      </c>
      <c r="L15" s="54">
        <f t="shared" ref="L15" si="3">SUMIF($I$12:$I$124,K15,$J$12:$J$124)</f>
        <v>40130</v>
      </c>
      <c r="M15" s="50">
        <f t="shared" ref="M15" si="4">L15/$C$8</f>
        <v>44.539400665926749</v>
      </c>
      <c r="N15" s="66"/>
      <c r="O15" s="298"/>
      <c r="P15" s="299"/>
      <c r="R15" s="84" t="s">
        <v>119</v>
      </c>
      <c r="S15" s="85">
        <v>120</v>
      </c>
      <c r="U15" s="84" t="s">
        <v>119</v>
      </c>
      <c r="V15" s="85">
        <v>116</v>
      </c>
    </row>
    <row r="16" spans="1:22" ht="18" thickBot="1">
      <c r="B16" s="74">
        <v>45432</v>
      </c>
      <c r="C16" s="15">
        <v>1</v>
      </c>
      <c r="D16" s="76">
        <v>45474</v>
      </c>
      <c r="E16" s="11">
        <v>70</v>
      </c>
      <c r="F16" s="37">
        <v>7740</v>
      </c>
      <c r="G16" s="79">
        <f t="shared" si="0"/>
        <v>110.57142857142857</v>
      </c>
      <c r="H16" s="47">
        <v>45400</v>
      </c>
      <c r="I16" s="19" t="s">
        <v>28</v>
      </c>
      <c r="J16" s="62">
        <v>4890</v>
      </c>
      <c r="K16" s="60" t="s">
        <v>21</v>
      </c>
      <c r="L16" s="55">
        <f>SUM(L12:L15)</f>
        <v>193950</v>
      </c>
      <c r="M16" s="40">
        <f>L16/C8</f>
        <v>215.26082130965594</v>
      </c>
      <c r="N16" s="1"/>
      <c r="O16" s="298"/>
      <c r="P16" s="299"/>
      <c r="R16" s="84" t="s">
        <v>120</v>
      </c>
      <c r="S16" s="85">
        <v>100</v>
      </c>
      <c r="U16" s="84" t="s">
        <v>120</v>
      </c>
      <c r="V16" s="85">
        <v>128</v>
      </c>
    </row>
    <row r="17" spans="2:22">
      <c r="B17" s="74">
        <v>45434</v>
      </c>
      <c r="C17" s="15">
        <v>2</v>
      </c>
      <c r="D17" s="76">
        <v>45477</v>
      </c>
      <c r="E17" s="11">
        <v>46</v>
      </c>
      <c r="F17" s="37">
        <v>5090</v>
      </c>
      <c r="G17" s="79">
        <f t="shared" si="0"/>
        <v>110.65217391304348</v>
      </c>
      <c r="H17" s="47">
        <v>45405</v>
      </c>
      <c r="I17" s="19" t="s">
        <v>92</v>
      </c>
      <c r="J17" s="62">
        <v>11040</v>
      </c>
      <c r="N17" s="63"/>
      <c r="O17" s="298"/>
      <c r="P17" s="299"/>
      <c r="R17" s="84" t="s">
        <v>121</v>
      </c>
      <c r="S17" s="85">
        <v>120</v>
      </c>
      <c r="U17" s="84" t="s">
        <v>121</v>
      </c>
      <c r="V17" s="85">
        <v>106</v>
      </c>
    </row>
    <row r="18" spans="2:22">
      <c r="B18" s="74">
        <v>45440</v>
      </c>
      <c r="C18" s="15">
        <v>1</v>
      </c>
      <c r="D18" s="76">
        <v>45483</v>
      </c>
      <c r="E18" s="11">
        <v>56</v>
      </c>
      <c r="F18" s="37">
        <v>6240</v>
      </c>
      <c r="G18" s="79">
        <f t="shared" si="0"/>
        <v>111.42857142857143</v>
      </c>
      <c r="H18" s="47">
        <v>45411</v>
      </c>
      <c r="I18" s="20" t="s">
        <v>29</v>
      </c>
      <c r="J18" s="41">
        <v>5010</v>
      </c>
      <c r="N18" s="63"/>
      <c r="O18" s="298"/>
      <c r="P18" s="299"/>
      <c r="R18" s="84" t="s">
        <v>122</v>
      </c>
      <c r="S18" s="85">
        <v>50</v>
      </c>
      <c r="U18" s="84" t="s">
        <v>122</v>
      </c>
      <c r="V18" s="85">
        <v>194</v>
      </c>
    </row>
    <row r="19" spans="2:22">
      <c r="B19" s="74">
        <v>45442</v>
      </c>
      <c r="C19" s="15">
        <v>1</v>
      </c>
      <c r="D19" s="76">
        <v>45483</v>
      </c>
      <c r="E19" s="11">
        <v>72</v>
      </c>
      <c r="F19" s="37">
        <v>8010</v>
      </c>
      <c r="G19" s="79">
        <f t="shared" si="0"/>
        <v>111.25</v>
      </c>
      <c r="H19" s="47">
        <v>45412</v>
      </c>
      <c r="I19" s="20" t="s">
        <v>29</v>
      </c>
      <c r="J19" s="41">
        <v>5040</v>
      </c>
      <c r="K19" t="s">
        <v>32</v>
      </c>
      <c r="L19" s="78">
        <f>(J59/I9)/(G59-H8)</f>
        <v>3.1579179105672734</v>
      </c>
      <c r="N19" s="63"/>
      <c r="O19" s="298"/>
      <c r="P19" s="299"/>
      <c r="R19" s="84" t="s">
        <v>123</v>
      </c>
      <c r="S19" s="85"/>
      <c r="U19" s="84" t="s">
        <v>123</v>
      </c>
      <c r="V19" s="85">
        <v>70</v>
      </c>
    </row>
    <row r="20" spans="2:22">
      <c r="B20" s="74">
        <v>45443</v>
      </c>
      <c r="C20" s="15">
        <v>1</v>
      </c>
      <c r="D20" s="76">
        <v>45490</v>
      </c>
      <c r="E20" s="11">
        <v>52</v>
      </c>
      <c r="F20" s="37">
        <v>5990</v>
      </c>
      <c r="G20" s="79">
        <f t="shared" si="0"/>
        <v>115.19230769230769</v>
      </c>
      <c r="H20" s="47">
        <v>45415</v>
      </c>
      <c r="I20" s="19" t="s">
        <v>92</v>
      </c>
      <c r="J20" s="41">
        <v>8020</v>
      </c>
      <c r="K20" t="s">
        <v>172</v>
      </c>
      <c r="L20" s="183">
        <f>J35/419/7</f>
        <v>2.73781111489942</v>
      </c>
      <c r="N20" s="63"/>
      <c r="O20" s="298"/>
      <c r="P20" s="299"/>
      <c r="R20" s="84" t="s">
        <v>143</v>
      </c>
      <c r="S20" s="85">
        <v>120</v>
      </c>
      <c r="U20" s="84" t="s">
        <v>143</v>
      </c>
      <c r="V20" s="85"/>
    </row>
    <row r="21" spans="2:22">
      <c r="B21" s="74">
        <v>45445</v>
      </c>
      <c r="C21" s="15">
        <v>2</v>
      </c>
      <c r="D21" s="76">
        <v>45490</v>
      </c>
      <c r="E21" s="11">
        <v>54</v>
      </c>
      <c r="F21" s="37">
        <v>6130</v>
      </c>
      <c r="G21" s="79">
        <f t="shared" si="0"/>
        <v>113.51851851851852</v>
      </c>
      <c r="H21" s="47">
        <v>45420</v>
      </c>
      <c r="I21" s="20" t="s">
        <v>29</v>
      </c>
      <c r="J21" s="41">
        <v>12110</v>
      </c>
      <c r="N21" s="63"/>
      <c r="O21" s="298"/>
      <c r="P21" s="299"/>
      <c r="R21" s="84" t="s">
        <v>137</v>
      </c>
      <c r="S21" s="85">
        <v>60</v>
      </c>
      <c r="U21" s="84" t="s">
        <v>137</v>
      </c>
      <c r="V21" s="85"/>
    </row>
    <row r="22" spans="2:22">
      <c r="B22" s="74">
        <v>45446</v>
      </c>
      <c r="C22" s="15">
        <v>1</v>
      </c>
      <c r="D22" s="76">
        <v>45495</v>
      </c>
      <c r="E22" s="11">
        <v>64</v>
      </c>
      <c r="F22" s="37">
        <f>7970/72*E22</f>
        <v>7084.4444444444443</v>
      </c>
      <c r="G22" s="79">
        <f t="shared" si="0"/>
        <v>110.69444444444444</v>
      </c>
      <c r="H22" s="190">
        <v>45370</v>
      </c>
      <c r="I22" s="198" t="s">
        <v>28</v>
      </c>
      <c r="J22" s="192">
        <v>840</v>
      </c>
      <c r="N22" s="63"/>
      <c r="O22" s="298"/>
      <c r="P22" s="299"/>
      <c r="R22" s="84" t="s">
        <v>144</v>
      </c>
      <c r="S22" s="85">
        <v>20</v>
      </c>
      <c r="U22" s="84" t="s">
        <v>144</v>
      </c>
      <c r="V22" s="85">
        <v>40</v>
      </c>
    </row>
    <row r="23" spans="2:22">
      <c r="B23" s="92">
        <v>45448</v>
      </c>
      <c r="C23" s="17">
        <v>1</v>
      </c>
      <c r="D23" s="76">
        <v>45495</v>
      </c>
      <c r="E23" s="11">
        <v>70</v>
      </c>
      <c r="F23" s="37">
        <v>7840</v>
      </c>
      <c r="G23" s="79">
        <f t="shared" si="0"/>
        <v>112</v>
      </c>
      <c r="H23" s="47">
        <v>45429</v>
      </c>
      <c r="I23" s="19" t="s">
        <v>92</v>
      </c>
      <c r="J23" s="41">
        <v>7990</v>
      </c>
      <c r="M23" s="25"/>
      <c r="N23" s="63"/>
      <c r="O23" s="298"/>
      <c r="P23" s="299"/>
      <c r="R23" s="84" t="s">
        <v>139</v>
      </c>
      <c r="S23" s="85"/>
      <c r="U23" s="84" t="s">
        <v>139</v>
      </c>
      <c r="V23" s="85"/>
    </row>
    <row r="24" spans="2:22">
      <c r="B24" s="74">
        <v>45450</v>
      </c>
      <c r="C24" s="15">
        <v>2</v>
      </c>
      <c r="D24" s="76">
        <v>45499</v>
      </c>
      <c r="E24" s="11">
        <v>61</v>
      </c>
      <c r="F24" s="37">
        <v>6860</v>
      </c>
      <c r="G24" s="79">
        <f t="shared" si="0"/>
        <v>112.45901639344262</v>
      </c>
      <c r="H24" s="47">
        <v>45433</v>
      </c>
      <c r="I24" s="20" t="s">
        <v>25</v>
      </c>
      <c r="J24" s="192">
        <v>6080</v>
      </c>
      <c r="N24" s="63"/>
      <c r="O24" s="298"/>
      <c r="P24" s="299"/>
      <c r="R24" s="84" t="s">
        <v>141</v>
      </c>
      <c r="S24" s="85"/>
      <c r="U24" s="84" t="s">
        <v>141</v>
      </c>
      <c r="V24" s="85"/>
    </row>
    <row r="25" spans="2:22">
      <c r="B25" s="74">
        <v>45452</v>
      </c>
      <c r="C25" s="15">
        <v>3</v>
      </c>
      <c r="D25" s="76">
        <v>45503</v>
      </c>
      <c r="E25" s="11">
        <v>51</v>
      </c>
      <c r="F25" s="37">
        <v>5480</v>
      </c>
      <c r="G25" s="79">
        <f t="shared" si="0"/>
        <v>107.45098039215686</v>
      </c>
      <c r="H25" s="47">
        <v>45433</v>
      </c>
      <c r="I25" s="20" t="s">
        <v>148</v>
      </c>
      <c r="J25" s="41">
        <v>6050</v>
      </c>
      <c r="N25" s="63"/>
      <c r="O25" s="298"/>
      <c r="P25" s="299"/>
      <c r="R25" s="84"/>
      <c r="S25" s="85"/>
      <c r="U25" s="84"/>
      <c r="V25" s="85"/>
    </row>
    <row r="26" spans="2:22">
      <c r="B26" s="74">
        <v>45455</v>
      </c>
      <c r="C26" s="15">
        <v>1</v>
      </c>
      <c r="D26" s="76">
        <v>45511</v>
      </c>
      <c r="E26" s="11">
        <v>40</v>
      </c>
      <c r="F26" s="37">
        <v>4290</v>
      </c>
      <c r="G26" s="79">
        <f t="shared" si="0"/>
        <v>107.25</v>
      </c>
      <c r="H26" s="47">
        <v>45439</v>
      </c>
      <c r="I26" s="20" t="s">
        <v>148</v>
      </c>
      <c r="J26" s="41">
        <v>12080</v>
      </c>
      <c r="L26" s="72">
        <f>L16-185860</f>
        <v>8090</v>
      </c>
      <c r="N26" s="64"/>
      <c r="O26" s="298"/>
      <c r="P26" s="299"/>
      <c r="R26" s="84"/>
      <c r="S26" s="85"/>
      <c r="U26" s="84"/>
      <c r="V26" s="85"/>
    </row>
    <row r="27" spans="2:22">
      <c r="B27" s="74">
        <v>45457</v>
      </c>
      <c r="C27" s="15">
        <v>1</v>
      </c>
      <c r="D27" s="76">
        <v>45518</v>
      </c>
      <c r="E27" s="11">
        <v>22</v>
      </c>
      <c r="F27" s="37">
        <v>2310</v>
      </c>
      <c r="G27" s="79">
        <f t="shared" si="0"/>
        <v>105</v>
      </c>
      <c r="H27" s="190"/>
      <c r="I27" s="191"/>
      <c r="J27" s="192"/>
      <c r="N27" s="64"/>
      <c r="O27" s="298"/>
      <c r="P27" s="299"/>
      <c r="R27" s="84"/>
      <c r="S27" s="85"/>
      <c r="U27" s="84"/>
      <c r="V27" s="85"/>
    </row>
    <row r="28" spans="2:22">
      <c r="B28" s="74">
        <v>45460</v>
      </c>
      <c r="C28" s="15">
        <v>3</v>
      </c>
      <c r="D28" s="76">
        <v>45525</v>
      </c>
      <c r="E28" s="11">
        <v>3</v>
      </c>
      <c r="F28" s="37">
        <f>2740/25*E28</f>
        <v>328.79999999999995</v>
      </c>
      <c r="G28" s="79">
        <f t="shared" si="0"/>
        <v>109.59999999999998</v>
      </c>
      <c r="H28" s="47">
        <v>45444</v>
      </c>
      <c r="I28" s="20" t="s">
        <v>148</v>
      </c>
      <c r="J28" s="41">
        <v>3000</v>
      </c>
      <c r="N28" s="64"/>
      <c r="O28" s="298"/>
      <c r="P28" s="299"/>
      <c r="R28" s="84"/>
      <c r="S28" s="85"/>
      <c r="U28" s="84"/>
      <c r="V28" s="85"/>
    </row>
    <row r="29" spans="2:22">
      <c r="B29" s="74">
        <v>45461</v>
      </c>
      <c r="C29" s="15">
        <v>1</v>
      </c>
      <c r="D29" s="11"/>
      <c r="E29" s="11"/>
      <c r="F29" s="37"/>
      <c r="G29" s="37"/>
      <c r="H29" s="47">
        <v>45447</v>
      </c>
      <c r="I29" s="19" t="s">
        <v>28</v>
      </c>
      <c r="J29" s="41">
        <v>10060</v>
      </c>
      <c r="N29" s="64"/>
      <c r="O29" s="298"/>
      <c r="P29" s="299"/>
      <c r="R29" s="84"/>
      <c r="S29" s="85"/>
      <c r="U29" s="84"/>
      <c r="V29" s="85"/>
    </row>
    <row r="30" spans="2:22">
      <c r="B30" s="74">
        <v>45463</v>
      </c>
      <c r="C30" s="15">
        <v>2</v>
      </c>
      <c r="D30" s="11"/>
      <c r="E30" s="11"/>
      <c r="F30" s="37"/>
      <c r="G30" s="37"/>
      <c r="H30" s="47">
        <v>45453</v>
      </c>
      <c r="I30" s="19" t="s">
        <v>28</v>
      </c>
      <c r="J30" s="41">
        <v>14940</v>
      </c>
      <c r="N30" s="64"/>
      <c r="O30" s="298"/>
      <c r="P30" s="299"/>
      <c r="R30" s="84"/>
      <c r="S30" s="85"/>
      <c r="U30" s="84"/>
      <c r="V30" s="85"/>
    </row>
    <row r="31" spans="2:22">
      <c r="B31" s="74">
        <v>45466</v>
      </c>
      <c r="C31" s="15">
        <v>1</v>
      </c>
      <c r="D31" s="11"/>
      <c r="E31" s="11"/>
      <c r="F31" s="37"/>
      <c r="G31" s="37"/>
      <c r="H31" s="47">
        <v>45460</v>
      </c>
      <c r="I31" s="19" t="s">
        <v>28</v>
      </c>
      <c r="J31" s="41">
        <v>12000</v>
      </c>
      <c r="N31" s="64"/>
      <c r="O31" s="298"/>
      <c r="P31" s="299"/>
      <c r="R31" s="84"/>
      <c r="S31" s="85"/>
      <c r="U31" s="84"/>
      <c r="V31" s="85"/>
    </row>
    <row r="32" spans="2:22" ht="18" thickBot="1">
      <c r="B32" s="74">
        <v>45467</v>
      </c>
      <c r="C32" s="15">
        <v>2</v>
      </c>
      <c r="D32" s="11"/>
      <c r="E32" s="11"/>
      <c r="F32" s="37"/>
      <c r="G32" s="37"/>
      <c r="H32" s="47">
        <v>45465</v>
      </c>
      <c r="I32" s="19" t="s">
        <v>28</v>
      </c>
      <c r="J32" s="41">
        <v>14990</v>
      </c>
      <c r="N32" s="64"/>
      <c r="O32" s="298"/>
      <c r="P32" s="299"/>
      <c r="R32" s="86"/>
      <c r="S32" s="87"/>
      <c r="U32" s="86"/>
      <c r="V32" s="87"/>
    </row>
    <row r="33" spans="2:16" ht="18" thickTop="1">
      <c r="B33" s="74">
        <v>45470</v>
      </c>
      <c r="C33" s="15">
        <v>1</v>
      </c>
      <c r="D33" s="11"/>
      <c r="E33" s="11"/>
      <c r="F33" s="37"/>
      <c r="G33" s="37"/>
      <c r="H33" s="47">
        <v>45474</v>
      </c>
      <c r="I33" s="19" t="s">
        <v>92</v>
      </c>
      <c r="J33" s="41">
        <v>7030</v>
      </c>
      <c r="N33" s="64"/>
      <c r="O33" s="298"/>
      <c r="P33" s="299"/>
    </row>
    <row r="34" spans="2:16">
      <c r="B34" s="74">
        <v>45475</v>
      </c>
      <c r="C34" s="15">
        <v>1</v>
      </c>
      <c r="D34" s="11"/>
      <c r="E34" s="11"/>
      <c r="F34" s="37"/>
      <c r="G34" s="37"/>
      <c r="H34" s="47">
        <v>45476</v>
      </c>
      <c r="I34" s="19" t="s">
        <v>92</v>
      </c>
      <c r="J34" s="41">
        <v>6050</v>
      </c>
      <c r="N34" s="64"/>
      <c r="O34" s="298"/>
      <c r="P34" s="299"/>
    </row>
    <row r="35" spans="2:16">
      <c r="B35" s="74">
        <v>45489</v>
      </c>
      <c r="C35" s="15">
        <v>2</v>
      </c>
      <c r="D35" s="11"/>
      <c r="E35" s="11"/>
      <c r="F35" s="37"/>
      <c r="G35" s="37"/>
      <c r="H35" s="47">
        <v>45484</v>
      </c>
      <c r="I35" s="20" t="s">
        <v>26</v>
      </c>
      <c r="J35" s="41">
        <v>8030</v>
      </c>
      <c r="N35" s="64"/>
      <c r="O35" s="298"/>
      <c r="P35" s="299"/>
    </row>
    <row r="36" spans="2:16">
      <c r="B36" s="74">
        <v>45494</v>
      </c>
      <c r="C36" s="15">
        <v>1</v>
      </c>
      <c r="D36" s="11"/>
      <c r="E36" s="11"/>
      <c r="F36" s="37"/>
      <c r="G36" s="37"/>
      <c r="H36" s="47">
        <v>45502</v>
      </c>
      <c r="I36" s="20" t="s">
        <v>29</v>
      </c>
      <c r="J36" s="41">
        <v>5020</v>
      </c>
      <c r="N36" s="64"/>
      <c r="O36" s="298"/>
      <c r="P36" s="299"/>
    </row>
    <row r="37" spans="2:16">
      <c r="B37" s="74">
        <v>45515</v>
      </c>
      <c r="C37" s="15">
        <v>2</v>
      </c>
      <c r="D37" s="11"/>
      <c r="E37" s="11"/>
      <c r="F37" s="37"/>
      <c r="G37" s="37"/>
      <c r="H37" s="47">
        <v>45521</v>
      </c>
      <c r="I37" s="20" t="s">
        <v>29</v>
      </c>
      <c r="J37" s="41">
        <v>3070</v>
      </c>
      <c r="N37" s="64"/>
      <c r="O37" s="298"/>
      <c r="P37" s="299"/>
    </row>
    <row r="38" spans="2:16">
      <c r="B38" s="14"/>
      <c r="C38" s="15"/>
      <c r="D38" s="11"/>
      <c r="E38" s="11"/>
      <c r="F38" s="37"/>
      <c r="G38" s="37"/>
      <c r="H38" s="47"/>
      <c r="I38" s="20"/>
      <c r="J38" s="41"/>
      <c r="N38" s="64"/>
      <c r="O38" s="298"/>
      <c r="P38" s="299"/>
    </row>
    <row r="39" spans="2:16">
      <c r="B39" s="14"/>
      <c r="C39" s="15"/>
      <c r="D39" s="11"/>
      <c r="E39" s="11"/>
      <c r="F39" s="37"/>
      <c r="G39" s="37"/>
      <c r="H39" s="20"/>
      <c r="I39" s="20"/>
      <c r="J39" s="41"/>
      <c r="N39" s="64"/>
      <c r="O39" s="298"/>
      <c r="P39" s="299"/>
    </row>
    <row r="40" spans="2:16">
      <c r="B40" s="14"/>
      <c r="C40" s="15"/>
      <c r="D40" s="11"/>
      <c r="E40" s="11"/>
      <c r="F40" s="37"/>
      <c r="G40" s="37"/>
      <c r="H40" s="20"/>
      <c r="I40" s="20"/>
      <c r="J40" s="41"/>
      <c r="N40" s="64"/>
      <c r="O40" s="298"/>
      <c r="P40" s="299"/>
    </row>
    <row r="41" spans="2:16">
      <c r="B41" s="14"/>
      <c r="C41" s="15"/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14"/>
      <c r="C42" s="15"/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14"/>
      <c r="C43" s="15"/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14"/>
      <c r="C44" s="15"/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14"/>
      <c r="C45" s="15"/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42</v>
      </c>
      <c r="D59" s="8"/>
      <c r="E59" s="8">
        <f>SUM(E12:E58)</f>
        <v>837</v>
      </c>
      <c r="F59" s="39">
        <f>SUM(F12:F58)</f>
        <v>93173.244444444441</v>
      </c>
      <c r="G59" s="71">
        <f>F59/E59</f>
        <v>111.3180937209611</v>
      </c>
      <c r="H59" s="8"/>
      <c r="I59" s="8"/>
      <c r="J59" s="43">
        <f>SUM(J12:J58)</f>
        <v>193950</v>
      </c>
      <c r="N59" s="65"/>
      <c r="O59" s="300"/>
      <c r="P59" s="301"/>
    </row>
    <row r="65" spans="4:5">
      <c r="D65" s="81" t="s">
        <v>38</v>
      </c>
      <c r="E65" s="80">
        <v>60</v>
      </c>
    </row>
    <row r="66" spans="4:5">
      <c r="D66" s="81" t="s">
        <v>39</v>
      </c>
      <c r="E66" s="80">
        <v>120</v>
      </c>
    </row>
    <row r="67" spans="4:5">
      <c r="D67" s="81" t="s">
        <v>40</v>
      </c>
      <c r="E67" s="80">
        <v>180</v>
      </c>
    </row>
    <row r="68" spans="4:5">
      <c r="D68" s="81" t="s">
        <v>41</v>
      </c>
      <c r="E68" s="80">
        <v>180</v>
      </c>
    </row>
    <row r="69" spans="4:5">
      <c r="D69" s="81" t="s">
        <v>42</v>
      </c>
      <c r="E69" s="80">
        <v>180</v>
      </c>
    </row>
  </sheetData>
  <mergeCells count="65"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U10:V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479C-E245-4BE2-B0F1-890234CB3CCD}">
  <dimension ref="A1:V69"/>
  <sheetViews>
    <sheetView showGridLines="0" topLeftCell="A16" workbookViewId="0">
      <selection activeCell="I18" sqref="I18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0.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2" ht="18" thickBot="1">
      <c r="A1" t="s">
        <v>27</v>
      </c>
      <c r="B1" s="51"/>
      <c r="E1" s="73">
        <f ca="1">TODAY()</f>
        <v>46325</v>
      </c>
      <c r="F1">
        <f ca="1">E1-B4</f>
        <v>919</v>
      </c>
    </row>
    <row r="2" spans="1:22" ht="18" thickBot="1">
      <c r="F2" s="302" t="s">
        <v>9</v>
      </c>
      <c r="G2" s="305"/>
      <c r="H2" s="314"/>
      <c r="O2" s="302" t="s">
        <v>8</v>
      </c>
      <c r="P2" s="314"/>
      <c r="R2">
        <v>901</v>
      </c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887</v>
      </c>
    </row>
    <row r="4" spans="1:22">
      <c r="B4" s="27">
        <v>45406</v>
      </c>
      <c r="C4" s="30">
        <v>900</v>
      </c>
      <c r="D4" s="36">
        <f>4090+4380+3610+3650+4070</f>
        <v>19800</v>
      </c>
      <c r="E4" s="70">
        <f>D4/C4</f>
        <v>22</v>
      </c>
      <c r="F4" s="315">
        <f>C8-P8</f>
        <v>889</v>
      </c>
      <c r="G4" s="318">
        <f>D8-(D8/C8*P8)</f>
        <v>19558</v>
      </c>
      <c r="H4" s="327">
        <f>G4/F4</f>
        <v>22</v>
      </c>
      <c r="I4" s="321" t="s">
        <v>118</v>
      </c>
      <c r="J4" s="1">
        <f>B4+90</f>
        <v>45496</v>
      </c>
      <c r="K4" s="323">
        <f>C59</f>
        <v>56</v>
      </c>
      <c r="L4" s="325">
        <f>K8/F8</f>
        <v>6.2992125984251968E-2</v>
      </c>
      <c r="M4" s="323">
        <f>E59</f>
        <v>833</v>
      </c>
      <c r="N4" s="323">
        <f>F8-C59-E59</f>
        <v>0</v>
      </c>
      <c r="O4" s="22">
        <v>45406</v>
      </c>
      <c r="P4" s="33">
        <v>11</v>
      </c>
      <c r="Q4">
        <v>14</v>
      </c>
    </row>
    <row r="5" spans="1:22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22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2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2" ht="18" thickBot="1">
      <c r="B8" s="9" t="s">
        <v>10</v>
      </c>
      <c r="C8" s="32">
        <f>SUM(C4:C7)</f>
        <v>900</v>
      </c>
      <c r="D8" s="39">
        <f>SUM(D4:D7)</f>
        <v>19800</v>
      </c>
      <c r="E8" s="71">
        <f>D8/C8</f>
        <v>22</v>
      </c>
      <c r="F8" s="32">
        <f>SUM(F4)</f>
        <v>889</v>
      </c>
      <c r="G8" s="39">
        <f>SUM(G4)</f>
        <v>19558</v>
      </c>
      <c r="H8" s="71">
        <f>G8/F8</f>
        <v>22</v>
      </c>
      <c r="I8" s="8"/>
      <c r="J8" s="8"/>
      <c r="K8" s="32">
        <f>K4</f>
        <v>56</v>
      </c>
      <c r="L8" s="26">
        <f>L4</f>
        <v>6.2992125984251968E-2</v>
      </c>
      <c r="M8" s="32">
        <f>M4</f>
        <v>833</v>
      </c>
      <c r="N8" s="32">
        <f>N4</f>
        <v>0</v>
      </c>
      <c r="O8" s="46">
        <f>P8/C8</f>
        <v>1.2222222222222223E-2</v>
      </c>
      <c r="P8" s="35">
        <f>SUM(P4:P7)</f>
        <v>11</v>
      </c>
      <c r="Q8" s="69">
        <f>P8-Q4</f>
        <v>-3</v>
      </c>
    </row>
    <row r="9" spans="1:22" ht="18" thickBot="1">
      <c r="G9">
        <v>19558</v>
      </c>
      <c r="I9">
        <f>F8*0.95</f>
        <v>844.55</v>
      </c>
    </row>
    <row r="10" spans="1:22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 s="296" t="s">
        <v>43</v>
      </c>
      <c r="V10" s="297"/>
    </row>
    <row r="11" spans="1:22" ht="18" thickBot="1">
      <c r="B11" s="9" t="s">
        <v>0</v>
      </c>
      <c r="C11" s="130" t="s">
        <v>1</v>
      </c>
      <c r="D11" s="130" t="s">
        <v>0</v>
      </c>
      <c r="E11" s="130" t="s">
        <v>1</v>
      </c>
      <c r="F11" s="130" t="s">
        <v>2</v>
      </c>
      <c r="G11" s="130" t="s">
        <v>3</v>
      </c>
      <c r="H11" s="130" t="s">
        <v>0</v>
      </c>
      <c r="I11" s="130" t="s">
        <v>15</v>
      </c>
      <c r="J11" s="130" t="s">
        <v>16</v>
      </c>
      <c r="K11" s="56" t="s">
        <v>15</v>
      </c>
      <c r="L11" s="130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45412</v>
      </c>
      <c r="C12" s="13">
        <v>1</v>
      </c>
      <c r="D12" s="155">
        <v>45511</v>
      </c>
      <c r="E12" s="156">
        <v>22</v>
      </c>
      <c r="F12" s="44">
        <v>2330</v>
      </c>
      <c r="G12" s="79">
        <f>F12/E12</f>
        <v>105.90909090909091</v>
      </c>
      <c r="H12" s="18">
        <v>45407</v>
      </c>
      <c r="I12" s="19" t="s">
        <v>28</v>
      </c>
      <c r="J12" s="61">
        <v>8050</v>
      </c>
      <c r="K12" s="57" t="s">
        <v>18</v>
      </c>
      <c r="L12" s="52">
        <f>SUMIF($I$12:$I$124,K12,$J$12:$J$124)</f>
        <v>120680</v>
      </c>
      <c r="M12" s="48">
        <f>L12/$C$8</f>
        <v>134.0888888888889</v>
      </c>
      <c r="N12" s="66">
        <v>45461</v>
      </c>
      <c r="O12" s="310" t="s">
        <v>166</v>
      </c>
      <c r="P12" s="311"/>
      <c r="R12" s="84" t="s">
        <v>124</v>
      </c>
      <c r="S12" s="85">
        <v>50</v>
      </c>
      <c r="U12" s="84" t="s">
        <v>124</v>
      </c>
      <c r="V12" s="85"/>
    </row>
    <row r="13" spans="1:22">
      <c r="B13" s="45">
        <v>45436</v>
      </c>
      <c r="C13" s="13">
        <v>1</v>
      </c>
      <c r="D13" s="76">
        <v>45518</v>
      </c>
      <c r="E13" s="11">
        <v>21</v>
      </c>
      <c r="F13" s="37">
        <v>2250</v>
      </c>
      <c r="G13" s="79">
        <f t="shared" ref="G13:G31" si="0">F13/E13</f>
        <v>107.14285714285714</v>
      </c>
      <c r="H13" s="47">
        <v>45415</v>
      </c>
      <c r="I13" s="19" t="s">
        <v>28</v>
      </c>
      <c r="J13" s="62">
        <v>6870</v>
      </c>
      <c r="K13" s="58" t="s">
        <v>25</v>
      </c>
      <c r="L13" s="53">
        <f t="shared" ref="L13:L15" si="1">SUMIF($I$12:$I$124,K13,$J$12:$J$124)</f>
        <v>17100</v>
      </c>
      <c r="M13" s="49">
        <f t="shared" ref="M13:M15" si="2">L13/$C$8</f>
        <v>19</v>
      </c>
      <c r="N13" s="1"/>
      <c r="O13" s="312"/>
      <c r="P13" s="313"/>
      <c r="R13" s="84" t="s">
        <v>143</v>
      </c>
      <c r="S13" s="85"/>
      <c r="U13" s="84" t="s">
        <v>143</v>
      </c>
      <c r="V13" s="85"/>
    </row>
    <row r="14" spans="1:22">
      <c r="B14" s="74">
        <v>45438</v>
      </c>
      <c r="C14" s="15">
        <v>2</v>
      </c>
      <c r="D14" s="76">
        <v>45524</v>
      </c>
      <c r="E14" s="11">
        <v>19</v>
      </c>
      <c r="F14" s="37">
        <v>1430</v>
      </c>
      <c r="G14" s="79">
        <f t="shared" si="0"/>
        <v>75.263157894736835</v>
      </c>
      <c r="H14" s="47">
        <v>45421</v>
      </c>
      <c r="I14" s="19" t="s">
        <v>28</v>
      </c>
      <c r="J14" s="62">
        <v>10000</v>
      </c>
      <c r="K14" s="106" t="s">
        <v>26</v>
      </c>
      <c r="L14" s="53">
        <f t="shared" si="1"/>
        <v>15480</v>
      </c>
      <c r="M14" s="107">
        <f t="shared" si="2"/>
        <v>17.2</v>
      </c>
      <c r="N14" s="1"/>
      <c r="O14" s="131"/>
      <c r="P14" s="132"/>
      <c r="R14" s="84" t="s">
        <v>138</v>
      </c>
      <c r="S14" s="85">
        <v>80</v>
      </c>
      <c r="U14" s="84" t="s">
        <v>138</v>
      </c>
      <c r="V14" s="85">
        <v>22</v>
      </c>
    </row>
    <row r="15" spans="1:22" ht="18" thickBot="1">
      <c r="B15" s="74">
        <v>45440</v>
      </c>
      <c r="C15" s="15">
        <v>2</v>
      </c>
      <c r="D15" s="76">
        <v>45525</v>
      </c>
      <c r="E15" s="11">
        <v>22</v>
      </c>
      <c r="F15" s="37">
        <f>2740/25*E15</f>
        <v>2411.1999999999998</v>
      </c>
      <c r="G15" s="79">
        <f t="shared" si="0"/>
        <v>109.6</v>
      </c>
      <c r="H15" s="47">
        <v>45429</v>
      </c>
      <c r="I15" s="19" t="s">
        <v>28</v>
      </c>
      <c r="J15" s="62">
        <v>7000</v>
      </c>
      <c r="K15" s="59" t="s">
        <v>93</v>
      </c>
      <c r="L15" s="54">
        <f t="shared" si="1"/>
        <v>66430</v>
      </c>
      <c r="M15" s="50">
        <f t="shared" si="2"/>
        <v>73.811111111111117</v>
      </c>
      <c r="N15" s="1"/>
      <c r="O15" s="298"/>
      <c r="P15" s="299"/>
      <c r="R15" s="84" t="s">
        <v>146</v>
      </c>
      <c r="S15" s="85">
        <v>130</v>
      </c>
      <c r="U15" s="84" t="s">
        <v>146</v>
      </c>
      <c r="V15" s="85">
        <v>21</v>
      </c>
    </row>
    <row r="16" spans="1:22" ht="18" thickBot="1">
      <c r="B16" s="74">
        <v>45441</v>
      </c>
      <c r="C16" s="15">
        <v>3</v>
      </c>
      <c r="D16" s="76">
        <v>45531</v>
      </c>
      <c r="E16" s="11">
        <v>32</v>
      </c>
      <c r="F16" s="37">
        <v>3460</v>
      </c>
      <c r="G16" s="79">
        <f t="shared" si="0"/>
        <v>108.125</v>
      </c>
      <c r="H16" s="47">
        <v>45436</v>
      </c>
      <c r="I16" s="19" t="s">
        <v>28</v>
      </c>
      <c r="J16" s="62">
        <v>4080</v>
      </c>
      <c r="K16" s="60" t="s">
        <v>21</v>
      </c>
      <c r="L16" s="55">
        <f>SUM(L12:L15)</f>
        <v>219690</v>
      </c>
      <c r="M16" s="40">
        <f>L16/F8</f>
        <v>247.12035995500563</v>
      </c>
      <c r="N16" s="1"/>
      <c r="O16" s="298"/>
      <c r="P16" s="299"/>
      <c r="R16" s="84" t="s">
        <v>140</v>
      </c>
      <c r="S16" s="85">
        <v>130</v>
      </c>
      <c r="U16" s="84" t="s">
        <v>140</v>
      </c>
      <c r="V16" s="85">
        <v>41</v>
      </c>
    </row>
    <row r="17" spans="2:22">
      <c r="B17" s="74">
        <v>45442</v>
      </c>
      <c r="C17" s="15">
        <v>1</v>
      </c>
      <c r="D17" s="76">
        <v>45531</v>
      </c>
      <c r="E17" s="11">
        <v>31</v>
      </c>
      <c r="F17" s="37">
        <v>3470</v>
      </c>
      <c r="G17" s="79">
        <f t="shared" si="0"/>
        <v>111.93548387096774</v>
      </c>
      <c r="H17" s="47">
        <v>45439</v>
      </c>
      <c r="I17" s="19" t="s">
        <v>28</v>
      </c>
      <c r="J17" s="62">
        <v>3050</v>
      </c>
      <c r="N17" s="63"/>
      <c r="O17" s="298"/>
      <c r="P17" s="299"/>
      <c r="R17" s="84" t="s">
        <v>142</v>
      </c>
      <c r="S17" s="85">
        <v>120</v>
      </c>
      <c r="U17" s="84" t="s">
        <v>142</v>
      </c>
      <c r="V17" s="85">
        <v>280</v>
      </c>
    </row>
    <row r="18" spans="2:22">
      <c r="B18" s="74">
        <v>45445</v>
      </c>
      <c r="C18" s="15">
        <v>3</v>
      </c>
      <c r="D18" s="76">
        <v>45533</v>
      </c>
      <c r="E18" s="11">
        <v>61</v>
      </c>
      <c r="F18" s="37">
        <v>6170</v>
      </c>
      <c r="G18" s="79">
        <f t="shared" si="0"/>
        <v>101.14754098360656</v>
      </c>
      <c r="H18" s="47">
        <v>45442</v>
      </c>
      <c r="I18" s="19" t="s">
        <v>92</v>
      </c>
      <c r="J18" s="41">
        <v>10040</v>
      </c>
      <c r="N18" s="63"/>
      <c r="O18" s="298"/>
      <c r="P18" s="299"/>
      <c r="R18" s="84" t="s">
        <v>151</v>
      </c>
      <c r="S18" s="85">
        <v>80</v>
      </c>
      <c r="U18" s="84" t="s">
        <v>151</v>
      </c>
      <c r="V18" s="85">
        <v>300</v>
      </c>
    </row>
    <row r="19" spans="2:22">
      <c r="B19" s="74">
        <v>45446</v>
      </c>
      <c r="C19" s="15">
        <v>1</v>
      </c>
      <c r="D19" s="76">
        <v>45533</v>
      </c>
      <c r="E19" s="11">
        <v>59</v>
      </c>
      <c r="F19" s="37">
        <v>6150</v>
      </c>
      <c r="G19" s="79">
        <f t="shared" si="0"/>
        <v>104.23728813559322</v>
      </c>
      <c r="H19" s="47">
        <v>45450</v>
      </c>
      <c r="I19" s="19" t="s">
        <v>92</v>
      </c>
      <c r="J19" s="41">
        <v>9040</v>
      </c>
      <c r="K19" t="s">
        <v>32</v>
      </c>
      <c r="L19" s="78">
        <f>(J59/I9)/(105.5-H8)</f>
        <v>3.1152897567602351</v>
      </c>
      <c r="N19" s="63"/>
      <c r="O19" s="298"/>
      <c r="P19" s="299"/>
      <c r="R19" s="84" t="s">
        <v>152</v>
      </c>
      <c r="S19" s="85">
        <v>120</v>
      </c>
      <c r="U19" s="84" t="s">
        <v>152</v>
      </c>
      <c r="V19" s="85"/>
    </row>
    <row r="20" spans="2:22">
      <c r="B20" s="74">
        <v>45447</v>
      </c>
      <c r="C20" s="15">
        <v>2</v>
      </c>
      <c r="D20" s="76">
        <v>45534</v>
      </c>
      <c r="E20" s="11">
        <v>60</v>
      </c>
      <c r="F20" s="37">
        <v>6370</v>
      </c>
      <c r="G20" s="79">
        <f t="shared" si="0"/>
        <v>106.16666666666667</v>
      </c>
      <c r="H20" s="47">
        <v>45457</v>
      </c>
      <c r="I20" s="19" t="s">
        <v>92</v>
      </c>
      <c r="J20" s="41">
        <v>10090</v>
      </c>
      <c r="K20" t="s">
        <v>172</v>
      </c>
      <c r="L20" s="183" t="e">
        <f>J40/(H40-H39)/N8</f>
        <v>#DIV/0!</v>
      </c>
      <c r="N20" s="63"/>
      <c r="O20" s="298"/>
      <c r="P20" s="299"/>
      <c r="R20" s="84" t="s">
        <v>156</v>
      </c>
      <c r="S20" s="85">
        <v>80</v>
      </c>
      <c r="U20" s="84" t="s">
        <v>156</v>
      </c>
      <c r="V20" s="85">
        <v>50</v>
      </c>
    </row>
    <row r="21" spans="2:22">
      <c r="B21" s="74">
        <v>45457</v>
      </c>
      <c r="C21" s="15">
        <v>1</v>
      </c>
      <c r="D21" s="76">
        <v>45534</v>
      </c>
      <c r="E21" s="11">
        <v>60</v>
      </c>
      <c r="F21" s="37">
        <v>6370</v>
      </c>
      <c r="G21" s="79">
        <f t="shared" si="0"/>
        <v>106.16666666666667</v>
      </c>
      <c r="H21" s="47">
        <v>45463</v>
      </c>
      <c r="I21" s="19" t="s">
        <v>92</v>
      </c>
      <c r="J21" s="41">
        <v>15110</v>
      </c>
      <c r="N21" s="63"/>
      <c r="O21" s="298"/>
      <c r="P21" s="299"/>
      <c r="R21" s="84" t="s">
        <v>36</v>
      </c>
      <c r="S21" s="85">
        <v>20</v>
      </c>
      <c r="U21" s="84" t="s">
        <v>36</v>
      </c>
      <c r="V21" s="85"/>
    </row>
    <row r="22" spans="2:22">
      <c r="B22" s="92">
        <v>45460</v>
      </c>
      <c r="C22" s="17">
        <v>1</v>
      </c>
      <c r="D22" s="76">
        <v>45537</v>
      </c>
      <c r="E22" s="11">
        <v>45</v>
      </c>
      <c r="F22" s="37">
        <v>4850</v>
      </c>
      <c r="G22" s="79">
        <f t="shared" si="0"/>
        <v>107.77777777777777</v>
      </c>
      <c r="H22" s="47">
        <v>45470</v>
      </c>
      <c r="I22" s="19" t="s">
        <v>92</v>
      </c>
      <c r="J22" s="41">
        <v>8040</v>
      </c>
      <c r="N22" s="63"/>
      <c r="O22" s="298"/>
      <c r="P22" s="299"/>
      <c r="R22" s="84" t="s">
        <v>37</v>
      </c>
      <c r="S22" s="85"/>
      <c r="U22" s="84" t="s">
        <v>37</v>
      </c>
      <c r="V22" s="85"/>
    </row>
    <row r="23" spans="2:22">
      <c r="B23" s="74">
        <v>45461</v>
      </c>
      <c r="C23" s="15">
        <v>1</v>
      </c>
      <c r="D23" s="76">
        <v>45537</v>
      </c>
      <c r="E23" s="11">
        <v>44</v>
      </c>
      <c r="F23" s="37">
        <v>4960</v>
      </c>
      <c r="G23" s="79">
        <f t="shared" si="0"/>
        <v>112.72727272727273</v>
      </c>
      <c r="H23" s="47">
        <v>45474</v>
      </c>
      <c r="I23" s="19" t="s">
        <v>92</v>
      </c>
      <c r="J23" s="41">
        <v>8060</v>
      </c>
      <c r="M23" s="25"/>
      <c r="N23" s="63"/>
      <c r="O23" s="298"/>
      <c r="P23" s="299"/>
      <c r="R23" s="84" t="s">
        <v>161</v>
      </c>
      <c r="S23" s="85">
        <v>20</v>
      </c>
      <c r="U23" s="84" t="s">
        <v>164</v>
      </c>
      <c r="V23" s="85">
        <v>30</v>
      </c>
    </row>
    <row r="24" spans="2:22">
      <c r="B24" s="74">
        <v>45462</v>
      </c>
      <c r="C24" s="15">
        <v>1</v>
      </c>
      <c r="D24" s="76">
        <v>45539</v>
      </c>
      <c r="E24" s="11">
        <v>63</v>
      </c>
      <c r="F24" s="37">
        <v>6390</v>
      </c>
      <c r="G24" s="79">
        <f t="shared" si="0"/>
        <v>101.42857142857143</v>
      </c>
      <c r="H24" s="47">
        <v>45476</v>
      </c>
      <c r="I24" s="19" t="s">
        <v>92</v>
      </c>
      <c r="J24" s="41">
        <v>6050</v>
      </c>
      <c r="N24" s="63"/>
      <c r="O24" s="298"/>
      <c r="P24" s="299"/>
      <c r="R24" s="84" t="s">
        <v>161</v>
      </c>
      <c r="S24" s="85"/>
      <c r="U24" s="84" t="s">
        <v>164</v>
      </c>
      <c r="V24" s="85"/>
    </row>
    <row r="25" spans="2:22">
      <c r="B25" s="74">
        <v>45463</v>
      </c>
      <c r="C25" s="15">
        <v>1</v>
      </c>
      <c r="D25" s="76">
        <v>45539</v>
      </c>
      <c r="E25" s="11">
        <v>28</v>
      </c>
      <c r="F25" s="37">
        <v>2800</v>
      </c>
      <c r="G25" s="79">
        <f t="shared" si="0"/>
        <v>100</v>
      </c>
      <c r="H25" s="47">
        <v>45482</v>
      </c>
      <c r="I25" s="19" t="s">
        <v>127</v>
      </c>
      <c r="J25" s="41">
        <v>9420</v>
      </c>
      <c r="N25" s="63"/>
      <c r="O25" s="298"/>
      <c r="P25" s="299"/>
      <c r="R25" s="84"/>
      <c r="S25" s="85"/>
      <c r="U25" s="84"/>
      <c r="V25" s="85"/>
    </row>
    <row r="26" spans="2:22">
      <c r="B26" s="74">
        <v>45467</v>
      </c>
      <c r="C26" s="15">
        <v>1</v>
      </c>
      <c r="D26" s="76">
        <v>45539</v>
      </c>
      <c r="E26" s="11">
        <v>22</v>
      </c>
      <c r="F26" s="37">
        <v>2230</v>
      </c>
      <c r="G26" s="79">
        <f t="shared" si="0"/>
        <v>101.36363636363636</v>
      </c>
      <c r="H26" s="47">
        <v>45490</v>
      </c>
      <c r="I26" s="19" t="s">
        <v>28</v>
      </c>
      <c r="J26" s="41">
        <v>5000</v>
      </c>
      <c r="N26" s="64"/>
      <c r="O26" s="298"/>
      <c r="P26" s="299"/>
      <c r="R26" s="84"/>
      <c r="S26" s="85"/>
      <c r="U26" s="84"/>
      <c r="V26" s="85"/>
    </row>
    <row r="27" spans="2:22">
      <c r="B27" s="74">
        <v>45469</v>
      </c>
      <c r="C27" s="15">
        <v>1</v>
      </c>
      <c r="D27" s="76">
        <v>45545</v>
      </c>
      <c r="E27" s="11">
        <v>51</v>
      </c>
      <c r="F27" s="37">
        <v>5210</v>
      </c>
      <c r="G27" s="79">
        <f t="shared" si="0"/>
        <v>102.15686274509804</v>
      </c>
      <c r="H27" s="47">
        <v>45493</v>
      </c>
      <c r="I27" s="19" t="s">
        <v>28</v>
      </c>
      <c r="J27" s="41">
        <v>5930</v>
      </c>
      <c r="N27" s="64"/>
      <c r="O27" s="298"/>
      <c r="P27" s="299"/>
      <c r="R27" s="84"/>
      <c r="S27" s="85"/>
      <c r="U27" s="84"/>
      <c r="V27" s="85"/>
    </row>
    <row r="28" spans="2:22">
      <c r="B28" s="74">
        <v>45476</v>
      </c>
      <c r="C28" s="15">
        <v>1</v>
      </c>
      <c r="D28" s="76">
        <v>45561</v>
      </c>
      <c r="E28" s="11">
        <v>82</v>
      </c>
      <c r="F28" s="37">
        <v>8880</v>
      </c>
      <c r="G28" s="79">
        <f t="shared" si="0"/>
        <v>108.29268292682927</v>
      </c>
      <c r="H28" s="47">
        <v>45497</v>
      </c>
      <c r="I28" s="19" t="s">
        <v>28</v>
      </c>
      <c r="J28" s="41">
        <v>5930</v>
      </c>
      <c r="N28" s="64"/>
      <c r="O28" s="298"/>
      <c r="P28" s="299"/>
      <c r="R28" s="84"/>
      <c r="S28" s="85"/>
      <c r="U28" s="84"/>
      <c r="V28" s="85"/>
    </row>
    <row r="29" spans="2:22">
      <c r="B29" s="74">
        <v>45478</v>
      </c>
      <c r="C29" s="15">
        <v>2</v>
      </c>
      <c r="D29" s="76">
        <v>45575</v>
      </c>
      <c r="E29" s="11">
        <v>58</v>
      </c>
      <c r="F29" s="37">
        <v>6370</v>
      </c>
      <c r="G29" s="79">
        <f t="shared" si="0"/>
        <v>109.82758620689656</v>
      </c>
      <c r="H29" s="47">
        <v>45500</v>
      </c>
      <c r="I29" s="19" t="s">
        <v>28</v>
      </c>
      <c r="J29" s="41">
        <v>5900</v>
      </c>
      <c r="N29" s="64"/>
      <c r="O29" s="298"/>
      <c r="P29" s="299"/>
      <c r="R29" s="84"/>
      <c r="S29" s="85"/>
      <c r="U29" s="84"/>
      <c r="V29" s="85"/>
    </row>
    <row r="30" spans="2:22">
      <c r="B30" s="74">
        <v>45480</v>
      </c>
      <c r="C30" s="15">
        <v>1</v>
      </c>
      <c r="D30" s="76">
        <v>45579</v>
      </c>
      <c r="E30" s="11">
        <v>46</v>
      </c>
      <c r="F30" s="37">
        <v>5330</v>
      </c>
      <c r="G30" s="79">
        <f t="shared" si="0"/>
        <v>115.8695652173913</v>
      </c>
      <c r="H30" s="176">
        <v>45505</v>
      </c>
      <c r="I30" s="141" t="s">
        <v>28</v>
      </c>
      <c r="J30" s="177">
        <v>4930</v>
      </c>
      <c r="N30" s="64"/>
      <c r="O30" s="298"/>
      <c r="P30" s="299"/>
      <c r="R30" s="84"/>
      <c r="S30" s="85"/>
      <c r="U30" s="84"/>
      <c r="V30" s="85"/>
    </row>
    <row r="31" spans="2:22">
      <c r="B31" s="74">
        <v>45483</v>
      </c>
      <c r="C31" s="15">
        <v>2</v>
      </c>
      <c r="D31" s="76">
        <v>45587</v>
      </c>
      <c r="E31" s="11">
        <v>7</v>
      </c>
      <c r="F31" s="37">
        <f>5700/50*E31</f>
        <v>798</v>
      </c>
      <c r="G31" s="79">
        <f t="shared" si="0"/>
        <v>114</v>
      </c>
      <c r="H31" s="47">
        <v>45507</v>
      </c>
      <c r="I31" s="19" t="s">
        <v>127</v>
      </c>
      <c r="J31" s="41">
        <v>6060</v>
      </c>
      <c r="N31" s="64"/>
      <c r="O31" s="298"/>
      <c r="P31" s="299"/>
      <c r="R31" s="84"/>
      <c r="S31" s="85"/>
      <c r="U31" s="84"/>
      <c r="V31" s="85"/>
    </row>
    <row r="32" spans="2:22" ht="18" thickBot="1">
      <c r="B32" s="74">
        <v>45490</v>
      </c>
      <c r="C32" s="15">
        <v>5</v>
      </c>
      <c r="D32" s="11"/>
      <c r="E32" s="11"/>
      <c r="F32" s="37"/>
      <c r="G32" s="37"/>
      <c r="H32" s="47">
        <v>45509</v>
      </c>
      <c r="I32" s="19" t="s">
        <v>28</v>
      </c>
      <c r="J32" s="41">
        <v>5900</v>
      </c>
      <c r="N32" s="64"/>
      <c r="O32" s="298"/>
      <c r="P32" s="299"/>
      <c r="R32" s="86"/>
      <c r="S32" s="87"/>
      <c r="U32" s="86"/>
      <c r="V32" s="87"/>
    </row>
    <row r="33" spans="1:16" ht="18" thickTop="1">
      <c r="B33" s="74">
        <v>45491</v>
      </c>
      <c r="C33" s="15">
        <v>3</v>
      </c>
      <c r="D33" s="11"/>
      <c r="E33" s="11"/>
      <c r="F33" s="37"/>
      <c r="G33" s="37"/>
      <c r="H33" s="47">
        <v>45510</v>
      </c>
      <c r="I33" s="19" t="s">
        <v>28</v>
      </c>
      <c r="J33" s="41">
        <v>9960</v>
      </c>
      <c r="N33" s="64"/>
      <c r="O33" s="298"/>
      <c r="P33" s="299"/>
    </row>
    <row r="34" spans="1:16">
      <c r="A34" t="s">
        <v>169</v>
      </c>
      <c r="B34" s="194">
        <v>45496</v>
      </c>
      <c r="C34" s="195">
        <v>7</v>
      </c>
      <c r="D34" s="11"/>
      <c r="E34" s="11"/>
      <c r="F34" s="37"/>
      <c r="G34" s="37"/>
      <c r="H34" s="47">
        <v>45517</v>
      </c>
      <c r="I34" s="19" t="s">
        <v>28</v>
      </c>
      <c r="J34" s="41">
        <v>4900</v>
      </c>
      <c r="N34" s="64"/>
      <c r="O34" s="298"/>
      <c r="P34" s="299"/>
    </row>
    <row r="35" spans="1:16">
      <c r="B35" s="194">
        <v>45540</v>
      </c>
      <c r="C35" s="195">
        <v>4</v>
      </c>
      <c r="D35" s="11"/>
      <c r="E35" s="11"/>
      <c r="F35" s="37"/>
      <c r="G35" s="37"/>
      <c r="H35" s="176">
        <v>45520</v>
      </c>
      <c r="I35" s="141" t="s">
        <v>28</v>
      </c>
      <c r="J35" s="177">
        <v>7900</v>
      </c>
      <c r="N35" s="64"/>
      <c r="O35" s="298"/>
      <c r="P35" s="299"/>
    </row>
    <row r="36" spans="1:16">
      <c r="B36" s="74">
        <v>45552</v>
      </c>
      <c r="C36" s="15">
        <v>3</v>
      </c>
      <c r="D36" s="11"/>
      <c r="E36" s="11"/>
      <c r="F36" s="37"/>
      <c r="G36" s="37"/>
      <c r="H36" s="47">
        <v>45527</v>
      </c>
      <c r="I36" s="19" t="s">
        <v>28</v>
      </c>
      <c r="J36" s="41">
        <v>9870</v>
      </c>
      <c r="N36" s="64"/>
      <c r="O36" s="298"/>
      <c r="P36" s="299"/>
    </row>
    <row r="37" spans="1:16">
      <c r="B37" s="74">
        <v>45564</v>
      </c>
      <c r="C37" s="15">
        <v>1</v>
      </c>
      <c r="D37" s="11"/>
      <c r="E37" s="11"/>
      <c r="F37" s="37"/>
      <c r="G37" s="37"/>
      <c r="H37" s="47">
        <v>45531</v>
      </c>
      <c r="I37" s="19" t="s">
        <v>18</v>
      </c>
      <c r="J37" s="41">
        <v>10210</v>
      </c>
      <c r="N37" s="64"/>
      <c r="O37" s="298"/>
      <c r="P37" s="299"/>
    </row>
    <row r="38" spans="1:16">
      <c r="B38" s="74">
        <v>45571</v>
      </c>
      <c r="C38" s="15">
        <v>3</v>
      </c>
      <c r="D38" s="11"/>
      <c r="E38" s="11"/>
      <c r="F38" s="37"/>
      <c r="G38" s="37"/>
      <c r="H38" s="47">
        <v>45534</v>
      </c>
      <c r="I38" s="19" t="s">
        <v>28</v>
      </c>
      <c r="J38" s="41">
        <v>5200</v>
      </c>
      <c r="N38" s="64"/>
      <c r="O38" s="298"/>
      <c r="P38" s="299"/>
    </row>
    <row r="39" spans="1:16">
      <c r="B39" s="74"/>
      <c r="C39" s="15">
        <v>1</v>
      </c>
      <c r="D39" s="11"/>
      <c r="E39" s="11"/>
      <c r="F39" s="37"/>
      <c r="G39" s="37"/>
      <c r="H39" s="47">
        <v>45545</v>
      </c>
      <c r="I39" s="20" t="s">
        <v>29</v>
      </c>
      <c r="J39" s="41">
        <v>5000</v>
      </c>
      <c r="N39" s="64"/>
      <c r="O39" s="298"/>
      <c r="P39" s="299"/>
    </row>
    <row r="40" spans="1:16">
      <c r="B40" s="74"/>
      <c r="C40" s="15"/>
      <c r="D40" s="11"/>
      <c r="E40" s="11"/>
      <c r="F40" s="37"/>
      <c r="G40" s="37"/>
      <c r="H40" s="47">
        <v>45549</v>
      </c>
      <c r="I40" s="20" t="s">
        <v>29</v>
      </c>
      <c r="J40" s="41">
        <v>3060</v>
      </c>
      <c r="N40" s="64"/>
      <c r="O40" s="298"/>
      <c r="P40" s="299"/>
    </row>
    <row r="41" spans="1:16">
      <c r="B41" s="74"/>
      <c r="C41" s="15"/>
      <c r="D41" s="11"/>
      <c r="E41" s="11"/>
      <c r="F41" s="37"/>
      <c r="G41" s="37"/>
      <c r="H41" s="47">
        <v>45554</v>
      </c>
      <c r="I41" s="20" t="s">
        <v>29</v>
      </c>
      <c r="J41" s="41">
        <v>3040</v>
      </c>
      <c r="N41" s="64"/>
      <c r="O41" s="298"/>
      <c r="P41" s="299"/>
    </row>
    <row r="42" spans="1:16">
      <c r="B42" s="74"/>
      <c r="C42" s="15"/>
      <c r="D42" s="11"/>
      <c r="E42" s="11"/>
      <c r="F42" s="37"/>
      <c r="G42" s="37"/>
      <c r="H42" s="47">
        <v>45567</v>
      </c>
      <c r="I42" s="20" t="s">
        <v>29</v>
      </c>
      <c r="J42" s="41">
        <v>3980</v>
      </c>
      <c r="N42" s="64"/>
      <c r="O42" s="298"/>
      <c r="P42" s="299"/>
    </row>
    <row r="43" spans="1:16">
      <c r="B43" s="74"/>
      <c r="C43" s="15"/>
      <c r="D43" s="11"/>
      <c r="E43" s="11"/>
      <c r="F43" s="37"/>
      <c r="G43" s="37"/>
      <c r="H43" s="176">
        <v>45570</v>
      </c>
      <c r="I43" s="230" t="s">
        <v>29</v>
      </c>
      <c r="J43" s="177">
        <v>2020</v>
      </c>
      <c r="N43" s="64"/>
      <c r="O43" s="298"/>
      <c r="P43" s="299"/>
    </row>
    <row r="44" spans="1:16">
      <c r="B44" s="74"/>
      <c r="C44" s="15"/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1:16">
      <c r="B45" s="74"/>
      <c r="C45" s="15"/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1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1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1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56</v>
      </c>
      <c r="D59" s="8"/>
      <c r="E59" s="8">
        <f>SUM(E12:E58)</f>
        <v>833</v>
      </c>
      <c r="F59" s="39">
        <f>SUM(F12:F58)</f>
        <v>88229.2</v>
      </c>
      <c r="G59" s="71">
        <f>F59/E59</f>
        <v>105.91740696278511</v>
      </c>
      <c r="H59" s="8"/>
      <c r="I59" s="8"/>
      <c r="J59" s="43">
        <f>SUM(J12:J58)</f>
        <v>219690</v>
      </c>
      <c r="N59" s="65"/>
      <c r="O59" s="300"/>
      <c r="P59" s="301"/>
    </row>
    <row r="65" spans="4:5">
      <c r="D65" s="81" t="s">
        <v>38</v>
      </c>
      <c r="E65" s="80">
        <v>60</v>
      </c>
    </row>
    <row r="66" spans="4:5">
      <c r="D66" s="81" t="s">
        <v>39</v>
      </c>
      <c r="E66" s="80">
        <v>120</v>
      </c>
    </row>
    <row r="67" spans="4:5">
      <c r="D67" s="81" t="s">
        <v>40</v>
      </c>
      <c r="E67" s="80">
        <v>180</v>
      </c>
    </row>
    <row r="68" spans="4:5">
      <c r="D68" s="81" t="s">
        <v>41</v>
      </c>
      <c r="E68" s="80">
        <v>180</v>
      </c>
    </row>
    <row r="69" spans="4:5">
      <c r="D69" s="81" t="s">
        <v>42</v>
      </c>
      <c r="E69" s="80">
        <v>180</v>
      </c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43:P43"/>
    <mergeCell ref="O44:P44"/>
    <mergeCell ref="O45:P45"/>
    <mergeCell ref="O46:P46"/>
    <mergeCell ref="O35:P35"/>
    <mergeCell ref="O38:P38"/>
    <mergeCell ref="O39:P39"/>
    <mergeCell ref="O40:P40"/>
    <mergeCell ref="O41:P41"/>
    <mergeCell ref="O42:P42"/>
    <mergeCell ref="U10:V10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4194-2CC2-44BA-BCC8-8707A5963E10}">
  <dimension ref="A1:V69"/>
  <sheetViews>
    <sheetView showGridLines="0" workbookViewId="0">
      <selection activeCell="K25" sqref="K25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2" ht="18" thickBot="1">
      <c r="A1" t="s">
        <v>27</v>
      </c>
      <c r="B1" s="51"/>
      <c r="E1" s="73">
        <f ca="1">TODAY()</f>
        <v>46325</v>
      </c>
      <c r="F1">
        <f ca="1">E1-B4</f>
        <v>880</v>
      </c>
      <c r="J1">
        <f ca="1">M16/F1</f>
        <v>0.26296305850789392</v>
      </c>
    </row>
    <row r="2" spans="1:22" ht="18" thickBot="1">
      <c r="F2" s="302" t="s">
        <v>9</v>
      </c>
      <c r="G2" s="305"/>
      <c r="H2" s="314"/>
      <c r="O2" s="302" t="s">
        <v>8</v>
      </c>
      <c r="P2" s="314"/>
      <c r="R2">
        <v>900</v>
      </c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882</v>
      </c>
    </row>
    <row r="4" spans="1:22">
      <c r="B4" s="27">
        <v>45445</v>
      </c>
      <c r="C4" s="30">
        <v>900</v>
      </c>
      <c r="D4" s="36">
        <f>4510+4330+4190+3990+4070</f>
        <v>21090</v>
      </c>
      <c r="E4" s="70">
        <f>D4/C4</f>
        <v>23.433333333333334</v>
      </c>
      <c r="F4" s="315">
        <f>C8-P8</f>
        <v>881</v>
      </c>
      <c r="G4" s="318">
        <f>D8-(D8/C8*P8)</f>
        <v>20644.766666666666</v>
      </c>
      <c r="H4" s="327">
        <f>G4/F4</f>
        <v>23.433333333333334</v>
      </c>
      <c r="I4" s="321" t="s">
        <v>117</v>
      </c>
      <c r="J4" s="1">
        <f>B4+90</f>
        <v>45535</v>
      </c>
      <c r="K4" s="323">
        <f>C59</f>
        <v>85</v>
      </c>
      <c r="L4" s="325">
        <f>K8/F8</f>
        <v>9.6481271282633368E-2</v>
      </c>
      <c r="M4" s="323">
        <f>E59</f>
        <v>796</v>
      </c>
      <c r="N4" s="323">
        <f>F8-C59-E59</f>
        <v>0</v>
      </c>
      <c r="O4" s="22">
        <v>45445</v>
      </c>
      <c r="P4" s="33">
        <v>19</v>
      </c>
      <c r="Q4">
        <v>18</v>
      </c>
    </row>
    <row r="5" spans="1:22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22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2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2" ht="18" thickBot="1">
      <c r="B8" s="9" t="s">
        <v>10</v>
      </c>
      <c r="C8" s="32">
        <f>SUM(C4:C7)</f>
        <v>900</v>
      </c>
      <c r="D8" s="39">
        <f>SUM(D4:D7)</f>
        <v>21090</v>
      </c>
      <c r="E8" s="71">
        <f>D8/C8</f>
        <v>23.433333333333334</v>
      </c>
      <c r="F8" s="32">
        <f>SUM(F4)</f>
        <v>881</v>
      </c>
      <c r="G8" s="39">
        <f>SUM(G4)</f>
        <v>20644.766666666666</v>
      </c>
      <c r="H8" s="71">
        <f>G8/F8</f>
        <v>23.433333333333334</v>
      </c>
      <c r="I8" s="8"/>
      <c r="J8" s="8"/>
      <c r="K8" s="32">
        <f>K4</f>
        <v>85</v>
      </c>
      <c r="L8" s="26">
        <f>L4</f>
        <v>9.6481271282633368E-2</v>
      </c>
      <c r="M8" s="32">
        <f>M4</f>
        <v>796</v>
      </c>
      <c r="N8" s="32">
        <f>N4</f>
        <v>0</v>
      </c>
      <c r="O8" s="46">
        <f>P8/C8</f>
        <v>2.1111111111111112E-2</v>
      </c>
      <c r="P8" s="35">
        <f>SUM(P4:P7)</f>
        <v>19</v>
      </c>
      <c r="Q8" s="69">
        <f>P8-Q4</f>
        <v>1</v>
      </c>
    </row>
    <row r="9" spans="1:22" ht="18" thickBot="1">
      <c r="G9">
        <v>20653</v>
      </c>
      <c r="I9">
        <f>F8*0.95</f>
        <v>836.94999999999993</v>
      </c>
      <c r="K9">
        <f>796+41</f>
        <v>837</v>
      </c>
    </row>
    <row r="10" spans="1:22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 s="296" t="s">
        <v>43</v>
      </c>
      <c r="V10" s="297"/>
    </row>
    <row r="11" spans="1:22" ht="18" thickBot="1">
      <c r="B11" s="9" t="s">
        <v>0</v>
      </c>
      <c r="C11" s="158" t="s">
        <v>1</v>
      </c>
      <c r="D11" s="158" t="s">
        <v>0</v>
      </c>
      <c r="E11" s="158" t="s">
        <v>1</v>
      </c>
      <c r="F11" s="158" t="s">
        <v>2</v>
      </c>
      <c r="G11" s="158" t="s">
        <v>3</v>
      </c>
      <c r="H11" s="158" t="s">
        <v>0</v>
      </c>
      <c r="I11" s="158" t="s">
        <v>15</v>
      </c>
      <c r="J11" s="158" t="s">
        <v>16</v>
      </c>
      <c r="K11" s="56" t="s">
        <v>15</v>
      </c>
      <c r="L11" s="158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45464</v>
      </c>
      <c r="C12" s="13">
        <v>4</v>
      </c>
      <c r="D12" s="75">
        <v>45540</v>
      </c>
      <c r="E12" s="10">
        <v>25</v>
      </c>
      <c r="F12" s="44">
        <v>2680</v>
      </c>
      <c r="G12" s="79">
        <f>F12/E12</f>
        <v>107.2</v>
      </c>
      <c r="H12" s="18">
        <v>45444</v>
      </c>
      <c r="I12" s="19" t="s">
        <v>28</v>
      </c>
      <c r="J12" s="61">
        <v>6050</v>
      </c>
      <c r="K12" s="57" t="s">
        <v>18</v>
      </c>
      <c r="L12" s="52">
        <f>SUMIF($I$12:$I$124,K12,$J$12:$J$124)</f>
        <v>40930</v>
      </c>
      <c r="M12" s="48">
        <f>L12/$C$8</f>
        <v>45.477777777777774</v>
      </c>
      <c r="N12" s="66">
        <v>45469</v>
      </c>
      <c r="O12" s="310" t="s">
        <v>168</v>
      </c>
      <c r="P12" s="311"/>
      <c r="R12" s="84" t="s">
        <v>179</v>
      </c>
      <c r="S12" s="85">
        <v>50</v>
      </c>
      <c r="U12" s="84"/>
      <c r="V12" s="85"/>
    </row>
    <row r="13" spans="1:22">
      <c r="B13" s="45">
        <v>45466</v>
      </c>
      <c r="C13" s="13">
        <v>1</v>
      </c>
      <c r="D13" s="76">
        <v>45540</v>
      </c>
      <c r="E13" s="11">
        <v>25</v>
      </c>
      <c r="F13" s="37">
        <v>2700</v>
      </c>
      <c r="G13" s="79">
        <f t="shared" ref="G13:G37" si="0">F13/E13</f>
        <v>108</v>
      </c>
      <c r="H13" s="47">
        <v>45451</v>
      </c>
      <c r="I13" s="19" t="s">
        <v>28</v>
      </c>
      <c r="J13" s="62">
        <v>5020</v>
      </c>
      <c r="K13" s="58" t="s">
        <v>25</v>
      </c>
      <c r="L13" s="53">
        <f t="shared" ref="L13:L15" si="1">SUMIF($I$12:$I$124,K13,$J$12:$J$124)</f>
        <v>26990</v>
      </c>
      <c r="M13" s="49">
        <f t="shared" ref="M13:M15" si="2">L13/$C$8</f>
        <v>29.988888888888887</v>
      </c>
      <c r="N13" s="66">
        <v>45496</v>
      </c>
      <c r="O13" s="336" t="s">
        <v>166</v>
      </c>
      <c r="P13" s="337"/>
      <c r="R13" s="84" t="s">
        <v>175</v>
      </c>
      <c r="S13" s="85"/>
      <c r="U13" s="84"/>
      <c r="V13" s="85"/>
    </row>
    <row r="14" spans="1:22">
      <c r="B14" s="74">
        <v>45471</v>
      </c>
      <c r="C14" s="15">
        <v>1</v>
      </c>
      <c r="D14" s="76">
        <v>45541</v>
      </c>
      <c r="E14" s="11">
        <v>35</v>
      </c>
      <c r="F14" s="37">
        <v>2110</v>
      </c>
      <c r="G14" s="79">
        <f t="shared" si="0"/>
        <v>60.285714285714285</v>
      </c>
      <c r="H14" s="176">
        <v>45457</v>
      </c>
      <c r="I14" s="141" t="s">
        <v>28</v>
      </c>
      <c r="J14" s="229">
        <v>5040</v>
      </c>
      <c r="K14" s="106" t="s">
        <v>26</v>
      </c>
      <c r="L14" s="53">
        <f t="shared" si="1"/>
        <v>111850</v>
      </c>
      <c r="M14" s="107">
        <f t="shared" si="2"/>
        <v>124.27777777777777</v>
      </c>
      <c r="N14" s="1"/>
      <c r="O14" s="159"/>
      <c r="P14" s="160"/>
      <c r="R14" s="84" t="s">
        <v>176</v>
      </c>
      <c r="S14" s="85"/>
      <c r="U14" s="84"/>
      <c r="V14" s="85"/>
    </row>
    <row r="15" spans="1:22" ht="18" thickBot="1">
      <c r="B15" s="74">
        <v>45474</v>
      </c>
      <c r="C15" s="15">
        <v>3</v>
      </c>
      <c r="D15" s="76">
        <v>45556</v>
      </c>
      <c r="E15" s="11">
        <v>32</v>
      </c>
      <c r="F15" s="37">
        <v>3460</v>
      </c>
      <c r="G15" s="79">
        <f t="shared" si="0"/>
        <v>108.125</v>
      </c>
      <c r="H15" s="47">
        <v>45461</v>
      </c>
      <c r="I15" s="19" t="s">
        <v>28</v>
      </c>
      <c r="J15" s="62">
        <v>2960</v>
      </c>
      <c r="K15" s="59" t="s">
        <v>93</v>
      </c>
      <c r="L15" s="54">
        <f t="shared" si="1"/>
        <v>24100</v>
      </c>
      <c r="M15" s="50">
        <f t="shared" si="2"/>
        <v>26.777777777777779</v>
      </c>
      <c r="N15" s="1"/>
      <c r="O15" s="298"/>
      <c r="P15" s="299"/>
      <c r="R15" s="84" t="s">
        <v>177</v>
      </c>
      <c r="S15" s="85"/>
      <c r="U15" s="84"/>
      <c r="V15" s="85"/>
    </row>
    <row r="16" spans="1:22" ht="18" thickBot="1">
      <c r="B16" s="74">
        <v>45475</v>
      </c>
      <c r="C16" s="15">
        <v>1</v>
      </c>
      <c r="D16" s="76">
        <v>45566</v>
      </c>
      <c r="E16" s="11">
        <v>60</v>
      </c>
      <c r="F16" s="37">
        <v>6440</v>
      </c>
      <c r="G16" s="79">
        <f t="shared" si="0"/>
        <v>107.33333333333333</v>
      </c>
      <c r="H16" s="47">
        <v>45469</v>
      </c>
      <c r="I16" s="19" t="s">
        <v>28</v>
      </c>
      <c r="J16" s="62">
        <v>9960</v>
      </c>
      <c r="K16" s="60" t="s">
        <v>21</v>
      </c>
      <c r="L16" s="55">
        <f>SUM(L12:L15)</f>
        <v>203870</v>
      </c>
      <c r="M16" s="40">
        <f>L16/F8</f>
        <v>231.40749148694664</v>
      </c>
      <c r="N16" s="1"/>
      <c r="O16" s="298"/>
      <c r="P16" s="299"/>
      <c r="R16" s="84"/>
      <c r="S16" s="85"/>
      <c r="U16" s="84"/>
      <c r="V16" s="85"/>
    </row>
    <row r="17" spans="2:22">
      <c r="B17" s="74">
        <v>45476</v>
      </c>
      <c r="C17" s="15">
        <v>1</v>
      </c>
      <c r="D17" s="76">
        <v>45566</v>
      </c>
      <c r="E17" s="11">
        <v>66</v>
      </c>
      <c r="F17" s="37">
        <v>7200</v>
      </c>
      <c r="G17" s="79">
        <f t="shared" si="0"/>
        <v>109.09090909090909</v>
      </c>
      <c r="H17" s="47">
        <v>45475</v>
      </c>
      <c r="I17" s="19" t="s">
        <v>28</v>
      </c>
      <c r="J17" s="62">
        <v>8850</v>
      </c>
      <c r="N17" s="63"/>
      <c r="O17" s="298"/>
      <c r="P17" s="299"/>
      <c r="R17" s="84"/>
      <c r="S17" s="85"/>
      <c r="U17" s="84"/>
      <c r="V17" s="85"/>
    </row>
    <row r="18" spans="2:22">
      <c r="B18" s="74">
        <v>45480</v>
      </c>
      <c r="C18" s="15">
        <v>3</v>
      </c>
      <c r="D18" s="76">
        <v>45572</v>
      </c>
      <c r="E18" s="11">
        <v>77</v>
      </c>
      <c r="F18" s="37">
        <v>8310</v>
      </c>
      <c r="G18" s="79">
        <f t="shared" si="0"/>
        <v>107.92207792207792</v>
      </c>
      <c r="H18" s="47">
        <v>45484</v>
      </c>
      <c r="I18" s="19" t="s">
        <v>92</v>
      </c>
      <c r="J18" s="41">
        <v>7050</v>
      </c>
      <c r="N18" s="63"/>
      <c r="O18" s="298"/>
      <c r="P18" s="299"/>
      <c r="R18" s="84"/>
      <c r="S18" s="85"/>
      <c r="U18" s="84"/>
      <c r="V18" s="85"/>
    </row>
    <row r="19" spans="2:22">
      <c r="B19" s="194">
        <v>45481</v>
      </c>
      <c r="C19" s="195">
        <v>3</v>
      </c>
      <c r="D19" s="76">
        <v>45572</v>
      </c>
      <c r="E19" s="11">
        <v>75</v>
      </c>
      <c r="F19" s="37">
        <v>7960</v>
      </c>
      <c r="G19" s="79">
        <f t="shared" si="0"/>
        <v>106.13333333333334</v>
      </c>
      <c r="H19" s="47">
        <v>45489</v>
      </c>
      <c r="I19" s="19" t="s">
        <v>92</v>
      </c>
      <c r="J19" s="41">
        <v>7970</v>
      </c>
      <c r="K19" t="s">
        <v>32</v>
      </c>
      <c r="L19" s="78">
        <f>(J59/(M8+N8))/(G59-H8)</f>
        <v>3.0678543045657003</v>
      </c>
      <c r="N19" s="63"/>
      <c r="O19" s="298"/>
      <c r="P19" s="299"/>
      <c r="R19" s="84"/>
      <c r="S19" s="85"/>
      <c r="U19" s="84"/>
      <c r="V19" s="85"/>
    </row>
    <row r="20" spans="2:22">
      <c r="B20" s="194">
        <v>45487</v>
      </c>
      <c r="C20" s="195">
        <v>2</v>
      </c>
      <c r="D20" s="76">
        <v>45579</v>
      </c>
      <c r="E20" s="11">
        <v>43</v>
      </c>
      <c r="F20" s="37">
        <v>4800</v>
      </c>
      <c r="G20" s="79">
        <f t="shared" si="0"/>
        <v>111.62790697674419</v>
      </c>
      <c r="H20" s="47">
        <v>45495</v>
      </c>
      <c r="I20" s="19" t="s">
        <v>127</v>
      </c>
      <c r="J20" s="41">
        <v>8040</v>
      </c>
      <c r="K20" t="s">
        <v>172</v>
      </c>
      <c r="L20" s="183" t="e">
        <f>J31/(H31-H30)/N8</f>
        <v>#DIV/0!</v>
      </c>
      <c r="N20" s="63"/>
      <c r="O20" s="298"/>
      <c r="P20" s="299"/>
      <c r="R20" s="84"/>
      <c r="S20" s="85"/>
      <c r="U20" s="84"/>
      <c r="V20" s="85"/>
    </row>
    <row r="21" spans="2:22">
      <c r="B21" s="194">
        <v>45489</v>
      </c>
      <c r="C21" s="195">
        <v>2</v>
      </c>
      <c r="D21" s="76">
        <v>45581</v>
      </c>
      <c r="E21" s="11">
        <v>63</v>
      </c>
      <c r="F21" s="37">
        <v>6950</v>
      </c>
      <c r="G21" s="79">
        <f t="shared" si="0"/>
        <v>110.31746031746032</v>
      </c>
      <c r="H21" s="47">
        <v>45502</v>
      </c>
      <c r="I21" s="19" t="s">
        <v>127</v>
      </c>
      <c r="J21" s="41">
        <v>14120</v>
      </c>
      <c r="N21" s="63"/>
      <c r="O21" s="298"/>
      <c r="P21" s="299"/>
      <c r="R21" s="84"/>
      <c r="S21" s="85"/>
      <c r="U21" s="84"/>
      <c r="V21" s="85"/>
    </row>
    <row r="22" spans="2:22">
      <c r="B22" s="231">
        <v>45490</v>
      </c>
      <c r="C22" s="232">
        <v>2</v>
      </c>
      <c r="D22" s="76">
        <v>45587</v>
      </c>
      <c r="E22" s="11">
        <v>43</v>
      </c>
      <c r="F22" s="37">
        <f>5700/50*E22</f>
        <v>4902</v>
      </c>
      <c r="G22" s="79">
        <f t="shared" si="0"/>
        <v>114</v>
      </c>
      <c r="H22" s="47">
        <v>45507</v>
      </c>
      <c r="I22" s="19" t="s">
        <v>92</v>
      </c>
      <c r="J22" s="41">
        <v>9080</v>
      </c>
      <c r="N22" s="63"/>
      <c r="O22" s="298"/>
      <c r="P22" s="299"/>
      <c r="R22" s="84"/>
      <c r="S22" s="85"/>
      <c r="U22" s="84"/>
      <c r="V22" s="85"/>
    </row>
    <row r="23" spans="2:22">
      <c r="B23" s="194">
        <v>45494</v>
      </c>
      <c r="C23" s="195">
        <v>3</v>
      </c>
      <c r="D23" s="76">
        <v>45587</v>
      </c>
      <c r="E23" s="11">
        <v>51</v>
      </c>
      <c r="F23" s="37">
        <v>5640</v>
      </c>
      <c r="G23" s="79">
        <f t="shared" si="0"/>
        <v>110.58823529411765</v>
      </c>
      <c r="H23" s="47">
        <v>45512</v>
      </c>
      <c r="I23" s="19" t="s">
        <v>127</v>
      </c>
      <c r="J23" s="41">
        <v>10060</v>
      </c>
      <c r="L23">
        <v>2.95</v>
      </c>
      <c r="M23" s="25"/>
      <c r="N23" s="63"/>
      <c r="O23" s="298"/>
      <c r="P23" s="299"/>
      <c r="R23" s="84"/>
      <c r="S23" s="85"/>
      <c r="U23" s="84"/>
      <c r="V23" s="85"/>
    </row>
    <row r="24" spans="2:22">
      <c r="B24" s="194">
        <v>45496</v>
      </c>
      <c r="C24" s="195">
        <v>3</v>
      </c>
      <c r="D24" s="76">
        <v>45590</v>
      </c>
      <c r="E24" s="11">
        <v>51</v>
      </c>
      <c r="F24" s="37">
        <v>5530</v>
      </c>
      <c r="G24" s="79">
        <f t="shared" si="0"/>
        <v>108.43137254901961</v>
      </c>
      <c r="H24" s="47">
        <v>45517</v>
      </c>
      <c r="I24" s="19" t="s">
        <v>127</v>
      </c>
      <c r="J24" s="41">
        <v>8080</v>
      </c>
      <c r="N24" s="63"/>
      <c r="O24" s="298"/>
      <c r="P24" s="299"/>
      <c r="R24" s="84"/>
      <c r="S24" s="85"/>
      <c r="U24" s="84"/>
      <c r="V24" s="85"/>
    </row>
    <row r="25" spans="2:22">
      <c r="B25" s="194">
        <v>45504</v>
      </c>
      <c r="C25" s="195">
        <v>2</v>
      </c>
      <c r="D25" s="76">
        <v>45590</v>
      </c>
      <c r="E25" s="11">
        <v>38</v>
      </c>
      <c r="F25" s="37">
        <v>4030</v>
      </c>
      <c r="G25" s="79">
        <f t="shared" si="0"/>
        <v>106.05263157894737</v>
      </c>
      <c r="H25" s="47"/>
      <c r="I25" s="19"/>
      <c r="J25" s="41"/>
      <c r="N25" s="63"/>
      <c r="O25" s="298"/>
      <c r="P25" s="299"/>
      <c r="R25" s="84"/>
      <c r="S25" s="85"/>
      <c r="U25" s="84"/>
      <c r="V25" s="85"/>
    </row>
    <row r="26" spans="2:22">
      <c r="B26" s="194">
        <v>45509</v>
      </c>
      <c r="C26" s="195">
        <v>1</v>
      </c>
      <c r="D26" s="76">
        <v>45593</v>
      </c>
      <c r="E26" s="11">
        <v>54</v>
      </c>
      <c r="F26" s="37">
        <v>6090</v>
      </c>
      <c r="G26" s="129">
        <f t="shared" si="0"/>
        <v>112.77777777777777</v>
      </c>
      <c r="H26" s="47">
        <v>45525</v>
      </c>
      <c r="I26" s="19" t="s">
        <v>127</v>
      </c>
      <c r="J26" s="41">
        <v>10070</v>
      </c>
      <c r="N26" s="64"/>
      <c r="O26" s="298"/>
      <c r="P26" s="299"/>
      <c r="R26" s="84"/>
      <c r="S26" s="85"/>
      <c r="U26" s="84"/>
      <c r="V26" s="85"/>
    </row>
    <row r="27" spans="2:22">
      <c r="B27" s="194">
        <v>45510</v>
      </c>
      <c r="C27" s="195">
        <v>6</v>
      </c>
      <c r="D27" s="76">
        <v>45596</v>
      </c>
      <c r="E27" s="11">
        <v>40</v>
      </c>
      <c r="F27" s="37">
        <v>4330</v>
      </c>
      <c r="G27" s="129">
        <f t="shared" si="0"/>
        <v>108.25</v>
      </c>
      <c r="H27" s="47">
        <v>45531</v>
      </c>
      <c r="I27" s="19" t="s">
        <v>29</v>
      </c>
      <c r="J27" s="41">
        <v>5030</v>
      </c>
      <c r="N27" s="64"/>
      <c r="O27" s="298"/>
      <c r="P27" s="299"/>
      <c r="R27" s="84"/>
      <c r="S27" s="85"/>
      <c r="U27" s="84"/>
      <c r="V27" s="85"/>
    </row>
    <row r="28" spans="2:22">
      <c r="B28" s="194">
        <v>45512</v>
      </c>
      <c r="C28" s="195">
        <v>1</v>
      </c>
      <c r="D28" s="76">
        <v>45602</v>
      </c>
      <c r="E28" s="11">
        <v>18</v>
      </c>
      <c r="F28" s="37">
        <f>3620/33*E28</f>
        <v>1974.5454545454547</v>
      </c>
      <c r="G28" s="129">
        <f t="shared" si="0"/>
        <v>109.6969696969697</v>
      </c>
      <c r="H28" s="47">
        <v>45534</v>
      </c>
      <c r="I28" s="19" t="s">
        <v>29</v>
      </c>
      <c r="J28" s="41">
        <v>9950</v>
      </c>
      <c r="N28" s="64"/>
      <c r="O28" s="298"/>
      <c r="P28" s="299"/>
      <c r="R28" s="84"/>
      <c r="S28" s="85"/>
      <c r="U28" s="84"/>
      <c r="V28" s="85"/>
    </row>
    <row r="29" spans="2:22">
      <c r="B29" s="194">
        <v>45515</v>
      </c>
      <c r="C29" s="195">
        <v>1</v>
      </c>
      <c r="D29" s="11"/>
      <c r="E29" s="11"/>
      <c r="F29" s="37"/>
      <c r="G29" s="129" t="e">
        <f t="shared" si="0"/>
        <v>#DIV/0!</v>
      </c>
      <c r="H29" s="47">
        <v>45540</v>
      </c>
      <c r="I29" s="19" t="s">
        <v>127</v>
      </c>
      <c r="J29" s="41">
        <v>9960</v>
      </c>
      <c r="N29" s="64"/>
      <c r="O29" s="298"/>
      <c r="P29" s="299"/>
      <c r="R29" s="84"/>
      <c r="S29" s="85"/>
      <c r="U29" s="84"/>
      <c r="V29" s="85"/>
    </row>
    <row r="30" spans="2:22">
      <c r="B30" s="194">
        <v>45516</v>
      </c>
      <c r="C30" s="195">
        <v>2</v>
      </c>
      <c r="D30" s="11"/>
      <c r="E30" s="11"/>
      <c r="F30" s="37"/>
      <c r="G30" s="129" t="e">
        <f t="shared" si="0"/>
        <v>#DIV/0!</v>
      </c>
      <c r="H30" s="47">
        <v>45545</v>
      </c>
      <c r="I30" s="19" t="s">
        <v>127</v>
      </c>
      <c r="J30" s="41">
        <v>10030</v>
      </c>
      <c r="N30" s="64"/>
      <c r="O30" s="298"/>
      <c r="P30" s="299"/>
      <c r="R30" s="84"/>
      <c r="S30" s="85"/>
      <c r="U30" s="84"/>
      <c r="V30" s="85"/>
    </row>
    <row r="31" spans="2:22">
      <c r="B31" s="194">
        <v>45517</v>
      </c>
      <c r="C31" s="195">
        <v>1</v>
      </c>
      <c r="D31" s="11"/>
      <c r="E31" s="11"/>
      <c r="F31" s="37"/>
      <c r="G31" s="129" t="e">
        <f t="shared" si="0"/>
        <v>#DIV/0!</v>
      </c>
      <c r="H31" s="47">
        <v>45549</v>
      </c>
      <c r="I31" s="19" t="s">
        <v>127</v>
      </c>
      <c r="J31" s="41">
        <v>6960</v>
      </c>
      <c r="N31" s="64"/>
      <c r="O31" s="298"/>
      <c r="P31" s="299"/>
      <c r="R31" s="84"/>
      <c r="S31" s="85"/>
      <c r="U31" s="84"/>
      <c r="V31" s="85"/>
    </row>
    <row r="32" spans="2:22" ht="18" thickBot="1">
      <c r="B32" s="194">
        <v>45536</v>
      </c>
      <c r="C32" s="195">
        <v>4</v>
      </c>
      <c r="D32" s="11"/>
      <c r="E32" s="11"/>
      <c r="F32" s="37"/>
      <c r="G32" s="129" t="e">
        <f t="shared" si="0"/>
        <v>#DIV/0!</v>
      </c>
      <c r="H32" s="47">
        <v>45554</v>
      </c>
      <c r="I32" s="19" t="s">
        <v>127</v>
      </c>
      <c r="J32" s="41">
        <v>7060</v>
      </c>
      <c r="N32" s="64"/>
      <c r="O32" s="298"/>
      <c r="P32" s="299"/>
      <c r="R32" s="86"/>
      <c r="S32" s="87"/>
      <c r="U32" s="86"/>
      <c r="V32" s="87"/>
    </row>
    <row r="33" spans="2:16" ht="18" thickTop="1">
      <c r="B33" s="194">
        <v>45540</v>
      </c>
      <c r="C33" s="195">
        <v>2</v>
      </c>
      <c r="D33" s="11"/>
      <c r="E33" s="11"/>
      <c r="F33" s="37"/>
      <c r="G33" s="129" t="e">
        <f t="shared" si="0"/>
        <v>#DIV/0!</v>
      </c>
      <c r="H33" s="47">
        <v>45562</v>
      </c>
      <c r="I33" s="19" t="s">
        <v>28</v>
      </c>
      <c r="J33" s="41">
        <v>3050</v>
      </c>
      <c r="N33" s="64"/>
      <c r="O33" s="298"/>
      <c r="P33" s="299"/>
    </row>
    <row r="34" spans="2:16">
      <c r="B34" s="194">
        <v>45541</v>
      </c>
      <c r="C34" s="195">
        <v>1</v>
      </c>
      <c r="D34" s="11"/>
      <c r="E34" s="11"/>
      <c r="F34" s="37"/>
      <c r="G34" s="129" t="e">
        <f t="shared" si="0"/>
        <v>#DIV/0!</v>
      </c>
      <c r="H34" s="47">
        <v>45562</v>
      </c>
      <c r="I34" s="19" t="s">
        <v>127</v>
      </c>
      <c r="J34" s="41">
        <v>4050</v>
      </c>
      <c r="N34" s="64"/>
      <c r="O34" s="298"/>
      <c r="P34" s="299"/>
    </row>
    <row r="35" spans="2:16">
      <c r="B35" s="194">
        <v>45548</v>
      </c>
      <c r="C35" s="195">
        <v>1</v>
      </c>
      <c r="D35" s="11"/>
      <c r="E35" s="11"/>
      <c r="F35" s="37"/>
      <c r="G35" s="129" t="e">
        <f t="shared" si="0"/>
        <v>#DIV/0!</v>
      </c>
      <c r="H35" s="47">
        <v>45566</v>
      </c>
      <c r="I35" s="19" t="s">
        <v>127</v>
      </c>
      <c r="J35" s="41">
        <v>4020</v>
      </c>
      <c r="N35" s="64"/>
      <c r="O35" s="298"/>
      <c r="P35" s="299"/>
    </row>
    <row r="36" spans="2:16">
      <c r="B36" s="194">
        <v>45553</v>
      </c>
      <c r="C36" s="195">
        <v>1</v>
      </c>
      <c r="D36" s="11"/>
      <c r="E36" s="11"/>
      <c r="F36" s="37"/>
      <c r="G36" s="129" t="e">
        <f t="shared" si="0"/>
        <v>#DIV/0!</v>
      </c>
      <c r="H36" s="176">
        <v>45570</v>
      </c>
      <c r="I36" s="230" t="s">
        <v>29</v>
      </c>
      <c r="J36" s="177">
        <v>2020</v>
      </c>
      <c r="N36" s="64"/>
      <c r="O36" s="298"/>
      <c r="P36" s="299"/>
    </row>
    <row r="37" spans="2:16">
      <c r="B37" s="194">
        <v>45554</v>
      </c>
      <c r="C37" s="195">
        <v>1</v>
      </c>
      <c r="D37" s="11"/>
      <c r="E37" s="11"/>
      <c r="F37" s="37"/>
      <c r="G37" s="129" t="e">
        <f t="shared" si="0"/>
        <v>#DIV/0!</v>
      </c>
      <c r="H37" s="47">
        <v>45570</v>
      </c>
      <c r="I37" s="19" t="s">
        <v>127</v>
      </c>
      <c r="J37" s="41">
        <v>4010</v>
      </c>
      <c r="N37" s="64"/>
      <c r="O37" s="298"/>
      <c r="P37" s="299"/>
    </row>
    <row r="38" spans="2:16">
      <c r="B38" s="194">
        <v>45556</v>
      </c>
      <c r="C38" s="195">
        <v>1</v>
      </c>
      <c r="D38" s="11"/>
      <c r="E38" s="11"/>
      <c r="F38" s="37"/>
      <c r="G38" s="37"/>
      <c r="H38" s="176">
        <v>45573</v>
      </c>
      <c r="I38" s="230" t="s">
        <v>29</v>
      </c>
      <c r="J38" s="177">
        <v>5020</v>
      </c>
      <c r="N38" s="64"/>
      <c r="O38" s="298"/>
      <c r="P38" s="299"/>
    </row>
    <row r="39" spans="2:16">
      <c r="B39" s="194">
        <v>45558</v>
      </c>
      <c r="C39" s="195">
        <v>1</v>
      </c>
      <c r="D39" s="11"/>
      <c r="E39" s="11"/>
      <c r="F39" s="37"/>
      <c r="G39" s="37"/>
      <c r="H39" s="47">
        <v>45582</v>
      </c>
      <c r="I39" s="19" t="s">
        <v>127</v>
      </c>
      <c r="J39" s="41">
        <v>4940</v>
      </c>
      <c r="N39" s="64"/>
      <c r="O39" s="298"/>
      <c r="P39" s="299"/>
    </row>
    <row r="40" spans="2:16">
      <c r="B40" s="74">
        <v>45566</v>
      </c>
      <c r="C40" s="15">
        <v>5</v>
      </c>
      <c r="D40" s="11"/>
      <c r="E40" s="11"/>
      <c r="F40" s="37"/>
      <c r="G40" s="37"/>
      <c r="H40" s="47">
        <v>45586</v>
      </c>
      <c r="I40" s="19" t="s">
        <v>127</v>
      </c>
      <c r="J40" s="41">
        <v>5470</v>
      </c>
      <c r="N40" s="64"/>
      <c r="O40" s="298"/>
      <c r="P40" s="299"/>
    </row>
    <row r="41" spans="2:16">
      <c r="B41" s="74">
        <v>45567</v>
      </c>
      <c r="C41" s="15">
        <v>5</v>
      </c>
      <c r="D41" s="11"/>
      <c r="E41" s="11"/>
      <c r="F41" s="37"/>
      <c r="G41" s="37"/>
      <c r="H41" s="47">
        <v>45588</v>
      </c>
      <c r="I41" s="19" t="s">
        <v>127</v>
      </c>
      <c r="J41" s="41">
        <v>4980</v>
      </c>
      <c r="N41" s="64"/>
      <c r="O41" s="298"/>
      <c r="P41" s="299"/>
    </row>
    <row r="42" spans="2:16">
      <c r="B42" s="74">
        <v>45568</v>
      </c>
      <c r="C42" s="15">
        <v>3</v>
      </c>
      <c r="D42" s="11"/>
      <c r="E42" s="11"/>
      <c r="F42" s="37"/>
      <c r="G42" s="37"/>
      <c r="H42" s="47">
        <v>45607</v>
      </c>
      <c r="I42" s="240" t="s">
        <v>29</v>
      </c>
      <c r="J42" s="41">
        <v>4970</v>
      </c>
      <c r="N42" s="64"/>
      <c r="O42" s="298"/>
      <c r="P42" s="299"/>
    </row>
    <row r="43" spans="2:16">
      <c r="B43" s="74">
        <v>45569</v>
      </c>
      <c r="C43" s="15">
        <v>2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74">
        <v>45570</v>
      </c>
      <c r="C44" s="15">
        <v>2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74">
        <v>45579</v>
      </c>
      <c r="C45" s="15">
        <v>3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74">
        <v>45581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74">
        <v>45582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45589</v>
      </c>
      <c r="C48" s="15">
        <v>4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45590</v>
      </c>
      <c r="C49" s="15">
        <v>3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85</v>
      </c>
      <c r="D59" s="8"/>
      <c r="E59" s="8">
        <f>SUM(E12:E58)</f>
        <v>796</v>
      </c>
      <c r="F59" s="39">
        <f>SUM(F12:F58)</f>
        <v>85106.545454545456</v>
      </c>
      <c r="G59" s="71">
        <f>F59/E59</f>
        <v>106.91777067153951</v>
      </c>
      <c r="H59" s="8"/>
      <c r="I59" s="8"/>
      <c r="J59" s="43">
        <f>SUM(J12:J58)</f>
        <v>203870</v>
      </c>
      <c r="N59" s="65"/>
      <c r="O59" s="300"/>
      <c r="P59" s="301"/>
    </row>
    <row r="65" spans="4:5">
      <c r="D65" s="81" t="s">
        <v>38</v>
      </c>
      <c r="E65" s="80">
        <v>60</v>
      </c>
    </row>
    <row r="66" spans="4:5">
      <c r="D66" s="81" t="s">
        <v>39</v>
      </c>
      <c r="E66" s="80">
        <v>120</v>
      </c>
    </row>
    <row r="67" spans="4:5">
      <c r="D67" s="81" t="s">
        <v>40</v>
      </c>
      <c r="E67" s="80">
        <v>180</v>
      </c>
    </row>
    <row r="68" spans="4:5">
      <c r="D68" s="81" t="s">
        <v>41</v>
      </c>
      <c r="E68" s="80">
        <v>180</v>
      </c>
    </row>
    <row r="69" spans="4:5">
      <c r="D69" s="81" t="s">
        <v>42</v>
      </c>
      <c r="E69" s="80">
        <v>180</v>
      </c>
    </row>
  </sheetData>
  <mergeCells count="65">
    <mergeCell ref="U10:V10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43:P43"/>
    <mergeCell ref="O44:P44"/>
    <mergeCell ref="O45:P45"/>
    <mergeCell ref="O46:P46"/>
    <mergeCell ref="O35:P35"/>
    <mergeCell ref="O38:P38"/>
    <mergeCell ref="O39:P39"/>
    <mergeCell ref="O40:P40"/>
    <mergeCell ref="O41:P41"/>
    <mergeCell ref="O42:P42"/>
    <mergeCell ref="O32:P32"/>
    <mergeCell ref="O33:P33"/>
    <mergeCell ref="O24:P24"/>
    <mergeCell ref="O25:P25"/>
    <mergeCell ref="O26:P26"/>
    <mergeCell ref="O27:P27"/>
    <mergeCell ref="O28:P28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29:P29"/>
    <mergeCell ref="O30:P30"/>
    <mergeCell ref="O31:P31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AE8A-3568-4B62-8C0B-7FBABC0CA694}">
  <dimension ref="A1:U69"/>
  <sheetViews>
    <sheetView showGridLines="0" topLeftCell="B7" workbookViewId="0">
      <selection activeCell="J33" sqref="H33:J33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</cols>
  <sheetData>
    <row r="1" spans="1:21" ht="18" thickBot="1">
      <c r="A1" t="s">
        <v>27</v>
      </c>
      <c r="B1" s="51"/>
      <c r="E1" s="73">
        <f ca="1">TODAY()</f>
        <v>46325</v>
      </c>
      <c r="F1">
        <f ca="1">E1-B4</f>
        <v>848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R2">
        <v>903</v>
      </c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852</v>
      </c>
    </row>
    <row r="4" spans="1:21">
      <c r="B4" s="27">
        <v>45477</v>
      </c>
      <c r="C4" s="30">
        <v>903</v>
      </c>
      <c r="D4" s="36">
        <f>5450+5490+5390+5160+5080</f>
        <v>26570</v>
      </c>
      <c r="E4" s="70">
        <f>D4/C4</f>
        <v>29.424141749723145</v>
      </c>
      <c r="F4" s="315">
        <f>C8-P8</f>
        <v>844</v>
      </c>
      <c r="G4" s="318">
        <f>D8-(D8/C8*P8)</f>
        <v>24833.975636766336</v>
      </c>
      <c r="H4" s="327">
        <f>G4/F4</f>
        <v>29.424141749723148</v>
      </c>
      <c r="I4" s="321" t="s">
        <v>33</v>
      </c>
      <c r="J4" s="1">
        <f>B4+90</f>
        <v>45567</v>
      </c>
      <c r="K4" s="323">
        <f>C59</f>
        <v>102</v>
      </c>
      <c r="L4" s="325">
        <f>K8/F8</f>
        <v>0.12085308056872038</v>
      </c>
      <c r="M4" s="323">
        <f>E59</f>
        <v>742</v>
      </c>
      <c r="N4" s="323">
        <f>F8-C59-E59</f>
        <v>0</v>
      </c>
      <c r="O4" s="22">
        <v>45477</v>
      </c>
      <c r="P4" s="33">
        <v>59</v>
      </c>
      <c r="Q4">
        <v>51</v>
      </c>
    </row>
    <row r="5" spans="1:21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21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1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1" ht="18" thickBot="1">
      <c r="B8" s="9" t="s">
        <v>10</v>
      </c>
      <c r="C8" s="32">
        <f>SUM(C4:C7)</f>
        <v>903</v>
      </c>
      <c r="D8" s="39">
        <f>SUM(D4:D7)</f>
        <v>26570</v>
      </c>
      <c r="E8" s="71">
        <f>D8/C8</f>
        <v>29.424141749723145</v>
      </c>
      <c r="F8" s="32">
        <f>SUM(F4)</f>
        <v>844</v>
      </c>
      <c r="G8" s="39">
        <f>SUM(G4)</f>
        <v>24833.975636766336</v>
      </c>
      <c r="H8" s="71">
        <f>G8/F8</f>
        <v>29.424141749723148</v>
      </c>
      <c r="I8" s="8"/>
      <c r="J8" s="8"/>
      <c r="K8" s="32">
        <f>K4</f>
        <v>102</v>
      </c>
      <c r="L8" s="26">
        <f>L4</f>
        <v>0.12085308056872038</v>
      </c>
      <c r="M8" s="32">
        <f>M4</f>
        <v>742</v>
      </c>
      <c r="N8" s="32">
        <f>N4</f>
        <v>0</v>
      </c>
      <c r="O8" s="46">
        <f>P8/C8</f>
        <v>6.533776301218161E-2</v>
      </c>
      <c r="P8" s="35">
        <f>SUM(P4:P7)</f>
        <v>59</v>
      </c>
      <c r="Q8" s="69">
        <f>P8-Q4</f>
        <v>8</v>
      </c>
      <c r="U8" s="91"/>
    </row>
    <row r="9" spans="1:21" ht="18" thickBot="1">
      <c r="G9">
        <v>24859</v>
      </c>
      <c r="I9">
        <f>784</f>
        <v>784</v>
      </c>
      <c r="U9" s="186"/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 s="186"/>
    </row>
    <row r="11" spans="1:21" ht="18" thickBot="1">
      <c r="B11" s="9" t="s">
        <v>0</v>
      </c>
      <c r="C11" s="180" t="s">
        <v>1</v>
      </c>
      <c r="D11" s="180" t="s">
        <v>0</v>
      </c>
      <c r="E11" s="180" t="s">
        <v>1</v>
      </c>
      <c r="F11" s="180" t="s">
        <v>2</v>
      </c>
      <c r="G11" s="180" t="s">
        <v>3</v>
      </c>
      <c r="H11" s="180" t="s">
        <v>0</v>
      </c>
      <c r="I11" s="180" t="s">
        <v>15</v>
      </c>
      <c r="J11" s="180" t="s">
        <v>16</v>
      </c>
      <c r="K11" s="56" t="s">
        <v>15</v>
      </c>
      <c r="L11" s="180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 s="196"/>
    </row>
    <row r="12" spans="1:21">
      <c r="B12" s="216">
        <v>45499</v>
      </c>
      <c r="C12" s="217">
        <v>5</v>
      </c>
      <c r="D12" s="75">
        <v>45575</v>
      </c>
      <c r="E12" s="10">
        <v>30</v>
      </c>
      <c r="F12" s="44">
        <v>3310</v>
      </c>
      <c r="G12" s="79">
        <f>F12/E12</f>
        <v>110.33333333333333</v>
      </c>
      <c r="H12" s="18">
        <v>45476</v>
      </c>
      <c r="I12" s="19" t="s">
        <v>28</v>
      </c>
      <c r="J12" s="61">
        <v>8940</v>
      </c>
      <c r="K12" s="57" t="s">
        <v>18</v>
      </c>
      <c r="L12" s="52">
        <f>SUMIF($I$12:$I$124,K12,$J$12:$J$124)</f>
        <v>27980</v>
      </c>
      <c r="M12" s="48">
        <f>L12/$C$8</f>
        <v>30.985603543743078</v>
      </c>
      <c r="N12" s="66">
        <v>45477</v>
      </c>
      <c r="O12" s="310" t="s">
        <v>167</v>
      </c>
      <c r="P12" s="311"/>
      <c r="R12" s="84" t="s">
        <v>180</v>
      </c>
      <c r="S12" s="85">
        <v>34</v>
      </c>
      <c r="U12" s="196"/>
    </row>
    <row r="13" spans="1:21">
      <c r="B13" s="216">
        <v>45503</v>
      </c>
      <c r="C13" s="217">
        <v>1</v>
      </c>
      <c r="D13" s="76">
        <v>45581</v>
      </c>
      <c r="E13" s="11">
        <v>64</v>
      </c>
      <c r="F13" s="37">
        <v>6990</v>
      </c>
      <c r="G13" s="79">
        <f t="shared" ref="G13:G36" si="0">F13/E13</f>
        <v>109.21875</v>
      </c>
      <c r="H13" s="47">
        <v>45485</v>
      </c>
      <c r="I13" s="19" t="s">
        <v>28</v>
      </c>
      <c r="J13" s="62">
        <v>9960</v>
      </c>
      <c r="K13" s="58" t="s">
        <v>25</v>
      </c>
      <c r="L13" s="53">
        <f t="shared" ref="L13:L15" si="1">SUMIF($I$12:$I$124,K13,$J$12:$J$124)</f>
        <v>60440</v>
      </c>
      <c r="M13" s="49">
        <f t="shared" ref="M13:M15" si="2">L13/$C$8</f>
        <v>66.932447397563678</v>
      </c>
      <c r="N13" s="1"/>
      <c r="O13" s="312"/>
      <c r="P13" s="313"/>
      <c r="R13" s="84" t="s">
        <v>175</v>
      </c>
      <c r="S13" s="85">
        <v>43</v>
      </c>
    </row>
    <row r="14" spans="1:21">
      <c r="B14" s="194">
        <v>45508</v>
      </c>
      <c r="C14" s="195">
        <v>2</v>
      </c>
      <c r="D14" s="76">
        <v>45586</v>
      </c>
      <c r="E14" s="11">
        <v>52</v>
      </c>
      <c r="F14" s="37">
        <v>5620</v>
      </c>
      <c r="G14" s="79">
        <f t="shared" si="0"/>
        <v>108.07692307692308</v>
      </c>
      <c r="H14" s="47">
        <v>45493</v>
      </c>
      <c r="I14" s="19" t="s">
        <v>28</v>
      </c>
      <c r="J14" s="62">
        <v>5930</v>
      </c>
      <c r="K14" s="106" t="s">
        <v>26</v>
      </c>
      <c r="L14" s="53">
        <f t="shared" si="1"/>
        <v>74329</v>
      </c>
      <c r="M14" s="107">
        <f t="shared" si="2"/>
        <v>82.313399778516057</v>
      </c>
      <c r="N14" s="1"/>
      <c r="O14" s="181"/>
      <c r="P14" s="182"/>
      <c r="R14" s="84" t="s">
        <v>176</v>
      </c>
      <c r="S14" s="85">
        <v>110</v>
      </c>
    </row>
    <row r="15" spans="1:21" ht="18" thickBot="1">
      <c r="B15" s="194">
        <v>45513</v>
      </c>
      <c r="C15" s="195">
        <v>1</v>
      </c>
      <c r="D15" s="76">
        <v>45586</v>
      </c>
      <c r="E15" s="11">
        <v>48</v>
      </c>
      <c r="F15" s="37">
        <v>5390</v>
      </c>
      <c r="G15" s="79">
        <f t="shared" si="0"/>
        <v>112.29166666666667</v>
      </c>
      <c r="H15" s="47">
        <v>45497</v>
      </c>
      <c r="I15" s="19" t="s">
        <v>127</v>
      </c>
      <c r="J15" s="62">
        <v>1510</v>
      </c>
      <c r="K15" s="59" t="s">
        <v>93</v>
      </c>
      <c r="L15" s="54">
        <f t="shared" si="1"/>
        <v>27090</v>
      </c>
      <c r="M15" s="50">
        <f t="shared" si="2"/>
        <v>30</v>
      </c>
      <c r="N15" s="1"/>
      <c r="O15" s="298"/>
      <c r="P15" s="299"/>
      <c r="R15" s="84" t="s">
        <v>177</v>
      </c>
      <c r="S15" s="85">
        <v>60</v>
      </c>
    </row>
    <row r="16" spans="1:21" ht="18" thickBot="1">
      <c r="B16" s="194">
        <v>45515</v>
      </c>
      <c r="C16" s="195">
        <v>5</v>
      </c>
      <c r="D16" s="76">
        <v>45587</v>
      </c>
      <c r="E16" s="11">
        <v>21</v>
      </c>
      <c r="F16" s="37">
        <v>1280</v>
      </c>
      <c r="G16" s="79">
        <f t="shared" si="0"/>
        <v>60.952380952380949</v>
      </c>
      <c r="H16" s="47">
        <v>45500</v>
      </c>
      <c r="I16" s="19" t="s">
        <v>92</v>
      </c>
      <c r="J16" s="62">
        <v>10110</v>
      </c>
      <c r="K16" s="60" t="s">
        <v>21</v>
      </c>
      <c r="L16" s="55">
        <f>SUM(L12:L15)</f>
        <v>189839</v>
      </c>
      <c r="M16" s="40">
        <f>L16/F8</f>
        <v>224.92772511848341</v>
      </c>
      <c r="N16" s="1"/>
      <c r="O16" s="298"/>
      <c r="P16" s="299"/>
      <c r="R16" s="84" t="s">
        <v>193</v>
      </c>
      <c r="S16" s="85">
        <v>20</v>
      </c>
    </row>
    <row r="17" spans="2:19">
      <c r="B17" s="194">
        <v>45517</v>
      </c>
      <c r="C17" s="195">
        <v>3</v>
      </c>
      <c r="D17" s="76">
        <v>45588</v>
      </c>
      <c r="E17" s="11">
        <v>57</v>
      </c>
      <c r="F17" s="37">
        <v>6090</v>
      </c>
      <c r="G17" s="79">
        <f t="shared" si="0"/>
        <v>106.84210526315789</v>
      </c>
      <c r="H17" s="176">
        <v>45507</v>
      </c>
      <c r="I17" s="141" t="s">
        <v>127</v>
      </c>
      <c r="J17" s="229"/>
      <c r="N17" s="63"/>
      <c r="O17" s="298"/>
      <c r="P17" s="299"/>
      <c r="R17" s="84" t="s">
        <v>182</v>
      </c>
      <c r="S17" s="85"/>
    </row>
    <row r="18" spans="2:19">
      <c r="B18" s="194">
        <v>45522</v>
      </c>
      <c r="C18" s="195">
        <v>4</v>
      </c>
      <c r="D18" s="76">
        <v>45588</v>
      </c>
      <c r="E18" s="11">
        <v>62</v>
      </c>
      <c r="F18" s="37">
        <v>7070</v>
      </c>
      <c r="G18" s="79">
        <f t="shared" si="0"/>
        <v>114.03225806451613</v>
      </c>
      <c r="H18" s="47">
        <v>45509</v>
      </c>
      <c r="I18" s="19" t="s">
        <v>92</v>
      </c>
      <c r="J18" s="41">
        <v>10110</v>
      </c>
      <c r="N18" s="63"/>
      <c r="O18" s="298"/>
      <c r="P18" s="299"/>
      <c r="R18" s="84" t="s">
        <v>183</v>
      </c>
      <c r="S18" s="85"/>
    </row>
    <row r="19" spans="2:19">
      <c r="B19" s="194">
        <v>45530</v>
      </c>
      <c r="C19" s="195">
        <v>1</v>
      </c>
      <c r="D19" s="76">
        <v>45593</v>
      </c>
      <c r="E19" s="11">
        <v>45</v>
      </c>
      <c r="F19" s="37">
        <v>4970</v>
      </c>
      <c r="G19" s="79">
        <f t="shared" si="0"/>
        <v>110.44444444444444</v>
      </c>
      <c r="H19" s="47">
        <v>45517</v>
      </c>
      <c r="I19" s="19" t="s">
        <v>92</v>
      </c>
      <c r="J19" s="41">
        <v>6870</v>
      </c>
      <c r="K19" t="s">
        <v>32</v>
      </c>
      <c r="L19" s="78">
        <f>(J59/I9)/(G59-H8)</f>
        <v>3.0301024135326577</v>
      </c>
      <c r="N19" s="63"/>
      <c r="O19" s="298"/>
      <c r="P19" s="299"/>
      <c r="R19" s="84" t="s">
        <v>184</v>
      </c>
      <c r="S19" s="85"/>
    </row>
    <row r="20" spans="2:19">
      <c r="B20" s="194">
        <v>45534</v>
      </c>
      <c r="C20" s="195">
        <v>2</v>
      </c>
      <c r="D20" s="76">
        <v>45593</v>
      </c>
      <c r="E20" s="11">
        <v>41</v>
      </c>
      <c r="F20" s="37">
        <v>4390</v>
      </c>
      <c r="G20" s="79">
        <f t="shared" si="0"/>
        <v>107.07317073170732</v>
      </c>
      <c r="H20" s="47">
        <v>45521</v>
      </c>
      <c r="I20" s="19" t="s">
        <v>127</v>
      </c>
      <c r="J20" s="41">
        <v>1209</v>
      </c>
      <c r="K20" t="s">
        <v>172</v>
      </c>
      <c r="L20" s="183" t="e">
        <f>J24/(H24-H23)/N8</f>
        <v>#DIV/0!</v>
      </c>
      <c r="N20" s="63"/>
      <c r="O20" s="298"/>
      <c r="P20" s="299"/>
      <c r="R20" s="84"/>
      <c r="S20" s="85"/>
    </row>
    <row r="21" spans="2:19">
      <c r="B21" s="194">
        <v>45536</v>
      </c>
      <c r="C21" s="195">
        <v>4</v>
      </c>
      <c r="D21" s="76">
        <v>45596</v>
      </c>
      <c r="E21" s="11">
        <v>35</v>
      </c>
      <c r="F21" s="37">
        <v>3830</v>
      </c>
      <c r="G21" s="79">
        <f t="shared" si="0"/>
        <v>109.42857142857143</v>
      </c>
      <c r="H21" s="176">
        <v>45530</v>
      </c>
      <c r="I21" s="141" t="s">
        <v>127</v>
      </c>
      <c r="J21" s="177">
        <v>10000</v>
      </c>
      <c r="N21" s="63"/>
      <c r="O21" s="298"/>
      <c r="P21" s="299"/>
      <c r="R21" s="84"/>
      <c r="S21" s="85"/>
    </row>
    <row r="22" spans="2:19">
      <c r="B22" s="231">
        <v>45541</v>
      </c>
      <c r="C22" s="232">
        <v>3</v>
      </c>
      <c r="D22" s="76">
        <v>45602</v>
      </c>
      <c r="E22" s="11">
        <v>15</v>
      </c>
      <c r="F22" s="37">
        <f>3620/33*15</f>
        <v>1645.4545454545455</v>
      </c>
      <c r="G22" s="79">
        <f t="shared" si="0"/>
        <v>109.6969696969697</v>
      </c>
      <c r="H22" s="47">
        <v>45535</v>
      </c>
      <c r="I22" s="19" t="s">
        <v>178</v>
      </c>
      <c r="J22" s="41">
        <v>10070</v>
      </c>
      <c r="N22" s="63"/>
      <c r="O22" s="298"/>
      <c r="P22" s="299"/>
      <c r="R22" s="84"/>
      <c r="S22" s="85"/>
    </row>
    <row r="23" spans="2:19">
      <c r="B23" s="194">
        <v>45545</v>
      </c>
      <c r="C23" s="195">
        <v>1</v>
      </c>
      <c r="D23" s="76">
        <v>45603</v>
      </c>
      <c r="E23" s="11">
        <v>19</v>
      </c>
      <c r="F23" s="37">
        <v>2090</v>
      </c>
      <c r="G23" s="79">
        <f t="shared" si="0"/>
        <v>110</v>
      </c>
      <c r="H23" s="47">
        <v>45541</v>
      </c>
      <c r="I23" s="19" t="s">
        <v>25</v>
      </c>
      <c r="J23" s="41">
        <v>12100</v>
      </c>
      <c r="M23" s="25"/>
      <c r="N23" s="63"/>
      <c r="O23" s="298"/>
      <c r="P23" s="299"/>
      <c r="R23" s="84"/>
      <c r="S23" s="85"/>
    </row>
    <row r="24" spans="2:19">
      <c r="B24" s="194">
        <v>45549</v>
      </c>
      <c r="C24" s="195">
        <v>1</v>
      </c>
      <c r="D24" s="76">
        <v>45610</v>
      </c>
      <c r="E24" s="11">
        <v>43</v>
      </c>
      <c r="F24" s="37">
        <v>4840</v>
      </c>
      <c r="G24" s="79">
        <f t="shared" si="0"/>
        <v>112.55813953488372</v>
      </c>
      <c r="H24" s="47">
        <v>45547</v>
      </c>
      <c r="I24" s="19" t="s">
        <v>127</v>
      </c>
      <c r="J24" s="41">
        <v>15050</v>
      </c>
      <c r="N24" s="63"/>
      <c r="O24" s="298"/>
      <c r="P24" s="299"/>
      <c r="R24" s="84"/>
      <c r="S24" s="85"/>
    </row>
    <row r="25" spans="2:19">
      <c r="B25" s="194">
        <v>45554</v>
      </c>
      <c r="C25" s="195">
        <v>2</v>
      </c>
      <c r="D25" s="76">
        <v>45616</v>
      </c>
      <c r="E25" s="11">
        <v>49</v>
      </c>
      <c r="F25" s="37">
        <v>5590</v>
      </c>
      <c r="G25" s="79">
        <f t="shared" si="0"/>
        <v>114.08163265306122</v>
      </c>
      <c r="H25" s="47">
        <v>45549</v>
      </c>
      <c r="I25" s="19" t="s">
        <v>127</v>
      </c>
      <c r="J25" s="41">
        <v>7300</v>
      </c>
      <c r="N25" s="63"/>
      <c r="O25" s="298"/>
      <c r="P25" s="299"/>
      <c r="R25" s="84"/>
      <c r="S25" s="85"/>
    </row>
    <row r="26" spans="2:19">
      <c r="B26" s="194">
        <v>45556</v>
      </c>
      <c r="C26" s="195">
        <v>2</v>
      </c>
      <c r="D26" s="76">
        <v>45617</v>
      </c>
      <c r="E26" s="11">
        <v>30</v>
      </c>
      <c r="F26" s="37">
        <v>3290</v>
      </c>
      <c r="G26" s="79">
        <f t="shared" si="0"/>
        <v>109.66666666666667</v>
      </c>
      <c r="H26" s="47">
        <v>45555</v>
      </c>
      <c r="I26" s="19" t="s">
        <v>127</v>
      </c>
      <c r="J26" s="41">
        <v>4040</v>
      </c>
      <c r="K26">
        <v>178150</v>
      </c>
      <c r="L26">
        <f>(K26/I9)/(G59-H8)</f>
        <v>2.8435292272443649</v>
      </c>
      <c r="N26" s="64"/>
      <c r="O26" s="298"/>
      <c r="P26" s="299"/>
      <c r="R26" s="84"/>
      <c r="S26" s="85"/>
    </row>
    <row r="27" spans="2:19">
      <c r="B27" s="194">
        <v>45562</v>
      </c>
      <c r="C27" s="195">
        <v>2</v>
      </c>
      <c r="D27" s="76">
        <v>45617</v>
      </c>
      <c r="E27" s="11">
        <v>31</v>
      </c>
      <c r="F27" s="37">
        <v>3540</v>
      </c>
      <c r="G27" s="79">
        <f t="shared" si="0"/>
        <v>114.19354838709677</v>
      </c>
      <c r="H27" s="47">
        <v>45560</v>
      </c>
      <c r="I27" s="19" t="s">
        <v>25</v>
      </c>
      <c r="J27" s="41">
        <v>10030</v>
      </c>
      <c r="N27" s="64"/>
      <c r="O27" s="298"/>
      <c r="P27" s="299"/>
      <c r="R27" s="84"/>
      <c r="S27" s="85"/>
    </row>
    <row r="28" spans="2:19">
      <c r="B28" s="194">
        <v>45566</v>
      </c>
      <c r="C28" s="195">
        <v>3</v>
      </c>
      <c r="D28" s="76">
        <v>45622</v>
      </c>
      <c r="E28" s="11">
        <v>21</v>
      </c>
      <c r="F28" s="37">
        <v>2330</v>
      </c>
      <c r="G28" s="129">
        <f t="shared" si="0"/>
        <v>110.95238095238095</v>
      </c>
      <c r="H28" s="47">
        <v>45566</v>
      </c>
      <c r="I28" s="19" t="s">
        <v>28</v>
      </c>
      <c r="J28" s="41">
        <v>3150</v>
      </c>
      <c r="N28" s="64"/>
      <c r="O28" s="298"/>
      <c r="P28" s="299"/>
      <c r="R28" s="84"/>
      <c r="S28" s="85"/>
    </row>
    <row r="29" spans="2:19">
      <c r="B29" s="194">
        <v>45567</v>
      </c>
      <c r="C29" s="195">
        <v>5</v>
      </c>
      <c r="D29" s="76">
        <v>45622</v>
      </c>
      <c r="E29" s="11">
        <v>17</v>
      </c>
      <c r="F29" s="37">
        <v>1850</v>
      </c>
      <c r="G29" s="129">
        <f t="shared" si="0"/>
        <v>108.82352941176471</v>
      </c>
      <c r="H29" s="47">
        <v>45566</v>
      </c>
      <c r="I29" s="19" t="s">
        <v>127</v>
      </c>
      <c r="J29" s="41">
        <v>5940</v>
      </c>
      <c r="N29" s="64"/>
      <c r="O29" s="298"/>
      <c r="P29" s="299"/>
      <c r="R29" s="84"/>
      <c r="S29" s="85"/>
    </row>
    <row r="30" spans="2:19">
      <c r="B30" s="210">
        <v>45568</v>
      </c>
      <c r="C30" s="211">
        <v>2</v>
      </c>
      <c r="D30" s="76">
        <v>45625</v>
      </c>
      <c r="E30" s="11">
        <v>22</v>
      </c>
      <c r="F30" s="37">
        <v>2550</v>
      </c>
      <c r="G30" s="129">
        <f t="shared" si="0"/>
        <v>115.90909090909091</v>
      </c>
      <c r="H30" s="47">
        <v>45570</v>
      </c>
      <c r="I30" s="19" t="s">
        <v>127</v>
      </c>
      <c r="J30" s="41">
        <v>8150</v>
      </c>
      <c r="L30">
        <v>259</v>
      </c>
      <c r="N30" s="64"/>
      <c r="O30" s="298"/>
      <c r="P30" s="299"/>
      <c r="R30" s="84"/>
      <c r="S30" s="85"/>
    </row>
    <row r="31" spans="2:19">
      <c r="B31" s="210">
        <v>45569</v>
      </c>
      <c r="C31" s="211">
        <v>7</v>
      </c>
      <c r="D31" s="76">
        <v>45630</v>
      </c>
      <c r="E31" s="11">
        <v>40</v>
      </c>
      <c r="F31" s="37">
        <f>7920/71*E31</f>
        <v>4461.9718309859154</v>
      </c>
      <c r="G31" s="129">
        <f t="shared" si="0"/>
        <v>111.54929577464789</v>
      </c>
      <c r="H31" s="47">
        <v>45577</v>
      </c>
      <c r="I31" s="19" t="s">
        <v>127</v>
      </c>
      <c r="J31" s="41">
        <v>9940</v>
      </c>
      <c r="N31" s="64"/>
      <c r="O31" s="298"/>
      <c r="P31" s="299"/>
      <c r="R31" s="84"/>
      <c r="S31" s="85"/>
    </row>
    <row r="32" spans="2:19" ht="18" thickBot="1">
      <c r="B32" s="210">
        <v>45571</v>
      </c>
      <c r="C32" s="211">
        <v>8</v>
      </c>
      <c r="D32" s="11"/>
      <c r="E32" s="11"/>
      <c r="F32" s="37"/>
      <c r="G32" s="129" t="e">
        <f t="shared" si="0"/>
        <v>#DIV/0!</v>
      </c>
      <c r="H32" s="47">
        <v>45577</v>
      </c>
      <c r="I32" s="19" t="s">
        <v>25</v>
      </c>
      <c r="J32" s="41">
        <v>4950</v>
      </c>
      <c r="L32">
        <v>4970</v>
      </c>
      <c r="N32" s="64"/>
      <c r="O32" s="298"/>
      <c r="P32" s="299"/>
      <c r="R32" s="86"/>
      <c r="S32" s="87"/>
    </row>
    <row r="33" spans="2:16" ht="18" thickTop="1">
      <c r="B33" s="210">
        <v>45573</v>
      </c>
      <c r="C33" s="211">
        <v>2</v>
      </c>
      <c r="D33" s="11"/>
      <c r="E33" s="11"/>
      <c r="F33" s="37"/>
      <c r="G33" s="129" t="e">
        <f t="shared" si="0"/>
        <v>#DIV/0!</v>
      </c>
      <c r="H33" s="176">
        <v>45586</v>
      </c>
      <c r="I33" s="141" t="s">
        <v>127</v>
      </c>
      <c r="J33" s="177">
        <v>5470</v>
      </c>
      <c r="L33">
        <f>L32/L30/7</f>
        <v>2.7413127413127412</v>
      </c>
      <c r="N33" s="64"/>
      <c r="O33" s="298"/>
      <c r="P33" s="299"/>
    </row>
    <row r="34" spans="2:16">
      <c r="B34" s="210">
        <v>45575</v>
      </c>
      <c r="C34" s="211">
        <v>2</v>
      </c>
      <c r="D34" s="11"/>
      <c r="E34" s="11"/>
      <c r="F34" s="37"/>
      <c r="G34" s="129" t="e">
        <f t="shared" si="0"/>
        <v>#DIV/0!</v>
      </c>
      <c r="H34" s="47">
        <v>45586</v>
      </c>
      <c r="I34" s="19" t="s">
        <v>25</v>
      </c>
      <c r="J34" s="41">
        <v>2970</v>
      </c>
      <c r="N34" s="64"/>
      <c r="O34" s="298"/>
      <c r="P34" s="299"/>
    </row>
    <row r="35" spans="2:16">
      <c r="B35" s="210">
        <v>45580</v>
      </c>
      <c r="C35" s="211">
        <v>3</v>
      </c>
      <c r="D35" s="11"/>
      <c r="E35" s="11"/>
      <c r="F35" s="37"/>
      <c r="G35" s="129" t="e">
        <f t="shared" si="0"/>
        <v>#DIV/0!</v>
      </c>
      <c r="H35" s="47">
        <v>45593</v>
      </c>
      <c r="I35" s="19" t="s">
        <v>127</v>
      </c>
      <c r="J35" s="41">
        <v>5720</v>
      </c>
      <c r="N35" s="64"/>
      <c r="O35" s="298"/>
      <c r="P35" s="299"/>
    </row>
    <row r="36" spans="2:16">
      <c r="B36" s="210">
        <v>45583</v>
      </c>
      <c r="C36" s="211">
        <v>3</v>
      </c>
      <c r="D36" s="11"/>
      <c r="E36" s="11"/>
      <c r="F36" s="37"/>
      <c r="G36" s="129" t="e">
        <f t="shared" si="0"/>
        <v>#DIV/0!</v>
      </c>
      <c r="H36" s="47">
        <v>45593</v>
      </c>
      <c r="I36" s="19" t="s">
        <v>25</v>
      </c>
      <c r="J36" s="41">
        <v>1990</v>
      </c>
      <c r="N36" s="64"/>
      <c r="O36" s="298"/>
      <c r="P36" s="299"/>
    </row>
    <row r="37" spans="2:16">
      <c r="B37" s="210">
        <v>45586</v>
      </c>
      <c r="C37" s="211">
        <v>2</v>
      </c>
      <c r="D37" s="11"/>
      <c r="E37" s="11"/>
      <c r="F37" s="37"/>
      <c r="G37" s="37"/>
      <c r="H37" s="47">
        <v>45601</v>
      </c>
      <c r="I37" s="19" t="s">
        <v>25</v>
      </c>
      <c r="J37" s="41">
        <v>3390</v>
      </c>
      <c r="N37" s="64"/>
      <c r="O37" s="298"/>
      <c r="P37" s="299"/>
    </row>
    <row r="38" spans="2:16">
      <c r="B38" s="74">
        <v>45588</v>
      </c>
      <c r="C38" s="15">
        <v>2</v>
      </c>
      <c r="D38" s="11"/>
      <c r="E38" s="11"/>
      <c r="F38" s="37"/>
      <c r="G38" s="37"/>
      <c r="H38" s="47">
        <v>45607</v>
      </c>
      <c r="I38" s="19" t="s">
        <v>25</v>
      </c>
      <c r="J38" s="41">
        <v>4970</v>
      </c>
      <c r="N38" s="64"/>
      <c r="O38" s="298"/>
      <c r="P38" s="299"/>
    </row>
    <row r="39" spans="2:16">
      <c r="B39" s="74">
        <v>45597</v>
      </c>
      <c r="C39" s="15">
        <v>8</v>
      </c>
      <c r="D39" s="11"/>
      <c r="E39" s="11"/>
      <c r="F39" s="37"/>
      <c r="G39" s="37"/>
      <c r="H39" s="47">
        <v>45614</v>
      </c>
      <c r="I39" s="19" t="s">
        <v>25</v>
      </c>
      <c r="J39" s="41">
        <v>5020</v>
      </c>
      <c r="N39" s="64"/>
      <c r="O39" s="298"/>
      <c r="P39" s="299"/>
    </row>
    <row r="40" spans="2:16">
      <c r="B40" s="74">
        <v>45599</v>
      </c>
      <c r="C40" s="15">
        <v>3</v>
      </c>
      <c r="D40" s="11"/>
      <c r="E40" s="11"/>
      <c r="F40" s="37"/>
      <c r="G40" s="37"/>
      <c r="H40" s="47">
        <v>45624</v>
      </c>
      <c r="I40" s="19" t="s">
        <v>25</v>
      </c>
      <c r="J40" s="41">
        <v>4950</v>
      </c>
      <c r="N40" s="64"/>
      <c r="O40" s="298"/>
      <c r="P40" s="299"/>
    </row>
    <row r="41" spans="2:16">
      <c r="B41" s="74">
        <v>45602</v>
      </c>
      <c r="C41" s="15">
        <v>2</v>
      </c>
      <c r="D41" s="11"/>
      <c r="E41" s="11"/>
      <c r="F41" s="37"/>
      <c r="G41" s="37"/>
      <c r="H41" s="47"/>
      <c r="I41" s="19"/>
      <c r="J41" s="41"/>
      <c r="N41" s="64"/>
      <c r="O41" s="298"/>
      <c r="P41" s="299"/>
    </row>
    <row r="42" spans="2:16">
      <c r="B42" s="74">
        <v>45605</v>
      </c>
      <c r="C42" s="15">
        <v>2</v>
      </c>
      <c r="D42" s="11"/>
      <c r="E42" s="11"/>
      <c r="F42" s="37"/>
      <c r="G42" s="37"/>
      <c r="H42" s="47"/>
      <c r="I42" s="19"/>
      <c r="J42" s="41"/>
      <c r="N42" s="64"/>
      <c r="O42" s="298"/>
      <c r="P42" s="299"/>
    </row>
    <row r="43" spans="2:16">
      <c r="B43" s="74">
        <v>45610</v>
      </c>
      <c r="C43" s="15">
        <v>1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74">
        <v>45612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74">
        <v>45613</v>
      </c>
      <c r="C45" s="15">
        <v>1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74">
        <v>45622</v>
      </c>
      <c r="C46" s="15"/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74">
        <v>45624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45625</v>
      </c>
      <c r="C48" s="15">
        <v>4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102</v>
      </c>
      <c r="D59" s="8"/>
      <c r="E59" s="8">
        <f>SUM(E12:E58)</f>
        <v>742</v>
      </c>
      <c r="F59" s="39">
        <f>SUM(F12:F58)</f>
        <v>81127.42637644046</v>
      </c>
      <c r="G59" s="71">
        <f>F59/E59</f>
        <v>109.33615414614617</v>
      </c>
      <c r="H59" s="8"/>
      <c r="I59" s="8"/>
      <c r="J59" s="43">
        <f>SUM(J12:J58)</f>
        <v>189839</v>
      </c>
      <c r="N59" s="65"/>
      <c r="O59" s="300"/>
      <c r="P59" s="301"/>
    </row>
    <row r="65" spans="4:5">
      <c r="D65" s="81" t="s">
        <v>38</v>
      </c>
      <c r="E65" s="80">
        <v>60</v>
      </c>
    </row>
    <row r="66" spans="4:5">
      <c r="D66" s="81" t="s">
        <v>39</v>
      </c>
      <c r="E66" s="80">
        <v>120</v>
      </c>
    </row>
    <row r="67" spans="4:5">
      <c r="D67" s="81" t="s">
        <v>40</v>
      </c>
      <c r="E67" s="80">
        <v>180</v>
      </c>
    </row>
    <row r="68" spans="4:5">
      <c r="D68" s="81" t="s">
        <v>41</v>
      </c>
      <c r="E68" s="80">
        <v>180</v>
      </c>
    </row>
    <row r="69" spans="4:5">
      <c r="D69" s="81" t="s">
        <v>42</v>
      </c>
      <c r="E69" s="80">
        <v>180</v>
      </c>
    </row>
  </sheetData>
  <mergeCells count="64"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conditionalFormatting sqref="I35:I36">
    <cfRule type="duplicateValues" dxfId="1" priority="2"/>
  </conditionalFormatting>
  <conditionalFormatting sqref="I41:I42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8"/>
  <sheetViews>
    <sheetView showGridLines="0" workbookViewId="0">
      <selection activeCell="H10" sqref="H10:J10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8" max="8" width="11.09765625" bestFit="1" customWidth="1"/>
    <col min="9" max="9" width="14.09765625" bestFit="1" customWidth="1"/>
    <col min="10" max="10" width="11" bestFit="1" customWidth="1"/>
    <col min="11" max="11" width="14.09765625" bestFit="1" customWidth="1"/>
    <col min="12" max="12" width="9" customWidth="1"/>
    <col min="13" max="13" width="11.59765625" bestFit="1" customWidth="1"/>
    <col min="14" max="14" width="11.09765625" bestFit="1" customWidth="1"/>
    <col min="15" max="15" width="9.8984375" bestFit="1" customWidth="1"/>
    <col min="20" max="20" width="9.8984375" bestFit="1" customWidth="1"/>
    <col min="21" max="21" width="11.8984375" bestFit="1" customWidth="1"/>
  </cols>
  <sheetData>
    <row r="1" spans="1:21" ht="18" thickBot="1">
      <c r="A1" t="s">
        <v>27</v>
      </c>
      <c r="B1" s="51" t="s">
        <v>30</v>
      </c>
      <c r="D1" s="73">
        <f ca="1">TODAY()</f>
        <v>46325</v>
      </c>
      <c r="E1">
        <f ca="1">D1-B4</f>
        <v>1032</v>
      </c>
      <c r="H1" s="73">
        <f>B4+40</f>
        <v>45333</v>
      </c>
      <c r="J1">
        <f>D15-B4</f>
        <v>108</v>
      </c>
      <c r="T1" s="83">
        <v>45156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R2">
        <v>306</v>
      </c>
      <c r="T2" s="83">
        <v>45250</v>
      </c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R2-Q4</f>
        <v>281</v>
      </c>
      <c r="T3">
        <f>T2-T1</f>
        <v>94</v>
      </c>
    </row>
    <row r="4" spans="1:21">
      <c r="B4" s="27">
        <v>45293</v>
      </c>
      <c r="C4" s="30">
        <v>327</v>
      </c>
      <c r="D4" s="36">
        <f>5850+3970</f>
        <v>9820</v>
      </c>
      <c r="E4" s="70">
        <f>D4/C4</f>
        <v>30.030581039755351</v>
      </c>
      <c r="F4" s="315">
        <f>C8-P8</f>
        <v>319</v>
      </c>
      <c r="G4" s="318">
        <f>D8-(D8/C8*P8)</f>
        <v>9579.7553516819571</v>
      </c>
      <c r="H4" s="327">
        <f>G4/F4</f>
        <v>30.030581039755351</v>
      </c>
      <c r="I4" s="321" t="s">
        <v>33</v>
      </c>
      <c r="J4" s="1">
        <f>B4+90</f>
        <v>45383</v>
      </c>
      <c r="K4" s="323">
        <f>C59</f>
        <v>15</v>
      </c>
      <c r="L4" s="325">
        <f>K8/F8</f>
        <v>4.7021943573667714E-2</v>
      </c>
      <c r="M4" s="323">
        <f>E59</f>
        <v>304</v>
      </c>
      <c r="N4" s="323">
        <f>F8-C59-E59</f>
        <v>0</v>
      </c>
      <c r="O4" s="22">
        <v>45293</v>
      </c>
      <c r="P4" s="33">
        <v>8</v>
      </c>
      <c r="Q4">
        <f>5+1+1+1+2+2+11+1+1</f>
        <v>25</v>
      </c>
      <c r="R4">
        <v>10</v>
      </c>
      <c r="T4" s="95"/>
    </row>
    <row r="5" spans="1:21">
      <c r="B5" s="27"/>
      <c r="C5" s="30"/>
      <c r="D5" s="37"/>
      <c r="E5" s="70" t="e">
        <f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21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1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1" ht="18" thickBot="1">
      <c r="B8" s="9" t="s">
        <v>10</v>
      </c>
      <c r="C8" s="32">
        <f>SUM(C4:C7)</f>
        <v>327</v>
      </c>
      <c r="D8" s="39">
        <f>SUM(D4:D7)</f>
        <v>9820</v>
      </c>
      <c r="E8" s="71">
        <f>D8/C8</f>
        <v>30.030581039755351</v>
      </c>
      <c r="F8" s="32">
        <f>SUM(F4)</f>
        <v>319</v>
      </c>
      <c r="G8" s="39">
        <f>SUM(G4)</f>
        <v>9579.7553516819571</v>
      </c>
      <c r="H8" s="71">
        <f>G8/F8</f>
        <v>30.030581039755351</v>
      </c>
      <c r="I8" s="8"/>
      <c r="J8" s="8"/>
      <c r="K8" s="32">
        <f>K4</f>
        <v>15</v>
      </c>
      <c r="L8" s="26">
        <f>L4</f>
        <v>4.7021943573667714E-2</v>
      </c>
      <c r="M8" s="32">
        <f>M4</f>
        <v>304</v>
      </c>
      <c r="N8" s="32">
        <f>N4</f>
        <v>0</v>
      </c>
      <c r="O8" s="46">
        <f>P8/C8</f>
        <v>2.4464831804281346E-2</v>
      </c>
      <c r="P8" s="35">
        <f>SUM(P4:P7)</f>
        <v>8</v>
      </c>
      <c r="Q8" s="69">
        <f>P8-Q4</f>
        <v>-17</v>
      </c>
    </row>
    <row r="9" spans="1:21" ht="18" thickBot="1">
      <c r="G9">
        <v>9580</v>
      </c>
      <c r="I9">
        <f>F8*0.953</f>
        <v>304.00700000000001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96" t="s">
        <v>1</v>
      </c>
      <c r="D11" s="96" t="s">
        <v>0</v>
      </c>
      <c r="E11" s="96" t="s">
        <v>1</v>
      </c>
      <c r="F11" s="96" t="s">
        <v>2</v>
      </c>
      <c r="G11" s="96" t="s">
        <v>3</v>
      </c>
      <c r="H11" s="96" t="s">
        <v>0</v>
      </c>
      <c r="I11" s="96" t="s">
        <v>15</v>
      </c>
      <c r="J11" s="96" t="s">
        <v>16</v>
      </c>
      <c r="K11" s="56" t="s">
        <v>15</v>
      </c>
      <c r="L11" s="96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>
        <v>45308</v>
      </c>
      <c r="C12" s="13">
        <v>1</v>
      </c>
      <c r="D12" s="75">
        <v>45378</v>
      </c>
      <c r="E12" s="10">
        <v>37</v>
      </c>
      <c r="F12" s="44">
        <v>4150</v>
      </c>
      <c r="G12" s="79">
        <f>F12/E12</f>
        <v>112.16216216216216</v>
      </c>
      <c r="H12" s="18">
        <v>45289</v>
      </c>
      <c r="I12" s="20" t="s">
        <v>28</v>
      </c>
      <c r="J12" s="61">
        <v>5030</v>
      </c>
      <c r="K12" s="57" t="s">
        <v>18</v>
      </c>
      <c r="L12" s="52">
        <f>SUMIF($I$12:$I$124,K12,$J$12:$J$124)</f>
        <v>10040</v>
      </c>
      <c r="M12" s="48">
        <f>L12/$C$8</f>
        <v>30.703363914373089</v>
      </c>
      <c r="N12" s="66"/>
      <c r="O12" s="310"/>
      <c r="P12" s="311"/>
      <c r="R12" s="84" t="s">
        <v>112</v>
      </c>
      <c r="S12" s="85">
        <v>37</v>
      </c>
    </row>
    <row r="13" spans="1:21">
      <c r="B13" s="74">
        <v>45341</v>
      </c>
      <c r="C13" s="15">
        <v>2</v>
      </c>
      <c r="D13" s="76">
        <v>45386</v>
      </c>
      <c r="E13" s="11">
        <v>45</v>
      </c>
      <c r="F13" s="37">
        <v>4950</v>
      </c>
      <c r="G13" s="79">
        <f t="shared" ref="G13:G31" si="0">F13/E13</f>
        <v>110</v>
      </c>
      <c r="H13" s="18">
        <v>45297</v>
      </c>
      <c r="I13" s="19" t="s">
        <v>28</v>
      </c>
      <c r="J13" s="62">
        <v>5010</v>
      </c>
      <c r="K13" s="58" t="s">
        <v>25</v>
      </c>
      <c r="L13" s="53">
        <f t="shared" ref="L13:L14" si="1">SUMIF($I$12:$I$124,K13,$J$12:$J$124)</f>
        <v>37750</v>
      </c>
      <c r="M13" s="49">
        <f t="shared" ref="M13:M14" si="2">L13/$C$8</f>
        <v>115.4434250764526</v>
      </c>
      <c r="N13" s="1"/>
      <c r="O13" s="312"/>
      <c r="P13" s="313"/>
      <c r="R13" s="84" t="s">
        <v>85</v>
      </c>
      <c r="S13" s="85">
        <v>45</v>
      </c>
      <c r="U13" s="91">
        <f>270*59000</f>
        <v>15930000</v>
      </c>
    </row>
    <row r="14" spans="1:21" ht="18" thickBot="1">
      <c r="B14" s="74">
        <v>45357</v>
      </c>
      <c r="C14" s="15">
        <v>2</v>
      </c>
      <c r="D14" s="76">
        <v>45398</v>
      </c>
      <c r="E14" s="11">
        <v>73</v>
      </c>
      <c r="F14" s="37">
        <v>8560</v>
      </c>
      <c r="G14" s="79">
        <f t="shared" si="0"/>
        <v>117.26027397260275</v>
      </c>
      <c r="H14" s="47">
        <v>45306</v>
      </c>
      <c r="I14" s="20" t="s">
        <v>109</v>
      </c>
      <c r="J14" s="62">
        <v>5140</v>
      </c>
      <c r="K14" s="59" t="s">
        <v>26</v>
      </c>
      <c r="L14" s="54">
        <f t="shared" si="1"/>
        <v>30310</v>
      </c>
      <c r="M14" s="50">
        <f t="shared" si="2"/>
        <v>92.691131498470952</v>
      </c>
      <c r="N14" s="1"/>
      <c r="O14" s="298"/>
      <c r="P14" s="299"/>
      <c r="R14" s="84" t="s">
        <v>86</v>
      </c>
      <c r="S14" s="85">
        <v>0</v>
      </c>
    </row>
    <row r="15" spans="1:21" ht="18" thickBot="1">
      <c r="B15" s="74">
        <v>45365</v>
      </c>
      <c r="C15" s="15">
        <v>7</v>
      </c>
      <c r="D15" s="76">
        <v>45401</v>
      </c>
      <c r="E15" s="11">
        <v>75</v>
      </c>
      <c r="F15" s="37">
        <v>8370</v>
      </c>
      <c r="G15" s="79">
        <f t="shared" si="0"/>
        <v>111.6</v>
      </c>
      <c r="H15" s="47">
        <v>45313</v>
      </c>
      <c r="I15" s="20" t="s">
        <v>109</v>
      </c>
      <c r="J15" s="62">
        <v>5060</v>
      </c>
      <c r="K15" s="60" t="s">
        <v>21</v>
      </c>
      <c r="L15" s="55">
        <f>SUM(L12:L14)</f>
        <v>78100</v>
      </c>
      <c r="M15" s="40">
        <f>L15/C8</f>
        <v>238.83792048929664</v>
      </c>
      <c r="N15" s="1"/>
      <c r="O15" s="298"/>
      <c r="P15" s="299"/>
      <c r="R15" s="84" t="s">
        <v>87</v>
      </c>
      <c r="S15" s="85">
        <v>148</v>
      </c>
    </row>
    <row r="16" spans="1:21">
      <c r="B16" s="74">
        <v>45368</v>
      </c>
      <c r="C16" s="15">
        <v>2</v>
      </c>
      <c r="D16" s="76">
        <v>45406</v>
      </c>
      <c r="E16" s="11">
        <v>28</v>
      </c>
      <c r="F16" s="37">
        <v>3050</v>
      </c>
      <c r="G16" s="79">
        <f t="shared" si="0"/>
        <v>108.92857142857143</v>
      </c>
      <c r="H16" s="47">
        <v>45321</v>
      </c>
      <c r="I16" s="20" t="s">
        <v>109</v>
      </c>
      <c r="J16" s="41">
        <v>4930</v>
      </c>
      <c r="N16" s="63"/>
      <c r="O16" s="298"/>
      <c r="P16" s="299"/>
      <c r="R16" s="84" t="s">
        <v>88</v>
      </c>
      <c r="S16" s="85">
        <v>28</v>
      </c>
    </row>
    <row r="17" spans="2:19">
      <c r="B17" s="74">
        <v>45379</v>
      </c>
      <c r="C17" s="15">
        <v>1</v>
      </c>
      <c r="D17" s="76">
        <v>45420</v>
      </c>
      <c r="E17" s="11">
        <v>46</v>
      </c>
      <c r="F17" s="37">
        <v>5170</v>
      </c>
      <c r="G17" s="79">
        <f t="shared" si="0"/>
        <v>112.39130434782609</v>
      </c>
      <c r="H17" s="47">
        <v>45328</v>
      </c>
      <c r="I17" s="20" t="s">
        <v>109</v>
      </c>
      <c r="J17" s="41">
        <v>5560</v>
      </c>
      <c r="N17" s="63"/>
      <c r="O17" s="298"/>
      <c r="P17" s="299"/>
      <c r="R17" s="84" t="s">
        <v>89</v>
      </c>
      <c r="S17" s="85"/>
    </row>
    <row r="18" spans="2:19">
      <c r="B18" s="74"/>
      <c r="C18" s="15"/>
      <c r="D18" s="11"/>
      <c r="E18" s="11"/>
      <c r="F18" s="37"/>
      <c r="G18" s="79" t="e">
        <f t="shared" si="0"/>
        <v>#DIV/0!</v>
      </c>
      <c r="H18" s="47">
        <v>45335</v>
      </c>
      <c r="I18" s="20" t="s">
        <v>109</v>
      </c>
      <c r="J18" s="41">
        <v>5040</v>
      </c>
      <c r="K18" t="s">
        <v>32</v>
      </c>
      <c r="L18" s="78">
        <f>(J59/I9)/(G59-H8)</f>
        <v>3.1089177940110004</v>
      </c>
      <c r="N18" s="63"/>
      <c r="O18" s="298"/>
      <c r="P18" s="299"/>
      <c r="R18" s="84" t="s">
        <v>128</v>
      </c>
      <c r="S18" s="85"/>
    </row>
    <row r="19" spans="2:19">
      <c r="B19" s="74"/>
      <c r="C19" s="15"/>
      <c r="D19" s="11"/>
      <c r="E19" s="11"/>
      <c r="F19" s="37"/>
      <c r="G19" s="79" t="e">
        <f t="shared" si="0"/>
        <v>#DIV/0!</v>
      </c>
      <c r="H19" s="47">
        <v>45338</v>
      </c>
      <c r="I19" s="20" t="s">
        <v>109</v>
      </c>
      <c r="J19" s="41">
        <v>1980</v>
      </c>
      <c r="N19" s="63"/>
      <c r="O19" s="298"/>
      <c r="P19" s="299"/>
      <c r="R19" s="84" t="s">
        <v>129</v>
      </c>
      <c r="S19" s="85">
        <v>46</v>
      </c>
    </row>
    <row r="20" spans="2:19">
      <c r="B20" s="74"/>
      <c r="C20" s="15"/>
      <c r="D20" s="11"/>
      <c r="E20" s="11"/>
      <c r="F20" s="37"/>
      <c r="G20" s="79" t="e">
        <f t="shared" si="0"/>
        <v>#DIV/0!</v>
      </c>
      <c r="H20" s="47">
        <v>45345</v>
      </c>
      <c r="I20" s="20" t="s">
        <v>109</v>
      </c>
      <c r="J20" s="41">
        <v>5050</v>
      </c>
      <c r="N20" s="63"/>
      <c r="O20" s="298"/>
      <c r="P20" s="299"/>
      <c r="R20" s="84"/>
      <c r="S20" s="85"/>
    </row>
    <row r="21" spans="2:19">
      <c r="B21" s="74"/>
      <c r="C21" s="15"/>
      <c r="D21" s="11"/>
      <c r="E21" s="11"/>
      <c r="F21" s="37"/>
      <c r="G21" s="79" t="e">
        <f t="shared" si="0"/>
        <v>#DIV/0!</v>
      </c>
      <c r="H21" s="47">
        <v>45353</v>
      </c>
      <c r="I21" s="20" t="s">
        <v>109</v>
      </c>
      <c r="J21" s="41">
        <v>4990</v>
      </c>
      <c r="N21" s="63"/>
      <c r="O21" s="298"/>
      <c r="P21" s="299"/>
      <c r="R21" s="84"/>
      <c r="S21" s="85"/>
    </row>
    <row r="22" spans="2:19">
      <c r="B22" s="74"/>
      <c r="C22" s="15"/>
      <c r="D22" s="11"/>
      <c r="E22" s="11"/>
      <c r="F22" s="37"/>
      <c r="G22" s="79" t="e">
        <f t="shared" si="0"/>
        <v>#DIV/0!</v>
      </c>
      <c r="H22" s="47">
        <v>45362</v>
      </c>
      <c r="I22" s="20" t="s">
        <v>26</v>
      </c>
      <c r="J22" s="41">
        <v>5020</v>
      </c>
      <c r="M22" s="25"/>
      <c r="N22" s="63"/>
      <c r="O22" s="298"/>
      <c r="P22" s="299"/>
      <c r="R22" s="84"/>
      <c r="S22" s="85"/>
    </row>
    <row r="23" spans="2:19">
      <c r="B23" s="74"/>
      <c r="C23" s="15"/>
      <c r="D23" s="11"/>
      <c r="E23" s="11"/>
      <c r="F23" s="37"/>
      <c r="G23" s="79" t="e">
        <f t="shared" si="0"/>
        <v>#DIV/0!</v>
      </c>
      <c r="H23" s="47">
        <v>45367</v>
      </c>
      <c r="I23" s="20" t="s">
        <v>26</v>
      </c>
      <c r="J23" s="41">
        <v>5080</v>
      </c>
      <c r="N23" s="63"/>
      <c r="O23" s="298"/>
      <c r="P23" s="299"/>
      <c r="R23" s="84"/>
      <c r="S23" s="85"/>
    </row>
    <row r="24" spans="2:19">
      <c r="B24" s="74"/>
      <c r="C24" s="15"/>
      <c r="D24" s="11"/>
      <c r="E24" s="11"/>
      <c r="F24" s="37"/>
      <c r="G24" s="79" t="e">
        <f t="shared" si="0"/>
        <v>#DIV/0!</v>
      </c>
      <c r="H24" s="47">
        <v>45372</v>
      </c>
      <c r="I24" s="20" t="s">
        <v>26</v>
      </c>
      <c r="J24" s="41">
        <v>3070</v>
      </c>
      <c r="N24" s="63"/>
      <c r="O24" s="298"/>
      <c r="P24" s="299"/>
      <c r="R24" s="84"/>
      <c r="S24" s="85"/>
    </row>
    <row r="25" spans="2:19">
      <c r="B25" s="74"/>
      <c r="C25" s="15"/>
      <c r="D25" s="11"/>
      <c r="E25" s="11"/>
      <c r="F25" s="37"/>
      <c r="G25" s="79" t="e">
        <f t="shared" si="0"/>
        <v>#DIV/0!</v>
      </c>
      <c r="H25" s="47">
        <v>45376</v>
      </c>
      <c r="I25" s="20" t="s">
        <v>26</v>
      </c>
      <c r="J25" s="41">
        <v>5050</v>
      </c>
      <c r="N25" s="64"/>
      <c r="O25" s="298"/>
      <c r="P25" s="299"/>
      <c r="R25" s="84"/>
      <c r="S25" s="85"/>
    </row>
    <row r="26" spans="2:19">
      <c r="B26" s="74"/>
      <c r="C26" s="15"/>
      <c r="D26" s="11"/>
      <c r="E26" s="11"/>
      <c r="F26" s="37"/>
      <c r="G26" s="79" t="e">
        <f t="shared" si="0"/>
        <v>#DIV/0!</v>
      </c>
      <c r="H26" s="47">
        <v>45383</v>
      </c>
      <c r="I26" s="20" t="s">
        <v>26</v>
      </c>
      <c r="J26" s="41">
        <v>5030</v>
      </c>
      <c r="N26" s="64"/>
      <c r="O26" s="298"/>
      <c r="P26" s="299"/>
      <c r="R26" s="84"/>
      <c r="S26" s="85"/>
    </row>
    <row r="27" spans="2:19">
      <c r="B27" s="74"/>
      <c r="C27" s="15"/>
      <c r="D27" s="11"/>
      <c r="E27" s="11"/>
      <c r="F27" s="37"/>
      <c r="G27" s="79" t="e">
        <f>F27/E27</f>
        <v>#DIV/0!</v>
      </c>
      <c r="H27" s="47">
        <v>45390</v>
      </c>
      <c r="I27" s="20" t="s">
        <v>26</v>
      </c>
      <c r="J27" s="41">
        <v>5060</v>
      </c>
      <c r="N27" s="64"/>
      <c r="O27" s="298"/>
      <c r="P27" s="299"/>
      <c r="R27" s="84"/>
      <c r="S27" s="85"/>
    </row>
    <row r="28" spans="2:19">
      <c r="B28" s="74"/>
      <c r="C28" s="15"/>
      <c r="D28" s="11"/>
      <c r="E28" s="11"/>
      <c r="F28" s="37"/>
      <c r="G28" s="79" t="e">
        <f t="shared" si="0"/>
        <v>#DIV/0!</v>
      </c>
      <c r="H28" s="47">
        <v>45398</v>
      </c>
      <c r="I28" s="20" t="s">
        <v>26</v>
      </c>
      <c r="J28" s="41">
        <v>2000</v>
      </c>
      <c r="N28" s="64"/>
      <c r="O28" s="298"/>
      <c r="P28" s="299"/>
      <c r="R28" s="84"/>
      <c r="S28" s="85"/>
    </row>
    <row r="29" spans="2:19">
      <c r="B29" s="74"/>
      <c r="C29" s="15"/>
      <c r="D29" s="11"/>
      <c r="E29" s="11"/>
      <c r="F29" s="37"/>
      <c r="G29" s="79" t="e">
        <f t="shared" si="0"/>
        <v>#DIV/0!</v>
      </c>
      <c r="H29" s="20"/>
      <c r="I29" s="20"/>
      <c r="J29" s="41"/>
      <c r="N29" s="64"/>
      <c r="O29" s="298"/>
      <c r="P29" s="299"/>
      <c r="R29" s="84"/>
      <c r="S29" s="85"/>
    </row>
    <row r="30" spans="2:19">
      <c r="B30" s="74"/>
      <c r="C30" s="15"/>
      <c r="D30" s="11"/>
      <c r="E30" s="11"/>
      <c r="F30" s="37"/>
      <c r="G30" s="79" t="e">
        <f t="shared" si="0"/>
        <v>#DIV/0!</v>
      </c>
      <c r="H30" s="20"/>
      <c r="I30" s="20"/>
      <c r="J30" s="41"/>
      <c r="N30" s="64"/>
      <c r="O30" s="298"/>
      <c r="P30" s="299"/>
      <c r="R30" s="84"/>
      <c r="S30" s="85"/>
    </row>
    <row r="31" spans="2:19" ht="18" thickBot="1">
      <c r="B31" s="74"/>
      <c r="C31" s="15"/>
      <c r="D31" s="11"/>
      <c r="E31" s="11"/>
      <c r="F31" s="37"/>
      <c r="G31" s="79" t="e">
        <f t="shared" si="0"/>
        <v>#DIV/0!</v>
      </c>
      <c r="H31" s="20"/>
      <c r="I31" s="20"/>
      <c r="J31" s="41"/>
      <c r="N31" s="64"/>
      <c r="O31" s="298"/>
      <c r="P31" s="299"/>
      <c r="R31" s="86"/>
      <c r="S31" s="87"/>
    </row>
    <row r="32" spans="2:19" ht="18" thickTop="1">
      <c r="B32" s="74"/>
      <c r="C32" s="15"/>
      <c r="D32" s="11"/>
      <c r="E32" s="11"/>
      <c r="F32" s="37"/>
      <c r="G32" s="37"/>
      <c r="H32" s="20"/>
      <c r="I32" s="20"/>
      <c r="J32" s="41"/>
      <c r="N32" s="64"/>
      <c r="O32" s="298"/>
      <c r="P32" s="299"/>
    </row>
    <row r="33" spans="2:16">
      <c r="B33" s="14"/>
      <c r="C33" s="15"/>
      <c r="D33" s="11"/>
      <c r="E33" s="11"/>
      <c r="F33" s="37"/>
      <c r="G33" s="37"/>
      <c r="H33" s="20"/>
      <c r="I33" s="20"/>
      <c r="J33" s="41"/>
      <c r="N33" s="64"/>
      <c r="O33" s="298"/>
      <c r="P33" s="299"/>
    </row>
    <row r="34" spans="2:16">
      <c r="B34" s="14"/>
      <c r="C34" s="15"/>
      <c r="D34" s="11"/>
      <c r="E34" s="11"/>
      <c r="F34" s="37"/>
      <c r="G34" s="37"/>
      <c r="H34" s="20"/>
      <c r="I34" s="20"/>
      <c r="J34" s="41"/>
      <c r="N34" s="64"/>
      <c r="O34" s="298"/>
      <c r="P34" s="299"/>
    </row>
    <row r="35" spans="2:16">
      <c r="B35" s="14"/>
      <c r="C35" s="15"/>
      <c r="D35" s="11"/>
      <c r="E35" s="11"/>
      <c r="F35" s="37"/>
      <c r="G35" s="37"/>
      <c r="H35" s="20"/>
      <c r="I35" s="20"/>
      <c r="J35" s="41"/>
      <c r="N35" s="64"/>
      <c r="O35" s="298"/>
      <c r="P35" s="299"/>
    </row>
    <row r="36" spans="2:16">
      <c r="B36" s="14"/>
      <c r="C36" s="15"/>
      <c r="D36" s="11"/>
      <c r="E36" s="11"/>
      <c r="F36" s="37"/>
      <c r="G36" s="37"/>
      <c r="H36" s="20"/>
      <c r="I36" s="20"/>
      <c r="J36" s="41"/>
      <c r="N36" s="64"/>
      <c r="O36" s="298"/>
      <c r="P36" s="299"/>
    </row>
    <row r="37" spans="2:16">
      <c r="B37" s="14"/>
      <c r="C37" s="15"/>
      <c r="D37" s="11"/>
      <c r="E37" s="11"/>
      <c r="F37" s="37"/>
      <c r="G37" s="37"/>
      <c r="H37" s="20"/>
      <c r="I37" s="20"/>
      <c r="J37" s="41"/>
      <c r="N37" s="64"/>
      <c r="O37" s="298"/>
      <c r="P37" s="299"/>
    </row>
    <row r="38" spans="2:16">
      <c r="B38" s="14"/>
      <c r="C38" s="15"/>
      <c r="D38" s="11"/>
      <c r="E38" s="11"/>
      <c r="F38" s="37"/>
      <c r="G38" s="37"/>
      <c r="H38" s="20"/>
      <c r="I38" s="20"/>
      <c r="J38" s="41"/>
      <c r="N38" s="64"/>
      <c r="O38" s="298"/>
      <c r="P38" s="299"/>
    </row>
    <row r="39" spans="2:16">
      <c r="B39" s="14"/>
      <c r="C39" s="15"/>
      <c r="D39" s="11"/>
      <c r="E39" s="11"/>
      <c r="F39" s="37"/>
      <c r="G39" s="37"/>
      <c r="H39" s="20"/>
      <c r="I39" s="20"/>
      <c r="J39" s="41"/>
      <c r="N39" s="64"/>
      <c r="O39" s="298"/>
      <c r="P39" s="299"/>
    </row>
    <row r="40" spans="2:16">
      <c r="B40" s="14"/>
      <c r="C40" s="15"/>
      <c r="D40" s="11"/>
      <c r="E40" s="11"/>
      <c r="F40" s="37"/>
      <c r="G40" s="37"/>
      <c r="H40" s="20"/>
      <c r="I40" s="20"/>
      <c r="J40" s="41"/>
      <c r="N40" s="64"/>
      <c r="O40" s="298"/>
      <c r="P40" s="299"/>
    </row>
    <row r="41" spans="2:16">
      <c r="B41" s="14"/>
      <c r="C41" s="15"/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14"/>
      <c r="C42" s="15"/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14"/>
      <c r="C43" s="15"/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14"/>
      <c r="C44" s="15"/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14"/>
      <c r="C45" s="15"/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174"/>
      <c r="P56" s="175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15</v>
      </c>
      <c r="D59" s="8"/>
      <c r="E59" s="8">
        <f>SUM(E12:E58)</f>
        <v>304</v>
      </c>
      <c r="F59" s="39">
        <f>SUM(F12:F58)</f>
        <v>34250</v>
      </c>
      <c r="G59" s="71">
        <f>F59/E59</f>
        <v>112.66447368421052</v>
      </c>
      <c r="H59" s="8"/>
      <c r="I59" s="8"/>
      <c r="J59" s="43">
        <f>SUM(J12:J58)</f>
        <v>78100</v>
      </c>
      <c r="N59" s="65"/>
      <c r="O59" s="300"/>
      <c r="P59" s="301"/>
    </row>
    <row r="62" spans="2:16">
      <c r="D62" s="73">
        <v>45246</v>
      </c>
      <c r="E62">
        <v>30</v>
      </c>
    </row>
    <row r="63" spans="2:16">
      <c r="D63" s="73">
        <v>45253</v>
      </c>
      <c r="E63">
        <v>80</v>
      </c>
    </row>
    <row r="64" spans="2:16">
      <c r="D64" s="73">
        <v>45262</v>
      </c>
      <c r="E64">
        <v>100</v>
      </c>
    </row>
    <row r="65" spans="4:10">
      <c r="D65" s="73">
        <v>45269</v>
      </c>
      <c r="E65">
        <v>80</v>
      </c>
      <c r="J65">
        <f>81170-3000</f>
        <v>78170</v>
      </c>
    </row>
    <row r="66" spans="4:10">
      <c r="D66" s="73"/>
      <c r="I66">
        <f>113*302</f>
        <v>34126</v>
      </c>
    </row>
    <row r="67" spans="4:10">
      <c r="I67">
        <f>I66-G9</f>
        <v>24546</v>
      </c>
    </row>
    <row r="68" spans="4:10">
      <c r="I68">
        <f>J65/I67</f>
        <v>3.1846329340829462</v>
      </c>
    </row>
  </sheetData>
  <mergeCells count="64">
    <mergeCell ref="O59:P59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7:P57"/>
    <mergeCell ref="O58:P58"/>
    <mergeCell ref="O46:P46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34:P34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22:P22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3"/>
  <sheetViews>
    <sheetView showGridLines="0" zoomScale="104" workbookViewId="0">
      <selection activeCell="H10" sqref="H10:J10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8" max="8" width="9.8984375" bestFit="1" customWidth="1"/>
    <col min="9" max="9" width="19.8984375" customWidth="1"/>
    <col min="10" max="10" width="11" bestFit="1" customWidth="1"/>
    <col min="11" max="11" width="21.3984375" bestFit="1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</cols>
  <sheetData>
    <row r="1" spans="1:21" ht="18" thickBot="1">
      <c r="A1" t="s">
        <v>27</v>
      </c>
      <c r="B1" s="51" t="s">
        <v>30</v>
      </c>
      <c r="D1" s="73">
        <f ca="1">TODAY()</f>
        <v>46325</v>
      </c>
      <c r="E1">
        <f ca="1">D1-B4</f>
        <v>989</v>
      </c>
      <c r="J1">
        <f>D16-B4</f>
        <v>111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T2">
        <f>704+327</f>
        <v>1031</v>
      </c>
      <c r="U2">
        <f>692+319</f>
        <v>1011</v>
      </c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>
        <v>75</v>
      </c>
      <c r="U3">
        <f>39+15+3</f>
        <v>57</v>
      </c>
    </row>
    <row r="4" spans="1:21">
      <c r="B4" s="27">
        <v>45336</v>
      </c>
      <c r="C4" s="30">
        <v>353</v>
      </c>
      <c r="D4" s="37">
        <v>11440</v>
      </c>
      <c r="E4" s="70">
        <f>D4/C4</f>
        <v>32.407932011331447</v>
      </c>
      <c r="F4" s="315">
        <f>C8-P8</f>
        <v>692</v>
      </c>
      <c r="G4" s="318">
        <f>D8-(D8/C8*P8)</f>
        <v>23217.386363636364</v>
      </c>
      <c r="H4" s="327">
        <f>G4/F4</f>
        <v>33.551136363636367</v>
      </c>
      <c r="I4" s="321" t="s">
        <v>33</v>
      </c>
      <c r="J4" s="1">
        <f>B4+90</f>
        <v>45426</v>
      </c>
      <c r="K4" s="323">
        <f>C59</f>
        <v>45</v>
      </c>
      <c r="L4" s="325">
        <f>K8/F8</f>
        <v>6.5028901734104042E-2</v>
      </c>
      <c r="M4" s="323">
        <f>E59</f>
        <v>647</v>
      </c>
      <c r="N4" s="323">
        <f>F8-C59-E59</f>
        <v>0</v>
      </c>
      <c r="O4" s="22">
        <v>45336</v>
      </c>
      <c r="P4" s="33">
        <v>6</v>
      </c>
      <c r="Q4">
        <v>22</v>
      </c>
      <c r="R4" s="69">
        <f>C4-P4</f>
        <v>347</v>
      </c>
      <c r="T4" s="95">
        <f>461+304</f>
        <v>765</v>
      </c>
      <c r="U4">
        <f>U3/U2</f>
        <v>5.637982195845697E-2</v>
      </c>
    </row>
    <row r="5" spans="1:21">
      <c r="B5" s="27">
        <v>45349</v>
      </c>
      <c r="C5" s="30">
        <v>351</v>
      </c>
      <c r="D5" s="37">
        <v>12180</v>
      </c>
      <c r="E5" s="70">
        <f>D5/C5</f>
        <v>34.700854700854698</v>
      </c>
      <c r="F5" s="316"/>
      <c r="G5" s="319"/>
      <c r="H5" s="328"/>
      <c r="I5" s="321"/>
      <c r="J5" s="1">
        <f>B5+90</f>
        <v>45439</v>
      </c>
      <c r="K5" s="323"/>
      <c r="L5" s="325"/>
      <c r="M5" s="323"/>
      <c r="N5" s="323"/>
      <c r="O5" s="22">
        <v>45349</v>
      </c>
      <c r="P5" s="33">
        <v>6</v>
      </c>
      <c r="Q5">
        <v>22</v>
      </c>
    </row>
    <row r="6" spans="1:21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1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1" ht="18" thickBot="1">
      <c r="B8" s="9" t="s">
        <v>10</v>
      </c>
      <c r="C8" s="32">
        <f>SUM(C4:C7)</f>
        <v>704</v>
      </c>
      <c r="D8" s="39">
        <f>SUM(D4:D7)</f>
        <v>23620</v>
      </c>
      <c r="E8" s="71">
        <f>D8/C8</f>
        <v>33.551136363636367</v>
      </c>
      <c r="F8" s="32">
        <f>SUM(F4)</f>
        <v>692</v>
      </c>
      <c r="G8" s="39">
        <f>SUM(G4)</f>
        <v>23217.386363636364</v>
      </c>
      <c r="H8" s="71">
        <f>G8/F8</f>
        <v>33.551136363636367</v>
      </c>
      <c r="I8" s="8"/>
      <c r="J8" s="8"/>
      <c r="K8" s="32">
        <f>K4</f>
        <v>45</v>
      </c>
      <c r="L8" s="26">
        <f>L4</f>
        <v>6.5028901734104042E-2</v>
      </c>
      <c r="M8" s="32">
        <f>M4</f>
        <v>647</v>
      </c>
      <c r="N8" s="32">
        <f>N4</f>
        <v>0</v>
      </c>
      <c r="O8" s="46">
        <f>P8/C8</f>
        <v>1.7045454545454544E-2</v>
      </c>
      <c r="P8" s="35">
        <f>SUM(P4:P7)</f>
        <v>12</v>
      </c>
      <c r="Q8" s="69">
        <f>P8-Q4-Q5</f>
        <v>-32</v>
      </c>
    </row>
    <row r="9" spans="1:21" ht="18" thickBot="1">
      <c r="G9">
        <v>23217</v>
      </c>
      <c r="I9">
        <f>F8*0.935</f>
        <v>647.02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104" t="s">
        <v>1</v>
      </c>
      <c r="D11" s="104" t="s">
        <v>0</v>
      </c>
      <c r="E11" s="104" t="s">
        <v>1</v>
      </c>
      <c r="F11" s="104" t="s">
        <v>2</v>
      </c>
      <c r="G11" s="104" t="s">
        <v>3</v>
      </c>
      <c r="H11" s="104" t="s">
        <v>0</v>
      </c>
      <c r="I11" s="104" t="s">
        <v>15</v>
      </c>
      <c r="J11" s="104" t="s">
        <v>16</v>
      </c>
      <c r="K11" s="56" t="s">
        <v>15</v>
      </c>
      <c r="L11" s="104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>
        <v>45349</v>
      </c>
      <c r="C12" s="13">
        <v>3</v>
      </c>
      <c r="D12" s="155">
        <v>45432</v>
      </c>
      <c r="E12" s="156">
        <v>70</v>
      </c>
      <c r="F12" s="157">
        <v>8070</v>
      </c>
      <c r="G12" s="79">
        <f>F12/E12</f>
        <v>115.28571428571429</v>
      </c>
      <c r="H12" s="18">
        <v>45321</v>
      </c>
      <c r="I12" s="20" t="s">
        <v>28</v>
      </c>
      <c r="J12" s="61">
        <v>4970</v>
      </c>
      <c r="K12" s="57" t="s">
        <v>18</v>
      </c>
      <c r="L12" s="52">
        <f>SUMIF($I$12:$I$124,K12,$J$12:$J$124)</f>
        <v>27670</v>
      </c>
      <c r="M12" s="48">
        <f>L12/$C$8</f>
        <v>39.303977272727273</v>
      </c>
      <c r="N12" s="66"/>
      <c r="O12" s="310"/>
      <c r="P12" s="311"/>
      <c r="R12" s="84" t="s">
        <v>96</v>
      </c>
      <c r="S12" s="85"/>
    </row>
    <row r="13" spans="1:21">
      <c r="B13" s="74">
        <v>45357</v>
      </c>
      <c r="C13" s="15">
        <v>4</v>
      </c>
      <c r="D13" s="76">
        <v>45439</v>
      </c>
      <c r="E13" s="11">
        <v>84</v>
      </c>
      <c r="F13" s="37">
        <v>9670</v>
      </c>
      <c r="G13" s="79">
        <f t="shared" ref="G13:G32" si="0">F13/E13</f>
        <v>115.11904761904762</v>
      </c>
      <c r="H13" s="18">
        <v>45338</v>
      </c>
      <c r="I13" s="20" t="s">
        <v>28</v>
      </c>
      <c r="J13" s="62">
        <v>4840</v>
      </c>
      <c r="K13" s="58" t="s">
        <v>25</v>
      </c>
      <c r="L13" s="53">
        <f t="shared" ref="L13:L14" si="1">SUMIF($I$12:$I$124,K13,$J$12:$J$124)</f>
        <v>60590</v>
      </c>
      <c r="M13" s="49">
        <f t="shared" ref="M13:M14" si="2">L13/$C$8</f>
        <v>86.065340909090907</v>
      </c>
      <c r="N13" s="1"/>
      <c r="O13" s="312"/>
      <c r="P13" s="313"/>
      <c r="R13" s="84" t="s">
        <v>105</v>
      </c>
      <c r="S13" s="85"/>
      <c r="U13" s="91">
        <f>270*59000</f>
        <v>15930000</v>
      </c>
    </row>
    <row r="14" spans="1:21">
      <c r="B14" s="74">
        <v>45358</v>
      </c>
      <c r="C14" s="15">
        <v>4</v>
      </c>
      <c r="D14" s="76">
        <v>45442</v>
      </c>
      <c r="E14" s="11">
        <v>70</v>
      </c>
      <c r="F14" s="37">
        <v>7750</v>
      </c>
      <c r="G14" s="79">
        <f t="shared" si="0"/>
        <v>110.71428571428571</v>
      </c>
      <c r="H14" s="47">
        <v>45345</v>
      </c>
      <c r="I14" s="20" t="s">
        <v>28</v>
      </c>
      <c r="J14" s="62">
        <v>5010</v>
      </c>
      <c r="K14" s="106" t="s">
        <v>26</v>
      </c>
      <c r="L14" s="53">
        <f t="shared" si="1"/>
        <v>67990</v>
      </c>
      <c r="M14" s="107">
        <f t="shared" si="2"/>
        <v>96.576704545454547</v>
      </c>
      <c r="N14" s="1"/>
      <c r="O14" s="298"/>
      <c r="P14" s="299"/>
      <c r="R14" s="84" t="s">
        <v>98</v>
      </c>
      <c r="S14" s="85">
        <v>70</v>
      </c>
    </row>
    <row r="15" spans="1:21">
      <c r="B15" s="74">
        <v>45362</v>
      </c>
      <c r="C15" s="15">
        <v>2</v>
      </c>
      <c r="D15" s="76">
        <v>45447</v>
      </c>
      <c r="E15" s="11">
        <v>55</v>
      </c>
      <c r="F15" s="37">
        <v>6280</v>
      </c>
      <c r="G15" s="79">
        <f t="shared" si="0"/>
        <v>114.18181818181819</v>
      </c>
      <c r="H15" s="47">
        <v>45353</v>
      </c>
      <c r="I15" s="20" t="s">
        <v>28</v>
      </c>
      <c r="J15" s="62">
        <v>4860</v>
      </c>
      <c r="K15" s="106" t="s">
        <v>92</v>
      </c>
      <c r="L15" s="53">
        <f t="shared" ref="L15" si="3">SUMIF($I$12:$I$124,K15,$J$12:$J$124)</f>
        <v>12350</v>
      </c>
      <c r="M15" s="107">
        <f t="shared" ref="M15" si="4">L15/$C$8</f>
        <v>17.542613636363637</v>
      </c>
      <c r="N15" s="1"/>
      <c r="O15" s="138"/>
      <c r="P15" s="139"/>
      <c r="R15" s="84" t="s">
        <v>100</v>
      </c>
      <c r="S15" s="85">
        <v>154</v>
      </c>
    </row>
    <row r="16" spans="1:21" ht="18" thickBot="1">
      <c r="B16" s="74">
        <v>45369</v>
      </c>
      <c r="C16" s="15">
        <v>2</v>
      </c>
      <c r="D16" s="76">
        <v>45447</v>
      </c>
      <c r="E16" s="11">
        <v>55</v>
      </c>
      <c r="F16" s="37">
        <v>6310</v>
      </c>
      <c r="G16" s="79">
        <f t="shared" si="0"/>
        <v>114.72727272727273</v>
      </c>
      <c r="H16" s="47">
        <v>45353</v>
      </c>
      <c r="I16" s="20" t="s">
        <v>29</v>
      </c>
      <c r="J16" s="41">
        <v>5010</v>
      </c>
      <c r="K16" s="60" t="s">
        <v>21</v>
      </c>
      <c r="L16" s="55">
        <f>SUM(L12:L14)</f>
        <v>156250</v>
      </c>
      <c r="M16" s="40">
        <f>L16/C8</f>
        <v>221.94602272727272</v>
      </c>
      <c r="N16" s="1"/>
      <c r="O16" s="298"/>
      <c r="P16" s="299"/>
      <c r="R16" s="84" t="s">
        <v>107</v>
      </c>
      <c r="S16" s="85">
        <v>110</v>
      </c>
    </row>
    <row r="17" spans="2:19">
      <c r="B17" s="74">
        <v>45375</v>
      </c>
      <c r="C17" s="15">
        <v>3</v>
      </c>
      <c r="D17" s="76">
        <v>45454</v>
      </c>
      <c r="E17" s="11">
        <v>63</v>
      </c>
      <c r="F17" s="37">
        <v>7290</v>
      </c>
      <c r="G17" s="79">
        <f t="shared" si="0"/>
        <v>115.71428571428571</v>
      </c>
      <c r="H17" s="47">
        <v>45362</v>
      </c>
      <c r="I17" s="20" t="s">
        <v>29</v>
      </c>
      <c r="J17" s="41">
        <v>5020</v>
      </c>
      <c r="N17" s="63"/>
      <c r="O17" s="298"/>
      <c r="P17" s="299"/>
      <c r="R17" s="84" t="s">
        <v>102</v>
      </c>
      <c r="S17" s="85"/>
    </row>
    <row r="18" spans="2:19">
      <c r="B18" s="74">
        <v>45379</v>
      </c>
      <c r="C18" s="15">
        <v>2</v>
      </c>
      <c r="D18" s="76">
        <v>45454</v>
      </c>
      <c r="E18" s="11">
        <v>64</v>
      </c>
      <c r="F18" s="37">
        <v>7480</v>
      </c>
      <c r="G18" s="79">
        <f t="shared" si="0"/>
        <v>116.875</v>
      </c>
      <c r="H18" s="47">
        <v>45367</v>
      </c>
      <c r="I18" s="20" t="s">
        <v>29</v>
      </c>
      <c r="J18" s="41">
        <v>4080</v>
      </c>
      <c r="N18" s="63"/>
      <c r="O18" s="298"/>
      <c r="P18" s="299"/>
      <c r="R18" s="84" t="s">
        <v>113</v>
      </c>
      <c r="S18" s="85">
        <v>120</v>
      </c>
    </row>
    <row r="19" spans="2:19">
      <c r="B19" s="74">
        <v>45383</v>
      </c>
      <c r="C19" s="15">
        <v>2</v>
      </c>
      <c r="D19" s="76">
        <v>45457</v>
      </c>
      <c r="E19" s="11">
        <v>65</v>
      </c>
      <c r="F19" s="37">
        <v>7220</v>
      </c>
      <c r="G19" s="79">
        <f t="shared" si="0"/>
        <v>111.07692307692308</v>
      </c>
      <c r="H19" s="47">
        <v>45372</v>
      </c>
      <c r="I19" s="20" t="s">
        <v>29</v>
      </c>
      <c r="J19" s="41">
        <v>3060</v>
      </c>
      <c r="K19" t="s">
        <v>32</v>
      </c>
      <c r="L19" s="78">
        <f>(J59/I9)/(G59-H8)</f>
        <v>3.2837331309966746</v>
      </c>
      <c r="N19" s="63"/>
      <c r="O19" s="298"/>
      <c r="P19" s="299"/>
      <c r="R19" s="84" t="s">
        <v>135</v>
      </c>
      <c r="S19" s="85">
        <v>60</v>
      </c>
    </row>
    <row r="20" spans="2:19">
      <c r="B20" s="74">
        <v>45385</v>
      </c>
      <c r="C20" s="15">
        <v>2</v>
      </c>
      <c r="D20" s="76">
        <v>45462</v>
      </c>
      <c r="E20" s="11">
        <v>59</v>
      </c>
      <c r="F20" s="37">
        <v>6400</v>
      </c>
      <c r="G20" s="79">
        <f t="shared" si="0"/>
        <v>108.47457627118644</v>
      </c>
      <c r="H20" s="47">
        <v>45372</v>
      </c>
      <c r="I20" s="20" t="s">
        <v>29</v>
      </c>
      <c r="J20" s="41">
        <v>5050</v>
      </c>
      <c r="N20" s="63"/>
      <c r="O20" s="298"/>
      <c r="P20" s="299"/>
      <c r="R20" s="84" t="s">
        <v>136</v>
      </c>
      <c r="S20" s="85">
        <v>50</v>
      </c>
    </row>
    <row r="21" spans="2:19">
      <c r="B21" s="74">
        <v>45393</v>
      </c>
      <c r="C21" s="15">
        <v>2</v>
      </c>
      <c r="D21" s="76">
        <v>45471</v>
      </c>
      <c r="E21" s="11">
        <v>30</v>
      </c>
      <c r="F21" s="37">
        <v>3260</v>
      </c>
      <c r="G21" s="79">
        <f t="shared" si="0"/>
        <v>108.66666666666667</v>
      </c>
      <c r="H21" s="47">
        <v>45379</v>
      </c>
      <c r="I21" s="20" t="s">
        <v>149</v>
      </c>
      <c r="J21" s="41">
        <f>5040+5040</f>
        <v>10080</v>
      </c>
      <c r="N21" s="63"/>
      <c r="O21" s="298"/>
      <c r="P21" s="299"/>
      <c r="R21" s="84"/>
      <c r="S21" s="85"/>
    </row>
    <row r="22" spans="2:19">
      <c r="B22" s="74">
        <v>45399</v>
      </c>
      <c r="C22" s="15">
        <v>3</v>
      </c>
      <c r="D22" s="76">
        <v>45478</v>
      </c>
      <c r="E22" s="11">
        <v>32</v>
      </c>
      <c r="F22" s="37">
        <v>3320</v>
      </c>
      <c r="G22" s="79">
        <f t="shared" si="0"/>
        <v>103.75</v>
      </c>
      <c r="H22" s="47">
        <v>45383</v>
      </c>
      <c r="I22" s="20" t="s">
        <v>29</v>
      </c>
      <c r="J22" s="41">
        <v>3020</v>
      </c>
      <c r="N22" s="63"/>
      <c r="O22" s="298"/>
      <c r="P22" s="299"/>
      <c r="R22" s="84"/>
      <c r="S22" s="85"/>
    </row>
    <row r="23" spans="2:19">
      <c r="B23" s="74">
        <v>45405</v>
      </c>
      <c r="C23" s="15">
        <v>1</v>
      </c>
      <c r="D23" s="11"/>
      <c r="E23" s="11"/>
      <c r="F23" s="37"/>
      <c r="G23" s="79" t="e">
        <f t="shared" si="0"/>
        <v>#DIV/0!</v>
      </c>
      <c r="H23" s="47">
        <v>45386</v>
      </c>
      <c r="I23" s="20" t="s">
        <v>29</v>
      </c>
      <c r="J23" s="41">
        <f>5040+5040</f>
        <v>10080</v>
      </c>
      <c r="M23" s="25"/>
      <c r="N23" s="63"/>
      <c r="O23" s="298"/>
      <c r="P23" s="299"/>
      <c r="R23" s="84"/>
      <c r="S23" s="85"/>
    </row>
    <row r="24" spans="2:19">
      <c r="B24" s="74">
        <v>45414</v>
      </c>
      <c r="C24" s="15">
        <v>2</v>
      </c>
      <c r="D24" s="11"/>
      <c r="E24" s="11"/>
      <c r="F24" s="37"/>
      <c r="G24" s="79" t="e">
        <f t="shared" si="0"/>
        <v>#DIV/0!</v>
      </c>
      <c r="H24" s="47">
        <v>45390</v>
      </c>
      <c r="I24" s="20" t="s">
        <v>29</v>
      </c>
      <c r="J24" s="41">
        <v>5050</v>
      </c>
      <c r="N24" s="63"/>
      <c r="O24" s="298"/>
      <c r="P24" s="299"/>
      <c r="R24" s="84"/>
      <c r="S24" s="85"/>
    </row>
    <row r="25" spans="2:19">
      <c r="B25" s="74">
        <v>45419</v>
      </c>
      <c r="C25" s="15">
        <v>2</v>
      </c>
      <c r="D25" s="11"/>
      <c r="E25" s="11"/>
      <c r="F25" s="37"/>
      <c r="G25" s="79" t="e">
        <f t="shared" si="0"/>
        <v>#DIV/0!</v>
      </c>
      <c r="H25" s="47">
        <v>45393</v>
      </c>
      <c r="I25" s="20" t="s">
        <v>29</v>
      </c>
      <c r="J25" s="41">
        <v>5070</v>
      </c>
      <c r="N25" s="63"/>
      <c r="O25" s="298"/>
      <c r="P25" s="299"/>
      <c r="R25" s="84"/>
      <c r="S25" s="85"/>
    </row>
    <row r="26" spans="2:19">
      <c r="B26" s="74">
        <v>45424</v>
      </c>
      <c r="C26" s="15">
        <v>1</v>
      </c>
      <c r="D26" s="11"/>
      <c r="E26" s="11"/>
      <c r="F26" s="37"/>
      <c r="G26" s="79" t="e">
        <f t="shared" si="0"/>
        <v>#DIV/0!</v>
      </c>
      <c r="H26" s="47">
        <v>45393</v>
      </c>
      <c r="I26" s="20" t="s">
        <v>29</v>
      </c>
      <c r="J26" s="41">
        <v>5070</v>
      </c>
      <c r="N26" s="64"/>
      <c r="O26" s="298"/>
      <c r="P26" s="299"/>
      <c r="R26" s="84"/>
      <c r="S26" s="85"/>
    </row>
    <row r="27" spans="2:19">
      <c r="B27" s="74">
        <v>45433</v>
      </c>
      <c r="C27" s="15">
        <v>1</v>
      </c>
      <c r="D27" s="11"/>
      <c r="E27" s="11"/>
      <c r="F27" s="37"/>
      <c r="G27" s="79" t="e">
        <f t="shared" si="0"/>
        <v>#DIV/0!</v>
      </c>
      <c r="H27" s="47">
        <v>45398</v>
      </c>
      <c r="I27" s="20" t="s">
        <v>92</v>
      </c>
      <c r="J27" s="41">
        <v>5340</v>
      </c>
      <c r="N27" s="64"/>
      <c r="O27" s="298"/>
      <c r="P27" s="299"/>
      <c r="R27" s="84"/>
      <c r="S27" s="85"/>
    </row>
    <row r="28" spans="2:19">
      <c r="B28" s="74">
        <v>45443</v>
      </c>
      <c r="C28" s="15">
        <v>1</v>
      </c>
      <c r="D28" s="11"/>
      <c r="E28" s="11"/>
      <c r="F28" s="37"/>
      <c r="G28" s="79" t="e">
        <f>F28/E28</f>
        <v>#DIV/0!</v>
      </c>
      <c r="H28" s="47">
        <v>45404</v>
      </c>
      <c r="I28" s="20" t="s">
        <v>92</v>
      </c>
      <c r="J28" s="41">
        <v>7010</v>
      </c>
      <c r="N28" s="64"/>
      <c r="O28" s="298"/>
      <c r="P28" s="299"/>
      <c r="R28" s="84"/>
      <c r="S28" s="85"/>
    </row>
    <row r="29" spans="2:19">
      <c r="B29" s="74">
        <v>45446</v>
      </c>
      <c r="C29" s="15">
        <v>2</v>
      </c>
      <c r="D29" s="11"/>
      <c r="E29" s="11"/>
      <c r="F29" s="37"/>
      <c r="G29" s="79" t="e">
        <f t="shared" si="0"/>
        <v>#DIV/0!</v>
      </c>
      <c r="H29" s="47">
        <v>45409</v>
      </c>
      <c r="I29" s="20" t="s">
        <v>127</v>
      </c>
      <c r="J29" s="41">
        <v>5030</v>
      </c>
      <c r="N29" s="64"/>
      <c r="O29" s="298"/>
      <c r="P29" s="299"/>
      <c r="R29" s="84"/>
      <c r="S29" s="85"/>
    </row>
    <row r="30" spans="2:19">
      <c r="B30" s="74"/>
      <c r="C30" s="15">
        <v>1</v>
      </c>
      <c r="D30" s="11"/>
      <c r="E30" s="11"/>
      <c r="F30" s="37"/>
      <c r="G30" s="79" t="e">
        <f t="shared" si="0"/>
        <v>#DIV/0!</v>
      </c>
      <c r="H30" s="47">
        <v>45409</v>
      </c>
      <c r="I30" s="20" t="s">
        <v>127</v>
      </c>
      <c r="J30" s="41">
        <v>5030</v>
      </c>
      <c r="N30" s="64"/>
      <c r="O30" s="298"/>
      <c r="P30" s="299"/>
      <c r="R30" s="84"/>
      <c r="S30" s="85"/>
    </row>
    <row r="31" spans="2:19">
      <c r="B31" s="74"/>
      <c r="C31" s="15">
        <v>1</v>
      </c>
      <c r="D31" s="11"/>
      <c r="E31" s="11"/>
      <c r="F31" s="37"/>
      <c r="G31" s="79" t="e">
        <f t="shared" si="0"/>
        <v>#DIV/0!</v>
      </c>
      <c r="H31" s="47">
        <v>45413</v>
      </c>
      <c r="I31" s="20" t="s">
        <v>127</v>
      </c>
      <c r="J31" s="41">
        <v>5610</v>
      </c>
      <c r="N31" s="64"/>
      <c r="O31" s="298"/>
      <c r="P31" s="299"/>
      <c r="R31" s="84"/>
      <c r="S31" s="85"/>
    </row>
    <row r="32" spans="2:19" ht="18" thickBot="1">
      <c r="B32" s="74">
        <v>45467</v>
      </c>
      <c r="C32" s="15">
        <v>1</v>
      </c>
      <c r="D32" s="11"/>
      <c r="E32" s="11"/>
      <c r="F32" s="37"/>
      <c r="G32" s="79" t="e">
        <f t="shared" si="0"/>
        <v>#DIV/0!</v>
      </c>
      <c r="H32" s="47">
        <v>45416</v>
      </c>
      <c r="I32" s="20" t="s">
        <v>127</v>
      </c>
      <c r="J32" s="41">
        <v>3010</v>
      </c>
      <c r="N32" s="64"/>
      <c r="O32" s="298"/>
      <c r="P32" s="299"/>
      <c r="R32" s="86"/>
      <c r="S32" s="87"/>
    </row>
    <row r="33" spans="2:16" ht="18" thickTop="1">
      <c r="B33" s="74">
        <v>45478</v>
      </c>
      <c r="C33" s="15">
        <v>3</v>
      </c>
      <c r="D33" s="11"/>
      <c r="E33" s="11"/>
      <c r="F33" s="37"/>
      <c r="G33" s="37"/>
      <c r="H33" s="47">
        <v>45416</v>
      </c>
      <c r="I33" s="20" t="s">
        <v>127</v>
      </c>
      <c r="J33" s="41">
        <v>5020</v>
      </c>
      <c r="N33" s="64"/>
      <c r="O33" s="298"/>
      <c r="P33" s="299"/>
    </row>
    <row r="34" spans="2:16">
      <c r="B34" s="14"/>
      <c r="C34" s="15"/>
      <c r="D34" s="11"/>
      <c r="E34" s="11"/>
      <c r="F34" s="37"/>
      <c r="G34" s="37"/>
      <c r="H34" s="47">
        <v>45416</v>
      </c>
      <c r="I34" s="20" t="s">
        <v>127</v>
      </c>
      <c r="J34" s="41">
        <v>3020</v>
      </c>
      <c r="N34" s="64"/>
      <c r="O34" s="298"/>
      <c r="P34" s="299"/>
    </row>
    <row r="35" spans="2:16">
      <c r="B35" s="14"/>
      <c r="C35" s="15"/>
      <c r="D35" s="11"/>
      <c r="E35" s="11"/>
      <c r="F35" s="37"/>
      <c r="G35" s="37"/>
      <c r="H35" s="47">
        <v>45398</v>
      </c>
      <c r="I35" s="20" t="s">
        <v>127</v>
      </c>
      <c r="J35" s="41">
        <v>3070</v>
      </c>
      <c r="N35" s="64"/>
      <c r="O35" s="298"/>
      <c r="P35" s="299"/>
    </row>
    <row r="36" spans="2:16">
      <c r="B36" s="14"/>
      <c r="C36" s="15"/>
      <c r="D36" s="11"/>
      <c r="E36" s="11"/>
      <c r="F36" s="37"/>
      <c r="G36" s="37"/>
      <c r="H36" s="47">
        <v>45423</v>
      </c>
      <c r="I36" s="20" t="s">
        <v>127</v>
      </c>
      <c r="J36" s="41">
        <v>4980</v>
      </c>
      <c r="N36" s="64"/>
      <c r="O36" s="298"/>
      <c r="P36" s="299"/>
    </row>
    <row r="37" spans="2:16">
      <c r="B37" s="14"/>
      <c r="C37" s="15"/>
      <c r="D37" s="11"/>
      <c r="E37" s="11"/>
      <c r="F37" s="37"/>
      <c r="G37" s="37"/>
      <c r="H37" s="47">
        <v>45423</v>
      </c>
      <c r="I37" s="20" t="s">
        <v>127</v>
      </c>
      <c r="J37" s="41">
        <v>5050</v>
      </c>
      <c r="N37" s="64"/>
      <c r="O37" s="298"/>
      <c r="P37" s="299"/>
    </row>
    <row r="38" spans="2:16">
      <c r="B38" s="14"/>
      <c r="C38" s="15"/>
      <c r="D38" s="11"/>
      <c r="E38" s="11"/>
      <c r="F38" s="37"/>
      <c r="G38" s="37"/>
      <c r="H38" s="47">
        <v>45423</v>
      </c>
      <c r="I38" s="20" t="s">
        <v>127</v>
      </c>
      <c r="J38" s="41">
        <v>5040</v>
      </c>
      <c r="N38" s="64"/>
      <c r="O38" s="298"/>
      <c r="P38" s="299"/>
    </row>
    <row r="39" spans="2:16">
      <c r="B39" s="14"/>
      <c r="C39" s="15"/>
      <c r="D39" s="11"/>
      <c r="E39" s="11"/>
      <c r="F39" s="37"/>
      <c r="G39" s="37"/>
      <c r="H39" s="47">
        <v>45430</v>
      </c>
      <c r="I39" s="20" t="s">
        <v>127</v>
      </c>
      <c r="J39" s="41">
        <v>5020</v>
      </c>
      <c r="N39" s="64"/>
      <c r="O39" s="298"/>
      <c r="P39" s="299"/>
    </row>
    <row r="40" spans="2:16">
      <c r="B40" s="14"/>
      <c r="C40" s="15"/>
      <c r="D40" s="11"/>
      <c r="E40" s="11"/>
      <c r="F40" s="37"/>
      <c r="G40" s="37"/>
      <c r="H40" s="47">
        <v>45430</v>
      </c>
      <c r="I40" s="20" t="s">
        <v>127</v>
      </c>
      <c r="J40" s="41">
        <v>5030</v>
      </c>
      <c r="N40" s="64"/>
      <c r="O40" s="298"/>
      <c r="P40" s="299"/>
    </row>
    <row r="41" spans="2:16">
      <c r="B41" s="14"/>
      <c r="C41" s="15"/>
      <c r="D41" s="11"/>
      <c r="E41" s="11"/>
      <c r="F41" s="37"/>
      <c r="G41" s="37"/>
      <c r="H41" s="47">
        <v>45430</v>
      </c>
      <c r="I41" s="20" t="s">
        <v>127</v>
      </c>
      <c r="J41" s="41">
        <v>5020</v>
      </c>
      <c r="N41" s="64"/>
      <c r="O41" s="298"/>
      <c r="P41" s="299"/>
    </row>
    <row r="42" spans="2:16">
      <c r="B42" s="14"/>
      <c r="C42" s="15"/>
      <c r="D42" s="11"/>
      <c r="E42" s="11"/>
      <c r="F42" s="37"/>
      <c r="G42" s="37"/>
      <c r="H42" s="47">
        <v>45437</v>
      </c>
      <c r="I42" s="20" t="s">
        <v>127</v>
      </c>
      <c r="J42" s="41">
        <v>8060</v>
      </c>
      <c r="N42" s="64"/>
      <c r="O42" s="298"/>
      <c r="P42" s="299"/>
    </row>
    <row r="43" spans="2:16">
      <c r="B43" s="14"/>
      <c r="C43" s="15"/>
      <c r="D43" s="11"/>
      <c r="E43" s="11"/>
      <c r="F43" s="37"/>
      <c r="G43" s="37"/>
      <c r="H43" s="47">
        <v>45444</v>
      </c>
      <c r="I43" s="20" t="s">
        <v>28</v>
      </c>
      <c r="J43" s="41">
        <v>3000</v>
      </c>
      <c r="N43" s="64"/>
      <c r="O43" s="298"/>
      <c r="P43" s="299"/>
    </row>
    <row r="44" spans="2:16">
      <c r="B44" s="14"/>
      <c r="C44" s="15"/>
      <c r="D44" s="11"/>
      <c r="E44" s="11"/>
      <c r="F44" s="37"/>
      <c r="G44" s="37"/>
      <c r="H44" s="47">
        <v>45450</v>
      </c>
      <c r="I44" s="20" t="s">
        <v>28</v>
      </c>
      <c r="J44" s="41">
        <v>3030</v>
      </c>
      <c r="N44" s="64"/>
      <c r="O44" s="298"/>
      <c r="P44" s="299"/>
    </row>
    <row r="45" spans="2:16">
      <c r="B45" s="14"/>
      <c r="C45" s="15"/>
      <c r="D45" s="11"/>
      <c r="E45" s="11"/>
      <c r="F45" s="37"/>
      <c r="G45" s="37"/>
      <c r="H45" s="47">
        <v>45458</v>
      </c>
      <c r="I45" s="20" t="s">
        <v>28</v>
      </c>
      <c r="J45" s="41">
        <v>1960</v>
      </c>
      <c r="N45" s="64"/>
      <c r="O45" s="298"/>
      <c r="P45" s="299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45</v>
      </c>
      <c r="D59" s="8"/>
      <c r="E59" s="8">
        <f>SUM(E12:E58)</f>
        <v>647</v>
      </c>
      <c r="F59" s="39">
        <f>SUM(F12:F58)</f>
        <v>73050</v>
      </c>
      <c r="G59" s="71">
        <f>F59/E59</f>
        <v>112.90571870170015</v>
      </c>
      <c r="H59" s="8"/>
      <c r="I59" s="8"/>
      <c r="J59" s="43">
        <f>SUM(J12:J58)</f>
        <v>168600</v>
      </c>
      <c r="N59" s="65"/>
      <c r="O59" s="300"/>
      <c r="P59" s="301"/>
    </row>
    <row r="62" spans="2:16">
      <c r="D62" s="73">
        <v>45246</v>
      </c>
      <c r="E62">
        <v>30</v>
      </c>
    </row>
    <row r="63" spans="2:16">
      <c r="D63" s="73">
        <v>45253</v>
      </c>
      <c r="E63">
        <v>80</v>
      </c>
    </row>
    <row r="64" spans="2:16">
      <c r="D64" s="73">
        <v>45262</v>
      </c>
      <c r="E64">
        <v>100</v>
      </c>
    </row>
    <row r="65" spans="4:19">
      <c r="D65" s="73">
        <v>45269</v>
      </c>
      <c r="E65">
        <v>80</v>
      </c>
    </row>
    <row r="66" spans="4:19">
      <c r="D66" s="73"/>
    </row>
    <row r="73" spans="4:19">
      <c r="S73">
        <f>700</f>
        <v>700</v>
      </c>
    </row>
    <row r="75" spans="4:19">
      <c r="S75">
        <v>25</v>
      </c>
    </row>
    <row r="76" spans="4:19">
      <c r="S76">
        <f>S75/S73</f>
        <v>3.5714285714285712E-2</v>
      </c>
    </row>
    <row r="77" spans="4:19">
      <c r="F77">
        <f>2040+6100</f>
        <v>8140</v>
      </c>
    </row>
    <row r="78" spans="4:19">
      <c r="F78">
        <f>F77+460</f>
        <v>8600</v>
      </c>
    </row>
    <row r="79" spans="4:19">
      <c r="S79" t="s">
        <v>65</v>
      </c>
    </row>
    <row r="92" spans="17:17">
      <c r="Q92">
        <v>112</v>
      </c>
    </row>
    <row r="93" spans="17:17">
      <c r="Q93" t="e">
        <f>Q92/Q86</f>
        <v>#DIV/0!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</mergeCells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668F-E0DE-4529-90EE-86DF462612EF}">
  <dimension ref="A1:U86"/>
  <sheetViews>
    <sheetView showGridLines="0" topLeftCell="M1" workbookViewId="0">
      <selection activeCell="J45" sqref="J45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11.0976562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1" max="21" width="11.8984375" bestFit="1" customWidth="1"/>
  </cols>
  <sheetData>
    <row r="1" spans="1:21" ht="18" thickBot="1">
      <c r="A1" t="s">
        <v>27</v>
      </c>
      <c r="B1" s="51"/>
      <c r="E1" s="73">
        <f ca="1">TODAY()</f>
        <v>46325</v>
      </c>
      <c r="F1">
        <f ca="1">E1-B4</f>
        <v>820</v>
      </c>
      <c r="J1">
        <f>149/30</f>
        <v>4.9666666666666668</v>
      </c>
    </row>
    <row r="2" spans="1:21" ht="18" thickBot="1">
      <c r="F2" s="302" t="s">
        <v>9</v>
      </c>
      <c r="G2" s="305"/>
      <c r="H2" s="314"/>
      <c r="O2" s="302" t="s">
        <v>8</v>
      </c>
      <c r="P2" s="314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1">
      <c r="B4" s="27">
        <v>45505</v>
      </c>
      <c r="C4" s="30">
        <v>900</v>
      </c>
      <c r="D4" s="36">
        <f>4460+4180+4060+3240+3190+3170</f>
        <v>22300</v>
      </c>
      <c r="E4" s="70">
        <f>D4/C4</f>
        <v>24.777777777777779</v>
      </c>
      <c r="F4" s="315">
        <f>C8-P8</f>
        <v>874</v>
      </c>
      <c r="G4" s="318">
        <f>D8-(D8/C8*P8)</f>
        <v>21655.777777777777</v>
      </c>
      <c r="H4" s="327">
        <f>G4/F4</f>
        <v>24.777777777777779</v>
      </c>
      <c r="I4" s="321" t="s">
        <v>171</v>
      </c>
      <c r="J4" s="1">
        <f>B4+90</f>
        <v>45595</v>
      </c>
      <c r="K4" s="323">
        <f>C76</f>
        <v>162</v>
      </c>
      <c r="L4" s="325">
        <f>K8/F8</f>
        <v>0.18535469107551489</v>
      </c>
      <c r="M4" s="323">
        <f>E76</f>
        <v>706</v>
      </c>
      <c r="N4" s="323">
        <f>F8-C76-E76</f>
        <v>6</v>
      </c>
      <c r="O4" s="22">
        <v>45505</v>
      </c>
      <c r="P4" s="33">
        <v>26</v>
      </c>
      <c r="Q4">
        <v>26</v>
      </c>
      <c r="R4">
        <v>900</v>
      </c>
    </row>
    <row r="5" spans="1:21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>
        <f>R4-Q4</f>
        <v>874</v>
      </c>
    </row>
    <row r="6" spans="1:21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1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1" ht="18" thickBot="1">
      <c r="B8" s="9" t="s">
        <v>10</v>
      </c>
      <c r="C8" s="32">
        <f>SUM(C4:C7)</f>
        <v>900</v>
      </c>
      <c r="D8" s="39">
        <f>SUM(D4:D7)</f>
        <v>22300</v>
      </c>
      <c r="E8" s="71">
        <f>D8/C8</f>
        <v>24.777777777777779</v>
      </c>
      <c r="F8" s="32">
        <f>SUM(F4)</f>
        <v>874</v>
      </c>
      <c r="G8" s="39">
        <f>SUM(G4)</f>
        <v>21655.777777777777</v>
      </c>
      <c r="H8" s="71">
        <f>G8/F8</f>
        <v>24.777777777777779</v>
      </c>
      <c r="I8" s="8"/>
      <c r="J8" s="8"/>
      <c r="K8" s="32">
        <f>K4</f>
        <v>162</v>
      </c>
      <c r="L8" s="26">
        <f>L4</f>
        <v>0.18535469107551489</v>
      </c>
      <c r="M8" s="32">
        <f>M4</f>
        <v>706</v>
      </c>
      <c r="N8" s="32">
        <f>N4</f>
        <v>6</v>
      </c>
      <c r="O8" s="46">
        <f>P8/C8</f>
        <v>2.8888888888888888E-2</v>
      </c>
      <c r="P8" s="35">
        <f>SUM(P4:P7)</f>
        <v>26</v>
      </c>
      <c r="Q8" s="69">
        <f>P8-Q4</f>
        <v>0</v>
      </c>
      <c r="U8" s="91"/>
    </row>
    <row r="9" spans="1:21" ht="18" thickBot="1">
      <c r="G9">
        <v>21676</v>
      </c>
      <c r="I9">
        <v>730</v>
      </c>
      <c r="U9" s="186"/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 s="186"/>
    </row>
    <row r="11" spans="1:21" ht="18" thickBot="1">
      <c r="B11" s="9" t="s">
        <v>0</v>
      </c>
      <c r="C11" s="199" t="s">
        <v>1</v>
      </c>
      <c r="D11" s="199" t="s">
        <v>0</v>
      </c>
      <c r="E11" s="199" t="s">
        <v>1</v>
      </c>
      <c r="F11" s="199" t="s">
        <v>2</v>
      </c>
      <c r="G11" s="199" t="s">
        <v>3</v>
      </c>
      <c r="H11" s="199" t="s">
        <v>0</v>
      </c>
      <c r="I11" s="199" t="s">
        <v>15</v>
      </c>
      <c r="J11" s="199" t="s">
        <v>16</v>
      </c>
      <c r="K11" s="56" t="s">
        <v>15</v>
      </c>
      <c r="L11" s="199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 s="196"/>
    </row>
    <row r="12" spans="1:21">
      <c r="B12" s="216">
        <v>45534</v>
      </c>
      <c r="C12" s="217">
        <v>3</v>
      </c>
      <c r="D12" s="75">
        <v>45610</v>
      </c>
      <c r="E12" s="10">
        <v>25</v>
      </c>
      <c r="F12" s="44">
        <v>2830</v>
      </c>
      <c r="G12" s="79">
        <f>F12/E12</f>
        <v>113.2</v>
      </c>
      <c r="H12" s="18">
        <v>45505</v>
      </c>
      <c r="I12" s="19" t="s">
        <v>28</v>
      </c>
      <c r="J12" s="61">
        <v>9950</v>
      </c>
      <c r="K12" s="57" t="s">
        <v>18</v>
      </c>
      <c r="L12" s="52">
        <f>SUMIF($I$12:$I$141,K12,$J$12:$J$141)</f>
        <v>51670</v>
      </c>
      <c r="M12" s="48">
        <f>L12/$C$8</f>
        <v>57.411111111111111</v>
      </c>
      <c r="N12" s="66"/>
      <c r="O12" s="310"/>
      <c r="P12" s="311"/>
      <c r="R12" s="135" t="s">
        <v>195</v>
      </c>
      <c r="S12" s="85">
        <v>100</v>
      </c>
      <c r="U12" s="196"/>
    </row>
    <row r="13" spans="1:21">
      <c r="B13" s="216">
        <v>45539</v>
      </c>
      <c r="C13" s="217">
        <v>7</v>
      </c>
      <c r="D13" s="76">
        <v>45614</v>
      </c>
      <c r="E13" s="11">
        <v>55</v>
      </c>
      <c r="F13" s="37">
        <v>5880</v>
      </c>
      <c r="G13" s="79">
        <f t="shared" ref="G13:G31" si="0">F13/E13</f>
        <v>106.90909090909091</v>
      </c>
      <c r="H13" s="47">
        <v>45513</v>
      </c>
      <c r="I13" s="19" t="s">
        <v>28</v>
      </c>
      <c r="J13" s="62">
        <v>10000</v>
      </c>
      <c r="K13" s="58" t="s">
        <v>25</v>
      </c>
      <c r="L13" s="53">
        <f t="shared" ref="L13:L15" si="1">SUMIF($I$12:$I$141,K13,$J$12:$J$141)</f>
        <v>32050</v>
      </c>
      <c r="M13" s="49">
        <f t="shared" ref="M13:M15" si="2">L13/$C$8</f>
        <v>35.611111111111114</v>
      </c>
      <c r="N13" s="1"/>
      <c r="O13" s="312"/>
      <c r="P13" s="313"/>
      <c r="R13" s="135" t="s">
        <v>186</v>
      </c>
      <c r="S13" s="85"/>
    </row>
    <row r="14" spans="1:21">
      <c r="B14" s="194">
        <v>45541</v>
      </c>
      <c r="C14" s="195">
        <v>7</v>
      </c>
      <c r="D14" s="76">
        <v>45630</v>
      </c>
      <c r="E14" s="11">
        <v>31</v>
      </c>
      <c r="F14" s="37">
        <f>7920/71*E14</f>
        <v>3458.0281690140846</v>
      </c>
      <c r="G14" s="79">
        <f t="shared" si="0"/>
        <v>111.54929577464789</v>
      </c>
      <c r="H14" s="47">
        <v>45524</v>
      </c>
      <c r="I14" s="19" t="s">
        <v>28</v>
      </c>
      <c r="J14" s="62">
        <v>9890</v>
      </c>
      <c r="K14" s="106" t="s">
        <v>26</v>
      </c>
      <c r="L14" s="53">
        <f t="shared" si="1"/>
        <v>136330</v>
      </c>
      <c r="M14" s="107">
        <f t="shared" si="2"/>
        <v>151.47777777777779</v>
      </c>
      <c r="N14" s="1"/>
      <c r="O14" s="200"/>
      <c r="P14" s="201"/>
      <c r="R14" s="135" t="s">
        <v>57</v>
      </c>
      <c r="S14" s="85">
        <v>100</v>
      </c>
    </row>
    <row r="15" spans="1:21" ht="18" thickBot="1">
      <c r="B15" s="194">
        <v>45545</v>
      </c>
      <c r="C15" s="195">
        <v>7</v>
      </c>
      <c r="D15" s="76">
        <v>45630</v>
      </c>
      <c r="E15" s="11">
        <v>73</v>
      </c>
      <c r="F15" s="37">
        <v>8150</v>
      </c>
      <c r="G15" s="79">
        <f t="shared" si="0"/>
        <v>111.64383561643835</v>
      </c>
      <c r="H15" s="47">
        <v>45535</v>
      </c>
      <c r="I15" s="19" t="s">
        <v>28</v>
      </c>
      <c r="J15" s="62">
        <v>5230</v>
      </c>
      <c r="K15" s="59" t="s">
        <v>93</v>
      </c>
      <c r="L15" s="54">
        <f t="shared" si="1"/>
        <v>0</v>
      </c>
      <c r="M15" s="50">
        <f t="shared" si="2"/>
        <v>0</v>
      </c>
      <c r="N15" s="1"/>
      <c r="O15" s="298"/>
      <c r="P15" s="299"/>
      <c r="R15" s="135" t="s">
        <v>58</v>
      </c>
      <c r="S15" s="85"/>
    </row>
    <row r="16" spans="1:21" ht="18" thickBot="1">
      <c r="B16" s="194">
        <v>45546</v>
      </c>
      <c r="C16" s="195">
        <v>6</v>
      </c>
      <c r="D16" s="76">
        <v>45635</v>
      </c>
      <c r="E16" s="11">
        <v>32</v>
      </c>
      <c r="F16" s="37">
        <v>3580</v>
      </c>
      <c r="G16" s="79">
        <f t="shared" si="0"/>
        <v>111.875</v>
      </c>
      <c r="H16" s="176">
        <v>45539</v>
      </c>
      <c r="I16" s="141" t="s">
        <v>127</v>
      </c>
      <c r="J16" s="229">
        <v>5020</v>
      </c>
      <c r="K16" s="60" t="s">
        <v>21</v>
      </c>
      <c r="L16" s="55">
        <f>SUM(L12:L15)</f>
        <v>220050</v>
      </c>
      <c r="M16" s="40">
        <f>L16/F8</f>
        <v>251.77345537757438</v>
      </c>
      <c r="N16" s="1"/>
      <c r="O16" s="298"/>
      <c r="P16" s="299"/>
      <c r="R16" s="84"/>
      <c r="S16" s="85"/>
    </row>
    <row r="17" spans="2:19">
      <c r="B17" s="194">
        <v>45548</v>
      </c>
      <c r="C17" s="195">
        <v>1</v>
      </c>
      <c r="D17" s="76">
        <v>45635</v>
      </c>
      <c r="E17" s="11">
        <v>35</v>
      </c>
      <c r="F17" s="37">
        <v>3970</v>
      </c>
      <c r="G17" s="79">
        <f t="shared" si="0"/>
        <v>113.42857142857143</v>
      </c>
      <c r="H17" s="47">
        <v>45547</v>
      </c>
      <c r="I17" s="19" t="s">
        <v>127</v>
      </c>
      <c r="J17" s="62">
        <v>15060</v>
      </c>
      <c r="N17" s="63"/>
      <c r="O17" s="298"/>
      <c r="P17" s="299"/>
      <c r="R17" s="84"/>
      <c r="S17" s="85"/>
    </row>
    <row r="18" spans="2:19">
      <c r="B18" s="194">
        <v>45549</v>
      </c>
      <c r="C18" s="195">
        <v>1</v>
      </c>
      <c r="D18" s="76">
        <v>45638</v>
      </c>
      <c r="E18" s="11">
        <v>35</v>
      </c>
      <c r="F18" s="37">
        <v>3850</v>
      </c>
      <c r="G18" s="79">
        <f t="shared" si="0"/>
        <v>110</v>
      </c>
      <c r="H18" s="47">
        <v>45554</v>
      </c>
      <c r="I18" s="19" t="s">
        <v>127</v>
      </c>
      <c r="J18" s="41">
        <v>7050</v>
      </c>
      <c r="N18" s="63"/>
      <c r="O18" s="298"/>
      <c r="P18" s="299"/>
      <c r="R18" s="84"/>
      <c r="S18" s="85"/>
    </row>
    <row r="19" spans="2:19">
      <c r="B19" s="194">
        <v>45550</v>
      </c>
      <c r="C19" s="195">
        <v>3</v>
      </c>
      <c r="D19" s="76">
        <v>45638</v>
      </c>
      <c r="E19" s="11">
        <v>41</v>
      </c>
      <c r="F19" s="37">
        <v>4480</v>
      </c>
      <c r="G19" s="79">
        <f t="shared" si="0"/>
        <v>109.26829268292683</v>
      </c>
      <c r="H19" s="47">
        <v>45562</v>
      </c>
      <c r="I19" s="19" t="s">
        <v>127</v>
      </c>
      <c r="J19" s="41">
        <v>6040</v>
      </c>
      <c r="K19" t="s">
        <v>32</v>
      </c>
      <c r="L19" s="78">
        <f>(J76/I9)/(G76-H8)</f>
        <v>3.4927338981262195</v>
      </c>
      <c r="N19" s="63"/>
      <c r="O19" s="298"/>
      <c r="P19" s="299"/>
      <c r="R19" s="84"/>
      <c r="S19" s="85"/>
    </row>
    <row r="20" spans="2:19">
      <c r="B20" s="194">
        <v>45553</v>
      </c>
      <c r="C20" s="195">
        <v>2</v>
      </c>
      <c r="D20" s="76">
        <v>45645</v>
      </c>
      <c r="E20" s="11">
        <v>50</v>
      </c>
      <c r="F20" s="37">
        <v>5730</v>
      </c>
      <c r="G20" s="79">
        <f t="shared" si="0"/>
        <v>114.6</v>
      </c>
      <c r="H20" s="47">
        <v>45562</v>
      </c>
      <c r="I20" s="19" t="s">
        <v>28</v>
      </c>
      <c r="J20" s="41">
        <v>3610</v>
      </c>
      <c r="K20" t="s">
        <v>172</v>
      </c>
      <c r="L20" s="183">
        <f>J18/(H18-H17)/N8</f>
        <v>167.85714285714286</v>
      </c>
      <c r="N20" s="63"/>
      <c r="O20" s="298"/>
      <c r="P20" s="299"/>
      <c r="R20" s="84"/>
      <c r="S20" s="85"/>
    </row>
    <row r="21" spans="2:19">
      <c r="B21" s="194">
        <v>45554</v>
      </c>
      <c r="C21" s="195">
        <v>7</v>
      </c>
      <c r="D21" s="76">
        <v>45645</v>
      </c>
      <c r="E21" s="11">
        <v>41</v>
      </c>
      <c r="F21" s="37">
        <v>4580</v>
      </c>
      <c r="G21" s="79">
        <f t="shared" si="0"/>
        <v>111.70731707317073</v>
      </c>
      <c r="H21" s="47">
        <v>45573</v>
      </c>
      <c r="I21" s="19" t="s">
        <v>127</v>
      </c>
      <c r="J21" s="41">
        <v>10080</v>
      </c>
      <c r="N21" s="63"/>
      <c r="O21" s="298"/>
      <c r="P21" s="299"/>
      <c r="R21" s="84"/>
      <c r="S21" s="85"/>
    </row>
    <row r="22" spans="2:19">
      <c r="B22" s="231">
        <v>45556</v>
      </c>
      <c r="C22" s="232">
        <v>5</v>
      </c>
      <c r="D22" s="76">
        <v>45649</v>
      </c>
      <c r="E22" s="11">
        <v>42</v>
      </c>
      <c r="F22" s="37">
        <v>4900</v>
      </c>
      <c r="G22" s="79">
        <f t="shared" si="0"/>
        <v>116.66666666666667</v>
      </c>
      <c r="H22" s="47">
        <v>45576</v>
      </c>
      <c r="I22" s="19" t="s">
        <v>29</v>
      </c>
      <c r="J22" s="41">
        <v>7010</v>
      </c>
      <c r="N22" s="63"/>
      <c r="O22" s="298"/>
      <c r="P22" s="299"/>
      <c r="R22" s="84"/>
      <c r="S22" s="85"/>
    </row>
    <row r="23" spans="2:19">
      <c r="B23" s="194">
        <v>45560</v>
      </c>
      <c r="C23" s="195">
        <v>2</v>
      </c>
      <c r="D23" s="76">
        <v>45652</v>
      </c>
      <c r="E23" s="11">
        <v>24</v>
      </c>
      <c r="F23" s="37">
        <v>2720</v>
      </c>
      <c r="G23" s="79">
        <f t="shared" si="0"/>
        <v>113.33333333333333</v>
      </c>
      <c r="H23" s="47">
        <v>45576</v>
      </c>
      <c r="I23" s="19" t="s">
        <v>28</v>
      </c>
      <c r="J23" s="41">
        <v>3700</v>
      </c>
      <c r="M23" s="25"/>
      <c r="N23" s="63"/>
      <c r="O23" s="298"/>
      <c r="P23" s="299"/>
      <c r="R23" s="84"/>
      <c r="S23" s="85"/>
    </row>
    <row r="24" spans="2:19">
      <c r="B24" s="194">
        <v>45561</v>
      </c>
      <c r="C24" s="195">
        <v>2</v>
      </c>
      <c r="D24" s="76">
        <v>45652</v>
      </c>
      <c r="E24" s="11">
        <v>23</v>
      </c>
      <c r="F24" s="37">
        <f>1580-170</f>
        <v>1410</v>
      </c>
      <c r="G24" s="79">
        <f t="shared" si="0"/>
        <v>61.304347826086953</v>
      </c>
      <c r="H24" s="47">
        <v>45584</v>
      </c>
      <c r="I24" s="19" t="s">
        <v>127</v>
      </c>
      <c r="J24" s="41">
        <v>9830</v>
      </c>
      <c r="N24" s="63"/>
      <c r="O24" s="298"/>
      <c r="P24" s="299"/>
      <c r="R24" s="84"/>
      <c r="S24" s="85"/>
    </row>
    <row r="25" spans="2:19">
      <c r="B25" s="194">
        <v>45562</v>
      </c>
      <c r="C25" s="195">
        <v>1</v>
      </c>
      <c r="D25" s="76">
        <v>45660</v>
      </c>
      <c r="E25" s="11">
        <v>43</v>
      </c>
      <c r="F25" s="37">
        <v>5140</v>
      </c>
      <c r="G25" s="79">
        <f t="shared" si="0"/>
        <v>119.53488372093024</v>
      </c>
      <c r="H25" s="47">
        <v>45589</v>
      </c>
      <c r="I25" s="19" t="s">
        <v>29</v>
      </c>
      <c r="J25" s="41">
        <v>4990</v>
      </c>
      <c r="N25" s="63"/>
      <c r="O25" s="298"/>
      <c r="P25" s="299"/>
      <c r="R25" s="84"/>
      <c r="S25" s="85"/>
    </row>
    <row r="26" spans="2:19">
      <c r="B26" s="194">
        <v>45566</v>
      </c>
      <c r="C26" s="195">
        <v>6</v>
      </c>
      <c r="D26" s="76">
        <v>45665</v>
      </c>
      <c r="E26" s="11">
        <v>106</v>
      </c>
      <c r="F26" s="37">
        <v>12186</v>
      </c>
      <c r="G26" s="79">
        <f t="shared" si="0"/>
        <v>114.9622641509434</v>
      </c>
      <c r="H26" s="47">
        <v>45589</v>
      </c>
      <c r="I26" s="19" t="s">
        <v>127</v>
      </c>
      <c r="J26" s="41">
        <v>10000</v>
      </c>
      <c r="N26" s="64"/>
      <c r="O26" s="298"/>
      <c r="P26" s="299"/>
      <c r="R26" s="84"/>
      <c r="S26" s="85"/>
    </row>
    <row r="27" spans="2:19">
      <c r="B27" s="194">
        <v>45567</v>
      </c>
      <c r="C27" s="195">
        <v>5</v>
      </c>
      <c r="D27" s="76">
        <v>45673</v>
      </c>
      <c r="E27" s="11">
        <v>50</v>
      </c>
      <c r="F27" s="37">
        <v>5560</v>
      </c>
      <c r="G27" s="79">
        <f t="shared" si="0"/>
        <v>111.2</v>
      </c>
      <c r="H27" s="47">
        <v>45595</v>
      </c>
      <c r="I27" s="19" t="s">
        <v>29</v>
      </c>
      <c r="J27" s="41">
        <v>4960</v>
      </c>
      <c r="K27" s="72"/>
      <c r="N27" s="64"/>
      <c r="O27" s="298"/>
      <c r="P27" s="299"/>
      <c r="R27" s="84"/>
      <c r="S27" s="85"/>
    </row>
    <row r="28" spans="2:19">
      <c r="B28" s="233">
        <v>45568</v>
      </c>
      <c r="C28" s="234">
        <v>1</v>
      </c>
      <c r="D28" s="11"/>
      <c r="E28" s="11"/>
      <c r="F28" s="37"/>
      <c r="G28" s="79" t="e">
        <f t="shared" si="0"/>
        <v>#DIV/0!</v>
      </c>
      <c r="H28" s="47">
        <v>45595</v>
      </c>
      <c r="I28" s="19" t="s">
        <v>127</v>
      </c>
      <c r="J28" s="41">
        <v>9700</v>
      </c>
      <c r="N28" s="64"/>
      <c r="O28" s="298"/>
      <c r="P28" s="299"/>
      <c r="R28" s="84"/>
      <c r="S28" s="85"/>
    </row>
    <row r="29" spans="2:19">
      <c r="B29" s="194">
        <v>45570</v>
      </c>
      <c r="C29" s="195">
        <v>4</v>
      </c>
      <c r="D29" s="11"/>
      <c r="E29" s="11"/>
      <c r="F29" s="37"/>
      <c r="G29" s="79" t="e">
        <f t="shared" si="0"/>
        <v>#DIV/0!</v>
      </c>
      <c r="H29" s="47">
        <v>45607</v>
      </c>
      <c r="I29" s="19" t="s">
        <v>29</v>
      </c>
      <c r="J29" s="41">
        <v>3000</v>
      </c>
      <c r="K29" s="72"/>
      <c r="N29" s="64"/>
      <c r="O29" s="298"/>
      <c r="P29" s="299"/>
      <c r="R29" s="84"/>
      <c r="S29" s="85"/>
    </row>
    <row r="30" spans="2:19">
      <c r="B30" s="233">
        <v>45571</v>
      </c>
      <c r="C30" s="234">
        <v>3</v>
      </c>
      <c r="D30" s="11"/>
      <c r="E30" s="11"/>
      <c r="F30" s="37"/>
      <c r="G30" s="79" t="e">
        <f t="shared" si="0"/>
        <v>#DIV/0!</v>
      </c>
      <c r="H30" s="47">
        <v>45607</v>
      </c>
      <c r="I30" s="19" t="s">
        <v>127</v>
      </c>
      <c r="J30" s="41">
        <v>6880</v>
      </c>
      <c r="N30" s="64"/>
      <c r="O30" s="298"/>
      <c r="P30" s="299"/>
      <c r="R30" s="84"/>
      <c r="S30" s="85"/>
    </row>
    <row r="31" spans="2:19">
      <c r="B31" s="233">
        <v>45572</v>
      </c>
      <c r="C31" s="234">
        <v>3</v>
      </c>
      <c r="D31" s="11"/>
      <c r="E31" s="11"/>
      <c r="F31" s="37"/>
      <c r="G31" s="79" t="e">
        <f t="shared" si="0"/>
        <v>#DIV/0!</v>
      </c>
      <c r="H31" s="47">
        <v>45614</v>
      </c>
      <c r="I31" s="19" t="s">
        <v>28</v>
      </c>
      <c r="J31" s="41">
        <v>2860</v>
      </c>
      <c r="N31" s="64"/>
      <c r="O31" s="298"/>
      <c r="P31" s="299"/>
      <c r="R31" s="84"/>
      <c r="S31" s="85"/>
    </row>
    <row r="32" spans="2:19" ht="18" thickBot="1">
      <c r="B32" s="233">
        <v>45573</v>
      </c>
      <c r="C32" s="234">
        <v>3</v>
      </c>
      <c r="D32" s="11"/>
      <c r="E32" s="11"/>
      <c r="F32" s="37"/>
      <c r="G32" s="37"/>
      <c r="H32" s="47">
        <v>45614</v>
      </c>
      <c r="I32" s="19" t="s">
        <v>127</v>
      </c>
      <c r="J32" s="41">
        <v>7040</v>
      </c>
      <c r="N32" s="64"/>
      <c r="O32" s="298"/>
      <c r="P32" s="299"/>
      <c r="R32" s="86"/>
      <c r="S32" s="87"/>
    </row>
    <row r="33" spans="2:16" ht="18" thickTop="1">
      <c r="B33" s="233">
        <v>45574</v>
      </c>
      <c r="C33" s="234">
        <v>2</v>
      </c>
      <c r="D33" s="11"/>
      <c r="E33" s="11"/>
      <c r="F33" s="37"/>
      <c r="G33" s="37"/>
      <c r="H33" s="176">
        <v>45617</v>
      </c>
      <c r="I33" s="141" t="s">
        <v>28</v>
      </c>
      <c r="J33" s="177">
        <v>3510</v>
      </c>
      <c r="N33" s="64"/>
      <c r="O33" s="298"/>
      <c r="P33" s="299"/>
    </row>
    <row r="34" spans="2:16">
      <c r="B34" s="233">
        <v>45575</v>
      </c>
      <c r="C34" s="234">
        <v>2</v>
      </c>
      <c r="D34" s="11"/>
      <c r="E34" s="11"/>
      <c r="F34" s="37"/>
      <c r="G34" s="37"/>
      <c r="H34" s="265">
        <v>45617</v>
      </c>
      <c r="I34" s="266" t="s">
        <v>127</v>
      </c>
      <c r="J34" s="267">
        <v>7080</v>
      </c>
      <c r="K34" s="72"/>
      <c r="N34" s="64"/>
      <c r="O34" s="298"/>
      <c r="P34" s="299"/>
    </row>
    <row r="35" spans="2:16">
      <c r="B35" s="233">
        <v>45577</v>
      </c>
      <c r="C35" s="234">
        <v>2</v>
      </c>
      <c r="D35" s="11"/>
      <c r="E35" s="11"/>
      <c r="F35" s="37"/>
      <c r="G35" s="37"/>
      <c r="H35" s="47">
        <v>45624</v>
      </c>
      <c r="I35" s="19" t="s">
        <v>28</v>
      </c>
      <c r="J35" s="41">
        <v>2920</v>
      </c>
      <c r="N35" s="64"/>
      <c r="O35" s="298"/>
      <c r="P35" s="299"/>
    </row>
    <row r="36" spans="2:16">
      <c r="B36" s="233">
        <v>45579</v>
      </c>
      <c r="C36" s="234">
        <v>2</v>
      </c>
      <c r="D36" s="11"/>
      <c r="E36" s="11"/>
      <c r="F36" s="37"/>
      <c r="G36" s="37"/>
      <c r="H36" s="47">
        <v>45624</v>
      </c>
      <c r="I36" s="19" t="s">
        <v>127</v>
      </c>
      <c r="J36" s="41">
        <v>6940</v>
      </c>
      <c r="N36" s="64"/>
      <c r="O36" s="298"/>
      <c r="P36" s="299"/>
    </row>
    <row r="37" spans="2:16">
      <c r="B37" s="233">
        <v>45580</v>
      </c>
      <c r="C37" s="234">
        <v>1</v>
      </c>
      <c r="D37" s="11"/>
      <c r="E37" s="11"/>
      <c r="F37" s="37"/>
      <c r="G37" s="37"/>
      <c r="H37" s="47">
        <v>45633</v>
      </c>
      <c r="I37" s="19" t="s">
        <v>29</v>
      </c>
      <c r="J37" s="41">
        <v>3050</v>
      </c>
      <c r="L37" s="72">
        <f>J38+J37</f>
        <v>4720</v>
      </c>
      <c r="N37" s="64"/>
      <c r="O37" s="298"/>
      <c r="P37" s="299"/>
    </row>
    <row r="38" spans="2:16">
      <c r="B38" s="74">
        <v>45581</v>
      </c>
      <c r="C38" s="15">
        <v>2</v>
      </c>
      <c r="D38" s="11"/>
      <c r="E38" s="11"/>
      <c r="F38" s="37"/>
      <c r="G38" s="37"/>
      <c r="H38" s="265">
        <v>45633</v>
      </c>
      <c r="I38" s="266" t="s">
        <v>127</v>
      </c>
      <c r="J38" s="267">
        <v>1670</v>
      </c>
      <c r="L38">
        <f>L37/535/7</f>
        <v>1.2603471295060078</v>
      </c>
      <c r="N38" s="64"/>
      <c r="O38" s="298"/>
      <c r="P38" s="299"/>
    </row>
    <row r="39" spans="2:16">
      <c r="B39" s="74">
        <v>45584</v>
      </c>
      <c r="C39" s="15">
        <v>2</v>
      </c>
      <c r="D39" s="11"/>
      <c r="E39" s="11"/>
      <c r="F39" s="37"/>
      <c r="G39" s="37"/>
      <c r="H39" s="176">
        <v>45633</v>
      </c>
      <c r="I39" s="141" t="s">
        <v>127</v>
      </c>
      <c r="J39" s="177">
        <v>7070</v>
      </c>
      <c r="N39" s="64"/>
      <c r="O39" s="298"/>
      <c r="P39" s="299"/>
    </row>
    <row r="40" spans="2:16">
      <c r="B40" s="74">
        <v>45586</v>
      </c>
      <c r="C40" s="15">
        <v>3</v>
      </c>
      <c r="D40" s="11"/>
      <c r="E40" s="11"/>
      <c r="F40" s="37"/>
      <c r="G40" s="37"/>
      <c r="H40" s="47">
        <v>45642</v>
      </c>
      <c r="I40" s="19" t="s">
        <v>29</v>
      </c>
      <c r="J40" s="41">
        <v>9040</v>
      </c>
      <c r="N40" s="64"/>
      <c r="O40" s="298"/>
      <c r="P40" s="299"/>
    </row>
    <row r="41" spans="2:16">
      <c r="B41" s="74">
        <v>45588</v>
      </c>
      <c r="C41" s="15">
        <v>3</v>
      </c>
      <c r="D41" s="11"/>
      <c r="E41" s="11"/>
      <c r="F41" s="37"/>
      <c r="G41" s="37"/>
      <c r="H41" s="47">
        <v>45642</v>
      </c>
      <c r="I41" s="19" t="s">
        <v>127</v>
      </c>
      <c r="J41" s="41">
        <v>7010</v>
      </c>
      <c r="N41" s="64"/>
      <c r="O41" s="298"/>
      <c r="P41" s="299"/>
    </row>
    <row r="42" spans="2:16">
      <c r="B42" s="74">
        <v>45591</v>
      </c>
      <c r="C42" s="15">
        <v>4</v>
      </c>
      <c r="D42" s="11"/>
      <c r="E42" s="11"/>
      <c r="F42" s="37"/>
      <c r="G42" s="37"/>
      <c r="H42" s="265">
        <v>45650</v>
      </c>
      <c r="I42" s="266" t="s">
        <v>127</v>
      </c>
      <c r="J42" s="267">
        <v>4940</v>
      </c>
      <c r="N42" s="64"/>
      <c r="O42" s="298"/>
      <c r="P42" s="299"/>
    </row>
    <row r="43" spans="2:16">
      <c r="B43" s="74">
        <v>45593</v>
      </c>
      <c r="C43" s="15">
        <v>4</v>
      </c>
      <c r="D43" s="11"/>
      <c r="E43" s="11"/>
      <c r="F43" s="37"/>
      <c r="G43" s="37"/>
      <c r="H43" s="265">
        <v>45650</v>
      </c>
      <c r="I43" s="19" t="s">
        <v>127</v>
      </c>
      <c r="J43" s="41">
        <v>5000</v>
      </c>
      <c r="N43" s="64"/>
      <c r="O43" s="298"/>
      <c r="P43" s="299"/>
    </row>
    <row r="44" spans="2:16">
      <c r="B44" s="74">
        <v>45594</v>
      </c>
      <c r="C44" s="15">
        <v>2</v>
      </c>
      <c r="D44" s="11"/>
      <c r="E44" s="11"/>
      <c r="F44" s="37"/>
      <c r="G44" s="37"/>
      <c r="H44" s="47">
        <v>46021</v>
      </c>
      <c r="I44" s="19" t="s">
        <v>127</v>
      </c>
      <c r="J44" s="41">
        <v>4960</v>
      </c>
      <c r="N44" s="64"/>
      <c r="O44" s="298"/>
      <c r="P44" s="299"/>
    </row>
    <row r="45" spans="2:16">
      <c r="B45" s="74">
        <v>45596</v>
      </c>
      <c r="C45" s="15">
        <v>3</v>
      </c>
      <c r="D45" s="11"/>
      <c r="E45" s="11"/>
      <c r="F45" s="37"/>
      <c r="G45" s="37"/>
      <c r="H45" s="47">
        <v>45659</v>
      </c>
      <c r="I45" s="19" t="s">
        <v>127</v>
      </c>
      <c r="J45" s="41">
        <v>4960</v>
      </c>
      <c r="N45" s="64"/>
      <c r="O45" s="298"/>
      <c r="P45" s="299"/>
    </row>
    <row r="46" spans="2:16">
      <c r="B46" s="74">
        <v>45598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74">
        <v>45603</v>
      </c>
      <c r="C47" s="15">
        <v>3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45604</v>
      </c>
      <c r="C48" s="15">
        <v>2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45605</v>
      </c>
      <c r="C49" s="15">
        <v>3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74">
        <v>45606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74">
        <v>45607</v>
      </c>
      <c r="C51" s="15">
        <v>2</v>
      </c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74">
        <v>45610</v>
      </c>
      <c r="C52" s="15">
        <v>1</v>
      </c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74">
        <v>45611</v>
      </c>
      <c r="C53" s="15">
        <v>2</v>
      </c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74">
        <v>45613</v>
      </c>
      <c r="C54" s="15">
        <v>2</v>
      </c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74">
        <v>45617</v>
      </c>
      <c r="C55" s="15">
        <v>5</v>
      </c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74">
        <v>45619</v>
      </c>
      <c r="C56" s="15">
        <v>2</v>
      </c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74">
        <v>45621</v>
      </c>
      <c r="C57" s="15">
        <v>2</v>
      </c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>
      <c r="B58" s="92">
        <v>45622</v>
      </c>
      <c r="C58" s="17">
        <v>3</v>
      </c>
      <c r="D58" s="12"/>
      <c r="E58" s="12"/>
      <c r="F58" s="36"/>
      <c r="G58" s="36"/>
      <c r="H58" s="21"/>
      <c r="I58" s="21"/>
      <c r="J58" s="42"/>
      <c r="N58" s="64"/>
      <c r="O58" s="241"/>
      <c r="P58" s="242"/>
    </row>
    <row r="59" spans="2:16">
      <c r="B59" s="92">
        <v>45629</v>
      </c>
      <c r="C59" s="17">
        <v>2</v>
      </c>
      <c r="D59" s="12"/>
      <c r="E59" s="12"/>
      <c r="F59" s="36"/>
      <c r="G59" s="36"/>
      <c r="H59" s="21"/>
      <c r="I59" s="21"/>
      <c r="J59" s="42"/>
      <c r="N59" s="64"/>
      <c r="O59" s="241"/>
      <c r="P59" s="242"/>
    </row>
    <row r="60" spans="2:16">
      <c r="B60" s="92">
        <v>45635</v>
      </c>
      <c r="C60" s="17">
        <v>2</v>
      </c>
      <c r="D60" s="12"/>
      <c r="E60" s="12"/>
      <c r="F60" s="36"/>
      <c r="G60" s="36"/>
      <c r="H60" s="21"/>
      <c r="I60" s="21"/>
      <c r="J60" s="42"/>
      <c r="N60" s="64"/>
      <c r="O60" s="241"/>
      <c r="P60" s="242"/>
    </row>
    <row r="61" spans="2:16">
      <c r="B61" s="92">
        <v>45636</v>
      </c>
      <c r="C61" s="17">
        <v>1</v>
      </c>
      <c r="D61" s="12"/>
      <c r="E61" s="12"/>
      <c r="F61" s="36"/>
      <c r="G61" s="36"/>
      <c r="H61" s="21"/>
      <c r="I61" s="21"/>
      <c r="J61" s="42"/>
      <c r="N61" s="64"/>
      <c r="O61" s="241"/>
      <c r="P61" s="242"/>
    </row>
    <row r="62" spans="2:16">
      <c r="B62" s="92">
        <v>45638</v>
      </c>
      <c r="C62" s="17">
        <v>1</v>
      </c>
      <c r="D62" s="12"/>
      <c r="E62" s="12"/>
      <c r="F62" s="36"/>
      <c r="G62" s="36"/>
      <c r="H62" s="21"/>
      <c r="I62" s="21"/>
      <c r="J62" s="42"/>
      <c r="N62" s="64"/>
      <c r="O62" s="241"/>
      <c r="P62" s="242"/>
    </row>
    <row r="63" spans="2:16">
      <c r="B63" s="92">
        <v>45642</v>
      </c>
      <c r="C63" s="17">
        <v>5</v>
      </c>
      <c r="D63" s="12"/>
      <c r="E63" s="12"/>
      <c r="F63" s="36"/>
      <c r="G63" s="36"/>
      <c r="H63" s="21"/>
      <c r="I63" s="21"/>
      <c r="J63" s="42"/>
      <c r="N63" s="64"/>
      <c r="O63" s="241"/>
      <c r="P63" s="242"/>
    </row>
    <row r="64" spans="2:16">
      <c r="B64" s="92">
        <v>45645</v>
      </c>
      <c r="C64" s="17">
        <v>4</v>
      </c>
      <c r="D64" s="12"/>
      <c r="E64" s="12"/>
      <c r="F64" s="36"/>
      <c r="G64" s="36"/>
      <c r="H64" s="21"/>
      <c r="I64" s="21"/>
      <c r="J64" s="42"/>
      <c r="N64" s="64"/>
      <c r="O64" s="251"/>
      <c r="P64" s="252"/>
    </row>
    <row r="65" spans="2:16">
      <c r="B65" s="92">
        <v>45651</v>
      </c>
      <c r="C65" s="17">
        <v>2</v>
      </c>
      <c r="D65" s="12"/>
      <c r="E65" s="12"/>
      <c r="F65" s="36"/>
      <c r="G65" s="36"/>
      <c r="H65" s="21"/>
      <c r="I65" s="21"/>
      <c r="J65" s="42"/>
      <c r="N65" s="64"/>
      <c r="O65" s="251"/>
      <c r="P65" s="252"/>
    </row>
    <row r="66" spans="2:16">
      <c r="B66" s="92">
        <v>45652</v>
      </c>
      <c r="C66" s="17">
        <v>1</v>
      </c>
      <c r="D66" s="12"/>
      <c r="E66" s="12"/>
      <c r="F66" s="36"/>
      <c r="G66" s="36"/>
      <c r="H66" s="21"/>
      <c r="I66" s="21"/>
      <c r="J66" s="42"/>
      <c r="N66" s="64"/>
      <c r="O66" s="251"/>
      <c r="P66" s="252"/>
    </row>
    <row r="67" spans="2:16">
      <c r="B67" s="92">
        <v>45653</v>
      </c>
      <c r="C67" s="17">
        <v>2</v>
      </c>
      <c r="D67" s="12"/>
      <c r="E67" s="12"/>
      <c r="F67" s="36"/>
      <c r="G67" s="36"/>
      <c r="H67" s="21"/>
      <c r="I67" s="21"/>
      <c r="J67" s="42"/>
      <c r="N67" s="64"/>
      <c r="O67" s="255"/>
      <c r="P67" s="256"/>
    </row>
    <row r="68" spans="2:16">
      <c r="B68" s="92">
        <v>45666</v>
      </c>
      <c r="C68" s="17">
        <v>1</v>
      </c>
      <c r="D68" s="12"/>
      <c r="E68" s="12"/>
      <c r="F68" s="36"/>
      <c r="G68" s="36"/>
      <c r="H68" s="21"/>
      <c r="I68" s="21"/>
      <c r="J68" s="42"/>
      <c r="N68" s="64"/>
      <c r="O68" s="255"/>
      <c r="P68" s="256"/>
    </row>
    <row r="69" spans="2:16">
      <c r="B69" s="92">
        <v>45671</v>
      </c>
      <c r="C69" s="17">
        <v>1</v>
      </c>
      <c r="D69" s="12"/>
      <c r="E69" s="12"/>
      <c r="F69" s="36"/>
      <c r="G69" s="36"/>
      <c r="H69" s="21"/>
      <c r="I69" s="21"/>
      <c r="J69" s="42"/>
      <c r="N69" s="64"/>
      <c r="O69" s="255"/>
      <c r="P69" s="256"/>
    </row>
    <row r="70" spans="2:16">
      <c r="B70" s="92"/>
      <c r="C70" s="17"/>
      <c r="D70" s="12"/>
      <c r="E70" s="12"/>
      <c r="F70" s="36"/>
      <c r="G70" s="36"/>
      <c r="H70" s="21"/>
      <c r="I70" s="21"/>
      <c r="J70" s="42"/>
      <c r="N70" s="64"/>
      <c r="O70" s="255"/>
      <c r="P70" s="256"/>
    </row>
    <row r="71" spans="2:16">
      <c r="B71" s="92"/>
      <c r="C71" s="17"/>
      <c r="D71" s="12"/>
      <c r="E71" s="12"/>
      <c r="F71" s="36"/>
      <c r="G71" s="36"/>
      <c r="H71" s="21"/>
      <c r="I71" s="21"/>
      <c r="J71" s="42"/>
      <c r="N71" s="64"/>
      <c r="O71" s="255"/>
      <c r="P71" s="256"/>
    </row>
    <row r="72" spans="2:16">
      <c r="B72" s="92"/>
      <c r="C72" s="17"/>
      <c r="D72" s="12"/>
      <c r="E72" s="12"/>
      <c r="F72" s="36"/>
      <c r="G72" s="36"/>
      <c r="H72" s="21"/>
      <c r="I72" s="21"/>
      <c r="J72" s="42"/>
      <c r="N72" s="64"/>
      <c r="O72" s="255"/>
      <c r="P72" s="256"/>
    </row>
    <row r="73" spans="2:16">
      <c r="B73" s="92"/>
      <c r="C73" s="17"/>
      <c r="D73" s="12"/>
      <c r="E73" s="12"/>
      <c r="F73" s="36"/>
      <c r="G73" s="36"/>
      <c r="H73" s="21"/>
      <c r="I73" s="21"/>
      <c r="J73" s="42"/>
      <c r="N73" s="64"/>
      <c r="O73" s="251"/>
      <c r="P73" s="252"/>
    </row>
    <row r="74" spans="2:16">
      <c r="B74" s="92"/>
      <c r="C74" s="17"/>
      <c r="D74" s="12"/>
      <c r="E74" s="12"/>
      <c r="F74" s="36"/>
      <c r="G74" s="36"/>
      <c r="H74" s="21"/>
      <c r="I74" s="21"/>
      <c r="J74" s="42"/>
      <c r="N74" s="64"/>
      <c r="O74" s="251"/>
      <c r="P74" s="252"/>
    </row>
    <row r="75" spans="2:16" ht="18" thickBot="1">
      <c r="B75" s="92"/>
      <c r="C75" s="17"/>
      <c r="D75" s="12"/>
      <c r="E75" s="12"/>
      <c r="F75" s="36"/>
      <c r="G75" s="36"/>
      <c r="H75" s="21"/>
      <c r="I75" s="21"/>
      <c r="J75" s="42"/>
      <c r="N75" s="64"/>
      <c r="O75" s="298"/>
      <c r="P75" s="299"/>
    </row>
    <row r="76" spans="2:16" ht="18" thickBot="1">
      <c r="B76" s="7"/>
      <c r="C76" s="8">
        <f>SUM(C12:C75)</f>
        <v>162</v>
      </c>
      <c r="D76" s="8"/>
      <c r="E76" s="8">
        <f>SUM(E12:E75)</f>
        <v>706</v>
      </c>
      <c r="F76" s="39">
        <f>SUM(F12:F75)</f>
        <v>78424.028169014084</v>
      </c>
      <c r="G76" s="71">
        <f>F76/E76</f>
        <v>111.08219287395762</v>
      </c>
      <c r="H76" s="8"/>
      <c r="I76" s="8"/>
      <c r="J76" s="43">
        <f>SUM(J12:J75)</f>
        <v>220050</v>
      </c>
      <c r="N76" s="65"/>
      <c r="O76" s="300"/>
      <c r="P76" s="301"/>
    </row>
    <row r="82" spans="4:5">
      <c r="D82" s="81" t="s">
        <v>38</v>
      </c>
      <c r="E82" s="80">
        <v>60</v>
      </c>
    </row>
    <row r="83" spans="4:5">
      <c r="D83" s="81" t="s">
        <v>39</v>
      </c>
      <c r="E83" s="80">
        <v>120</v>
      </c>
    </row>
    <row r="84" spans="4:5">
      <c r="D84" s="81" t="s">
        <v>40</v>
      </c>
      <c r="E84" s="80">
        <v>180</v>
      </c>
    </row>
    <row r="85" spans="4:5">
      <c r="D85" s="81" t="s">
        <v>41</v>
      </c>
      <c r="E85" s="80">
        <v>180</v>
      </c>
    </row>
    <row r="86" spans="4:5">
      <c r="D86" s="81" t="s">
        <v>42</v>
      </c>
      <c r="E86" s="80">
        <v>180</v>
      </c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76:P76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75:P7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E044-3837-4200-842C-51A91D667A16}">
  <dimension ref="A1:W118"/>
  <sheetViews>
    <sheetView showGridLines="0" workbookViewId="0"/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  <col min="23" max="23" width="11.09765625" bestFit="1" customWidth="1"/>
  </cols>
  <sheetData>
    <row r="1" spans="1:23" ht="18" thickBot="1">
      <c r="A1" t="s">
        <v>27</v>
      </c>
      <c r="B1" s="51"/>
      <c r="E1" s="73">
        <f ca="1">TODAY()</f>
        <v>46325</v>
      </c>
      <c r="F1">
        <f ca="1">E1-B4</f>
        <v>777</v>
      </c>
    </row>
    <row r="2" spans="1:23" ht="18" thickBot="1">
      <c r="F2" s="302" t="s">
        <v>9</v>
      </c>
      <c r="G2" s="305"/>
      <c r="H2" s="314"/>
      <c r="O2" s="302" t="s">
        <v>8</v>
      </c>
      <c r="P2" s="314"/>
    </row>
    <row r="3" spans="1:23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3">
      <c r="B4" s="27">
        <v>45548</v>
      </c>
      <c r="C4" s="30">
        <v>900</v>
      </c>
      <c r="D4" s="36">
        <f>544+15204+6502</f>
        <v>22250</v>
      </c>
      <c r="E4" s="70">
        <f>D4/C4</f>
        <v>24.722222222222221</v>
      </c>
      <c r="F4" s="315">
        <f>C8-P8</f>
        <v>856</v>
      </c>
      <c r="G4" s="318">
        <f>D8-(D8/C8*P8)</f>
        <v>21162.222222222223</v>
      </c>
      <c r="H4" s="327">
        <f>G4/F4</f>
        <v>24.722222222222221</v>
      </c>
      <c r="I4" s="321" t="s">
        <v>165</v>
      </c>
      <c r="J4" s="1">
        <f>B4+90</f>
        <v>45638</v>
      </c>
      <c r="K4" s="323">
        <f>C108</f>
        <v>336</v>
      </c>
      <c r="L4" s="325">
        <f>K8/F8</f>
        <v>0.3925233644859813</v>
      </c>
      <c r="M4" s="323">
        <f>E108</f>
        <v>520</v>
      </c>
      <c r="N4" s="323">
        <f>F8-C108-E108</f>
        <v>0</v>
      </c>
      <c r="O4" s="22">
        <v>45548</v>
      </c>
      <c r="P4" s="33">
        <v>44</v>
      </c>
      <c r="Q4">
        <v>20</v>
      </c>
      <c r="R4">
        <v>900</v>
      </c>
    </row>
    <row r="5" spans="1:23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>
        <f>R4-Q4</f>
        <v>880</v>
      </c>
    </row>
    <row r="6" spans="1:23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3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3" ht="18" thickBot="1">
      <c r="B8" s="9" t="s">
        <v>10</v>
      </c>
      <c r="C8" s="32">
        <f>SUM(C4:C7)</f>
        <v>900</v>
      </c>
      <c r="D8" s="39">
        <f>SUM(D4:D7)</f>
        <v>22250</v>
      </c>
      <c r="E8" s="71">
        <f>D8/C8</f>
        <v>24.722222222222221</v>
      </c>
      <c r="F8" s="32">
        <f>SUM(F4)</f>
        <v>856</v>
      </c>
      <c r="G8" s="39">
        <f>SUM(G4)</f>
        <v>21162.222222222223</v>
      </c>
      <c r="H8" s="71">
        <f>G8/F8</f>
        <v>24.722222222222221</v>
      </c>
      <c r="I8" s="8"/>
      <c r="J8" s="8"/>
      <c r="K8" s="32">
        <f>K4</f>
        <v>336</v>
      </c>
      <c r="L8" s="26">
        <f>L4</f>
        <v>0.3925233644859813</v>
      </c>
      <c r="M8" s="32">
        <f>M4</f>
        <v>520</v>
      </c>
      <c r="N8" s="32">
        <f>N4</f>
        <v>0</v>
      </c>
      <c r="O8" s="46">
        <f>P8/C8</f>
        <v>4.8888888888888891E-2</v>
      </c>
      <c r="P8" s="35">
        <f>SUM(P4:P7)</f>
        <v>44</v>
      </c>
      <c r="Q8" s="69">
        <f>P8-Q4</f>
        <v>24</v>
      </c>
      <c r="U8" s="91"/>
      <c r="W8" s="73"/>
    </row>
    <row r="9" spans="1:23" ht="18" thickBot="1">
      <c r="G9">
        <v>21194</v>
      </c>
      <c r="I9">
        <v>591</v>
      </c>
      <c r="U9" s="186"/>
      <c r="W9" s="73"/>
    </row>
    <row r="10" spans="1:23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 s="296" t="s">
        <v>43</v>
      </c>
      <c r="V10" s="297"/>
      <c r="W10" s="73"/>
    </row>
    <row r="11" spans="1:23" ht="18" thickBot="1">
      <c r="B11" s="9" t="s">
        <v>0</v>
      </c>
      <c r="C11" s="218" t="s">
        <v>1</v>
      </c>
      <c r="D11" s="218" t="s">
        <v>0</v>
      </c>
      <c r="E11" s="218" t="s">
        <v>1</v>
      </c>
      <c r="F11" s="218" t="s">
        <v>2</v>
      </c>
      <c r="G11" s="218" t="s">
        <v>3</v>
      </c>
      <c r="H11" s="218" t="s">
        <v>0</v>
      </c>
      <c r="I11" s="218" t="s">
        <v>15</v>
      </c>
      <c r="J11" s="218" t="s">
        <v>16</v>
      </c>
      <c r="K11" s="56" t="s">
        <v>15</v>
      </c>
      <c r="L11" s="218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 s="88" t="s">
        <v>44</v>
      </c>
      <c r="V11" s="89" t="s">
        <v>1</v>
      </c>
      <c r="W11" s="73"/>
    </row>
    <row r="12" spans="1:23">
      <c r="B12" s="208">
        <v>45560</v>
      </c>
      <c r="C12" s="209">
        <v>4</v>
      </c>
      <c r="D12" s="143"/>
      <c r="E12" s="144"/>
      <c r="F12" s="145"/>
      <c r="G12" s="79" t="e">
        <f>F12/E12</f>
        <v>#DIV/0!</v>
      </c>
      <c r="H12" s="18">
        <v>45548</v>
      </c>
      <c r="I12" s="19" t="s">
        <v>28</v>
      </c>
      <c r="J12" s="61">
        <v>6910</v>
      </c>
      <c r="K12" s="57" t="s">
        <v>18</v>
      </c>
      <c r="L12" s="52">
        <f>SUMIF($I$12:$I$173,K12,$J$12:$J$173)</f>
        <v>29600</v>
      </c>
      <c r="M12" s="48">
        <f>L12/$C$8</f>
        <v>32.888888888888886</v>
      </c>
      <c r="N12" s="66"/>
      <c r="O12" s="310"/>
      <c r="P12" s="311"/>
      <c r="R12" s="84" t="s">
        <v>195</v>
      </c>
      <c r="S12" s="85">
        <v>20</v>
      </c>
      <c r="U12" s="84" t="s">
        <v>197</v>
      </c>
      <c r="V12" s="85">
        <v>120</v>
      </c>
      <c r="W12" s="73"/>
    </row>
    <row r="13" spans="1:23">
      <c r="B13" s="208">
        <v>45561</v>
      </c>
      <c r="C13" s="209">
        <v>15</v>
      </c>
      <c r="D13" s="76">
        <v>45673</v>
      </c>
      <c r="E13" s="11">
        <v>69</v>
      </c>
      <c r="F13" s="37">
        <v>7900</v>
      </c>
      <c r="G13" s="79">
        <f t="shared" ref="G13:G25" si="0">F13/E13</f>
        <v>114.49275362318841</v>
      </c>
      <c r="H13" s="47">
        <v>45554</v>
      </c>
      <c r="I13" s="19" t="s">
        <v>28</v>
      </c>
      <c r="J13" s="62">
        <v>2830</v>
      </c>
      <c r="K13" s="58" t="s">
        <v>25</v>
      </c>
      <c r="L13" s="53">
        <f t="shared" ref="L13:L15" si="1">SUMIF($I$12:$I$173,K13,$J$12:$J$173)</f>
        <v>66770</v>
      </c>
      <c r="M13" s="49">
        <f t="shared" ref="M13:M15" si="2">L13/$C$8</f>
        <v>74.188888888888883</v>
      </c>
      <c r="N13" s="1"/>
      <c r="O13" s="312"/>
      <c r="P13" s="313"/>
      <c r="R13" s="84" t="s">
        <v>186</v>
      </c>
      <c r="S13" s="85">
        <v>70</v>
      </c>
      <c r="U13" s="84" t="s">
        <v>198</v>
      </c>
      <c r="V13" s="85">
        <v>50</v>
      </c>
      <c r="W13" s="73"/>
    </row>
    <row r="14" spans="1:23">
      <c r="B14" s="210">
        <v>45563</v>
      </c>
      <c r="C14" s="211">
        <v>3</v>
      </c>
      <c r="D14" s="76">
        <v>45680</v>
      </c>
      <c r="E14" s="11">
        <v>49</v>
      </c>
      <c r="F14" s="37">
        <v>5660</v>
      </c>
      <c r="G14" s="79">
        <f t="shared" si="0"/>
        <v>115.51020408163265</v>
      </c>
      <c r="H14" s="47">
        <v>45565</v>
      </c>
      <c r="I14" s="19" t="s">
        <v>28</v>
      </c>
      <c r="J14" s="62">
        <v>10000</v>
      </c>
      <c r="K14" s="106" t="s">
        <v>26</v>
      </c>
      <c r="L14" s="53">
        <f t="shared" si="1"/>
        <v>64050</v>
      </c>
      <c r="M14" s="107">
        <f t="shared" si="2"/>
        <v>71.166666666666671</v>
      </c>
      <c r="N14" s="1"/>
      <c r="O14" s="219"/>
      <c r="P14" s="220"/>
      <c r="R14" s="84" t="s">
        <v>57</v>
      </c>
      <c r="S14" s="85">
        <v>80</v>
      </c>
      <c r="U14" s="84"/>
      <c r="V14" s="85"/>
      <c r="W14" s="73"/>
    </row>
    <row r="15" spans="1:23" ht="18" thickBot="1">
      <c r="B15" s="210">
        <v>45564</v>
      </c>
      <c r="C15" s="211">
        <v>8</v>
      </c>
      <c r="D15" s="76">
        <v>45681</v>
      </c>
      <c r="E15" s="11">
        <v>67</v>
      </c>
      <c r="F15" s="37">
        <v>7820</v>
      </c>
      <c r="G15" s="79">
        <f t="shared" si="0"/>
        <v>116.71641791044776</v>
      </c>
      <c r="H15" s="47">
        <v>45576</v>
      </c>
      <c r="I15" s="19" t="s">
        <v>29</v>
      </c>
      <c r="J15" s="62">
        <v>10010</v>
      </c>
      <c r="K15" s="59" t="s">
        <v>93</v>
      </c>
      <c r="L15" s="54">
        <f t="shared" si="1"/>
        <v>4910</v>
      </c>
      <c r="M15" s="50">
        <f t="shared" si="2"/>
        <v>5.4555555555555557</v>
      </c>
      <c r="N15" s="1"/>
      <c r="O15" s="298"/>
      <c r="P15" s="299"/>
      <c r="R15" s="84" t="s">
        <v>58</v>
      </c>
      <c r="S15" s="85">
        <v>120</v>
      </c>
      <c r="U15" s="84"/>
      <c r="V15" s="85"/>
      <c r="W15" s="73"/>
    </row>
    <row r="16" spans="1:23" ht="18" thickBot="1">
      <c r="B16" s="210">
        <v>45565</v>
      </c>
      <c r="C16" s="211">
        <v>4</v>
      </c>
      <c r="D16" s="76">
        <v>45682</v>
      </c>
      <c r="E16" s="11">
        <v>47</v>
      </c>
      <c r="F16" s="37">
        <v>5340</v>
      </c>
      <c r="G16" s="79">
        <f t="shared" si="0"/>
        <v>113.61702127659575</v>
      </c>
      <c r="H16" s="47">
        <v>45582</v>
      </c>
      <c r="I16" s="19" t="s">
        <v>29</v>
      </c>
      <c r="J16" s="62">
        <v>4950</v>
      </c>
      <c r="K16" s="60" t="s">
        <v>21</v>
      </c>
      <c r="L16" s="55">
        <f>SUM(L12:L15)</f>
        <v>165330</v>
      </c>
      <c r="M16" s="40">
        <f>L16/700</f>
        <v>236.18571428571428</v>
      </c>
      <c r="N16" s="1"/>
      <c r="O16" s="298"/>
      <c r="P16" s="299"/>
      <c r="R16" s="84" t="s">
        <v>48</v>
      </c>
      <c r="S16" s="85"/>
      <c r="U16" s="84"/>
      <c r="V16" s="85"/>
      <c r="W16" s="73"/>
    </row>
    <row r="17" spans="2:23">
      <c r="B17" s="210">
        <v>45566</v>
      </c>
      <c r="C17" s="195">
        <v>14</v>
      </c>
      <c r="D17" s="76">
        <v>45688</v>
      </c>
      <c r="E17" s="11">
        <v>50</v>
      </c>
      <c r="F17" s="37">
        <v>5680</v>
      </c>
      <c r="G17" s="79">
        <f t="shared" si="0"/>
        <v>113.6</v>
      </c>
      <c r="H17" s="47">
        <v>45591</v>
      </c>
      <c r="I17" s="19" t="s">
        <v>29</v>
      </c>
      <c r="J17" s="62">
        <v>4990</v>
      </c>
      <c r="N17" s="63"/>
      <c r="O17" s="298"/>
      <c r="P17" s="299"/>
      <c r="R17" s="84" t="s">
        <v>196</v>
      </c>
      <c r="S17" s="85">
        <v>100</v>
      </c>
      <c r="U17" s="84"/>
      <c r="V17" s="85"/>
      <c r="W17" s="73"/>
    </row>
    <row r="18" spans="2:23">
      <c r="B18" s="210">
        <v>45567</v>
      </c>
      <c r="C18" s="211">
        <v>6</v>
      </c>
      <c r="D18" s="76">
        <v>45693</v>
      </c>
      <c r="E18" s="11">
        <v>62</v>
      </c>
      <c r="F18" s="37">
        <v>7300</v>
      </c>
      <c r="G18" s="79">
        <f t="shared" si="0"/>
        <v>117.74193548387096</v>
      </c>
      <c r="H18" s="47">
        <v>45591</v>
      </c>
      <c r="I18" s="19" t="s">
        <v>127</v>
      </c>
      <c r="J18" s="41">
        <v>4980</v>
      </c>
      <c r="N18" s="63"/>
      <c r="O18" s="298"/>
      <c r="P18" s="299"/>
      <c r="R18" s="84" t="s">
        <v>50</v>
      </c>
      <c r="S18" s="85">
        <v>120</v>
      </c>
      <c r="U18" s="84"/>
      <c r="V18" s="85"/>
      <c r="W18" s="73"/>
    </row>
    <row r="19" spans="2:23">
      <c r="B19" s="74">
        <v>45568</v>
      </c>
      <c r="C19" s="15">
        <v>4</v>
      </c>
      <c r="D19" s="76">
        <v>45701</v>
      </c>
      <c r="E19" s="11">
        <v>65</v>
      </c>
      <c r="F19" s="37">
        <v>7520</v>
      </c>
      <c r="G19" s="79">
        <f t="shared" si="0"/>
        <v>115.69230769230769</v>
      </c>
      <c r="H19" s="47">
        <v>45603</v>
      </c>
      <c r="I19" s="19" t="s">
        <v>127</v>
      </c>
      <c r="J19" s="41">
        <v>4980</v>
      </c>
      <c r="K19" t="s">
        <v>32</v>
      </c>
      <c r="L19" s="78">
        <f>(J108/I9)/(113-H8)</f>
        <v>3.1689310711650212</v>
      </c>
      <c r="N19" s="63"/>
      <c r="O19" s="298"/>
      <c r="P19" s="299"/>
      <c r="R19" s="84" t="s">
        <v>52</v>
      </c>
      <c r="S19" s="85"/>
      <c r="U19" s="84"/>
      <c r="V19" s="85"/>
      <c r="W19" s="73"/>
    </row>
    <row r="20" spans="2:23">
      <c r="B20" s="74">
        <v>45569</v>
      </c>
      <c r="C20" s="15">
        <v>7</v>
      </c>
      <c r="D20" s="76">
        <v>45701</v>
      </c>
      <c r="E20" s="11">
        <v>65</v>
      </c>
      <c r="F20" s="37">
        <v>7220</v>
      </c>
      <c r="G20" s="79">
        <f t="shared" si="0"/>
        <v>111.07692307692308</v>
      </c>
      <c r="H20" s="47">
        <v>45611</v>
      </c>
      <c r="I20" s="19" t="s">
        <v>28</v>
      </c>
      <c r="J20" s="41">
        <v>4910</v>
      </c>
      <c r="K20" t="s">
        <v>172</v>
      </c>
      <c r="L20" s="183"/>
      <c r="N20" s="63"/>
      <c r="O20" s="298"/>
      <c r="P20" s="299"/>
      <c r="R20" s="84" t="s">
        <v>54</v>
      </c>
      <c r="S20" s="85"/>
      <c r="U20" s="84"/>
      <c r="V20" s="85"/>
      <c r="W20" s="73"/>
    </row>
    <row r="21" spans="2:23">
      <c r="B21" s="74">
        <v>45570</v>
      </c>
      <c r="C21" s="15">
        <v>5</v>
      </c>
      <c r="D21" s="76">
        <v>45707</v>
      </c>
      <c r="E21" s="11">
        <v>26</v>
      </c>
      <c r="F21" s="37">
        <f>7700/71*26</f>
        <v>2819.7183098591549</v>
      </c>
      <c r="G21" s="79">
        <f t="shared" si="0"/>
        <v>108.45070422535211</v>
      </c>
      <c r="H21" s="47">
        <v>45611</v>
      </c>
      <c r="I21" s="19" t="s">
        <v>127</v>
      </c>
      <c r="J21" s="41">
        <v>5010</v>
      </c>
      <c r="N21" s="63"/>
      <c r="O21" s="298"/>
      <c r="P21" s="299"/>
      <c r="R21" s="84"/>
      <c r="S21" s="85"/>
      <c r="U21" s="84"/>
      <c r="V21" s="85"/>
    </row>
    <row r="22" spans="2:23">
      <c r="B22" s="74">
        <v>45571</v>
      </c>
      <c r="C22" s="15">
        <v>5</v>
      </c>
      <c r="D22" s="76">
        <v>45741</v>
      </c>
      <c r="E22" s="11">
        <v>20</v>
      </c>
      <c r="F22" s="37">
        <f>7500/65*E22</f>
        <v>2307.6923076923076</v>
      </c>
      <c r="G22" s="79">
        <f t="shared" si="0"/>
        <v>115.38461538461539</v>
      </c>
      <c r="H22" s="47">
        <v>45619</v>
      </c>
      <c r="I22" s="19" t="s">
        <v>29</v>
      </c>
      <c r="J22" s="41">
        <v>4990</v>
      </c>
      <c r="N22" s="63"/>
      <c r="O22" s="298"/>
      <c r="P22" s="299"/>
      <c r="R22" s="84"/>
      <c r="S22" s="85"/>
      <c r="U22" s="84"/>
      <c r="V22" s="85"/>
    </row>
    <row r="23" spans="2:23">
      <c r="B23" s="92">
        <v>45572</v>
      </c>
      <c r="C23" s="17">
        <v>4</v>
      </c>
      <c r="D23" s="11"/>
      <c r="E23" s="11"/>
      <c r="F23" s="37"/>
      <c r="G23" s="79" t="e">
        <f t="shared" si="0"/>
        <v>#DIV/0!</v>
      </c>
      <c r="H23" s="47">
        <v>45624</v>
      </c>
      <c r="I23" s="19" t="s">
        <v>28</v>
      </c>
      <c r="J23" s="41">
        <v>4950</v>
      </c>
      <c r="L23" s="72"/>
      <c r="M23" s="25"/>
      <c r="N23" s="63"/>
      <c r="O23" s="298"/>
      <c r="P23" s="299"/>
      <c r="R23" s="84"/>
      <c r="S23" s="85"/>
      <c r="U23" s="84"/>
      <c r="V23" s="85"/>
    </row>
    <row r="24" spans="2:23">
      <c r="B24" s="74">
        <v>45573</v>
      </c>
      <c r="C24" s="15">
        <v>27</v>
      </c>
      <c r="D24" s="11"/>
      <c r="E24" s="11"/>
      <c r="F24" s="37"/>
      <c r="G24" s="79" t="e">
        <f t="shared" si="0"/>
        <v>#DIV/0!</v>
      </c>
      <c r="H24" s="47">
        <v>45628</v>
      </c>
      <c r="I24" s="19" t="s">
        <v>127</v>
      </c>
      <c r="J24" s="41">
        <v>8100</v>
      </c>
      <c r="N24" s="63"/>
      <c r="O24" s="298"/>
      <c r="P24" s="299"/>
      <c r="R24" s="84"/>
      <c r="S24" s="85"/>
      <c r="U24" s="84"/>
      <c r="V24" s="85"/>
    </row>
    <row r="25" spans="2:23">
      <c r="B25" s="74">
        <v>45574</v>
      </c>
      <c r="C25" s="15">
        <v>8</v>
      </c>
      <c r="D25" s="11"/>
      <c r="E25" s="11"/>
      <c r="F25" s="37"/>
      <c r="G25" s="79" t="e">
        <f t="shared" si="0"/>
        <v>#DIV/0!</v>
      </c>
      <c r="H25" s="47">
        <v>45628</v>
      </c>
      <c r="I25" s="19" t="s">
        <v>29</v>
      </c>
      <c r="J25" s="41">
        <v>1980</v>
      </c>
      <c r="L25">
        <f>(6920+2940)/501/6.5</f>
        <v>3.0277905727007521</v>
      </c>
      <c r="N25" s="63"/>
      <c r="O25" s="298"/>
      <c r="P25" s="299"/>
      <c r="R25" s="84"/>
      <c r="S25" s="85"/>
      <c r="U25" s="84"/>
      <c r="V25" s="85"/>
    </row>
    <row r="26" spans="2:23">
      <c r="B26" s="74">
        <v>45577</v>
      </c>
      <c r="C26" s="15">
        <v>4</v>
      </c>
      <c r="D26" s="11"/>
      <c r="E26" s="11"/>
      <c r="F26" s="37"/>
      <c r="G26" s="129"/>
      <c r="H26" s="47">
        <v>45635</v>
      </c>
      <c r="I26" s="19" t="s">
        <v>29</v>
      </c>
      <c r="J26" s="62">
        <v>4050</v>
      </c>
      <c r="K26" s="72"/>
      <c r="L26" t="e">
        <f>11890/7/(N8+E12)</f>
        <v>#DIV/0!</v>
      </c>
      <c r="N26" s="64"/>
      <c r="O26" s="298"/>
      <c r="P26" s="299"/>
      <c r="R26" s="84"/>
      <c r="S26" s="85"/>
      <c r="U26" s="84"/>
      <c r="V26" s="85"/>
    </row>
    <row r="27" spans="2:23">
      <c r="B27" s="74">
        <v>45578</v>
      </c>
      <c r="C27" s="15">
        <v>3</v>
      </c>
      <c r="D27" s="11"/>
      <c r="E27" s="11"/>
      <c r="F27" s="37"/>
      <c r="G27" s="37"/>
      <c r="H27" s="47">
        <v>45635</v>
      </c>
      <c r="I27" s="19" t="s">
        <v>194</v>
      </c>
      <c r="J27" s="62">
        <v>8110</v>
      </c>
      <c r="N27" s="64"/>
      <c r="O27" s="298"/>
      <c r="P27" s="299"/>
      <c r="R27" s="84"/>
      <c r="S27" s="85"/>
      <c r="U27" s="84"/>
      <c r="V27" s="85"/>
    </row>
    <row r="28" spans="2:23">
      <c r="B28" s="74">
        <v>45579</v>
      </c>
      <c r="C28" s="15">
        <v>2</v>
      </c>
      <c r="D28" s="11"/>
      <c r="E28" s="11"/>
      <c r="F28" s="37"/>
      <c r="G28" s="37"/>
      <c r="H28" s="47">
        <v>45644</v>
      </c>
      <c r="I28" s="19" t="s">
        <v>29</v>
      </c>
      <c r="J28" s="62">
        <v>7020</v>
      </c>
      <c r="L28" s="72"/>
      <c r="N28" s="64"/>
      <c r="O28" s="298"/>
      <c r="P28" s="299"/>
      <c r="R28" s="84"/>
      <c r="S28" s="85"/>
      <c r="U28" s="84"/>
      <c r="V28" s="85"/>
    </row>
    <row r="29" spans="2:23">
      <c r="B29" s="74">
        <v>45580</v>
      </c>
      <c r="C29" s="15">
        <v>2</v>
      </c>
      <c r="D29" s="11"/>
      <c r="E29" s="11"/>
      <c r="F29" s="37"/>
      <c r="G29" s="37"/>
      <c r="H29" s="47">
        <v>45644</v>
      </c>
      <c r="I29" s="19" t="s">
        <v>26</v>
      </c>
      <c r="J29" s="62">
        <v>2990</v>
      </c>
      <c r="N29" s="64"/>
      <c r="O29" s="298"/>
      <c r="P29" s="299"/>
      <c r="R29" s="84"/>
      <c r="S29" s="85"/>
      <c r="U29" s="84"/>
      <c r="V29" s="85"/>
    </row>
    <row r="30" spans="2:23">
      <c r="B30" s="74">
        <v>45581</v>
      </c>
      <c r="C30" s="15">
        <v>3</v>
      </c>
      <c r="D30" s="11"/>
      <c r="E30" s="11"/>
      <c r="F30" s="37"/>
      <c r="G30" s="37"/>
      <c r="H30" s="47">
        <v>45652</v>
      </c>
      <c r="I30" s="19" t="s">
        <v>26</v>
      </c>
      <c r="J30" s="62">
        <v>10060</v>
      </c>
      <c r="N30" s="64"/>
      <c r="O30" s="298"/>
      <c r="P30" s="299"/>
      <c r="R30" s="84"/>
      <c r="S30" s="85"/>
      <c r="U30" s="84"/>
      <c r="V30" s="85"/>
    </row>
    <row r="31" spans="2:23">
      <c r="B31" s="74">
        <v>45582</v>
      </c>
      <c r="C31" s="15">
        <v>2</v>
      </c>
      <c r="D31" s="11"/>
      <c r="E31" s="11"/>
      <c r="F31" s="37"/>
      <c r="G31" s="37"/>
      <c r="H31" s="47">
        <v>45659</v>
      </c>
      <c r="I31" s="19" t="s">
        <v>29</v>
      </c>
      <c r="J31" s="62">
        <v>11890</v>
      </c>
      <c r="N31" s="64"/>
      <c r="O31" s="298"/>
      <c r="P31" s="299"/>
      <c r="R31" s="84"/>
      <c r="S31" s="85"/>
      <c r="U31" s="84"/>
      <c r="V31" s="85"/>
    </row>
    <row r="32" spans="2:23" ht="18" thickBot="1">
      <c r="B32" s="74">
        <v>45583</v>
      </c>
      <c r="C32" s="15">
        <v>7</v>
      </c>
      <c r="D32" s="11"/>
      <c r="E32" s="11"/>
      <c r="F32" s="37"/>
      <c r="G32" s="37"/>
      <c r="H32" s="47">
        <v>45666</v>
      </c>
      <c r="I32" s="19" t="s">
        <v>26</v>
      </c>
      <c r="J32" s="41">
        <v>6920</v>
      </c>
      <c r="L32" s="72">
        <f>J34+J35</f>
        <v>8880</v>
      </c>
      <c r="N32" s="64"/>
      <c r="O32" s="298"/>
      <c r="P32" s="299"/>
      <c r="R32" s="86"/>
      <c r="S32" s="87"/>
      <c r="U32" s="86"/>
      <c r="V32" s="87"/>
    </row>
    <row r="33" spans="2:16" ht="18" thickTop="1">
      <c r="B33" s="74">
        <v>45584</v>
      </c>
      <c r="C33" s="15">
        <v>5</v>
      </c>
      <c r="D33" s="11"/>
      <c r="E33" s="11"/>
      <c r="F33" s="37"/>
      <c r="G33" s="37"/>
      <c r="H33" s="47">
        <v>45666</v>
      </c>
      <c r="I33" s="19" t="s">
        <v>29</v>
      </c>
      <c r="J33" s="276">
        <v>2940</v>
      </c>
      <c r="L33">
        <f>L32/499/5.5</f>
        <v>3.235562033157223</v>
      </c>
      <c r="N33" s="64"/>
      <c r="O33" s="298"/>
      <c r="P33" s="299"/>
    </row>
    <row r="34" spans="2:16">
      <c r="B34" s="74">
        <v>45585</v>
      </c>
      <c r="C34" s="15">
        <v>5</v>
      </c>
      <c r="D34" s="11"/>
      <c r="E34" s="11"/>
      <c r="F34" s="37"/>
      <c r="G34" s="37"/>
      <c r="H34" s="47">
        <v>45672</v>
      </c>
      <c r="I34" s="19" t="s">
        <v>29</v>
      </c>
      <c r="J34" s="41">
        <v>2980</v>
      </c>
      <c r="N34" s="64"/>
      <c r="O34" s="298"/>
      <c r="P34" s="299"/>
    </row>
    <row r="35" spans="2:16">
      <c r="B35" s="74">
        <v>45586</v>
      </c>
      <c r="C35" s="15">
        <v>2</v>
      </c>
      <c r="D35" s="11"/>
      <c r="E35" s="11"/>
      <c r="F35" s="37"/>
      <c r="G35" s="37"/>
      <c r="H35" s="47">
        <v>45672</v>
      </c>
      <c r="I35" s="19" t="s">
        <v>26</v>
      </c>
      <c r="J35" s="41">
        <v>5900</v>
      </c>
      <c r="N35" s="64"/>
      <c r="O35" s="298"/>
      <c r="P35" s="299"/>
    </row>
    <row r="36" spans="2:16">
      <c r="B36" s="74">
        <v>45588</v>
      </c>
      <c r="C36" s="15">
        <v>6</v>
      </c>
      <c r="D36" s="11"/>
      <c r="E36" s="11"/>
      <c r="F36" s="37"/>
      <c r="G36" s="37"/>
      <c r="H36" s="47">
        <v>45679</v>
      </c>
      <c r="I36" s="19" t="s">
        <v>29</v>
      </c>
      <c r="J36" s="41">
        <v>2990</v>
      </c>
      <c r="L36" t="s">
        <v>199</v>
      </c>
      <c r="N36" s="64"/>
      <c r="O36" s="298"/>
      <c r="P36" s="299"/>
    </row>
    <row r="37" spans="2:16">
      <c r="B37" s="74">
        <v>45589</v>
      </c>
      <c r="C37" s="15">
        <v>11</v>
      </c>
      <c r="D37" s="11"/>
      <c r="E37" s="11"/>
      <c r="F37" s="37"/>
      <c r="G37" s="37"/>
      <c r="H37" s="47">
        <v>45679</v>
      </c>
      <c r="I37" s="19" t="s">
        <v>26</v>
      </c>
      <c r="J37" s="41">
        <v>7000</v>
      </c>
      <c r="N37" s="64"/>
      <c r="O37" s="298"/>
      <c r="P37" s="299"/>
    </row>
    <row r="38" spans="2:16">
      <c r="B38" s="74">
        <v>45590</v>
      </c>
      <c r="C38" s="15">
        <v>6</v>
      </c>
      <c r="D38" s="11"/>
      <c r="E38" s="11"/>
      <c r="F38" s="37"/>
      <c r="G38" s="37"/>
      <c r="H38" s="47">
        <v>45692</v>
      </c>
      <c r="I38" s="20" t="s">
        <v>92</v>
      </c>
      <c r="J38" s="41">
        <v>4910</v>
      </c>
      <c r="N38" s="64"/>
      <c r="O38" s="298"/>
      <c r="P38" s="299"/>
    </row>
    <row r="39" spans="2:16">
      <c r="B39" s="74">
        <v>45591</v>
      </c>
      <c r="C39" s="15">
        <v>2</v>
      </c>
      <c r="D39" s="11"/>
      <c r="E39" s="11"/>
      <c r="F39" s="37"/>
      <c r="G39" s="37"/>
      <c r="H39" s="47">
        <v>45696</v>
      </c>
      <c r="I39" s="19" t="s">
        <v>29</v>
      </c>
      <c r="J39" s="41">
        <v>3030</v>
      </c>
      <c r="N39" s="64"/>
      <c r="O39" s="298"/>
      <c r="P39" s="299"/>
    </row>
    <row r="40" spans="2:16">
      <c r="B40" s="74">
        <v>45592</v>
      </c>
      <c r="C40" s="15">
        <v>2</v>
      </c>
      <c r="D40" s="11"/>
      <c r="E40" s="11"/>
      <c r="F40" s="37"/>
      <c r="G40" s="37"/>
      <c r="H40" s="47">
        <v>45700</v>
      </c>
      <c r="I40" s="19" t="s">
        <v>29</v>
      </c>
      <c r="J40" s="41">
        <v>4950</v>
      </c>
      <c r="N40" s="64"/>
      <c r="O40" s="298"/>
      <c r="P40" s="299"/>
    </row>
    <row r="41" spans="2:16">
      <c r="B41" s="74">
        <v>45593</v>
      </c>
      <c r="C41" s="15">
        <v>9</v>
      </c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74">
        <v>45594</v>
      </c>
      <c r="C42" s="15">
        <v>4</v>
      </c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74">
        <v>45595</v>
      </c>
      <c r="C43" s="15">
        <v>2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74">
        <v>45596</v>
      </c>
      <c r="C44" s="15">
        <v>3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74">
        <v>45597</v>
      </c>
      <c r="C45" s="15">
        <v>5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74">
        <v>45598</v>
      </c>
      <c r="C46" s="15">
        <v>2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74">
        <v>45600</v>
      </c>
      <c r="C47" s="15">
        <v>4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45601</v>
      </c>
      <c r="C48" s="15">
        <v>2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45602</v>
      </c>
      <c r="C49" s="15">
        <v>3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74">
        <v>45603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74">
        <v>45604</v>
      </c>
      <c r="C51" s="15">
        <v>2</v>
      </c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74">
        <v>45605</v>
      </c>
      <c r="C52" s="15">
        <v>3</v>
      </c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74">
        <v>45606</v>
      </c>
      <c r="C53" s="15">
        <v>6</v>
      </c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74">
        <v>45609</v>
      </c>
      <c r="C54" s="15">
        <v>2</v>
      </c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74">
        <v>45610</v>
      </c>
      <c r="C55" s="15">
        <v>4</v>
      </c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74">
        <v>45611</v>
      </c>
      <c r="C56" s="15">
        <v>2</v>
      </c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74">
        <v>45612</v>
      </c>
      <c r="C57" s="15">
        <v>2</v>
      </c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>
      <c r="B58" s="92">
        <v>45613</v>
      </c>
      <c r="C58" s="17">
        <v>2</v>
      </c>
      <c r="D58" s="12"/>
      <c r="E58" s="12"/>
      <c r="F58" s="36"/>
      <c r="G58" s="36"/>
      <c r="H58" s="21"/>
      <c r="I58" s="21"/>
      <c r="J58" s="42"/>
      <c r="N58" s="64"/>
      <c r="O58" s="235"/>
      <c r="P58" s="236"/>
    </row>
    <row r="59" spans="2:16">
      <c r="B59" s="92">
        <v>45614</v>
      </c>
      <c r="C59" s="17">
        <v>1</v>
      </c>
      <c r="D59" s="12"/>
      <c r="E59" s="12"/>
      <c r="F59" s="36"/>
      <c r="G59" s="36"/>
      <c r="H59" s="21"/>
      <c r="I59" s="21"/>
      <c r="J59" s="42"/>
      <c r="N59" s="64"/>
      <c r="O59" s="235"/>
      <c r="P59" s="236"/>
    </row>
    <row r="60" spans="2:16">
      <c r="B60" s="92">
        <v>45616</v>
      </c>
      <c r="C60" s="17">
        <v>5</v>
      </c>
      <c r="D60" s="12"/>
      <c r="E60" s="12"/>
      <c r="F60" s="36"/>
      <c r="G60" s="36"/>
      <c r="H60" s="21"/>
      <c r="I60" s="21"/>
      <c r="J60" s="42"/>
      <c r="N60" s="64"/>
      <c r="O60" s="235"/>
      <c r="P60" s="236"/>
    </row>
    <row r="61" spans="2:16">
      <c r="B61" s="92">
        <v>45617</v>
      </c>
      <c r="C61" s="17">
        <v>2</v>
      </c>
      <c r="D61" s="12"/>
      <c r="E61" s="12"/>
      <c r="F61" s="36"/>
      <c r="G61" s="36"/>
      <c r="H61" s="21"/>
      <c r="I61" s="21"/>
      <c r="J61" s="42"/>
      <c r="N61" s="64"/>
      <c r="O61" s="235"/>
      <c r="P61" s="236"/>
    </row>
    <row r="62" spans="2:16">
      <c r="B62" s="92">
        <v>45618</v>
      </c>
      <c r="C62" s="17">
        <v>1</v>
      </c>
      <c r="D62" s="12"/>
      <c r="E62" s="12"/>
      <c r="F62" s="36"/>
      <c r="G62" s="36"/>
      <c r="H62" s="21"/>
      <c r="I62" s="21"/>
      <c r="J62" s="42"/>
      <c r="N62" s="64"/>
      <c r="O62" s="235"/>
      <c r="P62" s="236"/>
    </row>
    <row r="63" spans="2:16">
      <c r="B63" s="92">
        <v>45619</v>
      </c>
      <c r="C63" s="17">
        <v>1</v>
      </c>
      <c r="D63" s="12"/>
      <c r="E63" s="12"/>
      <c r="F63" s="36"/>
      <c r="G63" s="36"/>
      <c r="H63" s="21"/>
      <c r="I63" s="21"/>
      <c r="J63" s="42"/>
      <c r="N63" s="64"/>
      <c r="O63" s="237"/>
      <c r="P63" s="238"/>
    </row>
    <row r="64" spans="2:16">
      <c r="B64" s="92">
        <v>45620</v>
      </c>
      <c r="C64" s="17">
        <v>1</v>
      </c>
      <c r="D64" s="12"/>
      <c r="E64" s="12"/>
      <c r="F64" s="36"/>
      <c r="G64" s="36"/>
      <c r="H64" s="21"/>
      <c r="I64" s="21"/>
      <c r="J64" s="42"/>
      <c r="N64" s="64"/>
      <c r="O64" s="237"/>
      <c r="P64" s="238"/>
    </row>
    <row r="65" spans="2:16">
      <c r="B65" s="92">
        <v>45621</v>
      </c>
      <c r="C65" s="17">
        <v>3</v>
      </c>
      <c r="D65" s="12"/>
      <c r="E65" s="12"/>
      <c r="F65" s="36"/>
      <c r="G65" s="36"/>
      <c r="H65" s="21"/>
      <c r="I65" s="21"/>
      <c r="J65" s="42"/>
      <c r="N65" s="64"/>
      <c r="O65" s="237"/>
      <c r="P65" s="238"/>
    </row>
    <row r="66" spans="2:16">
      <c r="B66" s="92">
        <v>45622</v>
      </c>
      <c r="C66" s="17">
        <v>1</v>
      </c>
      <c r="D66" s="12"/>
      <c r="E66" s="12"/>
      <c r="F66" s="36"/>
      <c r="G66" s="36"/>
      <c r="H66" s="21"/>
      <c r="I66" s="21"/>
      <c r="J66" s="42"/>
      <c r="N66" s="64"/>
      <c r="O66" s="237"/>
      <c r="P66" s="238"/>
    </row>
    <row r="67" spans="2:16">
      <c r="B67" s="92">
        <v>45624</v>
      </c>
      <c r="C67" s="17">
        <v>1</v>
      </c>
      <c r="D67" s="12"/>
      <c r="E67" s="12"/>
      <c r="F67" s="36"/>
      <c r="G67" s="36"/>
      <c r="H67" s="21"/>
      <c r="I67" s="21"/>
      <c r="J67" s="42"/>
      <c r="N67" s="64"/>
      <c r="O67" s="237"/>
      <c r="P67" s="238"/>
    </row>
    <row r="68" spans="2:16">
      <c r="B68" s="92">
        <v>45625</v>
      </c>
      <c r="C68" s="17">
        <v>8</v>
      </c>
      <c r="D68" s="12"/>
      <c r="E68" s="12"/>
      <c r="F68" s="36"/>
      <c r="G68" s="36"/>
      <c r="H68" s="21"/>
      <c r="I68" s="21"/>
      <c r="J68" s="42"/>
      <c r="N68" s="64"/>
      <c r="O68" s="247"/>
      <c r="P68" s="248"/>
    </row>
    <row r="69" spans="2:16">
      <c r="B69" s="92">
        <v>45627</v>
      </c>
      <c r="C69" s="17">
        <v>5</v>
      </c>
      <c r="D69" s="12"/>
      <c r="E69" s="12"/>
      <c r="F69" s="36"/>
      <c r="G69" s="36"/>
      <c r="H69" s="21"/>
      <c r="I69" s="21"/>
      <c r="J69" s="42"/>
      <c r="N69" s="64"/>
      <c r="O69" s="247"/>
      <c r="P69" s="248"/>
    </row>
    <row r="70" spans="2:16">
      <c r="B70" s="92">
        <v>45628</v>
      </c>
      <c r="C70" s="17">
        <v>1</v>
      </c>
      <c r="D70" s="12"/>
      <c r="E70" s="12"/>
      <c r="F70" s="36"/>
      <c r="G70" s="36"/>
      <c r="H70" s="21"/>
      <c r="I70" s="21"/>
      <c r="J70" s="42"/>
      <c r="N70" s="64"/>
      <c r="O70" s="247"/>
      <c r="P70" s="248"/>
    </row>
    <row r="71" spans="2:16">
      <c r="B71" s="92">
        <v>45629</v>
      </c>
      <c r="C71" s="17">
        <v>1</v>
      </c>
      <c r="D71" s="12"/>
      <c r="E71" s="12"/>
      <c r="F71" s="36"/>
      <c r="G71" s="36"/>
      <c r="H71" s="21"/>
      <c r="I71" s="21"/>
      <c r="J71" s="42"/>
      <c r="N71" s="64"/>
      <c r="O71" s="247"/>
      <c r="P71" s="248"/>
    </row>
    <row r="72" spans="2:16">
      <c r="B72" s="92">
        <v>45630</v>
      </c>
      <c r="C72" s="17">
        <v>1</v>
      </c>
      <c r="D72" s="12"/>
      <c r="E72" s="12"/>
      <c r="F72" s="36"/>
      <c r="G72" s="36"/>
      <c r="H72" s="21"/>
      <c r="I72" s="21"/>
      <c r="J72" s="42"/>
      <c r="N72" s="64"/>
      <c r="O72" s="247"/>
      <c r="P72" s="248"/>
    </row>
    <row r="73" spans="2:16">
      <c r="B73" s="92">
        <v>45631</v>
      </c>
      <c r="C73" s="17">
        <v>4</v>
      </c>
      <c r="D73" s="12"/>
      <c r="E73" s="12"/>
      <c r="F73" s="36"/>
      <c r="G73" s="36"/>
      <c r="H73" s="21"/>
      <c r="I73" s="21"/>
      <c r="J73" s="42"/>
      <c r="N73" s="64"/>
      <c r="O73" s="247"/>
      <c r="P73" s="248"/>
    </row>
    <row r="74" spans="2:16">
      <c r="B74" s="92">
        <v>45632</v>
      </c>
      <c r="C74" s="17">
        <v>1</v>
      </c>
      <c r="D74" s="12"/>
      <c r="E74" s="12"/>
      <c r="F74" s="36"/>
      <c r="G74" s="36"/>
      <c r="H74" s="21"/>
      <c r="I74" s="21"/>
      <c r="J74" s="42"/>
      <c r="N74" s="64"/>
      <c r="O74" s="247"/>
      <c r="P74" s="248"/>
    </row>
    <row r="75" spans="2:16">
      <c r="B75" s="92">
        <v>45633</v>
      </c>
      <c r="C75" s="17">
        <v>3</v>
      </c>
      <c r="D75" s="12"/>
      <c r="E75" s="12"/>
      <c r="F75" s="36"/>
      <c r="G75" s="36"/>
      <c r="H75" s="21"/>
      <c r="I75" s="21"/>
      <c r="J75" s="42"/>
      <c r="N75" s="64"/>
      <c r="O75" s="247"/>
      <c r="P75" s="248"/>
    </row>
    <row r="76" spans="2:16">
      <c r="B76" s="92">
        <v>45635</v>
      </c>
      <c r="C76" s="17">
        <v>3</v>
      </c>
      <c r="D76" s="12"/>
      <c r="E76" s="12"/>
      <c r="F76" s="36"/>
      <c r="G76" s="36"/>
      <c r="H76" s="21"/>
      <c r="I76" s="21"/>
      <c r="J76" s="42"/>
      <c r="N76" s="64"/>
      <c r="O76" s="247"/>
      <c r="P76" s="248"/>
    </row>
    <row r="77" spans="2:16">
      <c r="B77" s="92">
        <v>45636</v>
      </c>
      <c r="C77" s="17">
        <v>2</v>
      </c>
      <c r="D77" s="12"/>
      <c r="E77" s="12"/>
      <c r="F77" s="36"/>
      <c r="G77" s="36"/>
      <c r="H77" s="21"/>
      <c r="I77" s="21"/>
      <c r="J77" s="42"/>
      <c r="N77" s="64"/>
      <c r="O77" s="237"/>
      <c r="P77" s="238"/>
    </row>
    <row r="78" spans="2:16">
      <c r="B78" s="92">
        <v>45637</v>
      </c>
      <c r="C78" s="17">
        <v>2</v>
      </c>
      <c r="D78" s="12"/>
      <c r="E78" s="12"/>
      <c r="F78" s="36"/>
      <c r="G78" s="36"/>
      <c r="H78" s="21"/>
      <c r="I78" s="21"/>
      <c r="J78" s="42"/>
      <c r="N78" s="64"/>
      <c r="O78" s="243"/>
      <c r="P78" s="244"/>
    </row>
    <row r="79" spans="2:16">
      <c r="B79" s="92">
        <v>45640</v>
      </c>
      <c r="C79" s="17">
        <v>4</v>
      </c>
      <c r="D79" s="12"/>
      <c r="E79" s="12"/>
      <c r="F79" s="36"/>
      <c r="G79" s="36"/>
      <c r="H79" s="21"/>
      <c r="I79" s="21"/>
      <c r="J79" s="42"/>
      <c r="N79" s="64"/>
      <c r="O79" s="243"/>
      <c r="P79" s="244"/>
    </row>
    <row r="80" spans="2:16">
      <c r="B80" s="92">
        <v>45642</v>
      </c>
      <c r="C80" s="17">
        <v>2</v>
      </c>
      <c r="D80" s="12"/>
      <c r="E80" s="12"/>
      <c r="F80" s="36"/>
      <c r="G80" s="36"/>
      <c r="H80" s="21"/>
      <c r="I80" s="21"/>
      <c r="J80" s="42"/>
      <c r="N80" s="64"/>
      <c r="O80" s="243"/>
      <c r="P80" s="244"/>
    </row>
    <row r="81" spans="2:16">
      <c r="B81" s="92">
        <v>45644</v>
      </c>
      <c r="C81" s="17">
        <v>3</v>
      </c>
      <c r="D81" s="12"/>
      <c r="E81" s="12"/>
      <c r="F81" s="36"/>
      <c r="G81" s="36"/>
      <c r="H81" s="21"/>
      <c r="I81" s="21"/>
      <c r="J81" s="42"/>
      <c r="N81" s="64"/>
      <c r="O81" s="245"/>
      <c r="P81" s="246"/>
    </row>
    <row r="82" spans="2:16">
      <c r="B82" s="92">
        <v>45646</v>
      </c>
      <c r="C82" s="17">
        <v>4</v>
      </c>
      <c r="D82" s="12"/>
      <c r="E82" s="12"/>
      <c r="F82" s="36"/>
      <c r="G82" s="36"/>
      <c r="H82" s="21"/>
      <c r="I82" s="21"/>
      <c r="J82" s="42"/>
      <c r="N82" s="64"/>
      <c r="O82" s="245"/>
      <c r="P82" s="246"/>
    </row>
    <row r="83" spans="2:16">
      <c r="B83" s="92"/>
      <c r="C83" s="17">
        <v>5</v>
      </c>
      <c r="D83" s="12"/>
      <c r="E83" s="12"/>
      <c r="F83" s="36"/>
      <c r="G83" s="36"/>
      <c r="H83" s="21"/>
      <c r="I83" s="21"/>
      <c r="J83" s="42"/>
      <c r="N83" s="64"/>
      <c r="O83" s="245"/>
      <c r="P83" s="246"/>
    </row>
    <row r="84" spans="2:16">
      <c r="B84" s="92">
        <v>45649</v>
      </c>
      <c r="C84" s="17">
        <v>2</v>
      </c>
      <c r="D84" s="12"/>
      <c r="E84" s="12"/>
      <c r="F84" s="36"/>
      <c r="G84" s="36"/>
      <c r="H84" s="21"/>
      <c r="I84" s="21"/>
      <c r="J84" s="42"/>
      <c r="N84" s="64"/>
      <c r="O84" s="253"/>
      <c r="P84" s="254"/>
    </row>
    <row r="85" spans="2:16">
      <c r="B85" s="92">
        <v>45651</v>
      </c>
      <c r="C85" s="17">
        <v>1</v>
      </c>
      <c r="D85" s="12"/>
      <c r="E85" s="12"/>
      <c r="F85" s="36"/>
      <c r="G85" s="36"/>
      <c r="H85" s="21"/>
      <c r="I85" s="21"/>
      <c r="J85" s="42"/>
      <c r="N85" s="64"/>
      <c r="O85" s="253"/>
      <c r="P85" s="254"/>
    </row>
    <row r="86" spans="2:16">
      <c r="B86" s="92">
        <v>45652</v>
      </c>
      <c r="C86" s="17">
        <v>4</v>
      </c>
      <c r="D86" s="12"/>
      <c r="E86" s="12"/>
      <c r="F86" s="36"/>
      <c r="G86" s="36"/>
      <c r="H86" s="21"/>
      <c r="I86" s="21"/>
      <c r="J86" s="42"/>
      <c r="N86" s="64"/>
      <c r="O86" s="253"/>
      <c r="P86" s="254"/>
    </row>
    <row r="87" spans="2:16">
      <c r="B87" s="92">
        <v>45653</v>
      </c>
      <c r="C87" s="17">
        <v>2</v>
      </c>
      <c r="D87" s="12"/>
      <c r="E87" s="12"/>
      <c r="F87" s="36"/>
      <c r="G87" s="36"/>
      <c r="H87" s="21"/>
      <c r="I87" s="21"/>
      <c r="J87" s="42"/>
      <c r="N87" s="64"/>
      <c r="O87" s="245"/>
      <c r="P87" s="246"/>
    </row>
    <row r="88" spans="2:16">
      <c r="B88" s="92">
        <v>45660</v>
      </c>
      <c r="C88" s="17">
        <v>1</v>
      </c>
      <c r="D88" s="12"/>
      <c r="E88" s="12"/>
      <c r="F88" s="36"/>
      <c r="G88" s="36"/>
      <c r="H88" s="21"/>
      <c r="I88" s="21"/>
      <c r="J88" s="42"/>
      <c r="N88" s="64"/>
      <c r="O88" s="261"/>
      <c r="P88" s="262"/>
    </row>
    <row r="89" spans="2:16">
      <c r="B89" s="92">
        <v>45661</v>
      </c>
      <c r="C89" s="17">
        <v>1</v>
      </c>
      <c r="D89" s="12"/>
      <c r="E89" s="12"/>
      <c r="F89" s="36"/>
      <c r="G89" s="36"/>
      <c r="H89" s="21"/>
      <c r="I89" s="21"/>
      <c r="J89" s="42"/>
      <c r="N89" s="64"/>
      <c r="O89" s="261"/>
      <c r="P89" s="262"/>
    </row>
    <row r="90" spans="2:16">
      <c r="B90" s="92">
        <v>45664</v>
      </c>
      <c r="C90" s="17">
        <v>3</v>
      </c>
      <c r="D90" s="12"/>
      <c r="E90" s="12"/>
      <c r="F90" s="36"/>
      <c r="G90" s="36"/>
      <c r="H90" s="21"/>
      <c r="I90" s="21"/>
      <c r="J90" s="42"/>
      <c r="N90" s="64"/>
      <c r="O90" s="261"/>
      <c r="P90" s="262"/>
    </row>
    <row r="91" spans="2:16">
      <c r="B91" s="92">
        <v>45669</v>
      </c>
      <c r="C91" s="17">
        <v>1</v>
      </c>
      <c r="D91" s="12"/>
      <c r="E91" s="12"/>
      <c r="F91" s="36"/>
      <c r="G91" s="36"/>
      <c r="H91" s="21"/>
      <c r="I91" s="21"/>
      <c r="J91" s="42"/>
      <c r="N91" s="64"/>
      <c r="O91" s="261"/>
      <c r="P91" s="262"/>
    </row>
    <row r="92" spans="2:16">
      <c r="B92" s="92">
        <v>45672</v>
      </c>
      <c r="C92" s="17">
        <v>1</v>
      </c>
      <c r="D92" s="12"/>
      <c r="E92" s="12"/>
      <c r="F92" s="36"/>
      <c r="G92" s="36"/>
      <c r="H92" s="21"/>
      <c r="I92" s="21"/>
      <c r="J92" s="42"/>
      <c r="N92" s="64"/>
      <c r="O92" s="261"/>
      <c r="P92" s="262"/>
    </row>
    <row r="93" spans="2:16">
      <c r="B93" s="92">
        <v>45677</v>
      </c>
      <c r="C93" s="17">
        <v>3</v>
      </c>
      <c r="D93" s="12"/>
      <c r="E93" s="12"/>
      <c r="F93" s="36"/>
      <c r="G93" s="36"/>
      <c r="H93" s="21"/>
      <c r="I93" s="21"/>
      <c r="J93" s="42"/>
      <c r="N93" s="64"/>
      <c r="O93" s="261"/>
      <c r="P93" s="262"/>
    </row>
    <row r="94" spans="2:16">
      <c r="B94" s="92">
        <v>45678</v>
      </c>
      <c r="C94" s="17">
        <v>1</v>
      </c>
      <c r="D94" s="12"/>
      <c r="E94" s="12"/>
      <c r="F94" s="36"/>
      <c r="G94" s="36"/>
      <c r="H94" s="21"/>
      <c r="I94" s="21"/>
      <c r="J94" s="42"/>
      <c r="N94" s="64"/>
      <c r="O94" s="245"/>
      <c r="P94" s="246"/>
    </row>
    <row r="95" spans="2:16">
      <c r="B95" s="92">
        <v>45679</v>
      </c>
      <c r="C95" s="17">
        <v>2</v>
      </c>
      <c r="D95" s="12"/>
      <c r="E95" s="12"/>
      <c r="F95" s="36"/>
      <c r="G95" s="36"/>
      <c r="H95" s="21"/>
      <c r="I95" s="21"/>
      <c r="J95" s="42"/>
      <c r="N95" s="64"/>
      <c r="O95" s="268"/>
      <c r="P95" s="269"/>
    </row>
    <row r="96" spans="2:16">
      <c r="B96" s="92">
        <v>45681</v>
      </c>
      <c r="C96" s="17">
        <v>2</v>
      </c>
      <c r="D96" s="12"/>
      <c r="E96" s="12"/>
      <c r="F96" s="36"/>
      <c r="G96" s="36"/>
      <c r="H96" s="21"/>
      <c r="I96" s="21"/>
      <c r="J96" s="42"/>
      <c r="N96" s="64"/>
      <c r="O96" s="268"/>
      <c r="P96" s="269"/>
    </row>
    <row r="97" spans="2:16">
      <c r="B97" s="92">
        <v>45684</v>
      </c>
      <c r="C97" s="17">
        <v>4</v>
      </c>
      <c r="D97" s="12"/>
      <c r="E97" s="12"/>
      <c r="F97" s="36"/>
      <c r="G97" s="36"/>
      <c r="H97" s="21"/>
      <c r="I97" s="21"/>
      <c r="J97" s="42"/>
      <c r="N97" s="64"/>
      <c r="O97" s="268"/>
      <c r="P97" s="269"/>
    </row>
    <row r="98" spans="2:16">
      <c r="B98" s="92">
        <v>45693</v>
      </c>
      <c r="C98" s="17">
        <v>1</v>
      </c>
      <c r="D98" s="12"/>
      <c r="E98" s="12"/>
      <c r="F98" s="36"/>
      <c r="G98" s="36"/>
      <c r="H98" s="21"/>
      <c r="I98" s="21"/>
      <c r="J98" s="42"/>
      <c r="N98" s="64"/>
      <c r="O98" s="268"/>
      <c r="P98" s="269"/>
    </row>
    <row r="99" spans="2:16">
      <c r="B99" s="92">
        <v>45695</v>
      </c>
      <c r="C99" s="17">
        <v>2</v>
      </c>
      <c r="D99" s="12"/>
      <c r="E99" s="12"/>
      <c r="F99" s="36"/>
      <c r="G99" s="36"/>
      <c r="H99" s="21"/>
      <c r="I99" s="21"/>
      <c r="J99" s="42"/>
      <c r="N99" s="64"/>
      <c r="O99" s="268"/>
      <c r="P99" s="269"/>
    </row>
    <row r="100" spans="2:16">
      <c r="B100" s="92">
        <v>45700</v>
      </c>
      <c r="C100" s="17">
        <v>1</v>
      </c>
      <c r="D100" s="12"/>
      <c r="E100" s="12"/>
      <c r="F100" s="36"/>
      <c r="G100" s="36"/>
      <c r="H100" s="21"/>
      <c r="I100" s="21"/>
      <c r="J100" s="42"/>
      <c r="N100" s="64"/>
      <c r="O100" s="274"/>
      <c r="P100" s="275"/>
    </row>
    <row r="101" spans="2:16">
      <c r="B101" s="92"/>
      <c r="C101" s="17">
        <v>5</v>
      </c>
      <c r="D101" s="12"/>
      <c r="E101" s="12"/>
      <c r="F101" s="36"/>
      <c r="G101" s="36"/>
      <c r="H101" s="21"/>
      <c r="I101" s="21"/>
      <c r="J101" s="42"/>
      <c r="N101" s="64"/>
      <c r="O101" s="274"/>
      <c r="P101" s="275"/>
    </row>
    <row r="102" spans="2:16">
      <c r="B102" s="92"/>
      <c r="C102" s="17"/>
      <c r="D102" s="12"/>
      <c r="E102" s="12"/>
      <c r="F102" s="36"/>
      <c r="G102" s="36"/>
      <c r="H102" s="21"/>
      <c r="I102" s="21"/>
      <c r="J102" s="42"/>
      <c r="N102" s="64"/>
      <c r="O102" s="274"/>
      <c r="P102" s="275"/>
    </row>
    <row r="103" spans="2:16">
      <c r="B103" s="92"/>
      <c r="C103" s="17"/>
      <c r="D103" s="12"/>
      <c r="E103" s="12"/>
      <c r="F103" s="36"/>
      <c r="G103" s="36"/>
      <c r="H103" s="21"/>
      <c r="I103" s="21"/>
      <c r="J103" s="42"/>
      <c r="N103" s="64"/>
      <c r="O103" s="274"/>
      <c r="P103" s="275"/>
    </row>
    <row r="104" spans="2:16">
      <c r="B104" s="92"/>
      <c r="C104" s="17"/>
      <c r="D104" s="12"/>
      <c r="E104" s="12"/>
      <c r="F104" s="36"/>
      <c r="G104" s="36"/>
      <c r="H104" s="21"/>
      <c r="I104" s="21"/>
      <c r="J104" s="42"/>
      <c r="N104" s="64"/>
      <c r="O104" s="274"/>
      <c r="P104" s="275"/>
    </row>
    <row r="105" spans="2:16">
      <c r="B105" s="92"/>
      <c r="C105" s="17"/>
      <c r="D105" s="12"/>
      <c r="E105" s="12"/>
      <c r="F105" s="36"/>
      <c r="G105" s="36"/>
      <c r="H105" s="21"/>
      <c r="I105" s="21"/>
      <c r="J105" s="42"/>
      <c r="N105" s="64"/>
      <c r="O105" s="274"/>
      <c r="P105" s="275"/>
    </row>
    <row r="106" spans="2:16">
      <c r="B106" s="92"/>
      <c r="C106" s="17"/>
      <c r="D106" s="12"/>
      <c r="E106" s="12"/>
      <c r="F106" s="36"/>
      <c r="G106" s="36"/>
      <c r="H106" s="21"/>
      <c r="I106" s="21"/>
      <c r="J106" s="42"/>
      <c r="N106" s="64"/>
      <c r="O106" s="274"/>
      <c r="P106" s="275"/>
    </row>
    <row r="107" spans="2:16" ht="18" thickBot="1">
      <c r="B107" s="92"/>
      <c r="C107" s="17"/>
      <c r="D107" s="12"/>
      <c r="E107" s="12"/>
      <c r="F107" s="36"/>
      <c r="G107" s="36"/>
      <c r="H107" s="21"/>
      <c r="I107" s="21"/>
      <c r="J107" s="42"/>
      <c r="N107" s="64"/>
      <c r="O107" s="298"/>
      <c r="P107" s="299"/>
    </row>
    <row r="108" spans="2:16" ht="18" thickBot="1">
      <c r="B108" s="7"/>
      <c r="C108" s="8">
        <f>SUM(C12:C107)</f>
        <v>336</v>
      </c>
      <c r="D108" s="8"/>
      <c r="E108" s="8">
        <f>SUM(E12:E107)</f>
        <v>520</v>
      </c>
      <c r="F108" s="39">
        <f>SUM(F12:F107)</f>
        <v>59567.410617551461</v>
      </c>
      <c r="G108" s="39">
        <f>F108/E108</f>
        <v>114.55271272606051</v>
      </c>
      <c r="H108" s="8"/>
      <c r="I108" s="8"/>
      <c r="J108" s="43">
        <f>SUM(J12:J107)</f>
        <v>165330</v>
      </c>
      <c r="N108" s="65"/>
      <c r="O108" s="300"/>
      <c r="P108" s="301"/>
    </row>
    <row r="114" spans="4:5">
      <c r="D114" s="81" t="s">
        <v>38</v>
      </c>
      <c r="E114" s="80">
        <v>60</v>
      </c>
    </row>
    <row r="115" spans="4:5">
      <c r="D115" s="81" t="s">
        <v>39</v>
      </c>
      <c r="E115" s="80">
        <v>120</v>
      </c>
    </row>
    <row r="116" spans="4:5">
      <c r="D116" s="81" t="s">
        <v>40</v>
      </c>
      <c r="E116" s="80">
        <v>180</v>
      </c>
    </row>
    <row r="117" spans="4:5">
      <c r="D117" s="81" t="s">
        <v>41</v>
      </c>
      <c r="E117" s="80">
        <v>180</v>
      </c>
    </row>
    <row r="118" spans="4:5">
      <c r="D118" s="81" t="s">
        <v>42</v>
      </c>
      <c r="E118" s="80">
        <v>180</v>
      </c>
    </row>
  </sheetData>
  <mergeCells count="65">
    <mergeCell ref="U10:V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108:P108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107:P10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8A2F-AA36-4539-A547-A15C50F86D33}">
  <dimension ref="A1:X104"/>
  <sheetViews>
    <sheetView showGridLines="0" topLeftCell="A13" workbookViewId="0">
      <selection activeCell="F22" sqref="F22"/>
    </sheetView>
  </sheetViews>
  <sheetFormatPr defaultRowHeight="17.399999999999999"/>
  <cols>
    <col min="2" max="2" width="11.09765625" bestFit="1" customWidth="1"/>
    <col min="4" max="4" width="9.8984375" bestFit="1" customWidth="1"/>
    <col min="5" max="5" width="11.09765625" bestFit="1" customWidth="1"/>
    <col min="8" max="8" width="11.0976562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4.59765625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  <col min="23" max="23" width="11.09765625" bestFit="1" customWidth="1"/>
  </cols>
  <sheetData>
    <row r="1" spans="1:24" ht="18" thickBot="1">
      <c r="A1" t="s">
        <v>27</v>
      </c>
      <c r="B1" s="51"/>
      <c r="E1" s="73">
        <f ca="1">TODAY()</f>
        <v>46325</v>
      </c>
      <c r="F1">
        <f ca="1">E1-B4</f>
        <v>750</v>
      </c>
    </row>
    <row r="2" spans="1:24" ht="18" thickBot="1">
      <c r="F2" s="302" t="s">
        <v>9</v>
      </c>
      <c r="G2" s="305"/>
      <c r="H2" s="314"/>
      <c r="O2" s="302" t="s">
        <v>8</v>
      </c>
      <c r="P2" s="314"/>
    </row>
    <row r="3" spans="1:24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4">
      <c r="B4" s="27">
        <v>45575</v>
      </c>
      <c r="C4" s="30">
        <v>901</v>
      </c>
      <c r="D4" s="36">
        <f>4830+4970+4720+4840+4490</f>
        <v>23850</v>
      </c>
      <c r="E4" s="70">
        <f>D4/C4</f>
        <v>26.470588235294116</v>
      </c>
      <c r="F4" s="315">
        <f>C8-P8</f>
        <v>858</v>
      </c>
      <c r="G4" s="318">
        <f>D8-(D8/C8*P8)</f>
        <v>22711.764705882353</v>
      </c>
      <c r="H4" s="327">
        <f>G4/F4</f>
        <v>26.47058823529412</v>
      </c>
      <c r="I4" s="321" t="s">
        <v>33</v>
      </c>
      <c r="J4" s="1">
        <f>B4+90</f>
        <v>45665</v>
      </c>
      <c r="K4" s="323">
        <f>C94</f>
        <v>360</v>
      </c>
      <c r="L4" s="325">
        <f>K8/F8</f>
        <v>0.41958041958041958</v>
      </c>
      <c r="M4" s="323">
        <f>E94</f>
        <v>498</v>
      </c>
      <c r="N4" s="323">
        <f>F8-C94-E94</f>
        <v>0</v>
      </c>
      <c r="O4" s="22">
        <v>45575</v>
      </c>
      <c r="P4" s="33">
        <v>43</v>
      </c>
      <c r="Q4">
        <v>54</v>
      </c>
      <c r="R4">
        <v>900</v>
      </c>
    </row>
    <row r="5" spans="1:24">
      <c r="B5" s="27"/>
      <c r="C5" s="30"/>
      <c r="D5" s="37"/>
      <c r="E5" s="70"/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>
        <f>R4-Q4</f>
        <v>846</v>
      </c>
    </row>
    <row r="6" spans="1:24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4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4" ht="18" thickBot="1">
      <c r="B8" s="9" t="s">
        <v>10</v>
      </c>
      <c r="C8" s="32">
        <f>SUM(C4:C7)</f>
        <v>901</v>
      </c>
      <c r="D8" s="39">
        <f>SUM(D4:D7)</f>
        <v>23850</v>
      </c>
      <c r="E8" s="71">
        <f>D8/C8</f>
        <v>26.470588235294116</v>
      </c>
      <c r="F8" s="32">
        <f>SUM(F4)</f>
        <v>858</v>
      </c>
      <c r="G8" s="39">
        <f>SUM(G4)</f>
        <v>22711.764705882353</v>
      </c>
      <c r="H8" s="71">
        <f>G8/F8</f>
        <v>26.47058823529412</v>
      </c>
      <c r="I8" s="8"/>
      <c r="J8" s="8"/>
      <c r="K8" s="32">
        <f>K4</f>
        <v>360</v>
      </c>
      <c r="L8" s="26">
        <f>L4</f>
        <v>0.41958041958041958</v>
      </c>
      <c r="M8" s="32">
        <f>M4</f>
        <v>498</v>
      </c>
      <c r="N8" s="32">
        <f>N4</f>
        <v>0</v>
      </c>
      <c r="O8" s="46">
        <f>P8/C8</f>
        <v>4.7724750277469481E-2</v>
      </c>
      <c r="P8" s="35">
        <f>SUM(P4:P7)</f>
        <v>43</v>
      </c>
      <c r="Q8" s="69">
        <f>P8-Q4</f>
        <v>-11</v>
      </c>
      <c r="U8" s="91"/>
      <c r="W8" s="73">
        <v>45558</v>
      </c>
      <c r="X8">
        <v>5</v>
      </c>
    </row>
    <row r="9" spans="1:24" ht="18" thickBot="1">
      <c r="G9">
        <v>22732</v>
      </c>
      <c r="I9">
        <f>F8*0.95</f>
        <v>815.09999999999991</v>
      </c>
      <c r="U9" s="186"/>
      <c r="W9" s="73">
        <v>45559</v>
      </c>
      <c r="X9">
        <v>4</v>
      </c>
    </row>
    <row r="10" spans="1:24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 s="296" t="s">
        <v>43</v>
      </c>
      <c r="V10" s="297"/>
      <c r="W10" s="73">
        <v>45560</v>
      </c>
      <c r="X10">
        <v>4</v>
      </c>
    </row>
    <row r="11" spans="1:24" ht="18" thickBot="1">
      <c r="B11" s="9" t="s">
        <v>0</v>
      </c>
      <c r="C11" s="224" t="s">
        <v>1</v>
      </c>
      <c r="D11" s="224" t="s">
        <v>0</v>
      </c>
      <c r="E11" s="224" t="s">
        <v>1</v>
      </c>
      <c r="F11" s="224" t="s">
        <v>2</v>
      </c>
      <c r="G11" s="224" t="s">
        <v>3</v>
      </c>
      <c r="H11" s="224" t="s">
        <v>0</v>
      </c>
      <c r="I11" s="224" t="s">
        <v>15</v>
      </c>
      <c r="J11" s="224" t="s">
        <v>16</v>
      </c>
      <c r="K11" s="56" t="s">
        <v>15</v>
      </c>
      <c r="L11" s="224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 s="88" t="s">
        <v>44</v>
      </c>
      <c r="V11" s="89" t="s">
        <v>1</v>
      </c>
      <c r="W11" s="73">
        <v>45561</v>
      </c>
      <c r="X11">
        <v>15</v>
      </c>
    </row>
    <row r="12" spans="1:24">
      <c r="B12" s="208">
        <v>45586</v>
      </c>
      <c r="C12" s="209">
        <v>11</v>
      </c>
      <c r="D12" s="75">
        <v>45691</v>
      </c>
      <c r="E12" s="10">
        <v>70</v>
      </c>
      <c r="F12" s="44">
        <v>8180</v>
      </c>
      <c r="G12" s="79">
        <f>F12/E12</f>
        <v>116.85714285714286</v>
      </c>
      <c r="H12" s="18">
        <v>45579</v>
      </c>
      <c r="I12" s="19" t="s">
        <v>28</v>
      </c>
      <c r="J12" s="61">
        <v>7420</v>
      </c>
      <c r="K12" s="57" t="s">
        <v>18</v>
      </c>
      <c r="L12" s="52">
        <f>SUMIF($I$12:$I$159,K12,$J$12:$J$159)</f>
        <v>21350</v>
      </c>
      <c r="M12" s="48">
        <f>L12/$C$8</f>
        <v>23.695893451720309</v>
      </c>
      <c r="N12" s="66"/>
      <c r="O12" s="310"/>
      <c r="P12" s="311"/>
      <c r="R12" s="84" t="s">
        <v>202</v>
      </c>
      <c r="S12" s="85">
        <v>70</v>
      </c>
      <c r="U12" s="84"/>
      <c r="V12" s="85"/>
      <c r="W12" s="73">
        <v>45563</v>
      </c>
      <c r="X12">
        <v>3</v>
      </c>
    </row>
    <row r="13" spans="1:24">
      <c r="B13" s="208">
        <v>45587</v>
      </c>
      <c r="C13" s="209">
        <v>20</v>
      </c>
      <c r="D13" s="76">
        <v>45698</v>
      </c>
      <c r="E13" s="11">
        <v>59</v>
      </c>
      <c r="F13" s="37">
        <v>6940</v>
      </c>
      <c r="G13" s="79">
        <f t="shared" ref="G13:G25" si="0">F13/E13</f>
        <v>117.62711864406779</v>
      </c>
      <c r="H13" s="47">
        <v>45593</v>
      </c>
      <c r="I13" s="19" t="s">
        <v>28</v>
      </c>
      <c r="J13" s="62">
        <v>4990</v>
      </c>
      <c r="K13" s="58" t="s">
        <v>25</v>
      </c>
      <c r="L13" s="53">
        <f t="shared" ref="L13:L15" si="1">SUMIF($I$12:$I$159,K13,$J$12:$J$159)</f>
        <v>30430</v>
      </c>
      <c r="M13" s="49">
        <f t="shared" ref="M13:M15" si="2">L13/$C$8</f>
        <v>33.773584905660378</v>
      </c>
      <c r="N13" s="1"/>
      <c r="O13" s="312"/>
      <c r="P13" s="313"/>
      <c r="R13" s="84" t="s">
        <v>50</v>
      </c>
      <c r="S13" s="85">
        <v>59</v>
      </c>
      <c r="U13" s="84"/>
      <c r="V13" s="85"/>
      <c r="W13" s="73">
        <v>45564</v>
      </c>
      <c r="X13">
        <v>8</v>
      </c>
    </row>
    <row r="14" spans="1:24">
      <c r="B14" s="210">
        <v>45588</v>
      </c>
      <c r="C14" s="211">
        <v>15</v>
      </c>
      <c r="D14" s="76">
        <v>45707</v>
      </c>
      <c r="E14" s="11">
        <v>45</v>
      </c>
      <c r="F14" s="37">
        <f>7700/71*E14</f>
        <v>4880.2816901408451</v>
      </c>
      <c r="G14" s="79">
        <f t="shared" si="0"/>
        <v>108.45070422535211</v>
      </c>
      <c r="H14" s="47">
        <v>45601</v>
      </c>
      <c r="I14" s="19" t="s">
        <v>127</v>
      </c>
      <c r="J14" s="62">
        <v>9970</v>
      </c>
      <c r="K14" s="106" t="s">
        <v>26</v>
      </c>
      <c r="L14" s="53">
        <f t="shared" si="1"/>
        <v>128860</v>
      </c>
      <c r="M14" s="107">
        <f t="shared" si="2"/>
        <v>143.01886792452831</v>
      </c>
      <c r="N14" s="1"/>
      <c r="O14" s="225"/>
      <c r="P14" s="226"/>
      <c r="R14" s="84" t="s">
        <v>52</v>
      </c>
      <c r="S14" s="85">
        <v>115</v>
      </c>
      <c r="U14" s="84"/>
      <c r="V14" s="85"/>
      <c r="W14" s="73"/>
    </row>
    <row r="15" spans="1:24" ht="18" thickBot="1">
      <c r="B15" s="210">
        <v>45589</v>
      </c>
      <c r="C15" s="211">
        <v>11</v>
      </c>
      <c r="D15" s="76">
        <v>45707</v>
      </c>
      <c r="E15" s="11">
        <v>70</v>
      </c>
      <c r="F15" s="37">
        <v>8010</v>
      </c>
      <c r="G15" s="79">
        <f t="shared" si="0"/>
        <v>114.42857142857143</v>
      </c>
      <c r="H15" s="47">
        <v>45614</v>
      </c>
      <c r="I15" s="19" t="s">
        <v>127</v>
      </c>
      <c r="J15" s="62">
        <v>7020</v>
      </c>
      <c r="K15" s="59" t="s">
        <v>93</v>
      </c>
      <c r="L15" s="54">
        <f t="shared" si="1"/>
        <v>0</v>
      </c>
      <c r="M15" s="50">
        <f t="shared" si="2"/>
        <v>0</v>
      </c>
      <c r="N15" s="1"/>
      <c r="O15" s="298"/>
      <c r="P15" s="299"/>
      <c r="R15" s="84" t="s">
        <v>54</v>
      </c>
      <c r="S15" s="85">
        <v>90</v>
      </c>
      <c r="U15" s="84"/>
      <c r="V15" s="85"/>
      <c r="W15" s="73"/>
    </row>
    <row r="16" spans="1:24" ht="18" thickBot="1">
      <c r="B16" s="210">
        <v>45590</v>
      </c>
      <c r="C16" s="211">
        <v>14</v>
      </c>
      <c r="D16" s="76">
        <v>45715</v>
      </c>
      <c r="E16" s="11">
        <v>50</v>
      </c>
      <c r="F16" s="37">
        <v>5670</v>
      </c>
      <c r="G16" s="79">
        <f t="shared" si="0"/>
        <v>113.4</v>
      </c>
      <c r="H16" s="47">
        <v>45614</v>
      </c>
      <c r="I16" s="19" t="s">
        <v>28</v>
      </c>
      <c r="J16" s="62">
        <v>4160</v>
      </c>
      <c r="K16" s="60" t="s">
        <v>21</v>
      </c>
      <c r="L16" s="55">
        <f>SUM(L12:L15)</f>
        <v>180640</v>
      </c>
      <c r="M16" s="40">
        <f>L16/700</f>
        <v>258.05714285714288</v>
      </c>
      <c r="N16" s="1"/>
      <c r="O16" s="298"/>
      <c r="P16" s="299"/>
      <c r="R16" s="84" t="s">
        <v>200</v>
      </c>
      <c r="S16" s="85">
        <v>120</v>
      </c>
      <c r="U16" s="84"/>
      <c r="V16" s="85"/>
      <c r="W16" s="73"/>
    </row>
    <row r="17" spans="2:23">
      <c r="B17" s="210">
        <v>45591</v>
      </c>
      <c r="C17" s="211">
        <v>27</v>
      </c>
      <c r="D17" s="76">
        <v>45722</v>
      </c>
      <c r="E17" s="11">
        <v>55</v>
      </c>
      <c r="F17" s="37">
        <v>6180</v>
      </c>
      <c r="G17" s="79">
        <f t="shared" si="0"/>
        <v>112.36363636363636</v>
      </c>
      <c r="H17" s="47">
        <v>45624</v>
      </c>
      <c r="I17" s="19" t="s">
        <v>28</v>
      </c>
      <c r="J17" s="62">
        <v>4780</v>
      </c>
      <c r="N17" s="63"/>
      <c r="O17" s="298"/>
      <c r="P17" s="299"/>
      <c r="R17" s="84" t="s">
        <v>61</v>
      </c>
      <c r="S17" s="85"/>
      <c r="U17" s="84"/>
      <c r="V17" s="85"/>
      <c r="W17" s="73"/>
    </row>
    <row r="18" spans="2:23">
      <c r="B18" s="210">
        <v>45592</v>
      </c>
      <c r="C18" s="211">
        <v>12</v>
      </c>
      <c r="D18" s="76">
        <v>45727</v>
      </c>
      <c r="E18" s="11">
        <v>20</v>
      </c>
      <c r="F18" s="37">
        <v>2390</v>
      </c>
      <c r="G18" s="79">
        <f t="shared" si="0"/>
        <v>119.5</v>
      </c>
      <c r="H18" s="47">
        <v>45629</v>
      </c>
      <c r="I18" s="19" t="s">
        <v>29</v>
      </c>
      <c r="J18" s="41">
        <v>5450</v>
      </c>
      <c r="N18" s="63"/>
      <c r="O18" s="298"/>
      <c r="P18" s="299"/>
      <c r="R18" s="84" t="s">
        <v>62</v>
      </c>
      <c r="S18" s="85">
        <v>50</v>
      </c>
      <c r="U18" s="84"/>
      <c r="V18" s="85"/>
      <c r="W18" s="73"/>
    </row>
    <row r="19" spans="2:23">
      <c r="B19" s="74">
        <v>45593</v>
      </c>
      <c r="C19" s="15">
        <v>14</v>
      </c>
      <c r="D19" s="76">
        <v>45733</v>
      </c>
      <c r="E19" s="11">
        <v>50</v>
      </c>
      <c r="F19" s="37">
        <v>5800</v>
      </c>
      <c r="G19" s="79">
        <f t="shared" si="0"/>
        <v>116</v>
      </c>
      <c r="H19" s="47">
        <v>45632</v>
      </c>
      <c r="I19" s="19" t="s">
        <v>29</v>
      </c>
      <c r="J19" s="41">
        <v>2990</v>
      </c>
      <c r="K19" t="s">
        <v>32</v>
      </c>
      <c r="L19" s="78">
        <f>(J94/I9)/(113-H8)</f>
        <v>2.56117515411229</v>
      </c>
      <c r="N19" s="63"/>
      <c r="O19" s="298"/>
      <c r="P19" s="299"/>
      <c r="R19" s="84" t="s">
        <v>63</v>
      </c>
      <c r="S19" s="85"/>
      <c r="U19" s="84"/>
      <c r="V19" s="85"/>
      <c r="W19" s="73"/>
    </row>
    <row r="20" spans="2:23">
      <c r="B20" s="74">
        <v>45594</v>
      </c>
      <c r="C20" s="15">
        <v>14</v>
      </c>
      <c r="D20" s="76">
        <v>45736</v>
      </c>
      <c r="E20" s="11">
        <v>60</v>
      </c>
      <c r="F20" s="37">
        <v>6820</v>
      </c>
      <c r="G20" s="79">
        <f t="shared" si="0"/>
        <v>113.66666666666667</v>
      </c>
      <c r="H20" s="47">
        <v>45632</v>
      </c>
      <c r="I20" s="19" t="s">
        <v>127</v>
      </c>
      <c r="J20" s="41">
        <v>7040</v>
      </c>
      <c r="K20" t="s">
        <v>172</v>
      </c>
      <c r="L20" s="183"/>
      <c r="N20" s="63"/>
      <c r="O20" s="298"/>
      <c r="P20" s="299"/>
      <c r="R20" s="84" t="s">
        <v>201</v>
      </c>
      <c r="S20" s="85"/>
      <c r="U20" s="84"/>
      <c r="V20" s="85"/>
      <c r="W20" s="73"/>
    </row>
    <row r="21" spans="2:23">
      <c r="B21" s="74">
        <v>45595</v>
      </c>
      <c r="C21" s="15">
        <v>13</v>
      </c>
      <c r="D21" s="76">
        <v>45741</v>
      </c>
      <c r="E21" s="11">
        <v>19</v>
      </c>
      <c r="F21" s="37">
        <f>7500/65*E21</f>
        <v>2192.3076923076924</v>
      </c>
      <c r="G21" s="79">
        <f t="shared" si="0"/>
        <v>115.38461538461539</v>
      </c>
      <c r="H21" s="47">
        <v>45642</v>
      </c>
      <c r="I21" s="19" t="s">
        <v>29</v>
      </c>
      <c r="J21" s="41">
        <v>10020</v>
      </c>
      <c r="N21" s="63"/>
      <c r="O21" s="298"/>
      <c r="P21" s="299"/>
      <c r="R21" s="84" t="s">
        <v>86</v>
      </c>
      <c r="S21" s="85"/>
      <c r="U21" s="84"/>
      <c r="V21" s="85"/>
    </row>
    <row r="22" spans="2:23">
      <c r="B22" s="92">
        <v>45596</v>
      </c>
      <c r="C22" s="17">
        <v>7</v>
      </c>
      <c r="D22" s="11"/>
      <c r="E22" s="11"/>
      <c r="F22" s="37"/>
      <c r="G22" s="79" t="e">
        <f t="shared" si="0"/>
        <v>#DIV/0!</v>
      </c>
      <c r="H22" s="47">
        <v>45647</v>
      </c>
      <c r="I22" s="19" t="s">
        <v>127</v>
      </c>
      <c r="J22" s="41">
        <v>8000</v>
      </c>
      <c r="N22" s="63"/>
      <c r="O22" s="298"/>
      <c r="P22" s="299"/>
      <c r="R22" s="84" t="s">
        <v>87</v>
      </c>
      <c r="S22" s="85"/>
      <c r="U22" s="84"/>
      <c r="V22" s="85"/>
    </row>
    <row r="23" spans="2:23">
      <c r="B23" s="74">
        <v>45597</v>
      </c>
      <c r="C23" s="15">
        <v>8</v>
      </c>
      <c r="D23" s="11"/>
      <c r="E23" s="11"/>
      <c r="F23" s="37"/>
      <c r="G23" s="79" t="e">
        <f t="shared" si="0"/>
        <v>#DIV/0!</v>
      </c>
      <c r="H23" s="47">
        <v>46021</v>
      </c>
      <c r="I23" s="19" t="s">
        <v>127</v>
      </c>
      <c r="J23" s="41">
        <v>4960</v>
      </c>
      <c r="L23">
        <f>9980/539/6</f>
        <v>3.0859616573902287</v>
      </c>
      <c r="M23" s="25"/>
      <c r="N23" s="63"/>
      <c r="O23" s="298"/>
      <c r="P23" s="299"/>
      <c r="R23" s="84" t="s">
        <v>88</v>
      </c>
      <c r="S23" s="85"/>
      <c r="U23" s="84"/>
      <c r="V23" s="85"/>
    </row>
    <row r="24" spans="2:23">
      <c r="B24" s="74">
        <v>45598</v>
      </c>
      <c r="C24" s="15">
        <v>5</v>
      </c>
      <c r="D24" s="11"/>
      <c r="E24" s="11"/>
      <c r="F24" s="37"/>
      <c r="G24" s="79" t="e">
        <f t="shared" si="0"/>
        <v>#DIV/0!</v>
      </c>
      <c r="H24" s="47">
        <v>45661</v>
      </c>
      <c r="I24" s="19" t="s">
        <v>127</v>
      </c>
      <c r="J24" s="41">
        <v>6980</v>
      </c>
      <c r="L24">
        <f>6980/4.5/541</f>
        <v>2.8671185048264531</v>
      </c>
      <c r="N24" s="63"/>
      <c r="O24" s="298"/>
      <c r="P24" s="299"/>
      <c r="R24" s="84"/>
      <c r="S24" s="85"/>
      <c r="U24" s="84"/>
      <c r="V24" s="85"/>
    </row>
    <row r="25" spans="2:23">
      <c r="B25" s="74">
        <v>45599</v>
      </c>
      <c r="C25" s="15">
        <v>5</v>
      </c>
      <c r="D25" s="11"/>
      <c r="E25" s="11"/>
      <c r="F25" s="37"/>
      <c r="G25" s="79" t="e">
        <f t="shared" si="0"/>
        <v>#DIV/0!</v>
      </c>
      <c r="H25" s="47">
        <v>45667</v>
      </c>
      <c r="I25" s="19" t="s">
        <v>127</v>
      </c>
      <c r="J25" s="41">
        <v>9980</v>
      </c>
      <c r="N25" s="63"/>
      <c r="O25" s="298"/>
      <c r="P25" s="299"/>
      <c r="R25" s="84"/>
      <c r="S25" s="85"/>
      <c r="U25" s="84"/>
      <c r="V25" s="85"/>
    </row>
    <row r="26" spans="2:23">
      <c r="B26" s="74">
        <v>45600</v>
      </c>
      <c r="C26" s="15">
        <v>9</v>
      </c>
      <c r="D26" s="11"/>
      <c r="E26" s="11"/>
      <c r="F26" s="37"/>
      <c r="G26" s="129"/>
      <c r="H26" s="47">
        <v>45673</v>
      </c>
      <c r="I26" s="19" t="s">
        <v>127</v>
      </c>
      <c r="J26" s="41">
        <v>7000</v>
      </c>
      <c r="N26" s="64"/>
      <c r="O26" s="298"/>
      <c r="P26" s="299"/>
      <c r="R26" s="84"/>
      <c r="S26" s="85"/>
      <c r="U26" s="84"/>
      <c r="V26" s="85"/>
    </row>
    <row r="27" spans="2:23">
      <c r="B27" s="74">
        <v>45601</v>
      </c>
      <c r="C27" s="15">
        <v>18</v>
      </c>
      <c r="D27" s="11"/>
      <c r="E27" s="11"/>
      <c r="F27" s="37"/>
      <c r="G27" s="37"/>
      <c r="H27" s="47">
        <v>45678</v>
      </c>
      <c r="I27" s="19" t="s">
        <v>127</v>
      </c>
      <c r="J27" s="41">
        <v>5980</v>
      </c>
      <c r="L27" t="e">
        <f>9980/N8/6</f>
        <v>#DIV/0!</v>
      </c>
      <c r="N27" s="64"/>
      <c r="O27" s="298"/>
      <c r="P27" s="299"/>
      <c r="R27" s="84"/>
      <c r="S27" s="85"/>
      <c r="U27" s="84"/>
      <c r="V27" s="85"/>
    </row>
    <row r="28" spans="2:23">
      <c r="B28" s="74">
        <v>45602</v>
      </c>
      <c r="C28" s="15">
        <v>5</v>
      </c>
      <c r="D28" s="11"/>
      <c r="E28" s="11"/>
      <c r="F28" s="37"/>
      <c r="G28" s="37"/>
      <c r="H28" s="47">
        <v>45678</v>
      </c>
      <c r="I28" s="19" t="s">
        <v>29</v>
      </c>
      <c r="J28" s="41">
        <v>3980</v>
      </c>
      <c r="N28" s="64"/>
      <c r="O28" s="298"/>
      <c r="P28" s="299"/>
      <c r="R28" s="84"/>
      <c r="S28" s="85"/>
      <c r="U28" s="84"/>
      <c r="V28" s="85"/>
    </row>
    <row r="29" spans="2:23">
      <c r="B29" s="74">
        <v>45603</v>
      </c>
      <c r="C29" s="15">
        <v>4</v>
      </c>
      <c r="D29" s="11"/>
      <c r="E29" s="11"/>
      <c r="F29" s="37"/>
      <c r="G29" s="37"/>
      <c r="H29" s="47">
        <v>45682</v>
      </c>
      <c r="I29" s="19" t="s">
        <v>127</v>
      </c>
      <c r="J29" s="41">
        <v>12040</v>
      </c>
      <c r="N29" s="64"/>
      <c r="O29" s="298"/>
      <c r="P29" s="299"/>
      <c r="R29" s="84"/>
      <c r="S29" s="85"/>
      <c r="U29" s="84"/>
      <c r="V29" s="85"/>
    </row>
    <row r="30" spans="2:23">
      <c r="B30" s="74">
        <v>45604</v>
      </c>
      <c r="C30" s="15">
        <v>6</v>
      </c>
      <c r="D30" s="11"/>
      <c r="E30" s="11"/>
      <c r="F30" s="37"/>
      <c r="G30" s="37"/>
      <c r="H30" s="47">
        <v>45688</v>
      </c>
      <c r="I30" s="19" t="s">
        <v>127</v>
      </c>
      <c r="J30" s="41">
        <v>6990</v>
      </c>
      <c r="N30" s="64"/>
      <c r="O30" s="298"/>
      <c r="P30" s="299"/>
      <c r="R30" s="84"/>
      <c r="S30" s="85"/>
      <c r="U30" s="84"/>
      <c r="V30" s="85"/>
    </row>
    <row r="31" spans="2:23">
      <c r="B31" s="74">
        <v>45605</v>
      </c>
      <c r="C31" s="15">
        <v>3</v>
      </c>
      <c r="D31" s="11"/>
      <c r="E31" s="11"/>
      <c r="F31" s="37"/>
      <c r="G31" s="37"/>
      <c r="H31" s="47">
        <v>45688</v>
      </c>
      <c r="I31" s="19" t="s">
        <v>29</v>
      </c>
      <c r="J31" s="41">
        <v>3000</v>
      </c>
      <c r="N31" s="64"/>
      <c r="O31" s="298"/>
      <c r="P31" s="299"/>
      <c r="R31" s="84"/>
      <c r="S31" s="85"/>
      <c r="U31" s="84"/>
      <c r="V31" s="85"/>
    </row>
    <row r="32" spans="2:23" ht="18" thickBot="1">
      <c r="B32" s="74">
        <v>45606</v>
      </c>
      <c r="C32" s="15">
        <v>2</v>
      </c>
      <c r="D32" s="11"/>
      <c r="E32" s="11"/>
      <c r="F32" s="37"/>
      <c r="G32" s="37"/>
      <c r="H32" s="47">
        <v>45693</v>
      </c>
      <c r="I32" s="19" t="s">
        <v>127</v>
      </c>
      <c r="J32" s="41">
        <v>11910</v>
      </c>
      <c r="N32" s="64"/>
      <c r="O32" s="298"/>
      <c r="P32" s="299"/>
      <c r="R32" s="86"/>
      <c r="S32" s="87"/>
      <c r="U32" s="86"/>
      <c r="V32" s="87"/>
    </row>
    <row r="33" spans="2:16" ht="18" thickTop="1">
      <c r="B33" s="74">
        <v>45607</v>
      </c>
      <c r="C33" s="15">
        <v>8</v>
      </c>
      <c r="D33" s="11"/>
      <c r="E33" s="11"/>
      <c r="F33" s="37"/>
      <c r="G33" s="37"/>
      <c r="H33" s="47">
        <v>45699</v>
      </c>
      <c r="I33" s="19" t="s">
        <v>127</v>
      </c>
      <c r="J33" s="41">
        <v>6890</v>
      </c>
      <c r="N33" s="64"/>
      <c r="O33" s="298"/>
      <c r="P33" s="299"/>
    </row>
    <row r="34" spans="2:16">
      <c r="B34" s="74">
        <v>45609</v>
      </c>
      <c r="C34" s="15">
        <v>2</v>
      </c>
      <c r="D34" s="11"/>
      <c r="E34" s="11"/>
      <c r="F34" s="37"/>
      <c r="G34" s="37"/>
      <c r="H34" s="47">
        <v>45703</v>
      </c>
      <c r="I34" s="19" t="s">
        <v>127</v>
      </c>
      <c r="J34" s="41">
        <v>4940</v>
      </c>
      <c r="N34" s="64"/>
      <c r="O34" s="298"/>
      <c r="P34" s="299"/>
    </row>
    <row r="35" spans="2:16">
      <c r="B35" s="74">
        <v>45610</v>
      </c>
      <c r="C35" s="15">
        <v>1</v>
      </c>
      <c r="D35" s="11"/>
      <c r="E35" s="11"/>
      <c r="F35" s="37"/>
      <c r="G35" s="37"/>
      <c r="H35" s="47">
        <v>45707</v>
      </c>
      <c r="I35" s="19" t="s">
        <v>127</v>
      </c>
      <c r="J35" s="41">
        <v>5040</v>
      </c>
      <c r="N35" s="64"/>
      <c r="O35" s="298"/>
      <c r="P35" s="299"/>
    </row>
    <row r="36" spans="2:16">
      <c r="B36" s="74">
        <v>45611</v>
      </c>
      <c r="C36" s="15">
        <v>1</v>
      </c>
      <c r="D36" s="11"/>
      <c r="E36" s="11"/>
      <c r="F36" s="37"/>
      <c r="G36" s="37"/>
      <c r="H36" s="47">
        <v>45714</v>
      </c>
      <c r="I36" s="19" t="s">
        <v>127</v>
      </c>
      <c r="J36" s="41">
        <v>7050</v>
      </c>
      <c r="N36" s="64"/>
      <c r="O36" s="298"/>
      <c r="P36" s="299"/>
    </row>
    <row r="37" spans="2:16">
      <c r="B37" s="74">
        <v>45612</v>
      </c>
      <c r="C37" s="15">
        <v>2</v>
      </c>
      <c r="D37" s="11"/>
      <c r="E37" s="11"/>
      <c r="F37" s="37"/>
      <c r="G37" s="37"/>
      <c r="H37" s="47">
        <v>45720</v>
      </c>
      <c r="I37" s="19" t="s">
        <v>127</v>
      </c>
      <c r="J37" s="41">
        <v>7070</v>
      </c>
      <c r="N37" s="64"/>
      <c r="O37" s="298"/>
      <c r="P37" s="299"/>
    </row>
    <row r="38" spans="2:16">
      <c r="B38" s="74">
        <v>45613</v>
      </c>
      <c r="C38" s="15">
        <v>2</v>
      </c>
      <c r="D38" s="11"/>
      <c r="E38" s="11"/>
      <c r="F38" s="37"/>
      <c r="G38" s="37"/>
      <c r="H38" s="279"/>
      <c r="I38" s="20"/>
      <c r="J38" s="41"/>
      <c r="N38" s="64"/>
      <c r="O38" s="298"/>
      <c r="P38" s="299"/>
    </row>
    <row r="39" spans="2:16">
      <c r="B39" s="74">
        <v>45614</v>
      </c>
      <c r="C39" s="15">
        <v>3</v>
      </c>
      <c r="D39" s="11"/>
      <c r="E39" s="11"/>
      <c r="F39" s="37"/>
      <c r="G39" s="37"/>
      <c r="H39" s="20"/>
      <c r="I39" s="20"/>
      <c r="J39" s="41"/>
      <c r="N39" s="64"/>
      <c r="O39" s="298"/>
      <c r="P39" s="299"/>
    </row>
    <row r="40" spans="2:16">
      <c r="B40" s="74">
        <v>45615</v>
      </c>
      <c r="C40" s="15">
        <v>4</v>
      </c>
      <c r="D40" s="11"/>
      <c r="E40" s="11"/>
      <c r="F40" s="37"/>
      <c r="G40" s="37"/>
      <c r="H40" s="20"/>
      <c r="I40" s="20"/>
      <c r="J40" s="41"/>
      <c r="N40" s="64"/>
      <c r="O40" s="298"/>
      <c r="P40" s="299"/>
    </row>
    <row r="41" spans="2:16">
      <c r="B41" s="74">
        <v>45616</v>
      </c>
      <c r="C41" s="15">
        <v>2</v>
      </c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74">
        <v>45617</v>
      </c>
      <c r="C42" s="15">
        <v>3</v>
      </c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74">
        <v>45618</v>
      </c>
      <c r="C43" s="15">
        <v>1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74">
        <v>45619</v>
      </c>
      <c r="C44" s="15">
        <v>3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74">
        <v>45621</v>
      </c>
      <c r="C45" s="15">
        <v>6</v>
      </c>
      <c r="D45" s="11"/>
      <c r="E45" s="11"/>
      <c r="F45" s="37"/>
      <c r="G45" s="37"/>
      <c r="H45" s="47">
        <v>45935</v>
      </c>
      <c r="I45" s="19" t="s">
        <v>29</v>
      </c>
      <c r="J45" s="41">
        <v>4990</v>
      </c>
      <c r="N45" s="64"/>
      <c r="O45" s="298"/>
      <c r="P45" s="299"/>
    </row>
    <row r="46" spans="2:16">
      <c r="B46" s="74">
        <v>45622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74">
        <v>45624</v>
      </c>
      <c r="C47" s="15">
        <v>1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45625</v>
      </c>
      <c r="C48" s="15">
        <v>9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45627</v>
      </c>
      <c r="C49" s="15">
        <v>2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74">
        <v>45628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74">
        <v>45630</v>
      </c>
      <c r="C51" s="15">
        <v>1</v>
      </c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74">
        <v>45635</v>
      </c>
      <c r="C52" s="15">
        <v>2</v>
      </c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74">
        <v>45636</v>
      </c>
      <c r="C53" s="15">
        <v>3</v>
      </c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74">
        <v>45637</v>
      </c>
      <c r="C54" s="15">
        <v>2</v>
      </c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74">
        <v>45638</v>
      </c>
      <c r="C55" s="15">
        <v>2</v>
      </c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74">
        <v>45640</v>
      </c>
      <c r="C56" s="15">
        <v>2</v>
      </c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74">
        <v>45641</v>
      </c>
      <c r="C57" s="15">
        <v>2</v>
      </c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>
      <c r="B58" s="92">
        <v>45642</v>
      </c>
      <c r="C58" s="17">
        <v>4</v>
      </c>
      <c r="D58" s="12"/>
      <c r="E58" s="12"/>
      <c r="F58" s="36"/>
      <c r="G58" s="36"/>
      <c r="H58" s="21"/>
      <c r="I58" s="21"/>
      <c r="J58" s="42"/>
      <c r="N58" s="64"/>
      <c r="O58" s="249"/>
      <c r="P58" s="250"/>
    </row>
    <row r="59" spans="2:16">
      <c r="B59" s="92">
        <v>45643</v>
      </c>
      <c r="C59" s="17">
        <v>1</v>
      </c>
      <c r="D59" s="12"/>
      <c r="E59" s="12"/>
      <c r="F59" s="36"/>
      <c r="G59" s="36"/>
      <c r="H59" s="21"/>
      <c r="I59" s="21"/>
      <c r="J59" s="42"/>
      <c r="N59" s="64"/>
      <c r="O59" s="249"/>
      <c r="P59" s="250"/>
    </row>
    <row r="60" spans="2:16">
      <c r="B60" s="92">
        <v>45644</v>
      </c>
      <c r="C60" s="17">
        <v>2</v>
      </c>
      <c r="D60" s="12"/>
      <c r="E60" s="12"/>
      <c r="F60" s="36"/>
      <c r="G60" s="36"/>
      <c r="H60" s="21"/>
      <c r="I60" s="21"/>
      <c r="J60" s="42"/>
      <c r="N60" s="64"/>
      <c r="O60" s="249"/>
      <c r="P60" s="250"/>
    </row>
    <row r="61" spans="2:16">
      <c r="B61" s="92">
        <v>45645</v>
      </c>
      <c r="C61" s="17">
        <v>2</v>
      </c>
      <c r="D61" s="12"/>
      <c r="E61" s="12"/>
      <c r="F61" s="36"/>
      <c r="G61" s="36"/>
      <c r="H61" s="21"/>
      <c r="I61" s="21"/>
      <c r="J61" s="42"/>
      <c r="N61" s="64"/>
      <c r="O61" s="249"/>
      <c r="P61" s="250"/>
    </row>
    <row r="62" spans="2:16">
      <c r="B62" s="92">
        <v>45646</v>
      </c>
      <c r="C62" s="17">
        <v>1</v>
      </c>
      <c r="D62" s="12"/>
      <c r="E62" s="12"/>
      <c r="F62" s="36"/>
      <c r="G62" s="36"/>
      <c r="H62" s="21"/>
      <c r="I62" s="21"/>
      <c r="J62" s="42"/>
      <c r="N62" s="64"/>
      <c r="O62" s="249"/>
      <c r="P62" s="250"/>
    </row>
    <row r="63" spans="2:16">
      <c r="B63" s="92"/>
      <c r="C63" s="17">
        <v>5</v>
      </c>
      <c r="D63" s="12"/>
      <c r="E63" s="12"/>
      <c r="F63" s="36"/>
      <c r="G63" s="36"/>
      <c r="H63" s="21"/>
      <c r="I63" s="21"/>
      <c r="J63" s="42"/>
      <c r="N63" s="64"/>
      <c r="O63" s="253"/>
      <c r="P63" s="254"/>
    </row>
    <row r="64" spans="2:16">
      <c r="B64" s="92">
        <v>45649</v>
      </c>
      <c r="C64" s="17">
        <v>3</v>
      </c>
      <c r="D64" s="12"/>
      <c r="E64" s="12"/>
      <c r="F64" s="36"/>
      <c r="G64" s="36"/>
      <c r="H64" s="21"/>
      <c r="I64" s="21"/>
      <c r="J64" s="42"/>
      <c r="N64" s="64"/>
      <c r="O64" s="253"/>
      <c r="P64" s="254"/>
    </row>
    <row r="65" spans="2:16">
      <c r="B65" s="92">
        <v>45650</v>
      </c>
      <c r="C65" s="17">
        <v>1</v>
      </c>
      <c r="D65" s="12"/>
      <c r="E65" s="12"/>
      <c r="F65" s="36"/>
      <c r="G65" s="36"/>
      <c r="H65" s="21"/>
      <c r="I65" s="21"/>
      <c r="J65" s="42"/>
      <c r="N65" s="64"/>
      <c r="O65" s="253"/>
      <c r="P65" s="254"/>
    </row>
    <row r="66" spans="2:16">
      <c r="B66" s="92">
        <v>45651</v>
      </c>
      <c r="C66" s="17">
        <v>1</v>
      </c>
      <c r="D66" s="12"/>
      <c r="E66" s="12"/>
      <c r="F66" s="36"/>
      <c r="G66" s="36"/>
      <c r="H66" s="21"/>
      <c r="I66" s="21"/>
      <c r="J66" s="42"/>
      <c r="N66" s="64"/>
      <c r="O66" s="253"/>
      <c r="P66" s="254"/>
    </row>
    <row r="67" spans="2:16">
      <c r="B67" s="92">
        <v>45652</v>
      </c>
      <c r="C67" s="17">
        <v>1</v>
      </c>
      <c r="D67" s="12"/>
      <c r="E67" s="12"/>
      <c r="F67" s="36"/>
      <c r="G67" s="36"/>
      <c r="H67" s="21"/>
      <c r="I67" s="21"/>
      <c r="J67" s="42"/>
      <c r="N67" s="64"/>
      <c r="O67" s="253"/>
      <c r="P67" s="254"/>
    </row>
    <row r="68" spans="2:16">
      <c r="B68" s="92">
        <v>45653</v>
      </c>
      <c r="C68" s="17">
        <v>1</v>
      </c>
      <c r="D68" s="12"/>
      <c r="E68" s="12"/>
      <c r="F68" s="36"/>
      <c r="G68" s="36"/>
      <c r="H68" s="21"/>
      <c r="I68" s="21"/>
      <c r="J68" s="42"/>
      <c r="N68" s="64"/>
      <c r="O68" s="253"/>
      <c r="P68" s="254"/>
    </row>
    <row r="69" spans="2:16">
      <c r="B69" s="92">
        <v>45654</v>
      </c>
      <c r="C69" s="17">
        <v>3</v>
      </c>
      <c r="D69" s="12"/>
      <c r="E69" s="12"/>
      <c r="F69" s="36"/>
      <c r="G69" s="36"/>
      <c r="H69" s="21"/>
      <c r="I69" s="21"/>
      <c r="J69" s="42"/>
      <c r="N69" s="64"/>
      <c r="O69" s="253"/>
      <c r="P69" s="254"/>
    </row>
    <row r="70" spans="2:16">
      <c r="B70" s="92">
        <v>45656</v>
      </c>
      <c r="C70" s="17">
        <v>3</v>
      </c>
      <c r="D70" s="12"/>
      <c r="E70" s="12"/>
      <c r="F70" s="36"/>
      <c r="G70" s="36"/>
      <c r="H70" s="21"/>
      <c r="I70" s="21"/>
      <c r="J70" s="42"/>
      <c r="N70" s="64"/>
      <c r="O70" s="253"/>
      <c r="P70" s="254"/>
    </row>
    <row r="71" spans="2:16">
      <c r="B71" s="92">
        <v>45659</v>
      </c>
      <c r="C71" s="17">
        <v>2</v>
      </c>
      <c r="D71" s="12"/>
      <c r="E71" s="12"/>
      <c r="F71" s="36"/>
      <c r="G71" s="36"/>
      <c r="H71" s="21"/>
      <c r="I71" s="21"/>
      <c r="J71" s="42"/>
      <c r="N71" s="64"/>
      <c r="O71" s="261"/>
      <c r="P71" s="262"/>
    </row>
    <row r="72" spans="2:16">
      <c r="B72" s="92">
        <v>45660</v>
      </c>
      <c r="C72" s="17">
        <v>2</v>
      </c>
      <c r="D72" s="12"/>
      <c r="E72" s="12"/>
      <c r="F72" s="36"/>
      <c r="G72" s="36"/>
      <c r="H72" s="21"/>
      <c r="I72" s="21"/>
      <c r="J72" s="42"/>
      <c r="N72" s="64"/>
      <c r="O72" s="261"/>
      <c r="P72" s="262"/>
    </row>
    <row r="73" spans="2:16">
      <c r="B73" s="92">
        <v>45663</v>
      </c>
      <c r="C73" s="17">
        <v>2</v>
      </c>
      <c r="D73" s="12"/>
      <c r="E73" s="12"/>
      <c r="F73" s="36"/>
      <c r="G73" s="36"/>
      <c r="H73" s="21"/>
      <c r="I73" s="21"/>
      <c r="J73" s="42"/>
      <c r="N73" s="64"/>
      <c r="O73" s="261"/>
      <c r="P73" s="262"/>
    </row>
    <row r="74" spans="2:16">
      <c r="B74" s="92">
        <v>45664</v>
      </c>
      <c r="C74" s="17">
        <v>1</v>
      </c>
      <c r="D74" s="12"/>
      <c r="E74" s="12"/>
      <c r="F74" s="36"/>
      <c r="G74" s="36"/>
      <c r="H74" s="21"/>
      <c r="I74" s="21"/>
      <c r="J74" s="42"/>
      <c r="N74" s="64"/>
      <c r="O74" s="261"/>
      <c r="P74" s="262"/>
    </row>
    <row r="75" spans="2:16">
      <c r="B75" s="92">
        <v>45669</v>
      </c>
      <c r="C75" s="17">
        <v>4</v>
      </c>
      <c r="D75" s="12"/>
      <c r="E75" s="12"/>
      <c r="F75" s="36"/>
      <c r="G75" s="36"/>
      <c r="H75" s="21"/>
      <c r="I75" s="21"/>
      <c r="J75" s="42"/>
      <c r="N75" s="64"/>
      <c r="O75" s="261"/>
      <c r="P75" s="262"/>
    </row>
    <row r="76" spans="2:16">
      <c r="B76" s="92">
        <v>45670</v>
      </c>
      <c r="C76" s="17">
        <v>1</v>
      </c>
      <c r="D76" s="12"/>
      <c r="E76" s="12"/>
      <c r="F76" s="36"/>
      <c r="G76" s="36"/>
      <c r="H76" s="21"/>
      <c r="I76" s="21"/>
      <c r="J76" s="42"/>
      <c r="N76" s="64"/>
      <c r="O76" s="261"/>
      <c r="P76" s="262"/>
    </row>
    <row r="77" spans="2:16">
      <c r="B77" s="92">
        <v>45671</v>
      </c>
      <c r="C77" s="17">
        <v>2</v>
      </c>
      <c r="D77" s="12"/>
      <c r="E77" s="12"/>
      <c r="F77" s="36"/>
      <c r="G77" s="36"/>
      <c r="H77" s="21"/>
      <c r="I77" s="21"/>
      <c r="J77" s="42"/>
      <c r="N77" s="64"/>
      <c r="O77" s="261"/>
      <c r="P77" s="262"/>
    </row>
    <row r="78" spans="2:16">
      <c r="B78" s="92">
        <v>45672</v>
      </c>
      <c r="C78" s="17">
        <v>2</v>
      </c>
      <c r="D78" s="12"/>
      <c r="E78" s="12"/>
      <c r="F78" s="36"/>
      <c r="G78" s="36"/>
      <c r="H78" s="21"/>
      <c r="I78" s="21"/>
      <c r="J78" s="42"/>
      <c r="N78" s="64"/>
      <c r="O78" s="261"/>
      <c r="P78" s="262"/>
    </row>
    <row r="79" spans="2:16">
      <c r="B79" s="92">
        <v>45678</v>
      </c>
      <c r="C79" s="17">
        <v>1</v>
      </c>
      <c r="D79" s="12"/>
      <c r="E79" s="12"/>
      <c r="F79" s="36"/>
      <c r="G79" s="36"/>
      <c r="H79" s="21"/>
      <c r="I79" s="21"/>
      <c r="J79" s="42"/>
      <c r="N79" s="64"/>
      <c r="O79" s="261"/>
      <c r="P79" s="262"/>
    </row>
    <row r="80" spans="2:16">
      <c r="B80" s="92">
        <v>45681</v>
      </c>
      <c r="C80" s="17">
        <v>4</v>
      </c>
      <c r="D80" s="12"/>
      <c r="E80" s="12"/>
      <c r="F80" s="36"/>
      <c r="G80" s="36"/>
      <c r="H80" s="21"/>
      <c r="I80" s="21"/>
      <c r="J80" s="42"/>
      <c r="N80" s="64"/>
      <c r="O80" s="261"/>
      <c r="P80" s="262"/>
    </row>
    <row r="81" spans="2:16">
      <c r="B81" s="92">
        <v>45684</v>
      </c>
      <c r="C81" s="17">
        <v>2</v>
      </c>
      <c r="D81" s="12"/>
      <c r="E81" s="12"/>
      <c r="F81" s="36"/>
      <c r="G81" s="36"/>
      <c r="H81" s="21"/>
      <c r="I81" s="21"/>
      <c r="J81" s="42"/>
      <c r="N81" s="64"/>
      <c r="O81" s="270"/>
      <c r="P81" s="271"/>
    </row>
    <row r="82" spans="2:16">
      <c r="B82" s="92">
        <v>45691</v>
      </c>
      <c r="C82" s="17">
        <v>2</v>
      </c>
      <c r="D82" s="12"/>
      <c r="E82" s="12"/>
      <c r="F82" s="36"/>
      <c r="G82" s="36"/>
      <c r="H82" s="21"/>
      <c r="I82" s="21"/>
      <c r="J82" s="42"/>
      <c r="N82" s="64"/>
      <c r="O82" s="270"/>
      <c r="P82" s="271"/>
    </row>
    <row r="83" spans="2:16">
      <c r="B83" s="92">
        <v>45693</v>
      </c>
      <c r="C83" s="17">
        <v>3</v>
      </c>
      <c r="D83" s="12"/>
      <c r="E83" s="12"/>
      <c r="F83" s="36"/>
      <c r="G83" s="36"/>
      <c r="H83" s="21"/>
      <c r="I83" s="21"/>
      <c r="J83" s="42"/>
      <c r="N83" s="64"/>
      <c r="O83" s="272"/>
      <c r="P83" s="273"/>
    </row>
    <row r="84" spans="2:16">
      <c r="B84" s="92">
        <v>45696</v>
      </c>
      <c r="C84" s="17">
        <v>1</v>
      </c>
      <c r="D84" s="12"/>
      <c r="E84" s="12"/>
      <c r="F84" s="36"/>
      <c r="G84" s="36"/>
      <c r="H84" s="21"/>
      <c r="I84" s="21"/>
      <c r="J84" s="42"/>
      <c r="N84" s="64"/>
      <c r="O84" s="272"/>
      <c r="P84" s="273"/>
    </row>
    <row r="85" spans="2:16">
      <c r="B85" s="92">
        <v>45700</v>
      </c>
      <c r="C85" s="17">
        <v>1</v>
      </c>
      <c r="D85" s="12"/>
      <c r="E85" s="12"/>
      <c r="F85" s="36"/>
      <c r="G85" s="36"/>
      <c r="H85" s="21"/>
      <c r="I85" s="21"/>
      <c r="J85" s="42"/>
      <c r="N85" s="64"/>
      <c r="O85" s="272"/>
      <c r="P85" s="273"/>
    </row>
    <row r="86" spans="2:16">
      <c r="B86" s="92">
        <v>45706</v>
      </c>
      <c r="C86" s="17">
        <v>2</v>
      </c>
      <c r="D86" s="12"/>
      <c r="E86" s="12"/>
      <c r="F86" s="36"/>
      <c r="G86" s="36"/>
      <c r="H86" s="21"/>
      <c r="I86" s="21"/>
      <c r="J86" s="42"/>
      <c r="N86" s="64"/>
      <c r="O86" s="272"/>
      <c r="P86" s="273"/>
    </row>
    <row r="87" spans="2:16">
      <c r="B87" s="92">
        <v>45715</v>
      </c>
      <c r="C87" s="17">
        <v>3</v>
      </c>
      <c r="D87" s="12"/>
      <c r="E87" s="12"/>
      <c r="F87" s="36"/>
      <c r="G87" s="36"/>
      <c r="H87" s="21"/>
      <c r="I87" s="21"/>
      <c r="J87" s="42"/>
      <c r="N87" s="64"/>
      <c r="O87" s="272"/>
      <c r="P87" s="273"/>
    </row>
    <row r="88" spans="2:16">
      <c r="B88" s="92">
        <v>45719</v>
      </c>
      <c r="C88" s="17">
        <v>1</v>
      </c>
      <c r="D88" s="12"/>
      <c r="E88" s="12"/>
      <c r="F88" s="36"/>
      <c r="G88" s="36"/>
      <c r="H88" s="21"/>
      <c r="I88" s="21"/>
      <c r="J88" s="42"/>
      <c r="N88" s="64"/>
      <c r="O88" s="277"/>
      <c r="P88" s="278"/>
    </row>
    <row r="89" spans="2:16">
      <c r="B89" s="92">
        <v>45721</v>
      </c>
      <c r="C89" s="17">
        <v>1</v>
      </c>
      <c r="D89" s="12"/>
      <c r="E89" s="12"/>
      <c r="F89" s="36"/>
      <c r="G89" s="36"/>
      <c r="H89" s="21"/>
      <c r="I89" s="21"/>
      <c r="J89" s="42"/>
      <c r="N89" s="64"/>
      <c r="O89" s="277"/>
      <c r="P89" s="278"/>
    </row>
    <row r="90" spans="2:16">
      <c r="B90" s="92">
        <v>45722</v>
      </c>
      <c r="C90" s="17">
        <v>6</v>
      </c>
      <c r="D90" s="12"/>
      <c r="E90" s="12"/>
      <c r="F90" s="36"/>
      <c r="G90" s="36"/>
      <c r="H90" s="21"/>
      <c r="I90" s="21"/>
      <c r="J90" s="42"/>
      <c r="N90" s="64"/>
      <c r="O90" s="277"/>
      <c r="P90" s="278"/>
    </row>
    <row r="91" spans="2:16">
      <c r="B91" s="92"/>
      <c r="C91" s="17"/>
      <c r="D91" s="12"/>
      <c r="E91" s="12"/>
      <c r="F91" s="36"/>
      <c r="G91" s="36"/>
      <c r="H91" s="21"/>
      <c r="I91" s="21"/>
      <c r="J91" s="42"/>
      <c r="N91" s="64"/>
      <c r="O91" s="277"/>
      <c r="P91" s="278"/>
    </row>
    <row r="92" spans="2:16">
      <c r="B92" s="92"/>
      <c r="C92" s="17"/>
      <c r="D92" s="12"/>
      <c r="E92" s="12"/>
      <c r="F92" s="36"/>
      <c r="G92" s="36"/>
      <c r="H92" s="21"/>
      <c r="I92" s="21"/>
      <c r="J92" s="42"/>
      <c r="N92" s="64"/>
      <c r="O92" s="270"/>
      <c r="P92" s="271"/>
    </row>
    <row r="93" spans="2:16" ht="18" thickBot="1">
      <c r="B93" s="16"/>
      <c r="C93" s="17"/>
      <c r="D93" s="12"/>
      <c r="E93" s="12"/>
      <c r="F93" s="36"/>
      <c r="G93" s="36"/>
      <c r="H93" s="21"/>
      <c r="I93" s="21"/>
      <c r="J93" s="42"/>
      <c r="N93" s="64"/>
      <c r="O93" s="298"/>
      <c r="P93" s="299"/>
    </row>
    <row r="94" spans="2:16" ht="18" thickBot="1">
      <c r="B94" s="7"/>
      <c r="C94" s="8">
        <f>SUM(C12:C93)</f>
        <v>360</v>
      </c>
      <c r="D94" s="8"/>
      <c r="E94" s="8">
        <f>SUM(E12:E93)</f>
        <v>498</v>
      </c>
      <c r="F94" s="39">
        <f>SUM(F12:F93)</f>
        <v>57062.589382448539</v>
      </c>
      <c r="G94" s="39">
        <f>F94/E94</f>
        <v>114.58351281616173</v>
      </c>
      <c r="H94" s="8"/>
      <c r="I94" s="8"/>
      <c r="J94" s="43">
        <f>SUM(J12:J93)</f>
        <v>180640</v>
      </c>
      <c r="N94" s="65"/>
      <c r="O94" s="300"/>
      <c r="P94" s="301"/>
    </row>
    <row r="100" spans="4:5">
      <c r="D100" s="81" t="s">
        <v>38</v>
      </c>
      <c r="E100" s="80">
        <v>60</v>
      </c>
    </row>
    <row r="101" spans="4:5">
      <c r="D101" s="81" t="s">
        <v>39</v>
      </c>
      <c r="E101" s="80">
        <v>120</v>
      </c>
    </row>
    <row r="102" spans="4:5">
      <c r="D102" s="81" t="s">
        <v>40</v>
      </c>
      <c r="E102" s="80">
        <v>180</v>
      </c>
    </row>
    <row r="103" spans="4:5">
      <c r="D103" s="81" t="s">
        <v>41</v>
      </c>
      <c r="E103" s="80">
        <v>180</v>
      </c>
    </row>
    <row r="104" spans="4:5">
      <c r="D104" s="81" t="s">
        <v>42</v>
      </c>
      <c r="E104" s="80">
        <v>180</v>
      </c>
    </row>
  </sheetData>
  <mergeCells count="65">
    <mergeCell ref="U10:V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94:P94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93:P93"/>
  </mergeCells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FCED-6345-40A1-BD5A-5AD93F014E0A}">
  <dimension ref="A1:V93"/>
  <sheetViews>
    <sheetView showGridLines="0" workbookViewId="0">
      <selection activeCell="J2" sqref="J2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9.8984375" bestFit="1" customWidth="1"/>
    <col min="9" max="9" width="19.8984375" customWidth="1"/>
    <col min="10" max="10" width="11" bestFit="1" customWidth="1"/>
    <col min="11" max="11" width="21.3984375" bestFit="1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</cols>
  <sheetData>
    <row r="1" spans="1:22" ht="18" thickBot="1">
      <c r="A1" t="s">
        <v>27</v>
      </c>
      <c r="B1" s="51" t="s">
        <v>30</v>
      </c>
      <c r="D1" s="204" t="s">
        <v>174</v>
      </c>
      <c r="E1" s="73">
        <f ca="1">TODAY()</f>
        <v>46325</v>
      </c>
      <c r="F1">
        <f ca="1">E1-B4</f>
        <v>901</v>
      </c>
      <c r="I1" s="73">
        <v>45504</v>
      </c>
      <c r="J1">
        <f>I1-B4</f>
        <v>80</v>
      </c>
    </row>
    <row r="2" spans="1:22" ht="18" thickBot="1">
      <c r="F2" s="302" t="s">
        <v>9</v>
      </c>
      <c r="G2" s="305"/>
      <c r="H2" s="314"/>
      <c r="O2" s="302" t="s">
        <v>8</v>
      </c>
      <c r="P2" s="314"/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2">
      <c r="B4" s="27">
        <v>45424</v>
      </c>
      <c r="C4" s="30">
        <v>300</v>
      </c>
      <c r="D4" s="37">
        <f>5050+5000</f>
        <v>10050</v>
      </c>
      <c r="E4" s="70">
        <f>D4/C4</f>
        <v>33.5</v>
      </c>
      <c r="F4" s="315">
        <f>C8-P8</f>
        <v>294</v>
      </c>
      <c r="G4" s="318">
        <f>D8-(D8/C8*P8)</f>
        <v>9849</v>
      </c>
      <c r="H4" s="327">
        <f>G4/F4</f>
        <v>33.5</v>
      </c>
      <c r="I4" s="321" t="s">
        <v>134</v>
      </c>
      <c r="J4" s="1">
        <f>B4+90</f>
        <v>45514</v>
      </c>
      <c r="K4" s="323">
        <f>C59</f>
        <v>30</v>
      </c>
      <c r="L4" s="325">
        <f>K8/F8</f>
        <v>0.10204081632653061</v>
      </c>
      <c r="M4" s="323">
        <f>E59</f>
        <v>264</v>
      </c>
      <c r="N4" s="323">
        <f>F8-C59-E59</f>
        <v>0</v>
      </c>
      <c r="O4" s="22">
        <v>45424</v>
      </c>
      <c r="P4" s="33">
        <v>6</v>
      </c>
      <c r="Q4">
        <v>19</v>
      </c>
      <c r="R4" s="69">
        <f>C4-P4</f>
        <v>294</v>
      </c>
      <c r="T4" s="95">
        <v>2</v>
      </c>
    </row>
    <row r="5" spans="1:22">
      <c r="B5" s="27"/>
      <c r="C5" s="30"/>
      <c r="D5" s="37"/>
      <c r="E5" s="70" t="e">
        <f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T5">
        <v>4</v>
      </c>
    </row>
    <row r="6" spans="1:22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2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2" ht="18" thickBot="1">
      <c r="B8" s="9" t="s">
        <v>10</v>
      </c>
      <c r="C8" s="32">
        <f>SUM(C4:C7)</f>
        <v>300</v>
      </c>
      <c r="D8" s="39">
        <f>SUM(D4:D7)</f>
        <v>10050</v>
      </c>
      <c r="E8" s="71">
        <f>D8/C8</f>
        <v>33.5</v>
      </c>
      <c r="F8" s="32">
        <f>SUM(F4)</f>
        <v>294</v>
      </c>
      <c r="G8" s="39">
        <f>SUM(G4)</f>
        <v>9849</v>
      </c>
      <c r="H8" s="71">
        <f>G8/F8</f>
        <v>33.5</v>
      </c>
      <c r="I8" s="8"/>
      <c r="J8" s="8"/>
      <c r="K8" s="32">
        <f>K4</f>
        <v>30</v>
      </c>
      <c r="L8" s="26">
        <f>L4</f>
        <v>0.10204081632653061</v>
      </c>
      <c r="M8" s="32">
        <f>M4</f>
        <v>264</v>
      </c>
      <c r="N8" s="32">
        <f>N4</f>
        <v>0</v>
      </c>
      <c r="O8" s="46">
        <f>P8/C8</f>
        <v>0.02</v>
      </c>
      <c r="P8" s="35">
        <f>SUM(P4:P7)</f>
        <v>6</v>
      </c>
      <c r="Q8" s="69">
        <f>P8-Q4-Q5</f>
        <v>-13</v>
      </c>
    </row>
    <row r="9" spans="1:22" ht="18" thickBot="1">
      <c r="G9">
        <v>9852</v>
      </c>
      <c r="I9">
        <f>F8*0.93</f>
        <v>273.42</v>
      </c>
    </row>
    <row r="10" spans="1:22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 s="296" t="s">
        <v>43</v>
      </c>
      <c r="V10" s="297"/>
    </row>
    <row r="11" spans="1:22" ht="18" thickBot="1">
      <c r="B11" s="9" t="s">
        <v>0</v>
      </c>
      <c r="C11" s="148" t="s">
        <v>1</v>
      </c>
      <c r="D11" s="148" t="s">
        <v>0</v>
      </c>
      <c r="E11" s="148" t="s">
        <v>1</v>
      </c>
      <c r="F11" s="148" t="s">
        <v>2</v>
      </c>
      <c r="G11" s="148" t="s">
        <v>3</v>
      </c>
      <c r="H11" s="148" t="s">
        <v>0</v>
      </c>
      <c r="I11" s="148" t="s">
        <v>15</v>
      </c>
      <c r="J11" s="148" t="s">
        <v>16</v>
      </c>
      <c r="K11" s="56" t="s">
        <v>15</v>
      </c>
      <c r="L11" s="148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45494</v>
      </c>
      <c r="C12" s="13">
        <v>6</v>
      </c>
      <c r="D12" s="155">
        <v>45504</v>
      </c>
      <c r="E12" s="156">
        <v>16</v>
      </c>
      <c r="F12" s="157">
        <v>1730</v>
      </c>
      <c r="G12" s="79">
        <f>F12/E12</f>
        <v>108.125</v>
      </c>
      <c r="H12" s="18">
        <v>45423</v>
      </c>
      <c r="I12" s="20" t="s">
        <v>28</v>
      </c>
      <c r="J12" s="61">
        <v>4870</v>
      </c>
      <c r="K12" s="57" t="s">
        <v>18</v>
      </c>
      <c r="L12" s="52">
        <f>SUMIF($I$12:$I$124,K12,$J$12:$J$124)</f>
        <v>10930</v>
      </c>
      <c r="M12" s="48">
        <f>L12/$C$8</f>
        <v>36.43333333333333</v>
      </c>
      <c r="N12" s="66"/>
      <c r="O12" s="310"/>
      <c r="P12" s="311"/>
      <c r="R12" s="84" t="s">
        <v>124</v>
      </c>
      <c r="S12" s="85">
        <v>16</v>
      </c>
      <c r="U12" s="84"/>
      <c r="V12" s="85"/>
    </row>
    <row r="13" spans="1:22">
      <c r="A13" t="s">
        <v>169</v>
      </c>
      <c r="B13" s="194">
        <v>45496</v>
      </c>
      <c r="C13" s="195">
        <v>7</v>
      </c>
      <c r="D13" s="76">
        <v>45517</v>
      </c>
      <c r="E13" s="11">
        <v>28</v>
      </c>
      <c r="F13" s="37">
        <v>3110</v>
      </c>
      <c r="G13" s="79">
        <f t="shared" ref="G13:G32" si="0">F13/E13</f>
        <v>111.07142857142857</v>
      </c>
      <c r="H13" s="18">
        <v>45434</v>
      </c>
      <c r="I13" s="20" t="s">
        <v>28</v>
      </c>
      <c r="J13" s="62">
        <v>3000</v>
      </c>
      <c r="K13" s="58" t="s">
        <v>25</v>
      </c>
      <c r="L13" s="53">
        <f t="shared" ref="L13:L15" si="1">SUMIF($I$12:$I$124,K13,$J$12:$J$124)</f>
        <v>25030</v>
      </c>
      <c r="M13" s="49">
        <f t="shared" ref="M13:M15" si="2">L13/$C$8</f>
        <v>83.433333333333337</v>
      </c>
      <c r="N13" s="1"/>
      <c r="O13" s="312"/>
      <c r="P13" s="313"/>
      <c r="R13" s="84" t="s">
        <v>138</v>
      </c>
      <c r="S13" s="85"/>
      <c r="U13" s="84"/>
      <c r="V13" s="85"/>
    </row>
    <row r="14" spans="1:22">
      <c r="A14" t="s">
        <v>169</v>
      </c>
      <c r="B14" s="194">
        <v>45497</v>
      </c>
      <c r="C14" s="195">
        <v>1</v>
      </c>
      <c r="D14" s="76">
        <v>45525</v>
      </c>
      <c r="E14" s="11">
        <v>38</v>
      </c>
      <c r="F14" s="37">
        <v>4170</v>
      </c>
      <c r="G14" s="79">
        <f t="shared" si="0"/>
        <v>109.73684210526316</v>
      </c>
      <c r="H14" s="18">
        <v>45434</v>
      </c>
      <c r="I14" s="20" t="s">
        <v>29</v>
      </c>
      <c r="J14" s="62">
        <v>3010</v>
      </c>
      <c r="K14" s="106" t="s">
        <v>26</v>
      </c>
      <c r="L14" s="53">
        <f t="shared" si="1"/>
        <v>32150</v>
      </c>
      <c r="M14" s="107">
        <f t="shared" si="2"/>
        <v>107.16666666666667</v>
      </c>
      <c r="N14" s="1"/>
      <c r="O14" s="298"/>
      <c r="P14" s="299"/>
      <c r="R14" s="84" t="s">
        <v>144</v>
      </c>
      <c r="S14" s="85">
        <v>28</v>
      </c>
      <c r="U14" s="84"/>
      <c r="V14" s="85"/>
    </row>
    <row r="15" spans="1:22">
      <c r="A15" t="s">
        <v>169</v>
      </c>
      <c r="B15" s="194">
        <v>45500</v>
      </c>
      <c r="C15" s="195">
        <v>3</v>
      </c>
      <c r="D15" s="76">
        <v>45532</v>
      </c>
      <c r="E15" s="11">
        <v>62</v>
      </c>
      <c r="F15" s="37">
        <v>6720</v>
      </c>
      <c r="G15" s="79">
        <f t="shared" si="0"/>
        <v>108.38709677419355</v>
      </c>
      <c r="H15" s="47">
        <v>45444</v>
      </c>
      <c r="I15" s="20" t="s">
        <v>28</v>
      </c>
      <c r="J15" s="62">
        <v>3060</v>
      </c>
      <c r="K15" s="106" t="s">
        <v>92</v>
      </c>
      <c r="L15" s="53">
        <f t="shared" si="1"/>
        <v>0</v>
      </c>
      <c r="M15" s="107">
        <f t="shared" si="2"/>
        <v>0</v>
      </c>
      <c r="N15" s="1"/>
      <c r="O15" s="146"/>
      <c r="P15" s="147"/>
      <c r="R15" s="84" t="s">
        <v>139</v>
      </c>
      <c r="S15" s="85">
        <v>38</v>
      </c>
      <c r="U15" s="84"/>
      <c r="V15" s="85"/>
    </row>
    <row r="16" spans="1:22" ht="18" thickBot="1">
      <c r="A16" t="s">
        <v>169</v>
      </c>
      <c r="B16" s="194">
        <v>45508</v>
      </c>
      <c r="C16" s="195">
        <v>1</v>
      </c>
      <c r="D16" s="76">
        <v>45539</v>
      </c>
      <c r="E16" s="11">
        <v>39</v>
      </c>
      <c r="F16" s="37">
        <v>4230</v>
      </c>
      <c r="G16" s="79">
        <f t="shared" si="0"/>
        <v>108.46153846153847</v>
      </c>
      <c r="H16" s="47">
        <v>45444</v>
      </c>
      <c r="I16" s="20" t="s">
        <v>29</v>
      </c>
      <c r="J16" s="41">
        <v>3000</v>
      </c>
      <c r="K16" s="60" t="s">
        <v>21</v>
      </c>
      <c r="L16" s="55">
        <f>SUM(L12:L14)</f>
        <v>68110</v>
      </c>
      <c r="M16" s="40">
        <f>L16/C8</f>
        <v>227.03333333333333</v>
      </c>
      <c r="N16" s="1"/>
      <c r="O16" s="298"/>
      <c r="P16" s="299"/>
      <c r="R16" s="84" t="s">
        <v>141</v>
      </c>
      <c r="S16" s="85">
        <v>50</v>
      </c>
      <c r="U16" s="84"/>
      <c r="V16" s="85"/>
    </row>
    <row r="17" spans="1:22">
      <c r="A17" t="s">
        <v>169</v>
      </c>
      <c r="B17" s="194">
        <v>45512</v>
      </c>
      <c r="C17" s="195">
        <v>1</v>
      </c>
      <c r="D17" s="76">
        <v>45539</v>
      </c>
      <c r="E17" s="11">
        <v>56</v>
      </c>
      <c r="F17" s="37">
        <v>6130</v>
      </c>
      <c r="G17" s="79">
        <f t="shared" si="0"/>
        <v>109.46428571428571</v>
      </c>
      <c r="H17" s="47">
        <v>45450</v>
      </c>
      <c r="I17" s="20" t="s">
        <v>29</v>
      </c>
      <c r="J17" s="41">
        <v>5020</v>
      </c>
      <c r="N17" s="63"/>
      <c r="O17" s="298"/>
      <c r="P17" s="299"/>
      <c r="R17" s="84" t="s">
        <v>151</v>
      </c>
      <c r="S17" s="85">
        <v>60</v>
      </c>
      <c r="U17" s="84"/>
      <c r="V17" s="85"/>
    </row>
    <row r="18" spans="1:22">
      <c r="A18" t="s">
        <v>169</v>
      </c>
      <c r="B18" s="74">
        <v>45539</v>
      </c>
      <c r="C18" s="15">
        <v>2</v>
      </c>
      <c r="D18" s="76">
        <v>45560</v>
      </c>
      <c r="E18" s="11">
        <v>25</v>
      </c>
      <c r="F18" s="37">
        <f>3340/30*E18</f>
        <v>2783.333333333333</v>
      </c>
      <c r="G18" s="79">
        <f t="shared" si="0"/>
        <v>111.33333333333331</v>
      </c>
      <c r="H18" s="47">
        <v>45458</v>
      </c>
      <c r="I18" s="20" t="s">
        <v>29</v>
      </c>
      <c r="J18" s="41">
        <v>4970</v>
      </c>
      <c r="N18" s="63"/>
      <c r="O18" s="298"/>
      <c r="P18" s="299"/>
      <c r="R18" s="84" t="s">
        <v>152</v>
      </c>
      <c r="S18" s="85">
        <v>60</v>
      </c>
      <c r="U18" s="84"/>
      <c r="V18" s="85"/>
    </row>
    <row r="19" spans="1:22">
      <c r="B19" s="74">
        <v>45544</v>
      </c>
      <c r="C19" s="15">
        <v>2</v>
      </c>
      <c r="D19" s="11"/>
      <c r="E19" s="11"/>
      <c r="F19" s="37"/>
      <c r="G19" s="79" t="e">
        <f t="shared" si="0"/>
        <v>#DIV/0!</v>
      </c>
      <c r="H19" s="47">
        <v>45464</v>
      </c>
      <c r="I19" s="20" t="s">
        <v>29</v>
      </c>
      <c r="J19" s="41">
        <v>4010</v>
      </c>
      <c r="K19" t="s">
        <v>32</v>
      </c>
      <c r="L19" s="78">
        <f>(J59/I9)/(113-H8)</f>
        <v>3.1333829264443991</v>
      </c>
      <c r="N19" s="63"/>
      <c r="O19" s="298"/>
      <c r="P19" s="299"/>
      <c r="R19" s="84" t="s">
        <v>156</v>
      </c>
      <c r="S19" s="85"/>
      <c r="U19" s="84"/>
      <c r="V19" s="85"/>
    </row>
    <row r="20" spans="1:22">
      <c r="B20" s="74">
        <v>45566</v>
      </c>
      <c r="C20" s="15">
        <v>1</v>
      </c>
      <c r="D20" s="11"/>
      <c r="E20" s="11"/>
      <c r="F20" s="37"/>
      <c r="G20" s="79" t="e">
        <f t="shared" si="0"/>
        <v>#DIV/0!</v>
      </c>
      <c r="H20" s="47">
        <v>45472</v>
      </c>
      <c r="I20" s="20" t="s">
        <v>29</v>
      </c>
      <c r="J20" s="41">
        <v>5020</v>
      </c>
      <c r="K20" t="s">
        <v>172</v>
      </c>
      <c r="L20" t="e">
        <f>J24/N8/5</f>
        <v>#DIV/0!</v>
      </c>
      <c r="N20" s="63"/>
      <c r="O20" s="298"/>
      <c r="P20" s="299"/>
      <c r="R20" s="84" t="s">
        <v>36</v>
      </c>
      <c r="S20" s="85">
        <v>10</v>
      </c>
      <c r="U20" s="84"/>
      <c r="V20" s="85"/>
    </row>
    <row r="21" spans="1:22">
      <c r="B21" s="74">
        <v>45590</v>
      </c>
      <c r="C21" s="15">
        <v>3</v>
      </c>
      <c r="D21" s="11"/>
      <c r="E21" s="11"/>
      <c r="F21" s="37"/>
      <c r="G21" s="79" t="e">
        <f t="shared" si="0"/>
        <v>#DIV/0!</v>
      </c>
      <c r="H21" s="47">
        <v>45481</v>
      </c>
      <c r="I21" s="20" t="s">
        <v>160</v>
      </c>
      <c r="J21" s="41">
        <v>4050</v>
      </c>
      <c r="N21" s="63"/>
      <c r="O21" s="298"/>
      <c r="P21" s="299"/>
      <c r="R21" s="84"/>
      <c r="S21" s="85"/>
      <c r="U21" s="84"/>
      <c r="V21" s="85"/>
    </row>
    <row r="22" spans="1:22">
      <c r="B22" s="74">
        <v>45618</v>
      </c>
      <c r="C22" s="15">
        <v>1</v>
      </c>
      <c r="D22" s="11"/>
      <c r="E22" s="11"/>
      <c r="F22" s="37"/>
      <c r="G22" s="79" t="e">
        <f t="shared" si="0"/>
        <v>#DIV/0!</v>
      </c>
      <c r="H22" s="47">
        <v>45490</v>
      </c>
      <c r="I22" s="20" t="s">
        <v>26</v>
      </c>
      <c r="J22" s="41">
        <v>3980</v>
      </c>
      <c r="N22" s="63"/>
      <c r="O22" s="298"/>
      <c r="P22" s="299"/>
      <c r="R22" s="84"/>
      <c r="S22" s="85"/>
      <c r="U22" s="84"/>
      <c r="V22" s="85"/>
    </row>
    <row r="23" spans="1:22">
      <c r="B23" s="74">
        <v>45621</v>
      </c>
      <c r="C23" s="15">
        <v>2</v>
      </c>
      <c r="D23" s="11"/>
      <c r="E23" s="11"/>
      <c r="F23" s="37"/>
      <c r="G23" s="79" t="e">
        <f t="shared" si="0"/>
        <v>#DIV/0!</v>
      </c>
      <c r="H23" s="47">
        <v>45499</v>
      </c>
      <c r="I23" s="20" t="s">
        <v>26</v>
      </c>
      <c r="J23" s="41">
        <v>3020</v>
      </c>
      <c r="M23" s="25"/>
      <c r="N23" s="63"/>
      <c r="O23" s="298"/>
      <c r="P23" s="299"/>
      <c r="R23" s="84"/>
      <c r="S23" s="85"/>
      <c r="U23" s="84"/>
      <c r="V23" s="85"/>
    </row>
    <row r="24" spans="1:22">
      <c r="B24" s="74"/>
      <c r="C24" s="15"/>
      <c r="D24" s="11"/>
      <c r="E24" s="11"/>
      <c r="F24" s="37"/>
      <c r="G24" s="79" t="e">
        <f t="shared" si="0"/>
        <v>#DIV/0!</v>
      </c>
      <c r="H24" s="47">
        <v>45504</v>
      </c>
      <c r="I24" s="20" t="s">
        <v>26</v>
      </c>
      <c r="J24" s="41">
        <v>3950</v>
      </c>
      <c r="N24" s="63"/>
      <c r="O24" s="298"/>
      <c r="P24" s="299"/>
      <c r="R24" s="84"/>
      <c r="S24" s="85"/>
      <c r="U24" s="84"/>
      <c r="V24" s="85"/>
    </row>
    <row r="25" spans="1:22">
      <c r="B25" s="74"/>
      <c r="C25" s="15"/>
      <c r="D25" s="11"/>
      <c r="E25" s="11"/>
      <c r="F25" s="37"/>
      <c r="G25" s="79" t="e">
        <f t="shared" si="0"/>
        <v>#DIV/0!</v>
      </c>
      <c r="H25" s="47">
        <v>45512</v>
      </c>
      <c r="I25" s="20" t="s">
        <v>26</v>
      </c>
      <c r="J25" s="41">
        <v>4050</v>
      </c>
      <c r="N25" s="63"/>
      <c r="O25" s="298"/>
      <c r="P25" s="299"/>
      <c r="R25" s="84"/>
      <c r="S25" s="85"/>
      <c r="U25" s="84"/>
      <c r="V25" s="85"/>
    </row>
    <row r="26" spans="1:22">
      <c r="B26" s="74"/>
      <c r="C26" s="15"/>
      <c r="D26" s="11"/>
      <c r="E26" s="11"/>
      <c r="F26" s="37"/>
      <c r="G26" s="79" t="e">
        <f t="shared" si="0"/>
        <v>#DIV/0!</v>
      </c>
      <c r="H26" s="47">
        <v>45518</v>
      </c>
      <c r="I26" s="20" t="s">
        <v>26</v>
      </c>
      <c r="J26" s="41">
        <v>4070</v>
      </c>
      <c r="N26" s="64"/>
      <c r="O26" s="298"/>
      <c r="P26" s="299"/>
      <c r="R26" s="84"/>
      <c r="S26" s="85"/>
      <c r="U26" s="84"/>
      <c r="V26" s="85"/>
    </row>
    <row r="27" spans="1:22">
      <c r="B27" s="74"/>
      <c r="C27" s="15"/>
      <c r="D27" s="11"/>
      <c r="E27" s="11"/>
      <c r="F27" s="37"/>
      <c r="G27" s="79" t="e">
        <f t="shared" si="0"/>
        <v>#DIV/0!</v>
      </c>
      <c r="H27" s="47">
        <v>45528</v>
      </c>
      <c r="I27" s="20" t="s">
        <v>26</v>
      </c>
      <c r="J27" s="41">
        <v>4010</v>
      </c>
      <c r="N27" s="64"/>
      <c r="O27" s="298"/>
      <c r="P27" s="299"/>
      <c r="R27" s="84"/>
      <c r="S27" s="85"/>
      <c r="U27" s="84"/>
      <c r="V27" s="85"/>
    </row>
    <row r="28" spans="1:22">
      <c r="B28" s="74"/>
      <c r="C28" s="15"/>
      <c r="D28" s="11"/>
      <c r="E28" s="11"/>
      <c r="F28" s="37"/>
      <c r="G28" s="79" t="e">
        <f>F28/E28</f>
        <v>#DIV/0!</v>
      </c>
      <c r="H28" s="47">
        <v>45535</v>
      </c>
      <c r="I28" s="20" t="s">
        <v>26</v>
      </c>
      <c r="J28" s="41">
        <v>5020</v>
      </c>
      <c r="N28" s="64"/>
      <c r="O28" s="298"/>
      <c r="P28" s="299"/>
      <c r="R28" s="84"/>
      <c r="S28" s="85"/>
      <c r="U28" s="84"/>
      <c r="V28" s="85"/>
    </row>
    <row r="29" spans="1:22">
      <c r="B29" s="74"/>
      <c r="C29" s="15"/>
      <c r="D29" s="11"/>
      <c r="E29" s="11"/>
      <c r="F29" s="37"/>
      <c r="G29" s="79" t="e">
        <f t="shared" si="0"/>
        <v>#DIV/0!</v>
      </c>
      <c r="H29" s="47"/>
      <c r="I29" s="20"/>
      <c r="J29" s="41"/>
      <c r="N29" s="64"/>
      <c r="O29" s="298"/>
      <c r="P29" s="299"/>
      <c r="R29" s="84"/>
      <c r="S29" s="85"/>
      <c r="U29" s="84"/>
      <c r="V29" s="85"/>
    </row>
    <row r="30" spans="1:22">
      <c r="B30" s="74"/>
      <c r="C30" s="15"/>
      <c r="D30" s="11"/>
      <c r="E30" s="11"/>
      <c r="F30" s="37"/>
      <c r="G30" s="79" t="e">
        <f t="shared" si="0"/>
        <v>#DIV/0!</v>
      </c>
      <c r="H30" s="47"/>
      <c r="I30" s="20"/>
      <c r="J30" s="41"/>
      <c r="N30" s="64"/>
      <c r="O30" s="298"/>
      <c r="P30" s="299"/>
      <c r="R30" s="84"/>
      <c r="S30" s="85"/>
      <c r="U30" s="84"/>
      <c r="V30" s="85"/>
    </row>
    <row r="31" spans="1:22">
      <c r="B31" s="74"/>
      <c r="C31" s="15"/>
      <c r="D31" s="11"/>
      <c r="E31" s="11"/>
      <c r="F31" s="37"/>
      <c r="G31" s="79" t="e">
        <f t="shared" si="0"/>
        <v>#DIV/0!</v>
      </c>
      <c r="H31" s="47"/>
      <c r="I31" s="20"/>
      <c r="J31" s="41"/>
      <c r="N31" s="64"/>
      <c r="O31" s="298"/>
      <c r="P31" s="299"/>
      <c r="R31" s="84"/>
      <c r="S31" s="85"/>
      <c r="U31" s="84"/>
      <c r="V31" s="85"/>
    </row>
    <row r="32" spans="1:22" ht="18" thickBot="1">
      <c r="B32" s="74"/>
      <c r="C32" s="15"/>
      <c r="D32" s="11"/>
      <c r="E32" s="11"/>
      <c r="F32" s="37"/>
      <c r="G32" s="79" t="e">
        <f t="shared" si="0"/>
        <v>#DIV/0!</v>
      </c>
      <c r="H32" s="47"/>
      <c r="I32" s="20"/>
      <c r="J32" s="41"/>
      <c r="N32" s="64"/>
      <c r="O32" s="298"/>
      <c r="P32" s="299"/>
      <c r="R32" s="86"/>
      <c r="S32" s="87"/>
      <c r="U32" s="86"/>
      <c r="V32" s="87"/>
    </row>
    <row r="33" spans="2:16" ht="18" thickTop="1">
      <c r="B33" s="74"/>
      <c r="C33" s="15"/>
      <c r="D33" s="11"/>
      <c r="E33" s="11"/>
      <c r="F33" s="37"/>
      <c r="G33" s="37"/>
      <c r="H33" s="47"/>
      <c r="I33" s="20"/>
      <c r="J33" s="41"/>
      <c r="N33" s="64"/>
      <c r="O33" s="298"/>
      <c r="P33" s="299"/>
    </row>
    <row r="34" spans="2:16">
      <c r="B34" s="14"/>
      <c r="C34" s="15"/>
      <c r="D34" s="11"/>
      <c r="E34" s="11"/>
      <c r="F34" s="37"/>
      <c r="G34" s="37"/>
      <c r="H34" s="47"/>
      <c r="I34" s="20"/>
      <c r="J34" s="41"/>
      <c r="N34" s="64"/>
      <c r="O34" s="298"/>
      <c r="P34" s="299"/>
    </row>
    <row r="35" spans="2:16">
      <c r="B35" s="14"/>
      <c r="C35" s="15"/>
      <c r="D35" s="11"/>
      <c r="E35" s="11"/>
      <c r="F35" s="37"/>
      <c r="G35" s="37"/>
      <c r="H35" s="47"/>
      <c r="I35" s="20"/>
      <c r="J35" s="41"/>
      <c r="N35" s="64"/>
      <c r="O35" s="298"/>
      <c r="P35" s="299"/>
    </row>
    <row r="36" spans="2:16">
      <c r="B36" s="14"/>
      <c r="C36" s="15"/>
      <c r="D36" s="11"/>
      <c r="E36" s="11"/>
      <c r="F36" s="37"/>
      <c r="G36" s="37"/>
      <c r="H36" s="20"/>
      <c r="I36" s="20"/>
      <c r="J36" s="41"/>
      <c r="N36" s="64"/>
      <c r="O36" s="298"/>
      <c r="P36" s="299"/>
    </row>
    <row r="37" spans="2:16">
      <c r="B37" s="14"/>
      <c r="C37" s="15"/>
      <c r="D37" s="11"/>
      <c r="E37" s="11"/>
      <c r="F37" s="37"/>
      <c r="G37" s="37"/>
      <c r="H37" s="20"/>
      <c r="I37" s="20"/>
      <c r="J37" s="41"/>
      <c r="N37" s="64"/>
      <c r="O37" s="298"/>
      <c r="P37" s="299"/>
    </row>
    <row r="38" spans="2:16">
      <c r="B38" s="14"/>
      <c r="C38" s="15"/>
      <c r="D38" s="11"/>
      <c r="E38" s="11"/>
      <c r="F38" s="37"/>
      <c r="G38" s="37"/>
      <c r="H38" s="20"/>
      <c r="I38" s="20"/>
      <c r="J38" s="41"/>
      <c r="N38" s="64"/>
      <c r="O38" s="298"/>
      <c r="P38" s="299"/>
    </row>
    <row r="39" spans="2:16">
      <c r="B39" s="14"/>
      <c r="C39" s="15"/>
      <c r="D39" s="11"/>
      <c r="E39" s="11"/>
      <c r="F39" s="37"/>
      <c r="G39" s="37"/>
      <c r="H39" s="20"/>
      <c r="I39" s="20"/>
      <c r="J39" s="41"/>
      <c r="N39" s="64"/>
      <c r="O39" s="298"/>
      <c r="P39" s="299"/>
    </row>
    <row r="40" spans="2:16">
      <c r="B40" s="14"/>
      <c r="C40" s="15"/>
      <c r="D40" s="11"/>
      <c r="E40" s="11"/>
      <c r="F40" s="37"/>
      <c r="G40" s="37"/>
      <c r="H40" s="20"/>
      <c r="I40" s="20"/>
      <c r="J40" s="41"/>
      <c r="N40" s="64"/>
      <c r="O40" s="298"/>
      <c r="P40" s="299"/>
    </row>
    <row r="41" spans="2:16">
      <c r="B41" s="14"/>
      <c r="C41" s="15"/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14"/>
      <c r="C42" s="15"/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14"/>
      <c r="C43" s="15"/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14"/>
      <c r="C44" s="15"/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14"/>
      <c r="C45" s="15"/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14"/>
      <c r="C46" s="15"/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30</v>
      </c>
      <c r="D59" s="8"/>
      <c r="E59" s="8">
        <f>SUM(E12:E58)</f>
        <v>264</v>
      </c>
      <c r="F59" s="39">
        <f>SUM(F12:F58)</f>
        <v>28873.333333333332</v>
      </c>
      <c r="G59" s="71">
        <f>F59/E59</f>
        <v>109.36868686868686</v>
      </c>
      <c r="H59" s="8"/>
      <c r="I59" s="8"/>
      <c r="J59" s="43">
        <f>SUM(J12:J58)</f>
        <v>68110</v>
      </c>
      <c r="N59" s="65"/>
      <c r="O59" s="300"/>
      <c r="P59" s="301"/>
    </row>
    <row r="62" spans="2:16">
      <c r="D62" s="73">
        <v>45246</v>
      </c>
      <c r="E62">
        <v>30</v>
      </c>
    </row>
    <row r="63" spans="2:16">
      <c r="D63" s="73">
        <v>45253</v>
      </c>
      <c r="E63">
        <v>80</v>
      </c>
    </row>
    <row r="64" spans="2:16">
      <c r="D64" s="73">
        <v>45262</v>
      </c>
      <c r="E64">
        <v>100</v>
      </c>
    </row>
    <row r="65" spans="4:19">
      <c r="D65" s="73">
        <v>45269</v>
      </c>
      <c r="E65">
        <v>80</v>
      </c>
    </row>
    <row r="66" spans="4:19">
      <c r="D66" s="73"/>
    </row>
    <row r="73" spans="4:19">
      <c r="S73">
        <f>700</f>
        <v>700</v>
      </c>
    </row>
    <row r="75" spans="4:19">
      <c r="S75">
        <v>25</v>
      </c>
    </row>
    <row r="76" spans="4:19">
      <c r="S76">
        <f>S75/S73</f>
        <v>3.5714285714285712E-2</v>
      </c>
    </row>
    <row r="77" spans="4:19">
      <c r="F77">
        <f>2040+6100</f>
        <v>8140</v>
      </c>
    </row>
    <row r="78" spans="4:19">
      <c r="F78">
        <f>F77+460</f>
        <v>8600</v>
      </c>
    </row>
    <row r="79" spans="4:19">
      <c r="S79" t="s">
        <v>65</v>
      </c>
    </row>
    <row r="92" spans="17:17">
      <c r="Q92">
        <v>112</v>
      </c>
    </row>
    <row r="93" spans="17:17">
      <c r="Q93" t="e">
        <f>Q92/Q86</f>
        <v>#DIV/0!</v>
      </c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34:P34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43:P43"/>
    <mergeCell ref="O44:P44"/>
    <mergeCell ref="O45:P45"/>
    <mergeCell ref="O46:P46"/>
    <mergeCell ref="O35:P35"/>
    <mergeCell ref="O38:P38"/>
    <mergeCell ref="O39:P39"/>
    <mergeCell ref="O40:P40"/>
    <mergeCell ref="O41:P41"/>
    <mergeCell ref="O42:P42"/>
    <mergeCell ref="U10:V10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</mergeCells>
  <phoneticPr fontId="2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11E5-43F2-4B44-BFFC-4FC9D8023647}">
  <dimension ref="A1:U93"/>
  <sheetViews>
    <sheetView showGridLines="0" workbookViewId="0">
      <selection activeCell="K1" sqref="J1:K1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9.8984375" bestFit="1" customWidth="1"/>
    <col min="9" max="9" width="19.8984375" customWidth="1"/>
    <col min="10" max="10" width="11" bestFit="1" customWidth="1"/>
    <col min="11" max="11" width="21.3984375" bestFit="1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</cols>
  <sheetData>
    <row r="1" spans="1:21" ht="18" thickBot="1">
      <c r="A1" t="s">
        <v>27</v>
      </c>
      <c r="B1" s="51" t="s">
        <v>30</v>
      </c>
      <c r="D1" s="73"/>
      <c r="E1" s="73">
        <f ca="1">TODAY()</f>
        <v>46325</v>
      </c>
      <c r="F1">
        <f ca="1">E1-B4</f>
        <v>860</v>
      </c>
      <c r="J1" s="83"/>
    </row>
    <row r="2" spans="1:21" ht="18" thickBot="1">
      <c r="F2" s="302" t="s">
        <v>9</v>
      </c>
      <c r="G2" s="305"/>
      <c r="H2" s="314"/>
      <c r="O2" s="302" t="s">
        <v>8</v>
      </c>
      <c r="P2" s="314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>
        <v>2.72</v>
      </c>
    </row>
    <row r="4" spans="1:21">
      <c r="B4" s="27">
        <v>45465</v>
      </c>
      <c r="C4" s="30">
        <v>685</v>
      </c>
      <c r="D4" s="37">
        <v>17910</v>
      </c>
      <c r="E4" s="70">
        <f>D4/C4</f>
        <v>26.145985401459853</v>
      </c>
      <c r="F4" s="315">
        <f>C8-P8</f>
        <v>671</v>
      </c>
      <c r="G4" s="318">
        <f>D8-(D8/C8*P8)</f>
        <v>17543.956204379563</v>
      </c>
      <c r="H4" s="327">
        <f>G4/F4</f>
        <v>26.145985401459857</v>
      </c>
      <c r="I4" s="321" t="s">
        <v>150</v>
      </c>
      <c r="J4" s="1">
        <f>B4+90</f>
        <v>45555</v>
      </c>
      <c r="K4" s="323">
        <f>C59</f>
        <v>54</v>
      </c>
      <c r="L4" s="325">
        <f>K8/F8</f>
        <v>8.0476900149031291E-2</v>
      </c>
      <c r="M4" s="323">
        <f>E59</f>
        <v>608</v>
      </c>
      <c r="N4" s="323">
        <f>F8-C59-E59</f>
        <v>9</v>
      </c>
      <c r="O4" s="22">
        <v>45465</v>
      </c>
      <c r="P4" s="33">
        <v>14</v>
      </c>
      <c r="Q4">
        <v>13</v>
      </c>
      <c r="R4" s="69">
        <f>C4-P4</f>
        <v>671</v>
      </c>
      <c r="T4" s="95">
        <v>1.1499999999999999</v>
      </c>
    </row>
    <row r="5" spans="1:21">
      <c r="B5" s="27"/>
      <c r="C5" s="30"/>
      <c r="D5" s="37"/>
      <c r="E5" s="70" t="e">
        <f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21">
      <c r="B6" s="27"/>
      <c r="C6" s="30"/>
      <c r="D6" s="37"/>
      <c r="E6" s="70"/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1" ht="18" thickBot="1">
      <c r="B7" s="28"/>
      <c r="C7" s="31"/>
      <c r="D7" s="38"/>
      <c r="E7" s="70"/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1" ht="18" thickBot="1">
      <c r="B8" s="9" t="s">
        <v>10</v>
      </c>
      <c r="C8" s="32">
        <f>SUM(C4:C7)</f>
        <v>685</v>
      </c>
      <c r="D8" s="39">
        <f>SUM(D4:D7)</f>
        <v>17910</v>
      </c>
      <c r="E8" s="71">
        <f>D8/C8</f>
        <v>26.145985401459853</v>
      </c>
      <c r="F8" s="32">
        <f>SUM(F4)</f>
        <v>671</v>
      </c>
      <c r="G8" s="39">
        <f>SUM(G4)</f>
        <v>17543.956204379563</v>
      </c>
      <c r="H8" s="71">
        <f>G8/F8</f>
        <v>26.145985401459857</v>
      </c>
      <c r="I8" s="8"/>
      <c r="J8" s="8"/>
      <c r="K8" s="32">
        <f>K4</f>
        <v>54</v>
      </c>
      <c r="L8" s="26">
        <f>L4</f>
        <v>8.0476900149031291E-2</v>
      </c>
      <c r="M8" s="32">
        <f>M4</f>
        <v>608</v>
      </c>
      <c r="N8" s="32">
        <f>N4</f>
        <v>9</v>
      </c>
      <c r="O8" s="46">
        <f>P8/C8</f>
        <v>2.0437956204379562E-2</v>
      </c>
      <c r="P8" s="35">
        <f>SUM(P4:P7)</f>
        <v>14</v>
      </c>
      <c r="Q8" s="69">
        <f>P8-Q4-Q5</f>
        <v>1</v>
      </c>
    </row>
    <row r="9" spans="1:21" ht="18" thickBot="1">
      <c r="G9">
        <v>9852</v>
      </c>
      <c r="I9">
        <f>F8*0.95</f>
        <v>637.44999999999993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173" t="s">
        <v>1</v>
      </c>
      <c r="D11" s="173" t="s">
        <v>0</v>
      </c>
      <c r="E11" s="173" t="s">
        <v>1</v>
      </c>
      <c r="F11" s="173" t="s">
        <v>2</v>
      </c>
      <c r="G11" s="173" t="s">
        <v>3</v>
      </c>
      <c r="H11" s="173" t="s">
        <v>0</v>
      </c>
      <c r="I11" s="173" t="s">
        <v>15</v>
      </c>
      <c r="J11" s="173" t="s">
        <v>16</v>
      </c>
      <c r="K11" s="56" t="s">
        <v>15</v>
      </c>
      <c r="L11" s="173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A12" t="s">
        <v>170</v>
      </c>
      <c r="B12" s="45">
        <v>45504</v>
      </c>
      <c r="C12" s="13">
        <v>1</v>
      </c>
      <c r="D12" s="155">
        <v>45560</v>
      </c>
      <c r="E12" s="156">
        <v>5</v>
      </c>
      <c r="F12" s="157">
        <f>3340/30*E12</f>
        <v>556.66666666666663</v>
      </c>
      <c r="G12" s="79">
        <f>F12/E12</f>
        <v>111.33333333333333</v>
      </c>
      <c r="H12" s="18">
        <v>45464</v>
      </c>
      <c r="I12" s="20" t="s">
        <v>28</v>
      </c>
      <c r="J12" s="61">
        <v>3990</v>
      </c>
      <c r="K12" s="57" t="s">
        <v>18</v>
      </c>
      <c r="L12" s="52">
        <f>SUMIF($I$12:$I$124,K12,$J$12:$J$124)</f>
        <v>16930</v>
      </c>
      <c r="M12" s="48">
        <f>L12/$C$8</f>
        <v>24.715328467153284</v>
      </c>
      <c r="N12" s="66"/>
      <c r="O12" s="310"/>
      <c r="P12" s="311"/>
      <c r="R12" s="84" t="s">
        <v>180</v>
      </c>
      <c r="S12" s="85">
        <v>120</v>
      </c>
    </row>
    <row r="13" spans="1:21">
      <c r="A13" t="s">
        <v>173</v>
      </c>
      <c r="B13" s="194">
        <v>45508</v>
      </c>
      <c r="C13" s="195">
        <v>2</v>
      </c>
      <c r="D13" s="76">
        <v>45572</v>
      </c>
      <c r="E13" s="11">
        <v>30</v>
      </c>
      <c r="F13" s="37">
        <v>3320</v>
      </c>
      <c r="G13" s="79">
        <f t="shared" ref="G13:G40" si="0">F13/E13</f>
        <v>110.66666666666667</v>
      </c>
      <c r="H13" s="18">
        <v>45464</v>
      </c>
      <c r="I13" s="20" t="s">
        <v>28</v>
      </c>
      <c r="J13" s="62">
        <v>3990</v>
      </c>
      <c r="K13" s="58" t="s">
        <v>25</v>
      </c>
      <c r="L13" s="53">
        <f t="shared" ref="L13:L15" si="1">SUMIF($I$12:$I$124,K13,$J$12:$J$124)</f>
        <v>44060</v>
      </c>
      <c r="M13" s="49">
        <f t="shared" ref="M13:M15" si="2">L13/$C$8</f>
        <v>64.321167883211672</v>
      </c>
      <c r="N13" s="1"/>
      <c r="O13" s="312"/>
      <c r="P13" s="313"/>
      <c r="R13" s="84" t="s">
        <v>187</v>
      </c>
      <c r="S13" s="85">
        <v>100</v>
      </c>
      <c r="U13" s="91"/>
    </row>
    <row r="14" spans="1:21">
      <c r="A14" t="s">
        <v>169</v>
      </c>
      <c r="B14" s="194">
        <v>45515</v>
      </c>
      <c r="C14" s="195">
        <v>1</v>
      </c>
      <c r="D14" s="76">
        <v>45580</v>
      </c>
      <c r="E14" s="11">
        <v>75</v>
      </c>
      <c r="F14" s="37">
        <v>8130</v>
      </c>
      <c r="G14" s="79">
        <f t="shared" si="0"/>
        <v>108.4</v>
      </c>
      <c r="H14" s="18">
        <v>45472</v>
      </c>
      <c r="I14" s="20" t="s">
        <v>28</v>
      </c>
      <c r="J14" s="62">
        <v>3950</v>
      </c>
      <c r="K14" s="106" t="s">
        <v>26</v>
      </c>
      <c r="L14" s="53">
        <f t="shared" si="1"/>
        <v>88050</v>
      </c>
      <c r="M14" s="107">
        <f t="shared" si="2"/>
        <v>128.54014598540147</v>
      </c>
      <c r="N14" s="1"/>
      <c r="O14" s="298"/>
      <c r="P14" s="299"/>
      <c r="R14" s="84"/>
      <c r="S14" s="85"/>
    </row>
    <row r="15" spans="1:21">
      <c r="A15" t="s">
        <v>169</v>
      </c>
      <c r="B15" s="194">
        <v>45519</v>
      </c>
      <c r="C15" s="195">
        <v>2</v>
      </c>
      <c r="D15" s="76">
        <v>45588</v>
      </c>
      <c r="E15" s="11">
        <v>60</v>
      </c>
      <c r="F15" s="37">
        <v>6640</v>
      </c>
      <c r="G15" s="79">
        <f t="shared" si="0"/>
        <v>110.66666666666667</v>
      </c>
      <c r="H15" s="47">
        <v>45472</v>
      </c>
      <c r="I15" s="20" t="s">
        <v>28</v>
      </c>
      <c r="J15" s="62">
        <v>5000</v>
      </c>
      <c r="K15" s="106" t="s">
        <v>92</v>
      </c>
      <c r="L15" s="53">
        <f t="shared" si="1"/>
        <v>16860</v>
      </c>
      <c r="M15" s="107">
        <f t="shared" si="2"/>
        <v>24.613138686131386</v>
      </c>
      <c r="N15" s="1"/>
      <c r="O15" s="171"/>
      <c r="P15" s="172"/>
      <c r="R15" s="84"/>
      <c r="S15" s="85"/>
    </row>
    <row r="16" spans="1:21" ht="18" thickBot="1">
      <c r="A16" t="s">
        <v>169</v>
      </c>
      <c r="B16" s="194">
        <v>45522</v>
      </c>
      <c r="C16" s="195">
        <v>2</v>
      </c>
      <c r="D16" s="76">
        <v>45588</v>
      </c>
      <c r="E16" s="11">
        <v>60</v>
      </c>
      <c r="F16" s="37">
        <v>6660</v>
      </c>
      <c r="G16" s="79">
        <f t="shared" si="0"/>
        <v>111</v>
      </c>
      <c r="H16" s="47">
        <v>45481</v>
      </c>
      <c r="I16" s="20" t="s">
        <v>92</v>
      </c>
      <c r="J16" s="41">
        <v>5030</v>
      </c>
      <c r="K16" s="60" t="s">
        <v>21</v>
      </c>
      <c r="L16" s="55">
        <f>SUM(L12:L15)</f>
        <v>165900</v>
      </c>
      <c r="M16" s="40">
        <f>L16/C8</f>
        <v>242.1897810218978</v>
      </c>
      <c r="N16" s="1"/>
      <c r="O16" s="298"/>
      <c r="P16" s="299"/>
      <c r="R16" s="84"/>
      <c r="S16" s="85"/>
    </row>
    <row r="17" spans="1:19">
      <c r="A17" t="s">
        <v>169</v>
      </c>
      <c r="B17" s="194">
        <v>45524</v>
      </c>
      <c r="C17" s="195">
        <v>2</v>
      </c>
      <c r="D17" s="76">
        <v>45590</v>
      </c>
      <c r="E17" s="11">
        <v>14</v>
      </c>
      <c r="F17" s="37">
        <v>870</v>
      </c>
      <c r="G17" s="79">
        <f t="shared" si="0"/>
        <v>62.142857142857146</v>
      </c>
      <c r="H17" s="47">
        <v>45481</v>
      </c>
      <c r="I17" s="20" t="s">
        <v>92</v>
      </c>
      <c r="J17" s="41">
        <v>4010</v>
      </c>
      <c r="N17" s="63"/>
      <c r="O17" s="298"/>
      <c r="P17" s="299"/>
      <c r="R17" s="84"/>
      <c r="S17" s="85"/>
    </row>
    <row r="18" spans="1:19">
      <c r="B18" s="194">
        <v>45525</v>
      </c>
      <c r="C18" s="195">
        <v>3</v>
      </c>
      <c r="D18" s="76">
        <v>45593</v>
      </c>
      <c r="E18" s="11">
        <v>61</v>
      </c>
      <c r="F18" s="37">
        <v>6770</v>
      </c>
      <c r="G18" s="79">
        <f t="shared" si="0"/>
        <v>110.98360655737704</v>
      </c>
      <c r="H18" s="47">
        <v>45490</v>
      </c>
      <c r="I18" s="20" t="s">
        <v>92</v>
      </c>
      <c r="J18" s="41">
        <v>4030</v>
      </c>
      <c r="N18" s="63"/>
      <c r="O18" s="298"/>
      <c r="P18" s="299"/>
      <c r="R18" s="84"/>
      <c r="S18" s="85"/>
    </row>
    <row r="19" spans="1:19">
      <c r="B19" s="194">
        <v>45529</v>
      </c>
      <c r="C19" s="195">
        <v>5</v>
      </c>
      <c r="D19" s="76">
        <v>45595</v>
      </c>
      <c r="E19" s="11">
        <v>62</v>
      </c>
      <c r="F19" s="37">
        <v>6760</v>
      </c>
      <c r="G19" s="79">
        <f t="shared" si="0"/>
        <v>109.03225806451613</v>
      </c>
      <c r="H19" s="47">
        <v>45490</v>
      </c>
      <c r="I19" s="20" t="s">
        <v>92</v>
      </c>
      <c r="J19" s="41">
        <v>3790</v>
      </c>
      <c r="K19" t="s">
        <v>32</v>
      </c>
      <c r="L19" s="78">
        <f>(J59/I9)/(113-H8)</f>
        <v>2.9964729613578815</v>
      </c>
      <c r="N19" s="63"/>
      <c r="O19" s="298"/>
      <c r="P19" s="299"/>
      <c r="R19" s="84"/>
      <c r="S19" s="85"/>
    </row>
    <row r="20" spans="1:19">
      <c r="B20" s="194">
        <v>45532</v>
      </c>
      <c r="C20" s="195">
        <v>2</v>
      </c>
      <c r="D20" s="76">
        <v>45595</v>
      </c>
      <c r="E20" s="11">
        <v>60</v>
      </c>
      <c r="F20" s="37">
        <v>6720</v>
      </c>
      <c r="G20" s="79">
        <f t="shared" si="0"/>
        <v>112</v>
      </c>
      <c r="H20" s="47">
        <v>45499</v>
      </c>
      <c r="I20" s="20" t="s">
        <v>127</v>
      </c>
      <c r="J20" s="41">
        <v>3020</v>
      </c>
      <c r="K20" t="s">
        <v>172</v>
      </c>
      <c r="L20">
        <f>J23*2/N8/5</f>
        <v>176</v>
      </c>
      <c r="N20" s="63"/>
      <c r="O20" s="298"/>
      <c r="P20" s="299"/>
      <c r="R20" s="84"/>
      <c r="S20" s="85"/>
    </row>
    <row r="21" spans="1:19">
      <c r="B21" s="74">
        <v>45539</v>
      </c>
      <c r="C21" s="15">
        <v>2</v>
      </c>
      <c r="D21" s="76">
        <v>45602</v>
      </c>
      <c r="E21" s="11">
        <v>60</v>
      </c>
      <c r="F21" s="37">
        <v>6700</v>
      </c>
      <c r="G21" s="79">
        <f t="shared" si="0"/>
        <v>111.66666666666667</v>
      </c>
      <c r="H21" s="47">
        <v>45499</v>
      </c>
      <c r="I21" s="20" t="s">
        <v>127</v>
      </c>
      <c r="J21" s="41">
        <v>3020</v>
      </c>
      <c r="N21" s="63"/>
      <c r="O21" s="298"/>
      <c r="P21" s="299"/>
      <c r="R21" s="84"/>
      <c r="S21" s="85"/>
    </row>
    <row r="22" spans="1:19">
      <c r="B22" s="194">
        <v>45544</v>
      </c>
      <c r="C22" s="195">
        <v>7</v>
      </c>
      <c r="D22" s="76">
        <v>45616</v>
      </c>
      <c r="E22" s="11">
        <v>61</v>
      </c>
      <c r="F22" s="37">
        <v>7130</v>
      </c>
      <c r="G22" s="79">
        <f t="shared" si="0"/>
        <v>116.88524590163935</v>
      </c>
      <c r="H22" s="47">
        <v>45504</v>
      </c>
      <c r="I22" s="20" t="s">
        <v>29</v>
      </c>
      <c r="J22" s="41">
        <v>3980</v>
      </c>
      <c r="N22" s="63"/>
      <c r="O22" s="298"/>
      <c r="P22" s="299"/>
      <c r="R22" s="84"/>
      <c r="S22" s="85"/>
    </row>
    <row r="23" spans="1:19">
      <c r="B23" s="194">
        <v>45547</v>
      </c>
      <c r="C23" s="195">
        <v>5</v>
      </c>
      <c r="D23" s="76">
        <v>45622</v>
      </c>
      <c r="E23" s="11">
        <v>60</v>
      </c>
      <c r="F23" s="37">
        <v>6510</v>
      </c>
      <c r="G23" s="79">
        <f t="shared" si="0"/>
        <v>108.5</v>
      </c>
      <c r="H23" s="47">
        <v>45504</v>
      </c>
      <c r="I23" s="20" t="s">
        <v>29</v>
      </c>
      <c r="J23" s="41">
        <v>3960</v>
      </c>
      <c r="M23" s="25"/>
      <c r="N23" s="63"/>
      <c r="O23" s="298"/>
      <c r="P23" s="299"/>
      <c r="R23" s="84"/>
      <c r="S23" s="85"/>
    </row>
    <row r="24" spans="1:19">
      <c r="B24" s="74">
        <v>45550</v>
      </c>
      <c r="C24" s="15">
        <v>2</v>
      </c>
      <c r="D24" s="11"/>
      <c r="E24" s="11"/>
      <c r="F24" s="37"/>
      <c r="G24" s="79" t="e">
        <f t="shared" si="0"/>
        <v>#DIV/0!</v>
      </c>
      <c r="H24" s="47">
        <v>45512</v>
      </c>
      <c r="I24" s="20" t="s">
        <v>29</v>
      </c>
      <c r="J24" s="41">
        <v>4030</v>
      </c>
      <c r="L24">
        <v>3.17</v>
      </c>
      <c r="N24" s="63"/>
      <c r="O24" s="298"/>
      <c r="P24" s="299"/>
      <c r="R24" s="84"/>
      <c r="S24" s="85"/>
    </row>
    <row r="25" spans="1:19">
      <c r="B25" s="74">
        <v>45552</v>
      </c>
      <c r="C25" s="15">
        <v>4</v>
      </c>
      <c r="D25" s="11"/>
      <c r="E25" s="11"/>
      <c r="F25" s="37"/>
      <c r="G25" s="79" t="e">
        <f t="shared" si="0"/>
        <v>#DIV/0!</v>
      </c>
      <c r="H25" s="47">
        <v>45512</v>
      </c>
      <c r="I25" s="20" t="s">
        <v>29</v>
      </c>
      <c r="J25" s="41">
        <v>4020</v>
      </c>
      <c r="N25" s="63"/>
      <c r="O25" s="298"/>
      <c r="P25" s="299"/>
      <c r="R25" s="84"/>
      <c r="S25" s="85"/>
    </row>
    <row r="26" spans="1:19">
      <c r="B26" s="74">
        <v>45555</v>
      </c>
      <c r="C26" s="15">
        <v>2</v>
      </c>
      <c r="D26" s="11"/>
      <c r="E26" s="11"/>
      <c r="F26" s="37"/>
      <c r="G26" s="79" t="e">
        <f t="shared" si="0"/>
        <v>#DIV/0!</v>
      </c>
      <c r="H26" s="47">
        <v>45518</v>
      </c>
      <c r="I26" s="20" t="s">
        <v>29</v>
      </c>
      <c r="J26" s="41">
        <v>4050</v>
      </c>
      <c r="K26" s="72"/>
      <c r="N26" s="64"/>
      <c r="O26" s="298"/>
      <c r="P26" s="299"/>
      <c r="R26" s="84"/>
      <c r="S26" s="85"/>
    </row>
    <row r="27" spans="1:19">
      <c r="B27" s="74">
        <v>45559</v>
      </c>
      <c r="C27" s="15">
        <v>1</v>
      </c>
      <c r="D27" s="11"/>
      <c r="E27" s="11"/>
      <c r="F27" s="37"/>
      <c r="G27" s="79" t="e">
        <f t="shared" si="0"/>
        <v>#DIV/0!</v>
      </c>
      <c r="H27" s="47">
        <v>45518</v>
      </c>
      <c r="I27" s="20" t="s">
        <v>29</v>
      </c>
      <c r="J27" s="41">
        <v>4020</v>
      </c>
      <c r="N27" s="64"/>
      <c r="O27" s="298"/>
      <c r="P27" s="299"/>
      <c r="R27" s="84"/>
      <c r="S27" s="85"/>
    </row>
    <row r="28" spans="1:19">
      <c r="B28" s="74">
        <v>45565</v>
      </c>
      <c r="C28" s="15">
        <v>3</v>
      </c>
      <c r="D28" s="11"/>
      <c r="E28" s="11"/>
      <c r="F28" s="37"/>
      <c r="G28" s="79" t="e">
        <f>F28/E28</f>
        <v>#DIV/0!</v>
      </c>
      <c r="H28" s="47">
        <v>45524</v>
      </c>
      <c r="I28" s="20" t="s">
        <v>29</v>
      </c>
      <c r="J28" s="41">
        <v>5030</v>
      </c>
      <c r="N28" s="64"/>
      <c r="O28" s="298"/>
      <c r="P28" s="299"/>
      <c r="R28" s="84"/>
      <c r="S28" s="85"/>
    </row>
    <row r="29" spans="1:19">
      <c r="B29" s="74">
        <v>45570</v>
      </c>
      <c r="C29" s="15">
        <v>1</v>
      </c>
      <c r="D29" s="11"/>
      <c r="E29" s="11"/>
      <c r="F29" s="37"/>
      <c r="G29" s="79" t="e">
        <f t="shared" si="0"/>
        <v>#DIV/0!</v>
      </c>
      <c r="H29" s="47">
        <v>45528</v>
      </c>
      <c r="I29" s="20" t="s">
        <v>29</v>
      </c>
      <c r="J29" s="41">
        <v>4010</v>
      </c>
      <c r="N29" s="64"/>
      <c r="O29" s="298"/>
      <c r="P29" s="299"/>
      <c r="R29" s="84"/>
      <c r="S29" s="85"/>
    </row>
    <row r="30" spans="1:19">
      <c r="B30" s="74">
        <v>45575</v>
      </c>
      <c r="C30" s="15">
        <v>1</v>
      </c>
      <c r="D30" s="11"/>
      <c r="E30" s="11"/>
      <c r="F30" s="37"/>
      <c r="G30" s="79" t="e">
        <f t="shared" si="0"/>
        <v>#DIV/0!</v>
      </c>
      <c r="H30" s="47">
        <v>45531</v>
      </c>
      <c r="I30" s="20" t="s">
        <v>127</v>
      </c>
      <c r="J30" s="41">
        <v>5040</v>
      </c>
      <c r="N30" s="64"/>
      <c r="O30" s="298"/>
      <c r="P30" s="299"/>
      <c r="R30" s="84"/>
      <c r="S30" s="85"/>
    </row>
    <row r="31" spans="1:19">
      <c r="B31" s="74">
        <v>45581</v>
      </c>
      <c r="C31" s="15">
        <v>2</v>
      </c>
      <c r="D31" s="11"/>
      <c r="E31" s="11"/>
      <c r="F31" s="37"/>
      <c r="G31" s="79" t="e">
        <f t="shared" si="0"/>
        <v>#DIV/0!</v>
      </c>
      <c r="H31" s="47">
        <v>45535</v>
      </c>
      <c r="I31" s="20" t="s">
        <v>127</v>
      </c>
      <c r="J31" s="41">
        <v>3040</v>
      </c>
      <c r="N31" s="64"/>
      <c r="O31" s="298"/>
      <c r="P31" s="299"/>
      <c r="R31" s="84"/>
      <c r="S31" s="85"/>
    </row>
    <row r="32" spans="1:19" ht="18" thickBot="1">
      <c r="B32" s="74">
        <v>45588</v>
      </c>
      <c r="C32" s="15">
        <v>2</v>
      </c>
      <c r="D32" s="11"/>
      <c r="E32" s="11"/>
      <c r="F32" s="37"/>
      <c r="G32" s="79" t="e">
        <f t="shared" si="0"/>
        <v>#DIV/0!</v>
      </c>
      <c r="H32" s="47">
        <v>45535</v>
      </c>
      <c r="I32" s="20" t="s">
        <v>127</v>
      </c>
      <c r="J32" s="41">
        <v>4030</v>
      </c>
      <c r="N32" s="64"/>
      <c r="O32" s="298"/>
      <c r="P32" s="299"/>
      <c r="R32" s="86"/>
      <c r="S32" s="87"/>
    </row>
    <row r="33" spans="2:16" ht="18" thickTop="1">
      <c r="B33" s="74">
        <v>45593</v>
      </c>
      <c r="C33" s="15">
        <v>2</v>
      </c>
      <c r="D33" s="11"/>
      <c r="E33" s="11"/>
      <c r="F33" s="37"/>
      <c r="G33" s="79" t="e">
        <f t="shared" si="0"/>
        <v>#DIV/0!</v>
      </c>
      <c r="H33" s="47">
        <v>45544</v>
      </c>
      <c r="I33" s="20" t="s">
        <v>127</v>
      </c>
      <c r="J33" s="41">
        <v>4980</v>
      </c>
      <c r="N33" s="64"/>
      <c r="O33" s="298"/>
      <c r="P33" s="299"/>
    </row>
    <row r="34" spans="2:16">
      <c r="B34" s="14"/>
      <c r="C34" s="15"/>
      <c r="D34" s="11"/>
      <c r="E34" s="11"/>
      <c r="F34" s="37"/>
      <c r="G34" s="79" t="e">
        <f t="shared" si="0"/>
        <v>#DIV/0!</v>
      </c>
      <c r="H34" s="47">
        <v>45544</v>
      </c>
      <c r="I34" s="20" t="s">
        <v>127</v>
      </c>
      <c r="J34" s="41">
        <v>5000</v>
      </c>
      <c r="N34" s="64"/>
      <c r="O34" s="298"/>
      <c r="P34" s="299"/>
    </row>
    <row r="35" spans="2:16">
      <c r="B35" s="14"/>
      <c r="C35" s="15"/>
      <c r="D35" s="11"/>
      <c r="E35" s="11"/>
      <c r="F35" s="37"/>
      <c r="G35" s="79" t="e">
        <f t="shared" si="0"/>
        <v>#DIV/0!</v>
      </c>
      <c r="H35" s="47">
        <v>45547</v>
      </c>
      <c r="I35" s="20" t="s">
        <v>127</v>
      </c>
      <c r="J35" s="41">
        <v>4080</v>
      </c>
      <c r="N35" s="64"/>
      <c r="O35" s="298"/>
      <c r="P35" s="299"/>
    </row>
    <row r="36" spans="2:16">
      <c r="B36" s="14"/>
      <c r="C36" s="15"/>
      <c r="D36" s="11"/>
      <c r="E36" s="11"/>
      <c r="F36" s="37"/>
      <c r="G36" s="79" t="e">
        <f t="shared" si="0"/>
        <v>#DIV/0!</v>
      </c>
      <c r="H36" s="47">
        <v>45554</v>
      </c>
      <c r="I36" s="20" t="s">
        <v>127</v>
      </c>
      <c r="J36" s="41">
        <v>3990</v>
      </c>
      <c r="N36" s="64"/>
      <c r="O36" s="298"/>
      <c r="P36" s="299"/>
    </row>
    <row r="37" spans="2:16">
      <c r="B37" s="14"/>
      <c r="C37" s="15"/>
      <c r="D37" s="11"/>
      <c r="E37" s="11"/>
      <c r="F37" s="37"/>
      <c r="G37" s="79" t="e">
        <f t="shared" si="0"/>
        <v>#DIV/0!</v>
      </c>
      <c r="H37" s="47">
        <v>45554</v>
      </c>
      <c r="I37" s="20" t="s">
        <v>127</v>
      </c>
      <c r="J37" s="41">
        <v>3990</v>
      </c>
      <c r="N37" s="64"/>
      <c r="O37" s="298"/>
      <c r="P37" s="299"/>
    </row>
    <row r="38" spans="2:16">
      <c r="B38" s="14"/>
      <c r="C38" s="15"/>
      <c r="D38" s="11"/>
      <c r="E38" s="11"/>
      <c r="F38" s="37"/>
      <c r="G38" s="79" t="e">
        <f t="shared" si="0"/>
        <v>#DIV/0!</v>
      </c>
      <c r="H38" s="47">
        <v>45558</v>
      </c>
      <c r="I38" s="20" t="s">
        <v>127</v>
      </c>
      <c r="J38" s="41">
        <v>4990</v>
      </c>
      <c r="N38" s="64"/>
      <c r="O38" s="298"/>
      <c r="P38" s="299"/>
    </row>
    <row r="39" spans="2:16">
      <c r="B39" s="14"/>
      <c r="C39" s="15"/>
      <c r="D39" s="11"/>
      <c r="E39" s="11"/>
      <c r="F39" s="37"/>
      <c r="G39" s="79" t="e">
        <f t="shared" si="0"/>
        <v>#DIV/0!</v>
      </c>
      <c r="H39" s="47">
        <v>45558</v>
      </c>
      <c r="I39" s="20" t="s">
        <v>127</v>
      </c>
      <c r="J39" s="41">
        <v>3030</v>
      </c>
      <c r="N39" s="64"/>
      <c r="O39" s="298"/>
      <c r="P39" s="299"/>
    </row>
    <row r="40" spans="2:16">
      <c r="B40" s="14"/>
      <c r="C40" s="15"/>
      <c r="D40" s="11"/>
      <c r="E40" s="11"/>
      <c r="F40" s="37"/>
      <c r="G40" s="79" t="e">
        <f t="shared" si="0"/>
        <v>#DIV/0!</v>
      </c>
      <c r="H40" s="47">
        <v>45566</v>
      </c>
      <c r="I40" s="20" t="s">
        <v>127</v>
      </c>
      <c r="J40" s="41">
        <v>5020</v>
      </c>
      <c r="N40" s="64"/>
      <c r="O40" s="298"/>
      <c r="P40" s="299"/>
    </row>
    <row r="41" spans="2:16">
      <c r="B41" s="14"/>
      <c r="C41" s="15"/>
      <c r="D41" s="11"/>
      <c r="E41" s="11"/>
      <c r="F41" s="37"/>
      <c r="G41" s="37"/>
      <c r="H41" s="47">
        <v>45566</v>
      </c>
      <c r="I41" s="20" t="s">
        <v>127</v>
      </c>
      <c r="J41" s="41">
        <v>5010</v>
      </c>
      <c r="N41" s="64"/>
      <c r="O41" s="298"/>
      <c r="P41" s="299"/>
    </row>
    <row r="42" spans="2:16">
      <c r="B42" s="14"/>
      <c r="C42" s="15"/>
      <c r="D42" s="11"/>
      <c r="E42" s="11"/>
      <c r="F42" s="37"/>
      <c r="G42" s="37"/>
      <c r="H42" s="47">
        <v>45572</v>
      </c>
      <c r="I42" s="20" t="s">
        <v>127</v>
      </c>
      <c r="J42" s="41">
        <v>5040</v>
      </c>
      <c r="N42" s="64"/>
      <c r="O42" s="298"/>
      <c r="P42" s="299"/>
    </row>
    <row r="43" spans="2:16">
      <c r="B43" s="14"/>
      <c r="C43" s="15"/>
      <c r="D43" s="11"/>
      <c r="E43" s="11"/>
      <c r="F43" s="37"/>
      <c r="G43" s="37"/>
      <c r="H43" s="47">
        <v>45572</v>
      </c>
      <c r="I43" s="20" t="s">
        <v>127</v>
      </c>
      <c r="J43" s="41">
        <v>5030</v>
      </c>
      <c r="N43" s="64"/>
      <c r="O43" s="298"/>
      <c r="P43" s="299"/>
    </row>
    <row r="44" spans="2:16">
      <c r="B44" s="14"/>
      <c r="C44" s="15"/>
      <c r="D44" s="11"/>
      <c r="E44" s="11"/>
      <c r="F44" s="37"/>
      <c r="G44" s="37"/>
      <c r="H44" s="47">
        <v>45579</v>
      </c>
      <c r="I44" s="20" t="s">
        <v>127</v>
      </c>
      <c r="J44" s="41">
        <v>4980</v>
      </c>
      <c r="N44" s="64"/>
      <c r="O44" s="298"/>
      <c r="P44" s="299"/>
    </row>
    <row r="45" spans="2:16">
      <c r="B45" s="14"/>
      <c r="C45" s="15"/>
      <c r="D45" s="11"/>
      <c r="E45" s="11"/>
      <c r="F45" s="37"/>
      <c r="G45" s="37"/>
      <c r="H45" s="47">
        <v>45579</v>
      </c>
      <c r="I45" s="20" t="s">
        <v>127</v>
      </c>
      <c r="J45" s="41">
        <v>4920</v>
      </c>
      <c r="N45" s="64"/>
      <c r="O45" s="298"/>
      <c r="P45" s="299"/>
    </row>
    <row r="46" spans="2:16">
      <c r="B46" s="14"/>
      <c r="C46" s="15"/>
      <c r="D46" s="11"/>
      <c r="E46" s="11"/>
      <c r="F46" s="37"/>
      <c r="G46" s="37"/>
      <c r="H46" s="47">
        <v>45583</v>
      </c>
      <c r="I46" s="20" t="s">
        <v>127</v>
      </c>
      <c r="J46" s="41">
        <v>2960</v>
      </c>
      <c r="N46" s="64"/>
      <c r="O46" s="298"/>
      <c r="P46" s="299"/>
    </row>
    <row r="47" spans="2:16">
      <c r="B47" s="14"/>
      <c r="C47" s="15"/>
      <c r="D47" s="11"/>
      <c r="E47" s="11"/>
      <c r="F47" s="37"/>
      <c r="G47" s="37"/>
      <c r="H47" s="47">
        <v>45583</v>
      </c>
      <c r="I47" s="20" t="s">
        <v>127</v>
      </c>
      <c r="J47" s="41">
        <v>3950</v>
      </c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47">
        <v>45591</v>
      </c>
      <c r="I48" s="20" t="s">
        <v>29</v>
      </c>
      <c r="J48" s="41">
        <v>3000</v>
      </c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>
        <v>45591</v>
      </c>
      <c r="I49" s="20" t="s">
        <v>29</v>
      </c>
      <c r="J49" s="41">
        <v>4960</v>
      </c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>
        <v>45603</v>
      </c>
      <c r="I50" s="20" t="s">
        <v>127</v>
      </c>
      <c r="J50" s="41">
        <v>1480</v>
      </c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>
        <v>45603</v>
      </c>
      <c r="I51" s="20" t="s">
        <v>29</v>
      </c>
      <c r="J51" s="41">
        <v>1490</v>
      </c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>
        <v>45611</v>
      </c>
      <c r="I52" s="20" t="s">
        <v>29</v>
      </c>
      <c r="J52" s="41">
        <v>1510</v>
      </c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>
        <v>45611</v>
      </c>
      <c r="I53" s="20" t="s">
        <v>127</v>
      </c>
      <c r="J53" s="41">
        <v>1450</v>
      </c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54</v>
      </c>
      <c r="D59" s="8"/>
      <c r="E59" s="8">
        <f>SUM(E12:E58)</f>
        <v>608</v>
      </c>
      <c r="F59" s="39">
        <f>SUM(F12:F58)</f>
        <v>66766.666666666657</v>
      </c>
      <c r="G59" s="71">
        <f>F59/E59</f>
        <v>109.81359649122805</v>
      </c>
      <c r="H59" s="8"/>
      <c r="I59" s="8"/>
      <c r="J59" s="43">
        <f>SUM(J12:J58)</f>
        <v>165900</v>
      </c>
      <c r="N59" s="65"/>
      <c r="O59" s="300"/>
      <c r="P59" s="301"/>
    </row>
    <row r="62" spans="2:16">
      <c r="D62" s="73">
        <v>45246</v>
      </c>
      <c r="E62">
        <v>30</v>
      </c>
    </row>
    <row r="63" spans="2:16">
      <c r="D63" s="73">
        <v>45253</v>
      </c>
      <c r="E63">
        <v>80</v>
      </c>
    </row>
    <row r="64" spans="2:16">
      <c r="D64" s="73">
        <v>45262</v>
      </c>
      <c r="E64">
        <v>100</v>
      </c>
    </row>
    <row r="65" spans="4:19">
      <c r="D65" s="73">
        <v>45269</v>
      </c>
      <c r="E65">
        <v>80</v>
      </c>
    </row>
    <row r="66" spans="4:19">
      <c r="D66" s="73"/>
    </row>
    <row r="73" spans="4:19">
      <c r="S73">
        <f>700</f>
        <v>700</v>
      </c>
    </row>
    <row r="75" spans="4:19">
      <c r="S75">
        <v>25</v>
      </c>
    </row>
    <row r="76" spans="4:19">
      <c r="S76">
        <f>S75/S73</f>
        <v>3.5714285714285712E-2</v>
      </c>
    </row>
    <row r="77" spans="4:19">
      <c r="F77">
        <f>2040+6100</f>
        <v>8140</v>
      </c>
    </row>
    <row r="78" spans="4:19">
      <c r="F78">
        <f>F77+460</f>
        <v>8600</v>
      </c>
    </row>
    <row r="79" spans="4:19">
      <c r="S79" t="s">
        <v>65</v>
      </c>
    </row>
    <row r="92" spans="17:17">
      <c r="Q92">
        <v>112</v>
      </c>
    </row>
    <row r="93" spans="17:17">
      <c r="Q93" t="e">
        <f>Q92/Q86</f>
        <v>#DIV/0!</v>
      </c>
    </row>
  </sheetData>
  <mergeCells count="64"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59"/>
  <sheetViews>
    <sheetView showGridLines="0" zoomScaleNormal="100" workbookViewId="0">
      <selection activeCell="F24" sqref="F24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20" ht="18" thickBot="1">
      <c r="A1" t="s">
        <v>27</v>
      </c>
      <c r="B1" s="51" t="s">
        <v>69</v>
      </c>
      <c r="D1" s="73">
        <f ca="1">TODAY()</f>
        <v>46325</v>
      </c>
      <c r="E1">
        <f ca="1">D1-B4</f>
        <v>1024</v>
      </c>
      <c r="J1">
        <v>4</v>
      </c>
    </row>
    <row r="2" spans="1:20" ht="18" thickBot="1">
      <c r="F2" s="302" t="s">
        <v>9</v>
      </c>
      <c r="G2" s="305"/>
      <c r="H2" s="314"/>
      <c r="O2" s="302" t="s">
        <v>8</v>
      </c>
      <c r="P2" s="314"/>
      <c r="R2">
        <f>489</f>
        <v>489</v>
      </c>
    </row>
    <row r="3" spans="1:20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v>32</v>
      </c>
      <c r="S3">
        <f>R2-R3</f>
        <v>457</v>
      </c>
      <c r="T3">
        <f>522-190-54</f>
        <v>278</v>
      </c>
    </row>
    <row r="4" spans="1:20">
      <c r="B4" s="27">
        <v>45301</v>
      </c>
      <c r="C4" s="30">
        <v>522</v>
      </c>
      <c r="D4" s="36">
        <f>4570+4290+5830</f>
        <v>14690</v>
      </c>
      <c r="E4" s="70">
        <f>D4/C4</f>
        <v>28.14176245210728</v>
      </c>
      <c r="F4" s="315">
        <f>C8-P8</f>
        <v>506</v>
      </c>
      <c r="G4" s="318">
        <f>D8-(D8/C8*P8)</f>
        <v>14239.731800766283</v>
      </c>
      <c r="H4" s="318">
        <f>G4/F4</f>
        <v>28.14176245210728</v>
      </c>
      <c r="I4" s="321" t="s">
        <v>83</v>
      </c>
      <c r="J4" s="1">
        <f>B4+90</f>
        <v>45391</v>
      </c>
      <c r="K4" s="323">
        <f>C59</f>
        <v>183</v>
      </c>
      <c r="L4" s="325">
        <f>K8/F8</f>
        <v>0.36166007905138342</v>
      </c>
      <c r="M4" s="323">
        <f>E59</f>
        <v>323</v>
      </c>
      <c r="N4" s="323">
        <f>F8-C59-E59</f>
        <v>0</v>
      </c>
      <c r="O4" s="22">
        <v>45301</v>
      </c>
      <c r="P4" s="33">
        <v>16</v>
      </c>
      <c r="Q4">
        <f>6+5+5+3+4+13+2+4+6+11</f>
        <v>59</v>
      </c>
      <c r="R4" s="69"/>
    </row>
    <row r="5" spans="1:20">
      <c r="B5" s="27"/>
      <c r="C5" s="30"/>
      <c r="D5" s="37"/>
      <c r="E5" s="70" t="e">
        <f t="shared" ref="E5:E7" si="0">D5/C5</f>
        <v>#DIV/0!</v>
      </c>
      <c r="F5" s="316"/>
      <c r="G5" s="319"/>
      <c r="H5" s="319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</row>
    <row r="6" spans="1:20">
      <c r="B6" s="27"/>
      <c r="C6" s="30"/>
      <c r="D6" s="37"/>
      <c r="E6" s="70" t="e">
        <f t="shared" si="0"/>
        <v>#DIV/0!</v>
      </c>
      <c r="F6" s="316"/>
      <c r="G6" s="319"/>
      <c r="H6" s="319"/>
      <c r="I6" s="321"/>
      <c r="J6" s="2"/>
      <c r="K6" s="323"/>
      <c r="L6" s="325"/>
      <c r="M6" s="323"/>
      <c r="N6" s="323"/>
      <c r="O6" s="22"/>
      <c r="P6" s="33"/>
      <c r="R6" s="77"/>
    </row>
    <row r="7" spans="1:20" ht="18" thickBot="1">
      <c r="B7" s="28"/>
      <c r="C7" s="31"/>
      <c r="D7" s="38"/>
      <c r="E7" s="36" t="e">
        <f t="shared" si="0"/>
        <v>#DIV/0!</v>
      </c>
      <c r="F7" s="317"/>
      <c r="G7" s="320"/>
      <c r="H7" s="320"/>
      <c r="I7" s="322"/>
      <c r="J7" s="6"/>
      <c r="K7" s="324"/>
      <c r="L7" s="326"/>
      <c r="M7" s="324"/>
      <c r="N7" s="324"/>
      <c r="O7" s="24"/>
      <c r="P7" s="34"/>
    </row>
    <row r="8" spans="1:20" ht="18" thickBot="1">
      <c r="B8" s="9" t="s">
        <v>10</v>
      </c>
      <c r="C8" s="32">
        <f>SUM(C4:C7)</f>
        <v>522</v>
      </c>
      <c r="D8" s="39">
        <f>SUM(D4:D7)</f>
        <v>14690</v>
      </c>
      <c r="E8" s="71">
        <f>D8/C8</f>
        <v>28.14176245210728</v>
      </c>
      <c r="F8" s="32">
        <f>SUM(F4)</f>
        <v>506</v>
      </c>
      <c r="G8" s="39">
        <f>SUM(G4)</f>
        <v>14239.731800766283</v>
      </c>
      <c r="H8" s="71">
        <f>G8/F8</f>
        <v>28.14176245210728</v>
      </c>
      <c r="I8" s="8"/>
      <c r="J8" s="8"/>
      <c r="K8" s="32">
        <f>K4</f>
        <v>183</v>
      </c>
      <c r="L8" s="26">
        <f>L4</f>
        <v>0.36166007905138342</v>
      </c>
      <c r="M8" s="32">
        <f>M4</f>
        <v>323</v>
      </c>
      <c r="N8" s="32">
        <f>N4</f>
        <v>0</v>
      </c>
      <c r="O8" s="46">
        <f>P8/C8</f>
        <v>3.0651340996168581E-2</v>
      </c>
      <c r="P8" s="35">
        <f>SUM(P4:P7)</f>
        <v>16</v>
      </c>
      <c r="Q8" s="69">
        <f>P8-Q4-Q5-Q6</f>
        <v>-43</v>
      </c>
    </row>
    <row r="9" spans="1:20" ht="18" thickBot="1">
      <c r="G9">
        <v>14242</v>
      </c>
      <c r="I9">
        <f>F8*0.638</f>
        <v>322.82800000000003</v>
      </c>
    </row>
    <row r="10" spans="1:20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0" ht="18" thickBot="1">
      <c r="B11" s="9" t="s">
        <v>0</v>
      </c>
      <c r="C11" s="97" t="s">
        <v>1</v>
      </c>
      <c r="D11" s="97" t="s">
        <v>0</v>
      </c>
      <c r="E11" s="97" t="s">
        <v>1</v>
      </c>
      <c r="F11" s="97" t="s">
        <v>2</v>
      </c>
      <c r="G11" s="97" t="s">
        <v>3</v>
      </c>
      <c r="H11" s="97" t="s">
        <v>0</v>
      </c>
      <c r="I11" s="97" t="s">
        <v>15</v>
      </c>
      <c r="J11" s="97" t="s">
        <v>16</v>
      </c>
      <c r="K11" s="56" t="s">
        <v>15</v>
      </c>
      <c r="L11" s="97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0">
      <c r="B12" s="45">
        <v>45306</v>
      </c>
      <c r="C12" s="13">
        <v>5</v>
      </c>
      <c r="D12" s="75">
        <v>45399</v>
      </c>
      <c r="E12" s="10">
        <v>54</v>
      </c>
      <c r="F12" s="44">
        <v>6260</v>
      </c>
      <c r="G12" s="79">
        <f>F12/E12</f>
        <v>115.92592592592592</v>
      </c>
      <c r="H12" s="18">
        <v>45301</v>
      </c>
      <c r="I12" s="19" t="s">
        <v>28</v>
      </c>
      <c r="J12" s="61">
        <v>5040</v>
      </c>
      <c r="K12" s="57" t="s">
        <v>18</v>
      </c>
      <c r="L12" s="52">
        <f>SUMIF($I$12:$I$124,K12,$J$12:$J$124)</f>
        <v>15100</v>
      </c>
      <c r="M12" s="48">
        <f>L12/$C$8</f>
        <v>28.927203065134101</v>
      </c>
      <c r="N12" s="66"/>
      <c r="O12" s="310"/>
      <c r="P12" s="311"/>
      <c r="R12" s="84" t="s">
        <v>90</v>
      </c>
      <c r="S12" s="85">
        <v>54</v>
      </c>
    </row>
    <row r="13" spans="1:20">
      <c r="B13" s="74">
        <v>45308</v>
      </c>
      <c r="C13" s="15">
        <v>5</v>
      </c>
      <c r="D13" s="76">
        <v>45407</v>
      </c>
      <c r="E13" s="11">
        <v>67</v>
      </c>
      <c r="F13" s="37">
        <f>3430+3890</f>
        <v>7320</v>
      </c>
      <c r="G13" s="79">
        <f t="shared" ref="G13:G23" si="1">F13/E13</f>
        <v>109.25373134328358</v>
      </c>
      <c r="H13" s="47">
        <v>45308</v>
      </c>
      <c r="I13" s="19" t="s">
        <v>28</v>
      </c>
      <c r="J13" s="62">
        <v>5050</v>
      </c>
      <c r="K13" s="58" t="s">
        <v>25</v>
      </c>
      <c r="L13" s="53">
        <f t="shared" ref="L13:L15" si="2">SUMIF($I$12:$I$124,K13,$J$12:$J$124)</f>
        <v>31360</v>
      </c>
      <c r="M13" s="49">
        <f>L13/$C$8</f>
        <v>60.076628352490424</v>
      </c>
      <c r="N13" s="1"/>
      <c r="O13" s="312"/>
      <c r="P13" s="313"/>
      <c r="R13" s="84" t="s">
        <v>88</v>
      </c>
      <c r="S13" s="85">
        <v>67</v>
      </c>
    </row>
    <row r="14" spans="1:20">
      <c r="B14" s="45">
        <v>45314</v>
      </c>
      <c r="C14" s="13">
        <v>15</v>
      </c>
      <c r="D14" s="76">
        <v>45407</v>
      </c>
      <c r="E14" s="11">
        <v>15</v>
      </c>
      <c r="F14" s="37">
        <v>900</v>
      </c>
      <c r="G14" s="79">
        <f t="shared" si="1"/>
        <v>60</v>
      </c>
      <c r="H14" s="47">
        <v>45317</v>
      </c>
      <c r="I14" s="19" t="s">
        <v>28</v>
      </c>
      <c r="J14" s="62">
        <v>5010</v>
      </c>
      <c r="K14" s="58" t="s">
        <v>93</v>
      </c>
      <c r="L14" s="53">
        <f t="shared" ref="L14" si="3">SUMIF($I$12:$I$124,K14,$J$12:$J$124)</f>
        <v>8100</v>
      </c>
      <c r="M14" s="49">
        <f>L14/$C$8</f>
        <v>15.517241379310345</v>
      </c>
      <c r="N14" s="1"/>
      <c r="O14" s="116"/>
      <c r="P14" s="117"/>
      <c r="R14" s="84" t="s">
        <v>89</v>
      </c>
      <c r="S14" s="85"/>
    </row>
    <row r="15" spans="1:20" ht="18" thickBot="1">
      <c r="B15" s="74">
        <v>45315</v>
      </c>
      <c r="C15" s="15">
        <v>4</v>
      </c>
      <c r="D15" s="76">
        <v>45414</v>
      </c>
      <c r="E15" s="11">
        <v>31</v>
      </c>
      <c r="F15" s="37">
        <v>3420</v>
      </c>
      <c r="G15" s="79">
        <f t="shared" si="1"/>
        <v>110.3225806451613</v>
      </c>
      <c r="H15" s="47">
        <v>45329</v>
      </c>
      <c r="I15" s="19" t="s">
        <v>29</v>
      </c>
      <c r="J15" s="62">
        <v>3060</v>
      </c>
      <c r="K15" s="59" t="s">
        <v>26</v>
      </c>
      <c r="L15" s="54">
        <f t="shared" si="2"/>
        <v>35290</v>
      </c>
      <c r="M15" s="50">
        <f>L15/$C$8</f>
        <v>67.605363984674327</v>
      </c>
      <c r="N15" s="1"/>
      <c r="O15" s="298"/>
      <c r="P15" s="299"/>
      <c r="R15" s="84" t="s">
        <v>106</v>
      </c>
      <c r="S15" s="85">
        <v>31</v>
      </c>
    </row>
    <row r="16" spans="1:20" ht="18" thickBot="1">
      <c r="B16" s="74">
        <v>45316</v>
      </c>
      <c r="C16" s="15">
        <v>11</v>
      </c>
      <c r="D16" s="76">
        <v>45426</v>
      </c>
      <c r="E16" s="11">
        <v>56</v>
      </c>
      <c r="F16" s="37">
        <v>6290</v>
      </c>
      <c r="G16" s="79">
        <f t="shared" si="1"/>
        <v>112.32142857142857</v>
      </c>
      <c r="H16" s="47">
        <v>45337</v>
      </c>
      <c r="I16" s="19" t="s">
        <v>29</v>
      </c>
      <c r="J16" s="41">
        <v>3060</v>
      </c>
      <c r="K16" s="60" t="s">
        <v>21</v>
      </c>
      <c r="L16" s="55">
        <f>SUM(L12:L15)</f>
        <v>89850</v>
      </c>
      <c r="M16" s="40">
        <f>L16/C8</f>
        <v>172.12643678160919</v>
      </c>
      <c r="N16" s="1"/>
      <c r="O16" s="298"/>
      <c r="P16" s="299"/>
      <c r="R16" s="84" t="s">
        <v>95</v>
      </c>
      <c r="S16" s="85"/>
    </row>
    <row r="17" spans="2:19">
      <c r="B17" s="74">
        <v>45317</v>
      </c>
      <c r="C17" s="15">
        <v>10</v>
      </c>
      <c r="D17" s="76">
        <v>45443</v>
      </c>
      <c r="E17" s="11">
        <v>39</v>
      </c>
      <c r="F17" s="37">
        <f>6880/60*E17</f>
        <v>4472</v>
      </c>
      <c r="G17" s="79">
        <f t="shared" si="1"/>
        <v>114.66666666666667</v>
      </c>
      <c r="H17" s="47">
        <v>45341</v>
      </c>
      <c r="I17" s="19" t="s">
        <v>29</v>
      </c>
      <c r="J17" s="41">
        <v>5060</v>
      </c>
      <c r="N17" s="63"/>
      <c r="O17" s="298"/>
      <c r="P17" s="299"/>
      <c r="R17" s="84" t="s">
        <v>97</v>
      </c>
      <c r="S17" s="85">
        <v>56</v>
      </c>
    </row>
    <row r="18" spans="2:19">
      <c r="B18" s="74">
        <v>45318</v>
      </c>
      <c r="C18" s="15">
        <v>8</v>
      </c>
      <c r="D18" s="76">
        <v>45448</v>
      </c>
      <c r="E18" s="11">
        <v>30</v>
      </c>
      <c r="F18" s="37">
        <v>3420</v>
      </c>
      <c r="G18" s="79">
        <f t="shared" si="1"/>
        <v>114</v>
      </c>
      <c r="H18" s="47">
        <v>45349</v>
      </c>
      <c r="I18" s="19" t="s">
        <v>29</v>
      </c>
      <c r="J18" s="41">
        <v>5060</v>
      </c>
      <c r="N18" s="63"/>
      <c r="O18" s="298"/>
      <c r="P18" s="299"/>
      <c r="R18" s="84" t="s">
        <v>98</v>
      </c>
      <c r="S18" s="85"/>
    </row>
    <row r="19" spans="2:19">
      <c r="B19" s="74">
        <v>45319</v>
      </c>
      <c r="C19" s="15">
        <v>25</v>
      </c>
      <c r="D19" s="76">
        <v>45475</v>
      </c>
      <c r="E19" s="11">
        <v>31</v>
      </c>
      <c r="F19" s="37">
        <f>4670/44*E19</f>
        <v>3290.227272727273</v>
      </c>
      <c r="G19" s="79">
        <f t="shared" si="1"/>
        <v>106.13636363636364</v>
      </c>
      <c r="H19" s="47">
        <v>45356</v>
      </c>
      <c r="I19" s="19" t="s">
        <v>29</v>
      </c>
      <c r="J19" s="41">
        <v>5050</v>
      </c>
      <c r="K19" t="s">
        <v>32</v>
      </c>
      <c r="L19" s="78">
        <f>(J59/I9)/(G59-H8)</f>
        <v>3.4204540427297871</v>
      </c>
      <c r="N19" s="63"/>
      <c r="O19" s="298"/>
      <c r="P19" s="299"/>
      <c r="R19" s="84" t="s">
        <v>100</v>
      </c>
      <c r="S19" s="85">
        <v>103</v>
      </c>
    </row>
    <row r="20" spans="2:19">
      <c r="B20" s="74">
        <v>45320</v>
      </c>
      <c r="C20" s="15">
        <v>11</v>
      </c>
      <c r="D20" s="11"/>
      <c r="E20" s="11"/>
      <c r="F20" s="37"/>
      <c r="G20" s="79" t="e">
        <f t="shared" si="1"/>
        <v>#DIV/0!</v>
      </c>
      <c r="H20" s="47">
        <v>45363</v>
      </c>
      <c r="I20" s="19" t="s">
        <v>29</v>
      </c>
      <c r="J20" s="41">
        <v>5060</v>
      </c>
      <c r="L20">
        <f>J59/(323*110-G9)</f>
        <v>4.220687711386697</v>
      </c>
      <c r="N20" s="63"/>
      <c r="O20" s="298"/>
      <c r="P20" s="299"/>
      <c r="R20" s="84" t="s">
        <v>154</v>
      </c>
      <c r="S20" s="85">
        <v>31</v>
      </c>
    </row>
    <row r="21" spans="2:19">
      <c r="B21" s="74">
        <v>45321</v>
      </c>
      <c r="C21" s="15">
        <v>13</v>
      </c>
      <c r="D21" s="11"/>
      <c r="E21" s="11"/>
      <c r="F21" s="37"/>
      <c r="G21" s="79" t="e">
        <f t="shared" si="1"/>
        <v>#DIV/0!</v>
      </c>
      <c r="H21" s="47">
        <v>45369</v>
      </c>
      <c r="I21" s="19" t="s">
        <v>29</v>
      </c>
      <c r="J21" s="41">
        <v>5010</v>
      </c>
      <c r="N21" s="63"/>
      <c r="O21" s="298"/>
      <c r="P21" s="299"/>
      <c r="R21" s="84"/>
      <c r="S21" s="85"/>
    </row>
    <row r="22" spans="2:19">
      <c r="B22" s="74">
        <v>45322</v>
      </c>
      <c r="C22" s="15">
        <v>12</v>
      </c>
      <c r="D22" s="11"/>
      <c r="E22" s="11"/>
      <c r="F22" s="37"/>
      <c r="G22" s="79" t="e">
        <f t="shared" si="1"/>
        <v>#DIV/0!</v>
      </c>
      <c r="H22" s="47">
        <v>45376</v>
      </c>
      <c r="I22" s="19" t="s">
        <v>26</v>
      </c>
      <c r="J22" s="41">
        <v>5050</v>
      </c>
      <c r="N22" s="63"/>
      <c r="O22" s="298"/>
      <c r="P22" s="299"/>
      <c r="R22" s="84"/>
      <c r="S22" s="85"/>
    </row>
    <row r="23" spans="2:19">
      <c r="B23" s="74">
        <v>45323</v>
      </c>
      <c r="C23" s="15">
        <v>9</v>
      </c>
      <c r="D23" s="11"/>
      <c r="E23" s="11"/>
      <c r="F23" s="37"/>
      <c r="G23" s="79" t="e">
        <f t="shared" si="1"/>
        <v>#DIV/0!</v>
      </c>
      <c r="H23" s="47">
        <v>45381</v>
      </c>
      <c r="I23" s="19" t="s">
        <v>92</v>
      </c>
      <c r="J23" s="41">
        <v>2760</v>
      </c>
      <c r="M23" s="25"/>
      <c r="N23" s="63"/>
      <c r="O23" s="298"/>
      <c r="P23" s="299"/>
      <c r="R23" s="84"/>
      <c r="S23" s="85"/>
    </row>
    <row r="24" spans="2:19">
      <c r="B24" s="74">
        <v>45324</v>
      </c>
      <c r="C24" s="15">
        <v>7</v>
      </c>
      <c r="D24" s="11"/>
      <c r="E24" s="11"/>
      <c r="F24" s="37"/>
      <c r="G24" s="37"/>
      <c r="H24" s="47">
        <v>45384</v>
      </c>
      <c r="I24" s="19" t="s">
        <v>92</v>
      </c>
      <c r="J24" s="41">
        <v>5340</v>
      </c>
      <c r="N24" s="63"/>
      <c r="O24" s="298"/>
      <c r="P24" s="299"/>
      <c r="R24" s="84"/>
      <c r="S24" s="85"/>
    </row>
    <row r="25" spans="2:19">
      <c r="B25" s="74">
        <v>45325</v>
      </c>
      <c r="C25" s="15">
        <v>2</v>
      </c>
      <c r="D25" s="11"/>
      <c r="E25" s="11"/>
      <c r="F25" s="37"/>
      <c r="G25" s="37"/>
      <c r="H25" s="47">
        <v>45390</v>
      </c>
      <c r="I25" s="19" t="s">
        <v>26</v>
      </c>
      <c r="J25" s="41">
        <v>5040</v>
      </c>
      <c r="N25" s="63"/>
      <c r="O25" s="298"/>
      <c r="P25" s="299"/>
      <c r="R25" s="84"/>
      <c r="S25" s="85"/>
    </row>
    <row r="26" spans="2:19">
      <c r="B26" s="74">
        <v>45326</v>
      </c>
      <c r="C26" s="15">
        <v>3</v>
      </c>
      <c r="D26" s="11"/>
      <c r="E26" s="11"/>
      <c r="F26" s="37"/>
      <c r="G26" s="37"/>
      <c r="H26" s="47">
        <v>45393</v>
      </c>
      <c r="I26" s="19" t="s">
        <v>26</v>
      </c>
      <c r="J26" s="41">
        <v>5050</v>
      </c>
      <c r="N26" s="64"/>
      <c r="O26" s="298"/>
      <c r="P26" s="299"/>
      <c r="R26" s="84"/>
      <c r="S26" s="85"/>
    </row>
    <row r="27" spans="2:19">
      <c r="B27" s="74">
        <v>45327</v>
      </c>
      <c r="C27" s="15">
        <v>6</v>
      </c>
      <c r="D27" s="11"/>
      <c r="E27" s="11"/>
      <c r="F27" s="37"/>
      <c r="G27" s="37"/>
      <c r="H27" s="47">
        <v>45399</v>
      </c>
      <c r="I27" s="19" t="s">
        <v>26</v>
      </c>
      <c r="J27" s="41">
        <v>5020</v>
      </c>
      <c r="N27" s="64"/>
      <c r="O27" s="298"/>
      <c r="P27" s="299"/>
      <c r="R27" s="84"/>
      <c r="S27" s="85"/>
    </row>
    <row r="28" spans="2:19">
      <c r="B28" s="74">
        <v>45329</v>
      </c>
      <c r="C28" s="15">
        <v>3</v>
      </c>
      <c r="D28" s="11"/>
      <c r="E28" s="11"/>
      <c r="F28" s="37"/>
      <c r="G28" s="37"/>
      <c r="H28" s="47">
        <v>45406</v>
      </c>
      <c r="I28" s="19" t="s">
        <v>26</v>
      </c>
      <c r="J28" s="41">
        <v>3060</v>
      </c>
      <c r="N28" s="64"/>
      <c r="O28" s="298"/>
      <c r="P28" s="299"/>
      <c r="R28" s="84"/>
      <c r="S28" s="85"/>
    </row>
    <row r="29" spans="2:19">
      <c r="B29" s="74">
        <v>45331</v>
      </c>
      <c r="C29" s="15">
        <v>3</v>
      </c>
      <c r="D29" s="11"/>
      <c r="E29" s="11"/>
      <c r="F29" s="37"/>
      <c r="G29" s="37"/>
      <c r="H29" s="47">
        <v>45411</v>
      </c>
      <c r="I29" s="19" t="s">
        <v>26</v>
      </c>
      <c r="J29" s="41">
        <v>1990</v>
      </c>
      <c r="N29" s="64"/>
      <c r="O29" s="298"/>
      <c r="P29" s="299"/>
      <c r="R29" s="84"/>
      <c r="S29" s="85"/>
    </row>
    <row r="30" spans="2:19">
      <c r="B30" s="74">
        <v>45332</v>
      </c>
      <c r="C30" s="15">
        <v>2</v>
      </c>
      <c r="D30" s="11"/>
      <c r="E30" s="11"/>
      <c r="F30" s="37"/>
      <c r="G30" s="37"/>
      <c r="H30" s="47">
        <v>45415</v>
      </c>
      <c r="I30" s="19" t="s">
        <v>26</v>
      </c>
      <c r="J30" s="41">
        <v>3000</v>
      </c>
      <c r="N30" s="64"/>
      <c r="O30" s="298"/>
      <c r="P30" s="299"/>
      <c r="R30" s="84"/>
      <c r="S30" s="85"/>
    </row>
    <row r="31" spans="2:19">
      <c r="B31" s="74">
        <v>45335</v>
      </c>
      <c r="C31" s="15">
        <v>2</v>
      </c>
      <c r="D31" s="11"/>
      <c r="E31" s="11"/>
      <c r="F31" s="37"/>
      <c r="G31" s="37"/>
      <c r="H31" s="47">
        <v>45419</v>
      </c>
      <c r="I31" s="19" t="s">
        <v>26</v>
      </c>
      <c r="J31" s="41">
        <v>1000</v>
      </c>
      <c r="N31" s="64"/>
      <c r="O31" s="298"/>
      <c r="P31" s="299"/>
      <c r="R31" s="84"/>
      <c r="S31" s="85"/>
    </row>
    <row r="32" spans="2:19" ht="18" thickBot="1">
      <c r="B32" s="74">
        <v>45339</v>
      </c>
      <c r="C32" s="15">
        <v>1</v>
      </c>
      <c r="D32" s="11"/>
      <c r="E32" s="11"/>
      <c r="F32" s="37"/>
      <c r="G32" s="37"/>
      <c r="H32" s="47">
        <v>45422</v>
      </c>
      <c r="I32" s="19" t="s">
        <v>26</v>
      </c>
      <c r="J32" s="41">
        <v>910</v>
      </c>
      <c r="N32" s="64"/>
      <c r="O32" s="298"/>
      <c r="P32" s="299"/>
      <c r="R32" s="86"/>
      <c r="S32" s="87"/>
    </row>
    <row r="33" spans="2:16" ht="18" thickTop="1">
      <c r="B33" s="74">
        <v>45347</v>
      </c>
      <c r="C33" s="15">
        <v>1</v>
      </c>
      <c r="D33" s="11"/>
      <c r="E33" s="11"/>
      <c r="F33" s="37"/>
      <c r="G33" s="37"/>
      <c r="H33" s="47">
        <v>45425</v>
      </c>
      <c r="I33" s="19" t="s">
        <v>26</v>
      </c>
      <c r="J33" s="41">
        <v>1080</v>
      </c>
      <c r="N33" s="64"/>
      <c r="O33" s="298"/>
      <c r="P33" s="299"/>
    </row>
    <row r="34" spans="2:16">
      <c r="B34" s="74">
        <v>45355</v>
      </c>
      <c r="C34" s="15">
        <v>1</v>
      </c>
      <c r="D34" s="11"/>
      <c r="E34" s="11"/>
      <c r="F34" s="37"/>
      <c r="G34" s="37"/>
      <c r="H34" s="47">
        <v>45428</v>
      </c>
      <c r="I34" s="19" t="s">
        <v>26</v>
      </c>
      <c r="J34" s="41">
        <v>2100</v>
      </c>
      <c r="N34" s="64"/>
      <c r="O34" s="298"/>
      <c r="P34" s="299"/>
    </row>
    <row r="35" spans="2:16">
      <c r="B35" s="74">
        <v>45358</v>
      </c>
      <c r="C35" s="15">
        <v>2</v>
      </c>
      <c r="D35" s="11"/>
      <c r="E35" s="11"/>
      <c r="F35" s="37"/>
      <c r="G35" s="37"/>
      <c r="H35" s="47">
        <v>45435</v>
      </c>
      <c r="I35" s="19" t="s">
        <v>26</v>
      </c>
      <c r="J35" s="41">
        <v>1990</v>
      </c>
      <c r="N35" s="64"/>
      <c r="O35" s="298"/>
      <c r="P35" s="299"/>
    </row>
    <row r="36" spans="2:16">
      <c r="B36" s="74">
        <v>45361</v>
      </c>
      <c r="C36" s="15">
        <v>1</v>
      </c>
      <c r="D36" s="11"/>
      <c r="E36" s="11"/>
      <c r="F36" s="37"/>
      <c r="G36" s="37"/>
      <c r="H36" s="20"/>
      <c r="I36" s="20"/>
      <c r="J36" s="41"/>
      <c r="N36" s="64"/>
      <c r="O36" s="298"/>
      <c r="P36" s="299"/>
    </row>
    <row r="37" spans="2:16">
      <c r="B37" s="74">
        <v>45368</v>
      </c>
      <c r="C37" s="15">
        <v>1</v>
      </c>
      <c r="D37" s="11"/>
      <c r="E37" s="11"/>
      <c r="F37" s="37"/>
      <c r="G37" s="37"/>
      <c r="H37" s="20"/>
      <c r="I37" s="20"/>
      <c r="J37" s="41"/>
      <c r="N37" s="64"/>
      <c r="O37" s="298"/>
      <c r="P37" s="299"/>
    </row>
    <row r="38" spans="2:16">
      <c r="B38" s="74">
        <v>45372</v>
      </c>
      <c r="C38" s="15">
        <v>2</v>
      </c>
      <c r="D38" s="11"/>
      <c r="E38" s="11"/>
      <c r="F38" s="37"/>
      <c r="G38" s="37"/>
      <c r="H38" s="20"/>
      <c r="I38" s="20"/>
      <c r="J38" s="41"/>
      <c r="N38" s="64"/>
      <c r="O38" s="298"/>
      <c r="P38" s="299"/>
    </row>
    <row r="39" spans="2:16">
      <c r="B39" s="74">
        <v>45373</v>
      </c>
      <c r="C39" s="15">
        <v>1</v>
      </c>
      <c r="D39" s="11"/>
      <c r="E39" s="11"/>
      <c r="F39" s="37"/>
      <c r="G39" s="37"/>
      <c r="H39" s="20"/>
      <c r="I39" s="20"/>
      <c r="J39" s="41"/>
      <c r="N39" s="64"/>
      <c r="O39" s="298"/>
      <c r="P39" s="299"/>
    </row>
    <row r="40" spans="2:16">
      <c r="B40" s="74">
        <v>45377</v>
      </c>
      <c r="C40" s="15">
        <v>1</v>
      </c>
      <c r="D40" s="11"/>
      <c r="E40" s="11"/>
      <c r="F40" s="37"/>
      <c r="G40" s="37"/>
      <c r="H40" s="20"/>
      <c r="I40" s="20"/>
      <c r="J40" s="41"/>
      <c r="N40" s="64"/>
      <c r="O40" s="298"/>
      <c r="P40" s="299"/>
    </row>
    <row r="41" spans="2:16">
      <c r="B41" s="74">
        <v>45393</v>
      </c>
      <c r="C41" s="15">
        <v>2</v>
      </c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74">
        <v>45399</v>
      </c>
      <c r="C42" s="15">
        <v>1</v>
      </c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74">
        <v>45396</v>
      </c>
      <c r="C43" s="15">
        <v>5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74">
        <v>45404</v>
      </c>
      <c r="C44" s="15">
        <v>2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74">
        <v>45409</v>
      </c>
      <c r="C45" s="15">
        <v>2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74">
        <v>45414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74">
        <v>45443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45444</v>
      </c>
      <c r="C48" s="15">
        <v>1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183</v>
      </c>
      <c r="D59" s="8"/>
      <c r="E59" s="8">
        <f>SUM(E12:E58)</f>
        <v>323</v>
      </c>
      <c r="F59" s="39">
        <f>SUM(F12:F58)</f>
        <v>35372.227272727272</v>
      </c>
      <c r="G59" s="39">
        <f>F59/E59</f>
        <v>109.51153954404728</v>
      </c>
      <c r="H59" s="8"/>
      <c r="I59" s="8"/>
      <c r="J59" s="43">
        <f>SUM(J12:J58)</f>
        <v>89850</v>
      </c>
      <c r="N59" s="65"/>
      <c r="O59" s="300"/>
      <c r="P59" s="301"/>
    </row>
  </sheetData>
  <mergeCells count="64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B10:C10"/>
    <mergeCell ref="D10:G10"/>
    <mergeCell ref="H10:J10"/>
    <mergeCell ref="K10:M10"/>
    <mergeCell ref="N10:P10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</mergeCells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1C6E-8DA0-4915-BD79-0AC36B127477}">
  <dimension ref="A1:T59"/>
  <sheetViews>
    <sheetView showGridLines="0" topLeftCell="A4" zoomScaleNormal="100" workbookViewId="0">
      <selection activeCell="E25" sqref="E25"/>
    </sheetView>
  </sheetViews>
  <sheetFormatPr defaultRowHeight="17.399999999999999"/>
  <cols>
    <col min="2" max="2" width="11.09765625" bestFit="1" customWidth="1"/>
    <col min="4" max="4" width="11.09765625" bestFit="1" customWidth="1"/>
    <col min="5" max="5" width="8.5" customWidth="1"/>
    <col min="6" max="7" width="11.09765625" bestFit="1" customWidth="1"/>
    <col min="8" max="8" width="9.8984375" bestFit="1" customWidth="1"/>
    <col min="9" max="9" width="14.09765625" bestFit="1" customWidth="1"/>
    <col min="10" max="10" width="11" bestFit="1" customWidth="1"/>
    <col min="11" max="11" width="21.3984375" bestFit="1" customWidth="1"/>
    <col min="12" max="12" width="10.8984375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12.3984375" bestFit="1" customWidth="1"/>
  </cols>
  <sheetData>
    <row r="1" spans="1:20" ht="18" thickBot="1">
      <c r="A1" t="s">
        <v>27</v>
      </c>
      <c r="B1" s="51" t="s">
        <v>69</v>
      </c>
      <c r="D1" s="73">
        <f ca="1">TODAY()</f>
        <v>46325</v>
      </c>
      <c r="E1">
        <f ca="1">D1-B4</f>
        <v>974</v>
      </c>
      <c r="F1" s="73"/>
      <c r="G1" s="73"/>
    </row>
    <row r="2" spans="1:20" ht="18" thickBot="1">
      <c r="F2" s="302" t="s">
        <v>9</v>
      </c>
      <c r="G2" s="305"/>
      <c r="H2" s="314"/>
      <c r="M2">
        <f>184+248</f>
        <v>432</v>
      </c>
      <c r="O2" s="302" t="s">
        <v>8</v>
      </c>
      <c r="P2" s="314"/>
    </row>
    <row r="3" spans="1:20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f>323+392</f>
        <v>715</v>
      </c>
      <c r="T3">
        <f>29/C4</f>
        <v>6.4444444444444443E-2</v>
      </c>
    </row>
    <row r="4" spans="1:20">
      <c r="B4" s="27">
        <v>45351</v>
      </c>
      <c r="C4" s="30">
        <v>450</v>
      </c>
      <c r="D4" s="36">
        <v>14330</v>
      </c>
      <c r="E4" s="70">
        <f>D4/C4</f>
        <v>31.844444444444445</v>
      </c>
      <c r="F4" s="315">
        <f>C8-P8</f>
        <v>450</v>
      </c>
      <c r="G4" s="318">
        <f>D8-(D8/C8*P8)</f>
        <v>14330</v>
      </c>
      <c r="H4" s="327">
        <f>G4/F4</f>
        <v>31.844444444444445</v>
      </c>
      <c r="I4" s="321" t="s">
        <v>94</v>
      </c>
      <c r="J4" s="1">
        <f>B4+90</f>
        <v>45441</v>
      </c>
      <c r="K4" s="323">
        <f>C59</f>
        <v>58</v>
      </c>
      <c r="L4" s="325">
        <f>K8/F8</f>
        <v>0.12888888888888889</v>
      </c>
      <c r="M4" s="323">
        <f>E59</f>
        <v>392</v>
      </c>
      <c r="N4" s="323">
        <f>F8-C59-E59</f>
        <v>0</v>
      </c>
      <c r="O4" s="22"/>
      <c r="P4" s="33"/>
      <c r="R4" s="91">
        <f>R3*59000</f>
        <v>42185000</v>
      </c>
    </row>
    <row r="5" spans="1:20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  <c r="T5" s="72">
        <f>L16-107350</f>
        <v>2950</v>
      </c>
    </row>
    <row r="6" spans="1:20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2"/>
      <c r="K6" s="323"/>
      <c r="L6" s="325"/>
      <c r="M6" s="323"/>
      <c r="N6" s="323"/>
      <c r="O6" s="22"/>
      <c r="P6" s="33"/>
      <c r="R6" s="77"/>
    </row>
    <row r="7" spans="1:20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0" ht="18" thickBot="1">
      <c r="B8" s="9" t="s">
        <v>10</v>
      </c>
      <c r="C8" s="32">
        <f>SUM(C4:C7)</f>
        <v>450</v>
      </c>
      <c r="D8" s="39">
        <f>SUM(D4:D7)</f>
        <v>14330</v>
      </c>
      <c r="E8" s="71">
        <f>D8/C8</f>
        <v>31.844444444444445</v>
      </c>
      <c r="F8" s="32">
        <f>SUM(F4)</f>
        <v>450</v>
      </c>
      <c r="G8" s="39">
        <f>SUM(G4)</f>
        <v>14330</v>
      </c>
      <c r="H8" s="71">
        <f>G8/F8</f>
        <v>31.844444444444445</v>
      </c>
      <c r="I8" s="8"/>
      <c r="J8" s="8"/>
      <c r="K8" s="32">
        <f>K4</f>
        <v>58</v>
      </c>
      <c r="L8" s="26">
        <f>L4</f>
        <v>0.12888888888888889</v>
      </c>
      <c r="M8" s="32">
        <f>M4</f>
        <v>392</v>
      </c>
      <c r="N8" s="32">
        <f>N4</f>
        <v>0</v>
      </c>
      <c r="O8" s="46">
        <f>P8/C8</f>
        <v>0</v>
      </c>
      <c r="P8" s="35">
        <f>SUM(P4:P7)</f>
        <v>0</v>
      </c>
      <c r="Q8" s="69">
        <f>P8-Q4-Q5-Q6</f>
        <v>0</v>
      </c>
    </row>
    <row r="9" spans="1:20" ht="18" thickBot="1">
      <c r="G9">
        <v>14242</v>
      </c>
      <c r="I9">
        <f>F8*0.871</f>
        <v>391.95</v>
      </c>
    </row>
    <row r="10" spans="1:20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0" ht="18" thickBot="1">
      <c r="B11" s="9" t="s">
        <v>0</v>
      </c>
      <c r="C11" s="113" t="s">
        <v>1</v>
      </c>
      <c r="D11" s="113" t="s">
        <v>0</v>
      </c>
      <c r="E11" s="113" t="s">
        <v>1</v>
      </c>
      <c r="F11" s="113" t="s">
        <v>2</v>
      </c>
      <c r="G11" s="113" t="s">
        <v>3</v>
      </c>
      <c r="H11" s="113" t="s">
        <v>0</v>
      </c>
      <c r="I11" s="113" t="s">
        <v>15</v>
      </c>
      <c r="J11" s="113" t="s">
        <v>16</v>
      </c>
      <c r="K11" s="56" t="s">
        <v>15</v>
      </c>
      <c r="L11" s="113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0">
      <c r="B12" s="45">
        <v>45358</v>
      </c>
      <c r="C12" s="13">
        <v>1</v>
      </c>
      <c r="D12" s="75">
        <v>45443</v>
      </c>
      <c r="E12" s="10">
        <v>21</v>
      </c>
      <c r="F12" s="44">
        <f>6880/60*E12</f>
        <v>2408</v>
      </c>
      <c r="G12" s="79">
        <f>F12/E12</f>
        <v>114.66666666666667</v>
      </c>
      <c r="H12" s="18">
        <v>45351</v>
      </c>
      <c r="I12" s="19" t="s">
        <v>28</v>
      </c>
      <c r="J12" s="61">
        <v>6030</v>
      </c>
      <c r="K12" s="57" t="s">
        <v>18</v>
      </c>
      <c r="L12" s="52">
        <f>SUMIF($I$12:$I$124,K12,$J$12:$J$124)</f>
        <v>41400</v>
      </c>
      <c r="M12" s="48">
        <f>L12/$C$8</f>
        <v>92</v>
      </c>
      <c r="N12" s="66"/>
      <c r="O12" s="310"/>
      <c r="P12" s="311"/>
      <c r="R12" s="84" t="s">
        <v>114</v>
      </c>
      <c r="S12" s="85">
        <v>82</v>
      </c>
    </row>
    <row r="13" spans="1:20">
      <c r="B13" s="74">
        <v>45361</v>
      </c>
      <c r="C13" s="15">
        <v>4</v>
      </c>
      <c r="D13" s="149">
        <v>45443</v>
      </c>
      <c r="E13" s="150">
        <v>61</v>
      </c>
      <c r="F13" s="151">
        <v>6852</v>
      </c>
      <c r="G13" s="79">
        <f t="shared" ref="G13:G29" si="1">F13/E13</f>
        <v>112.32786885245902</v>
      </c>
      <c r="H13" s="47">
        <v>45360</v>
      </c>
      <c r="I13" s="19" t="s">
        <v>28</v>
      </c>
      <c r="J13" s="62">
        <v>5860</v>
      </c>
      <c r="K13" s="58" t="s">
        <v>25</v>
      </c>
      <c r="L13" s="53">
        <f t="shared" ref="L13:L14" si="2">SUMIF($I$12:$I$124,K13,$J$12:$J$124)</f>
        <v>9150</v>
      </c>
      <c r="M13" s="49">
        <f t="shared" ref="M13:M14" si="3">L13/$C$8</f>
        <v>20.333333333333332</v>
      </c>
      <c r="N13" s="1"/>
      <c r="O13" s="312"/>
      <c r="P13" s="313"/>
      <c r="R13" s="84" t="s">
        <v>115</v>
      </c>
      <c r="S13" s="85"/>
    </row>
    <row r="14" spans="1:20">
      <c r="B14" s="45">
        <v>45369</v>
      </c>
      <c r="C14" s="13">
        <v>1</v>
      </c>
      <c r="D14" s="76">
        <v>45467</v>
      </c>
      <c r="E14" s="11">
        <v>40</v>
      </c>
      <c r="F14" s="37">
        <v>4350</v>
      </c>
      <c r="G14" s="79">
        <f t="shared" si="1"/>
        <v>108.75</v>
      </c>
      <c r="H14" s="47">
        <v>45371</v>
      </c>
      <c r="I14" s="19" t="s">
        <v>28</v>
      </c>
      <c r="J14" s="62">
        <v>8770</v>
      </c>
      <c r="K14" s="106" t="s">
        <v>26</v>
      </c>
      <c r="L14" s="53">
        <f t="shared" si="2"/>
        <v>27230</v>
      </c>
      <c r="M14" s="107">
        <f t="shared" si="3"/>
        <v>60.511111111111113</v>
      </c>
      <c r="N14" s="1"/>
      <c r="O14" s="298"/>
      <c r="P14" s="299"/>
      <c r="R14" s="84" t="s">
        <v>102</v>
      </c>
      <c r="S14" s="85"/>
    </row>
    <row r="15" spans="1:20">
      <c r="B15" s="74">
        <v>45371</v>
      </c>
      <c r="C15" s="15">
        <v>1</v>
      </c>
      <c r="D15" s="76">
        <v>45470</v>
      </c>
      <c r="E15" s="11">
        <v>35</v>
      </c>
      <c r="F15" s="37">
        <v>3900</v>
      </c>
      <c r="G15" s="79">
        <f t="shared" si="1"/>
        <v>111.42857142857143</v>
      </c>
      <c r="H15" s="47">
        <v>45378</v>
      </c>
      <c r="I15" s="19" t="s">
        <v>29</v>
      </c>
      <c r="J15" s="62">
        <v>3060</v>
      </c>
      <c r="K15" s="125" t="s">
        <v>93</v>
      </c>
      <c r="L15" s="53">
        <f t="shared" ref="L15" si="4">SUMIF($I$12:$I$124,K15,$J$12:$J$124)</f>
        <v>32520</v>
      </c>
      <c r="M15" s="107">
        <f t="shared" ref="M15" si="5">L15/$C$8</f>
        <v>72.266666666666666</v>
      </c>
      <c r="N15" s="1"/>
      <c r="O15" s="123"/>
      <c r="P15" s="124"/>
      <c r="R15" s="84" t="s">
        <v>103</v>
      </c>
      <c r="S15" s="85"/>
    </row>
    <row r="16" spans="1:20" ht="18" thickBot="1">
      <c r="B16" s="74">
        <v>45372</v>
      </c>
      <c r="C16" s="15">
        <v>1</v>
      </c>
      <c r="D16" s="76">
        <v>45475</v>
      </c>
      <c r="E16" s="11">
        <v>13</v>
      </c>
      <c r="F16" s="37">
        <f>4670/44*E16</f>
        <v>1379.7727272727273</v>
      </c>
      <c r="G16" s="79">
        <f t="shared" si="1"/>
        <v>106.13636363636364</v>
      </c>
      <c r="H16" s="47">
        <v>45378</v>
      </c>
      <c r="I16" s="19" t="s">
        <v>29</v>
      </c>
      <c r="J16" s="41">
        <v>3050</v>
      </c>
      <c r="K16" s="60" t="s">
        <v>21</v>
      </c>
      <c r="L16" s="55">
        <f>SUM(L12:L15)</f>
        <v>110300</v>
      </c>
      <c r="M16" s="40">
        <f>L16/C8</f>
        <v>245.11111111111111</v>
      </c>
      <c r="N16" s="1"/>
      <c r="O16" s="298"/>
      <c r="P16" s="299"/>
      <c r="R16" s="84" t="s">
        <v>104</v>
      </c>
      <c r="S16" s="85"/>
    </row>
    <row r="17" spans="2:19">
      <c r="B17" s="74">
        <v>45377</v>
      </c>
      <c r="C17" s="15">
        <v>1</v>
      </c>
      <c r="D17" s="76">
        <v>45477</v>
      </c>
      <c r="E17" s="11">
        <v>32</v>
      </c>
      <c r="F17" s="37">
        <v>3400</v>
      </c>
      <c r="G17" s="79">
        <f t="shared" si="1"/>
        <v>106.25</v>
      </c>
      <c r="H17" s="47">
        <v>45384</v>
      </c>
      <c r="I17" s="19" t="s">
        <v>92</v>
      </c>
      <c r="J17" s="41">
        <f>3000+3000</f>
        <v>6000</v>
      </c>
      <c r="N17" s="63"/>
      <c r="O17" s="298"/>
      <c r="P17" s="299"/>
      <c r="R17" s="84" t="s">
        <v>116</v>
      </c>
      <c r="S17" s="85">
        <v>20</v>
      </c>
    </row>
    <row r="18" spans="2:19">
      <c r="B18" s="74">
        <v>45379</v>
      </c>
      <c r="C18" s="15">
        <v>2</v>
      </c>
      <c r="D18" s="76">
        <v>45484</v>
      </c>
      <c r="E18" s="11">
        <v>79</v>
      </c>
      <c r="F18" s="37">
        <v>8850</v>
      </c>
      <c r="G18" s="79">
        <f t="shared" si="1"/>
        <v>112.0253164556962</v>
      </c>
      <c r="H18" s="47">
        <v>45393</v>
      </c>
      <c r="I18" s="19" t="s">
        <v>29</v>
      </c>
      <c r="J18" s="41">
        <v>3040</v>
      </c>
      <c r="N18" s="63"/>
      <c r="O18" s="298"/>
      <c r="P18" s="299"/>
      <c r="R18" s="84" t="s">
        <v>136</v>
      </c>
      <c r="S18" s="85">
        <v>60</v>
      </c>
    </row>
    <row r="19" spans="2:19">
      <c r="B19" s="74">
        <v>45386</v>
      </c>
      <c r="C19" s="15">
        <v>1</v>
      </c>
      <c r="D19" s="161">
        <v>45484</v>
      </c>
      <c r="E19" s="162">
        <v>29</v>
      </c>
      <c r="F19" s="163">
        <v>2050</v>
      </c>
      <c r="G19" s="193">
        <f t="shared" si="1"/>
        <v>70.689655172413794</v>
      </c>
      <c r="H19" s="47">
        <v>45395</v>
      </c>
      <c r="I19" s="19" t="s">
        <v>92</v>
      </c>
      <c r="J19" s="41">
        <v>4970</v>
      </c>
      <c r="K19" t="s">
        <v>32</v>
      </c>
      <c r="L19" s="78">
        <f>(J59/I9)/(G59-H8)</f>
        <v>3.7056826174257131</v>
      </c>
      <c r="N19" s="63"/>
      <c r="O19" s="298"/>
      <c r="P19" s="299"/>
      <c r="R19" s="84" t="s">
        <v>120</v>
      </c>
      <c r="S19" s="85">
        <v>50</v>
      </c>
    </row>
    <row r="20" spans="2:19">
      <c r="B20" s="74">
        <v>45392</v>
      </c>
      <c r="C20" s="15">
        <v>1</v>
      </c>
      <c r="D20" s="76">
        <v>45490</v>
      </c>
      <c r="E20" s="11">
        <v>36</v>
      </c>
      <c r="F20" s="37">
        <v>3920</v>
      </c>
      <c r="G20" s="79">
        <f t="shared" si="1"/>
        <v>108.88888888888889</v>
      </c>
      <c r="H20" s="47">
        <v>45402</v>
      </c>
      <c r="I20" s="19" t="s">
        <v>92</v>
      </c>
      <c r="J20" s="41">
        <v>2960</v>
      </c>
      <c r="N20" s="63"/>
      <c r="O20" s="298"/>
      <c r="P20" s="299"/>
      <c r="R20" s="84" t="s">
        <v>121</v>
      </c>
      <c r="S20" s="85">
        <v>40</v>
      </c>
    </row>
    <row r="21" spans="2:19">
      <c r="B21" s="74">
        <v>45399</v>
      </c>
      <c r="C21" s="15">
        <v>1</v>
      </c>
      <c r="D21" s="76">
        <v>45490</v>
      </c>
      <c r="E21" s="11">
        <v>46</v>
      </c>
      <c r="F21" s="37">
        <f>6260/56*E21</f>
        <v>5142.1428571428578</v>
      </c>
      <c r="G21" s="79">
        <f t="shared" si="1"/>
        <v>111.78571428571431</v>
      </c>
      <c r="H21" s="47">
        <v>45402</v>
      </c>
      <c r="I21" s="19" t="s">
        <v>92</v>
      </c>
      <c r="J21" s="41">
        <v>2950</v>
      </c>
      <c r="N21" s="63"/>
      <c r="O21" s="298"/>
      <c r="P21" s="299"/>
      <c r="R21" s="84" t="s">
        <v>122</v>
      </c>
      <c r="S21" s="85">
        <v>60</v>
      </c>
    </row>
    <row r="22" spans="2:19">
      <c r="B22" s="74">
        <v>45400</v>
      </c>
      <c r="C22" s="15">
        <v>4</v>
      </c>
      <c r="D22" s="11"/>
      <c r="E22" s="11"/>
      <c r="F22" s="37"/>
      <c r="G22" s="79" t="e">
        <f t="shared" si="1"/>
        <v>#DIV/0!</v>
      </c>
      <c r="H22" s="47">
        <v>45408</v>
      </c>
      <c r="I22" s="20" t="s">
        <v>127</v>
      </c>
      <c r="J22" s="41">
        <v>3030</v>
      </c>
      <c r="N22" s="63"/>
      <c r="O22" s="298"/>
      <c r="P22" s="299"/>
      <c r="R22" s="84" t="s">
        <v>123</v>
      </c>
      <c r="S22" s="85">
        <v>40</v>
      </c>
    </row>
    <row r="23" spans="2:19">
      <c r="B23" s="74">
        <v>45413</v>
      </c>
      <c r="C23" s="15">
        <v>2</v>
      </c>
      <c r="D23" s="11"/>
      <c r="E23" s="11"/>
      <c r="F23" s="37"/>
      <c r="G23" s="79" t="e">
        <f t="shared" si="1"/>
        <v>#DIV/0!</v>
      </c>
      <c r="H23" s="47">
        <v>45408</v>
      </c>
      <c r="I23" s="20" t="s">
        <v>127</v>
      </c>
      <c r="J23" s="41">
        <v>2030</v>
      </c>
      <c r="M23" s="25"/>
      <c r="N23" s="63"/>
      <c r="O23" s="298"/>
      <c r="P23" s="299"/>
      <c r="R23" s="84"/>
      <c r="S23" s="85"/>
    </row>
    <row r="24" spans="2:19">
      <c r="B24" s="74">
        <v>45420</v>
      </c>
      <c r="C24" s="15">
        <v>2</v>
      </c>
      <c r="D24" s="11"/>
      <c r="E24" s="11"/>
      <c r="F24" s="37"/>
      <c r="G24" s="79" t="e">
        <f t="shared" si="1"/>
        <v>#DIV/0!</v>
      </c>
      <c r="H24" s="47">
        <v>45414</v>
      </c>
      <c r="I24" s="20" t="s">
        <v>127</v>
      </c>
      <c r="J24" s="41">
        <v>3070</v>
      </c>
      <c r="N24" s="63"/>
      <c r="O24" s="298"/>
      <c r="P24" s="299"/>
      <c r="R24" s="84"/>
      <c r="S24" s="85"/>
    </row>
    <row r="25" spans="2:19">
      <c r="B25" s="74">
        <v>45421</v>
      </c>
      <c r="C25" s="15">
        <v>1</v>
      </c>
      <c r="D25" s="11"/>
      <c r="E25" s="11"/>
      <c r="F25" s="37"/>
      <c r="G25" s="79" t="e">
        <f t="shared" si="1"/>
        <v>#DIV/0!</v>
      </c>
      <c r="H25" s="47">
        <v>45414</v>
      </c>
      <c r="I25" s="20" t="s">
        <v>127</v>
      </c>
      <c r="J25" s="41">
        <v>3050</v>
      </c>
      <c r="N25" s="63"/>
      <c r="O25" s="298"/>
      <c r="P25" s="299"/>
      <c r="R25" s="84"/>
      <c r="S25" s="85"/>
    </row>
    <row r="26" spans="2:19">
      <c r="B26" s="74">
        <v>45424</v>
      </c>
      <c r="C26" s="15">
        <v>1</v>
      </c>
      <c r="D26" s="11"/>
      <c r="E26" s="11"/>
      <c r="F26" s="37"/>
      <c r="G26" s="79" t="e">
        <f t="shared" si="1"/>
        <v>#DIV/0!</v>
      </c>
      <c r="H26" s="47">
        <v>45419</v>
      </c>
      <c r="I26" s="20" t="s">
        <v>127</v>
      </c>
      <c r="J26" s="41">
        <v>3030</v>
      </c>
      <c r="N26" s="64"/>
      <c r="O26" s="298"/>
      <c r="P26" s="299"/>
      <c r="R26" s="84"/>
      <c r="S26" s="85"/>
    </row>
    <row r="27" spans="2:19">
      <c r="B27" s="74">
        <v>45426</v>
      </c>
      <c r="C27" s="15">
        <v>1</v>
      </c>
      <c r="D27" s="11"/>
      <c r="E27" s="11"/>
      <c r="F27" s="37"/>
      <c r="G27" s="79" t="e">
        <f t="shared" si="1"/>
        <v>#DIV/0!</v>
      </c>
      <c r="H27" s="47">
        <v>45419</v>
      </c>
      <c r="I27" s="20" t="s">
        <v>127</v>
      </c>
      <c r="J27" s="41">
        <v>3040</v>
      </c>
      <c r="N27" s="64"/>
      <c r="O27" s="298"/>
      <c r="P27" s="299"/>
      <c r="R27" s="84"/>
      <c r="S27" s="85"/>
    </row>
    <row r="28" spans="2:19">
      <c r="B28" s="74">
        <v>45429</v>
      </c>
      <c r="C28" s="15">
        <v>2</v>
      </c>
      <c r="D28" s="11"/>
      <c r="E28" s="11"/>
      <c r="F28" s="37"/>
      <c r="G28" s="79" t="e">
        <f t="shared" si="1"/>
        <v>#DIV/0!</v>
      </c>
      <c r="H28" s="47">
        <v>45425</v>
      </c>
      <c r="I28" s="20" t="s">
        <v>127</v>
      </c>
      <c r="J28" s="41">
        <v>2000</v>
      </c>
      <c r="N28" s="64"/>
      <c r="O28" s="298"/>
      <c r="P28" s="299"/>
      <c r="R28" s="84"/>
      <c r="S28" s="85"/>
    </row>
    <row r="29" spans="2:19">
      <c r="B29" s="74">
        <v>45440</v>
      </c>
      <c r="C29" s="15">
        <v>2</v>
      </c>
      <c r="D29" s="11"/>
      <c r="E29" s="11"/>
      <c r="F29" s="37"/>
      <c r="G29" s="79" t="e">
        <f t="shared" si="1"/>
        <v>#DIV/0!</v>
      </c>
      <c r="H29" s="47">
        <v>45425</v>
      </c>
      <c r="I29" s="20" t="s">
        <v>127</v>
      </c>
      <c r="J29" s="41">
        <v>2950</v>
      </c>
      <c r="N29" s="64"/>
      <c r="O29" s="298"/>
      <c r="P29" s="299"/>
      <c r="R29" s="84"/>
      <c r="S29" s="85"/>
    </row>
    <row r="30" spans="2:19">
      <c r="B30" s="74">
        <v>45442</v>
      </c>
      <c r="C30" s="15">
        <v>1</v>
      </c>
      <c r="D30" s="11"/>
      <c r="E30" s="11"/>
      <c r="F30" s="37"/>
      <c r="G30" s="37"/>
      <c r="H30" s="47">
        <v>45429</v>
      </c>
      <c r="I30" s="19" t="s">
        <v>92</v>
      </c>
      <c r="J30" s="41">
        <v>5010</v>
      </c>
      <c r="N30" s="64"/>
      <c r="O30" s="298"/>
      <c r="P30" s="299"/>
      <c r="R30" s="84"/>
      <c r="S30" s="85"/>
    </row>
    <row r="31" spans="2:19">
      <c r="B31" s="74">
        <v>45446</v>
      </c>
      <c r="C31" s="15">
        <v>2</v>
      </c>
      <c r="D31" s="11"/>
      <c r="E31" s="11"/>
      <c r="F31" s="37"/>
      <c r="G31" s="37"/>
      <c r="H31" s="47">
        <v>45429</v>
      </c>
      <c r="I31" s="19" t="s">
        <v>92</v>
      </c>
      <c r="J31" s="41">
        <v>2950</v>
      </c>
      <c r="N31" s="64"/>
      <c r="O31" s="298"/>
      <c r="P31" s="299"/>
      <c r="R31" s="84"/>
      <c r="S31" s="85"/>
    </row>
    <row r="32" spans="2:19" ht="18" thickBot="1">
      <c r="B32" s="74">
        <v>45449</v>
      </c>
      <c r="C32" s="15">
        <v>3</v>
      </c>
      <c r="D32" s="11"/>
      <c r="E32" s="11"/>
      <c r="F32" s="37"/>
      <c r="G32" s="37"/>
      <c r="H32" s="47">
        <v>45436</v>
      </c>
      <c r="I32" s="19" t="s">
        <v>28</v>
      </c>
      <c r="J32" s="41">
        <v>2970</v>
      </c>
      <c r="N32" s="64"/>
      <c r="O32" s="298"/>
      <c r="P32" s="299"/>
      <c r="R32" s="86"/>
      <c r="S32" s="87"/>
    </row>
    <row r="33" spans="2:16" ht="18" thickTop="1">
      <c r="B33" s="74">
        <v>45450</v>
      </c>
      <c r="C33" s="15">
        <v>2</v>
      </c>
      <c r="D33" s="11"/>
      <c r="E33" s="11"/>
      <c r="F33" s="37"/>
      <c r="G33" s="37"/>
      <c r="H33" s="47">
        <v>45439</v>
      </c>
      <c r="I33" s="19" t="s">
        <v>92</v>
      </c>
      <c r="J33" s="41">
        <v>2970</v>
      </c>
      <c r="N33" s="64"/>
      <c r="O33" s="298"/>
      <c r="P33" s="299"/>
    </row>
    <row r="34" spans="2:16">
      <c r="B34" s="74">
        <v>45454</v>
      </c>
      <c r="C34" s="15">
        <v>1</v>
      </c>
      <c r="D34" s="11"/>
      <c r="E34" s="11"/>
      <c r="F34" s="37"/>
      <c r="G34" s="37"/>
      <c r="H34" s="47">
        <v>45442</v>
      </c>
      <c r="I34" s="19" t="s">
        <v>28</v>
      </c>
      <c r="J34" s="41">
        <v>2940</v>
      </c>
      <c r="N34" s="64"/>
      <c r="O34" s="298"/>
      <c r="P34" s="299"/>
    </row>
    <row r="35" spans="2:16">
      <c r="B35" s="74">
        <v>45457</v>
      </c>
      <c r="C35" s="15">
        <v>2</v>
      </c>
      <c r="D35" s="11"/>
      <c r="E35" s="11"/>
      <c r="F35" s="37"/>
      <c r="G35" s="37"/>
      <c r="H35" s="47">
        <v>45450</v>
      </c>
      <c r="I35" s="19" t="s">
        <v>28</v>
      </c>
      <c r="J35" s="41">
        <v>2000</v>
      </c>
      <c r="N35" s="64"/>
      <c r="O35" s="298"/>
      <c r="P35" s="299"/>
    </row>
    <row r="36" spans="2:16">
      <c r="B36" s="74">
        <v>45460</v>
      </c>
      <c r="C36" s="15">
        <v>3</v>
      </c>
      <c r="D36" s="11"/>
      <c r="E36" s="11"/>
      <c r="F36" s="37"/>
      <c r="G36" s="37"/>
      <c r="H36" s="47">
        <v>45450</v>
      </c>
      <c r="I36" s="19" t="s">
        <v>28</v>
      </c>
      <c r="J36" s="41">
        <v>3010</v>
      </c>
      <c r="N36" s="64"/>
      <c r="O36" s="298"/>
      <c r="P36" s="299"/>
    </row>
    <row r="37" spans="2:16">
      <c r="B37" s="74">
        <v>45461</v>
      </c>
      <c r="C37" s="15">
        <v>1</v>
      </c>
      <c r="D37" s="11"/>
      <c r="E37" s="11"/>
      <c r="F37" s="37"/>
      <c r="G37" s="37"/>
      <c r="H37" s="47">
        <v>45455</v>
      </c>
      <c r="I37" s="19" t="s">
        <v>28</v>
      </c>
      <c r="J37" s="41">
        <v>3090</v>
      </c>
      <c r="N37" s="64"/>
      <c r="O37" s="298"/>
      <c r="P37" s="299"/>
    </row>
    <row r="38" spans="2:16">
      <c r="B38" s="74">
        <v>45463</v>
      </c>
      <c r="C38" s="15">
        <v>2</v>
      </c>
      <c r="D38" s="11"/>
      <c r="E38" s="11"/>
      <c r="F38" s="37"/>
      <c r="G38" s="37"/>
      <c r="H38" s="47">
        <v>45455</v>
      </c>
      <c r="I38" s="19" t="s">
        <v>28</v>
      </c>
      <c r="J38" s="41">
        <v>1970</v>
      </c>
      <c r="N38" s="64"/>
      <c r="O38" s="298"/>
      <c r="P38" s="299"/>
    </row>
    <row r="39" spans="2:16">
      <c r="B39" s="74">
        <v>45467</v>
      </c>
      <c r="C39" s="15">
        <v>2</v>
      </c>
      <c r="D39" s="11"/>
      <c r="E39" s="11"/>
      <c r="F39" s="37"/>
      <c r="G39" s="37"/>
      <c r="H39" s="47">
        <v>45465</v>
      </c>
      <c r="I39" s="19" t="s">
        <v>28</v>
      </c>
      <c r="J39" s="41">
        <v>1870</v>
      </c>
      <c r="N39" s="64"/>
      <c r="O39" s="298"/>
      <c r="P39" s="299"/>
    </row>
    <row r="40" spans="2:16">
      <c r="B40" s="74">
        <v>45468</v>
      </c>
      <c r="C40" s="15">
        <v>2</v>
      </c>
      <c r="D40" s="11"/>
      <c r="E40" s="11"/>
      <c r="F40" s="37"/>
      <c r="G40" s="37"/>
      <c r="H40" s="47">
        <v>45465</v>
      </c>
      <c r="I40" s="19" t="s">
        <v>28</v>
      </c>
      <c r="J40" s="41">
        <v>2890</v>
      </c>
      <c r="N40" s="64"/>
      <c r="O40" s="298"/>
      <c r="P40" s="299"/>
    </row>
    <row r="41" spans="2:16">
      <c r="B41" s="74">
        <v>45470</v>
      </c>
      <c r="C41" s="15">
        <v>1</v>
      </c>
      <c r="D41" s="11"/>
      <c r="E41" s="11"/>
      <c r="F41" s="37"/>
      <c r="G41" s="37"/>
      <c r="H41" s="47">
        <v>45472</v>
      </c>
      <c r="I41" s="19" t="s">
        <v>92</v>
      </c>
      <c r="J41" s="41">
        <v>2000</v>
      </c>
      <c r="N41" s="64"/>
      <c r="O41" s="298"/>
      <c r="P41" s="299"/>
    </row>
    <row r="42" spans="2:16">
      <c r="B42" s="74">
        <v>45471</v>
      </c>
      <c r="C42" s="15">
        <v>1</v>
      </c>
      <c r="D42" s="11"/>
      <c r="E42" s="11"/>
      <c r="F42" s="37"/>
      <c r="G42" s="37"/>
      <c r="H42" s="47">
        <v>45472</v>
      </c>
      <c r="I42" s="19" t="s">
        <v>92</v>
      </c>
      <c r="J42" s="41">
        <v>2710</v>
      </c>
      <c r="N42" s="64"/>
      <c r="O42" s="298"/>
      <c r="P42" s="299"/>
    </row>
    <row r="43" spans="2:16">
      <c r="B43" s="74">
        <v>45474</v>
      </c>
      <c r="C43" s="15">
        <v>2</v>
      </c>
      <c r="D43" s="11"/>
      <c r="E43" s="11"/>
      <c r="F43" s="37"/>
      <c r="G43" s="37"/>
      <c r="H43" s="47">
        <v>45485</v>
      </c>
      <c r="I43" s="20" t="s">
        <v>127</v>
      </c>
      <c r="J43" s="41">
        <v>3030</v>
      </c>
      <c r="N43" s="64"/>
      <c r="O43" s="298"/>
      <c r="P43" s="299"/>
    </row>
    <row r="44" spans="2:16">
      <c r="B44" s="74">
        <v>45481</v>
      </c>
      <c r="C44" s="15">
        <v>2</v>
      </c>
      <c r="D44" s="11"/>
      <c r="E44" s="11"/>
      <c r="F44" s="37"/>
      <c r="G44" s="37"/>
      <c r="H44" s="47">
        <v>45492</v>
      </c>
      <c r="I44" s="20" t="s">
        <v>127</v>
      </c>
      <c r="J44" s="41">
        <v>2000</v>
      </c>
      <c r="N44" s="64"/>
      <c r="O44" s="298"/>
      <c r="P44" s="299"/>
    </row>
    <row r="45" spans="2:16">
      <c r="B45" s="74">
        <v>45483</v>
      </c>
      <c r="C45" s="15">
        <v>1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74">
        <v>45489</v>
      </c>
      <c r="C46" s="15">
        <v>1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14"/>
      <c r="C47" s="15"/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58</v>
      </c>
      <c r="D59" s="8"/>
      <c r="E59" s="8">
        <f>SUM(E12:E58)</f>
        <v>392</v>
      </c>
      <c r="F59" s="39">
        <f>SUM(F12:F58)</f>
        <v>42251.915584415583</v>
      </c>
      <c r="G59" s="39">
        <f>F59/E59</f>
        <v>107.78549893983568</v>
      </c>
      <c r="H59" s="8"/>
      <c r="I59" s="8"/>
      <c r="J59" s="43">
        <f>SUM(J12:J58)</f>
        <v>110300</v>
      </c>
      <c r="N59" s="65"/>
      <c r="O59" s="300"/>
      <c r="P59" s="301"/>
    </row>
  </sheetData>
  <mergeCells count="64"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4:P14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51F3-F464-46AB-B4C3-A1CF550BA1B7}">
  <dimension ref="A1:W63"/>
  <sheetViews>
    <sheetView showGridLines="0" workbookViewId="0">
      <selection activeCell="D28" sqref="D2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9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3" ht="18" thickBot="1">
      <c r="A1" t="s">
        <v>27</v>
      </c>
      <c r="B1" s="51" t="s">
        <v>47</v>
      </c>
      <c r="D1" s="73"/>
      <c r="E1" s="73">
        <f ca="1">TODAY()</f>
        <v>46325</v>
      </c>
      <c r="F1">
        <f ca="1">E1-B4</f>
        <v>755</v>
      </c>
      <c r="H1" s="83"/>
      <c r="J1">
        <f>G4/F4*489</f>
        <v>11899.000000000002</v>
      </c>
    </row>
    <row r="2" spans="1:23" ht="18" thickBot="1">
      <c r="F2" s="302" t="s">
        <v>9</v>
      </c>
      <c r="G2" s="305"/>
      <c r="H2" s="314"/>
      <c r="O2" s="302" t="s">
        <v>8</v>
      </c>
      <c r="P2" s="314"/>
      <c r="R2" s="83"/>
    </row>
    <row r="3" spans="1:23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3">
      <c r="B4" s="27">
        <v>45570</v>
      </c>
      <c r="C4" s="30">
        <v>600</v>
      </c>
      <c r="D4" s="36">
        <v>14600</v>
      </c>
      <c r="E4" s="70">
        <f>D4/C4</f>
        <v>24.333333333333332</v>
      </c>
      <c r="F4" s="315">
        <f>C8-P8</f>
        <v>589</v>
      </c>
      <c r="G4" s="318">
        <f>D8-(D8/C8*P8)</f>
        <v>14332.333333333334</v>
      </c>
      <c r="H4" s="327">
        <f>G4/F4</f>
        <v>24.333333333333336</v>
      </c>
      <c r="I4" s="321" t="s">
        <v>117</v>
      </c>
      <c r="J4" s="1">
        <f>B4+90</f>
        <v>45660</v>
      </c>
      <c r="K4" s="323">
        <f>C63</f>
        <v>28</v>
      </c>
      <c r="L4" s="325">
        <f>K8/F8</f>
        <v>4.7538200339558571E-2</v>
      </c>
      <c r="M4" s="323">
        <f>E63</f>
        <v>561</v>
      </c>
      <c r="N4" s="323">
        <f>F8-C63-E63</f>
        <v>0</v>
      </c>
      <c r="O4" s="22">
        <v>45570</v>
      </c>
      <c r="P4" s="33">
        <v>11</v>
      </c>
      <c r="Q4">
        <v>2</v>
      </c>
      <c r="R4" s="69">
        <f>C8-Q4</f>
        <v>598</v>
      </c>
      <c r="U4" s="142"/>
    </row>
    <row r="5" spans="1:23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  <c r="U5" s="142"/>
    </row>
    <row r="6" spans="1:23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1">
        <f>B6+90</f>
        <v>90</v>
      </c>
      <c r="K6" s="323"/>
      <c r="L6" s="325"/>
      <c r="M6" s="323"/>
      <c r="N6" s="323"/>
      <c r="O6" s="22"/>
      <c r="P6" s="33"/>
      <c r="U6" s="142"/>
    </row>
    <row r="7" spans="1:23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  <c r="U7" s="142"/>
    </row>
    <row r="8" spans="1:23" ht="18" thickBot="1">
      <c r="B8" s="9" t="s">
        <v>10</v>
      </c>
      <c r="C8" s="32">
        <f>SUM(C4:C7)</f>
        <v>600</v>
      </c>
      <c r="D8" s="39">
        <f>SUM(D4:D7)</f>
        <v>14600</v>
      </c>
      <c r="E8" s="71">
        <f>D8/C8</f>
        <v>24.333333333333332</v>
      </c>
      <c r="F8" s="32">
        <f>SUM(F4)</f>
        <v>589</v>
      </c>
      <c r="G8" s="39">
        <f>SUM(G4)</f>
        <v>14332.333333333334</v>
      </c>
      <c r="H8" s="71">
        <f>G8/F8</f>
        <v>24.333333333333336</v>
      </c>
      <c r="I8" s="8"/>
      <c r="J8" s="8"/>
      <c r="K8" s="32">
        <f>K4</f>
        <v>28</v>
      </c>
      <c r="L8" s="26">
        <f>L4</f>
        <v>4.7538200339558571E-2</v>
      </c>
      <c r="M8" s="32">
        <f>M4</f>
        <v>561</v>
      </c>
      <c r="N8" s="32">
        <f>N4</f>
        <v>0</v>
      </c>
      <c r="O8" s="46">
        <f>P8/C8</f>
        <v>1.8333333333333333E-2</v>
      </c>
      <c r="P8" s="35">
        <f>SUM(P4:P7)</f>
        <v>11</v>
      </c>
      <c r="Q8" s="69">
        <f>P8-Q4-Q5-Q6</f>
        <v>9</v>
      </c>
    </row>
    <row r="9" spans="1:23" ht="18" thickBot="1">
      <c r="G9">
        <v>13730</v>
      </c>
      <c r="I9">
        <f>F8*0.95</f>
        <v>559.54999999999995</v>
      </c>
    </row>
    <row r="10" spans="1:23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3" ht="18" thickBot="1">
      <c r="B11" s="9" t="s">
        <v>0</v>
      </c>
      <c r="C11" s="223" t="s">
        <v>1</v>
      </c>
      <c r="D11" s="223" t="s">
        <v>0</v>
      </c>
      <c r="E11" s="223" t="s">
        <v>1</v>
      </c>
      <c r="F11" s="223" t="s">
        <v>2</v>
      </c>
      <c r="G11" s="223" t="s">
        <v>3</v>
      </c>
      <c r="H11" s="223" t="s">
        <v>0</v>
      </c>
      <c r="I11" s="223" t="s">
        <v>15</v>
      </c>
      <c r="J11" s="223" t="s">
        <v>16</v>
      </c>
      <c r="K11" s="56" t="s">
        <v>15</v>
      </c>
      <c r="L11" s="223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3">
      <c r="B12" s="45">
        <v>45588</v>
      </c>
      <c r="C12" s="13">
        <v>1</v>
      </c>
      <c r="D12" s="75">
        <v>45660</v>
      </c>
      <c r="E12" s="10">
        <v>61</v>
      </c>
      <c r="F12" s="44">
        <v>6650</v>
      </c>
      <c r="G12" s="79">
        <f>F12/E12</f>
        <v>109.01639344262296</v>
      </c>
      <c r="H12" s="187">
        <v>45569</v>
      </c>
      <c r="I12" s="188" t="s">
        <v>28</v>
      </c>
      <c r="J12" s="189">
        <v>5010</v>
      </c>
      <c r="K12" s="57" t="s">
        <v>18</v>
      </c>
      <c r="L12" s="52">
        <f>SUMIF($I$12:$I$128,K12,$J$12:$J$128)</f>
        <v>21680</v>
      </c>
      <c r="M12" s="48">
        <f>L12/$C$8</f>
        <v>36.133333333333333</v>
      </c>
      <c r="N12" s="66"/>
      <c r="O12" s="310"/>
      <c r="P12" s="311"/>
      <c r="R12" s="84" t="s">
        <v>38</v>
      </c>
      <c r="S12" s="85">
        <v>61</v>
      </c>
    </row>
    <row r="13" spans="1:23">
      <c r="B13" s="74">
        <v>45597</v>
      </c>
      <c r="C13" s="15">
        <v>3</v>
      </c>
      <c r="D13" s="76">
        <v>45665</v>
      </c>
      <c r="E13" s="11">
        <v>69</v>
      </c>
      <c r="F13" s="37">
        <v>8240</v>
      </c>
      <c r="G13" s="79">
        <f t="shared" ref="G13:G33" si="1">F13/E13</f>
        <v>119.42028985507247</v>
      </c>
      <c r="H13" s="47">
        <v>45576</v>
      </c>
      <c r="I13" s="188" t="s">
        <v>28</v>
      </c>
      <c r="J13" s="62">
        <v>5010</v>
      </c>
      <c r="K13" s="58" t="s">
        <v>25</v>
      </c>
      <c r="L13" s="53">
        <f t="shared" ref="L13:L15" si="2">SUMIF($I$12:$I$128,K13,$J$12:$J$128)</f>
        <v>23980</v>
      </c>
      <c r="M13" s="49">
        <f t="shared" ref="M13:M15" si="3">L13/$C$8</f>
        <v>39.966666666666669</v>
      </c>
      <c r="N13" s="1"/>
      <c r="O13" s="312"/>
      <c r="P13" s="313"/>
      <c r="R13" s="84" t="s">
        <v>186</v>
      </c>
      <c r="S13" s="85">
        <v>69</v>
      </c>
    </row>
    <row r="14" spans="1:23">
      <c r="B14" s="74">
        <v>45606</v>
      </c>
      <c r="C14" s="15">
        <v>3</v>
      </c>
      <c r="D14" s="76">
        <v>45671</v>
      </c>
      <c r="E14" s="11">
        <v>70</v>
      </c>
      <c r="F14" s="37">
        <v>8020</v>
      </c>
      <c r="G14" s="79">
        <f t="shared" si="1"/>
        <v>114.57142857142857</v>
      </c>
      <c r="H14" s="47">
        <v>45581</v>
      </c>
      <c r="I14" s="188" t="s">
        <v>28</v>
      </c>
      <c r="J14" s="41">
        <v>5020</v>
      </c>
      <c r="K14" s="106" t="s">
        <v>26</v>
      </c>
      <c r="L14" s="53">
        <f t="shared" si="2"/>
        <v>76520</v>
      </c>
      <c r="M14" s="107">
        <f t="shared" si="3"/>
        <v>127.53333333333333</v>
      </c>
      <c r="N14" s="1"/>
      <c r="O14" s="298"/>
      <c r="P14" s="299"/>
      <c r="R14" s="84" t="s">
        <v>57</v>
      </c>
      <c r="S14" s="85">
        <v>140</v>
      </c>
    </row>
    <row r="15" spans="1:23" ht="18" thickBot="1">
      <c r="B15" s="74">
        <v>45608</v>
      </c>
      <c r="C15" s="15">
        <v>2</v>
      </c>
      <c r="D15" s="76">
        <v>45671</v>
      </c>
      <c r="E15" s="11">
        <v>70</v>
      </c>
      <c r="F15" s="37">
        <v>7870</v>
      </c>
      <c r="G15" s="79">
        <f t="shared" si="1"/>
        <v>112.42857142857143</v>
      </c>
      <c r="H15" s="47">
        <v>45591</v>
      </c>
      <c r="I15" s="188" t="s">
        <v>28</v>
      </c>
      <c r="J15" s="62">
        <v>3010</v>
      </c>
      <c r="K15" s="59" t="s">
        <v>92</v>
      </c>
      <c r="L15" s="53">
        <f t="shared" si="2"/>
        <v>17270</v>
      </c>
      <c r="M15" s="107">
        <f t="shared" si="3"/>
        <v>28.783333333333335</v>
      </c>
      <c r="N15" s="1"/>
      <c r="O15" s="221"/>
      <c r="P15" s="222"/>
      <c r="R15" s="84" t="s">
        <v>58</v>
      </c>
      <c r="S15" s="85">
        <v>141</v>
      </c>
    </row>
    <row r="16" spans="1:23" ht="18" thickBot="1">
      <c r="B16" s="74">
        <v>45611</v>
      </c>
      <c r="C16" s="15">
        <v>1</v>
      </c>
      <c r="D16" s="76">
        <v>45678</v>
      </c>
      <c r="E16" s="11">
        <v>70</v>
      </c>
      <c r="F16" s="37">
        <v>8250</v>
      </c>
      <c r="G16" s="79">
        <f t="shared" si="1"/>
        <v>117.85714285714286</v>
      </c>
      <c r="H16" s="47">
        <v>45597</v>
      </c>
      <c r="I16" s="19" t="s">
        <v>29</v>
      </c>
      <c r="J16" s="41">
        <v>2990</v>
      </c>
      <c r="K16" s="60" t="s">
        <v>21</v>
      </c>
      <c r="L16" s="55">
        <f>SUM(L12:L15)</f>
        <v>139450</v>
      </c>
      <c r="M16" s="40">
        <f>L16/F8</f>
        <v>236.75721561969439</v>
      </c>
      <c r="N16" s="1"/>
      <c r="O16" s="298"/>
      <c r="P16" s="299"/>
      <c r="R16" s="84" t="s">
        <v>48</v>
      </c>
      <c r="S16" s="85"/>
      <c r="W16" s="69"/>
    </row>
    <row r="17" spans="2:19">
      <c r="B17" s="74">
        <v>45625</v>
      </c>
      <c r="C17" s="15">
        <v>1</v>
      </c>
      <c r="D17" s="76">
        <v>45678</v>
      </c>
      <c r="E17" s="11">
        <v>71</v>
      </c>
      <c r="F17" s="37">
        <v>8260</v>
      </c>
      <c r="G17" s="79">
        <f t="shared" si="1"/>
        <v>116.33802816901408</v>
      </c>
      <c r="H17" s="47">
        <v>45598</v>
      </c>
      <c r="I17" s="19" t="s">
        <v>29</v>
      </c>
      <c r="J17" s="41">
        <v>3990</v>
      </c>
      <c r="N17" s="63"/>
      <c r="O17" s="298"/>
      <c r="P17" s="299"/>
      <c r="R17" s="84" t="s">
        <v>196</v>
      </c>
      <c r="S17" s="85">
        <v>145</v>
      </c>
    </row>
    <row r="18" spans="2:19">
      <c r="B18" s="74">
        <v>45630</v>
      </c>
      <c r="C18" s="15">
        <v>2</v>
      </c>
      <c r="D18" s="76">
        <v>45692</v>
      </c>
      <c r="E18" s="11">
        <v>76</v>
      </c>
      <c r="F18" s="37">
        <f>9000/77*E18</f>
        <v>8883.1168831168834</v>
      </c>
      <c r="G18" s="79">
        <f t="shared" si="1"/>
        <v>116.88311688311688</v>
      </c>
      <c r="H18" s="47">
        <v>45603</v>
      </c>
      <c r="I18" s="19" t="s">
        <v>127</v>
      </c>
      <c r="J18" s="41">
        <v>2990</v>
      </c>
      <c r="N18" s="63"/>
      <c r="O18" s="298"/>
      <c r="P18" s="299"/>
      <c r="R18" s="84" t="s">
        <v>50</v>
      </c>
      <c r="S18" s="85"/>
    </row>
    <row r="19" spans="2:19">
      <c r="B19" s="74">
        <v>45635</v>
      </c>
      <c r="C19" s="15">
        <v>1</v>
      </c>
      <c r="D19" s="76">
        <v>45692</v>
      </c>
      <c r="E19" s="11">
        <v>74</v>
      </c>
      <c r="F19" s="37">
        <v>8880</v>
      </c>
      <c r="G19" s="79">
        <f t="shared" si="1"/>
        <v>120</v>
      </c>
      <c r="H19" s="47">
        <v>45608</v>
      </c>
      <c r="I19" s="19" t="s">
        <v>28</v>
      </c>
      <c r="J19" s="41">
        <v>1610</v>
      </c>
      <c r="K19" t="s">
        <v>32</v>
      </c>
      <c r="L19" s="78">
        <f>(J63/I9)/(116-H8)</f>
        <v>2.7187431458720894</v>
      </c>
      <c r="N19" s="63"/>
      <c r="O19" s="298"/>
      <c r="P19" s="299"/>
      <c r="R19" s="84" t="s">
        <v>52</v>
      </c>
      <c r="S19" s="85"/>
    </row>
    <row r="20" spans="2:19">
      <c r="B20" s="74">
        <v>45665</v>
      </c>
      <c r="C20" s="15">
        <v>2</v>
      </c>
      <c r="D20" s="76"/>
      <c r="E20" s="11"/>
      <c r="F20" s="37"/>
      <c r="G20" s="79" t="e">
        <f t="shared" si="1"/>
        <v>#DIV/0!</v>
      </c>
      <c r="H20" s="47">
        <v>45608</v>
      </c>
      <c r="I20" s="19" t="s">
        <v>29</v>
      </c>
      <c r="J20" s="41">
        <v>3540</v>
      </c>
      <c r="K20" t="s">
        <v>172</v>
      </c>
      <c r="L20" t="e">
        <f>J14/N8/7</f>
        <v>#DIV/0!</v>
      </c>
      <c r="N20" s="63"/>
      <c r="O20" s="298"/>
      <c r="P20" s="299"/>
      <c r="R20" s="84" t="s">
        <v>54</v>
      </c>
      <c r="S20" s="85"/>
    </row>
    <row r="21" spans="2:19">
      <c r="B21" s="74">
        <v>45671</v>
      </c>
      <c r="C21" s="15">
        <v>5</v>
      </c>
      <c r="D21" s="76"/>
      <c r="E21" s="11"/>
      <c r="F21" s="37"/>
      <c r="G21" s="79" t="e">
        <f t="shared" si="1"/>
        <v>#DIV/0!</v>
      </c>
      <c r="H21" s="47">
        <v>45614</v>
      </c>
      <c r="I21" s="19" t="s">
        <v>29</v>
      </c>
      <c r="J21" s="41">
        <v>2010</v>
      </c>
      <c r="N21" s="63"/>
      <c r="O21" s="298"/>
      <c r="P21" s="299"/>
      <c r="R21" s="84"/>
      <c r="S21" s="85"/>
    </row>
    <row r="22" spans="2:19">
      <c r="B22" s="74">
        <v>45678</v>
      </c>
      <c r="C22" s="15">
        <v>5</v>
      </c>
      <c r="D22" s="76"/>
      <c r="E22" s="11"/>
      <c r="F22" s="37"/>
      <c r="G22" s="79" t="e">
        <f t="shared" si="1"/>
        <v>#DIV/0!</v>
      </c>
      <c r="H22" s="47">
        <v>45614</v>
      </c>
      <c r="I22" s="19" t="s">
        <v>92</v>
      </c>
      <c r="J22" s="41">
        <v>3050</v>
      </c>
      <c r="N22" s="63"/>
      <c r="O22" s="298"/>
      <c r="P22" s="299"/>
      <c r="R22" s="84"/>
      <c r="S22" s="85"/>
    </row>
    <row r="23" spans="2:19">
      <c r="B23" s="74">
        <v>45683</v>
      </c>
      <c r="C23" s="15">
        <v>2</v>
      </c>
      <c r="D23" s="76"/>
      <c r="E23" s="11"/>
      <c r="F23" s="37"/>
      <c r="G23" s="79" t="e">
        <f t="shared" si="1"/>
        <v>#DIV/0!</v>
      </c>
      <c r="H23" s="47">
        <v>45617</v>
      </c>
      <c r="I23" s="19" t="s">
        <v>29</v>
      </c>
      <c r="J23" s="41">
        <v>1510</v>
      </c>
      <c r="M23" s="25"/>
      <c r="N23" s="63"/>
      <c r="O23" s="298"/>
      <c r="P23" s="299"/>
      <c r="R23" s="84"/>
      <c r="S23" s="85"/>
    </row>
    <row r="24" spans="2:19">
      <c r="B24" s="74"/>
      <c r="C24" s="15"/>
      <c r="D24" s="76"/>
      <c r="E24" s="11"/>
      <c r="F24" s="37"/>
      <c r="G24" s="79" t="e">
        <f t="shared" si="1"/>
        <v>#DIV/0!</v>
      </c>
      <c r="H24" s="47">
        <v>45617</v>
      </c>
      <c r="I24" s="19" t="s">
        <v>92</v>
      </c>
      <c r="J24" s="41">
        <v>3550</v>
      </c>
      <c r="N24" s="63"/>
      <c r="O24" s="298"/>
      <c r="P24" s="299"/>
      <c r="R24" s="84"/>
      <c r="S24" s="85"/>
    </row>
    <row r="25" spans="2:19">
      <c r="B25" s="74"/>
      <c r="C25" s="15"/>
      <c r="D25" s="76"/>
      <c r="E25" s="11"/>
      <c r="F25" s="37"/>
      <c r="G25" s="79" t="e">
        <f t="shared" si="1"/>
        <v>#DIV/0!</v>
      </c>
      <c r="H25" s="47">
        <v>45621</v>
      </c>
      <c r="I25" s="19" t="s">
        <v>127</v>
      </c>
      <c r="J25" s="41">
        <v>4970</v>
      </c>
      <c r="N25" s="63"/>
      <c r="O25" s="298"/>
      <c r="P25" s="299"/>
      <c r="R25" s="84"/>
      <c r="S25" s="85"/>
    </row>
    <row r="26" spans="2:19">
      <c r="B26" s="74"/>
      <c r="C26" s="15"/>
      <c r="D26" s="76"/>
      <c r="E26" s="11"/>
      <c r="F26" s="37"/>
      <c r="G26" s="79" t="e">
        <f t="shared" si="1"/>
        <v>#DIV/0!</v>
      </c>
      <c r="H26" s="47">
        <v>45625</v>
      </c>
      <c r="I26" s="19" t="s">
        <v>127</v>
      </c>
      <c r="J26" s="41">
        <v>4990</v>
      </c>
      <c r="N26" s="64"/>
      <c r="O26" s="298"/>
      <c r="P26" s="299"/>
      <c r="R26" s="84"/>
      <c r="S26" s="85"/>
    </row>
    <row r="27" spans="2:19">
      <c r="B27" s="74"/>
      <c r="C27" s="15"/>
      <c r="D27" s="76"/>
      <c r="E27" s="11"/>
      <c r="F27" s="37"/>
      <c r="G27" s="79" t="e">
        <f t="shared" si="1"/>
        <v>#DIV/0!</v>
      </c>
      <c r="H27" s="47">
        <v>45626</v>
      </c>
      <c r="I27" s="19" t="s">
        <v>28</v>
      </c>
      <c r="J27" s="41">
        <v>2020</v>
      </c>
      <c r="N27" s="64"/>
      <c r="O27" s="298"/>
      <c r="P27" s="299"/>
      <c r="R27" s="84"/>
      <c r="S27" s="85"/>
    </row>
    <row r="28" spans="2:19">
      <c r="B28" s="74"/>
      <c r="C28" s="15"/>
      <c r="D28" s="76"/>
      <c r="E28" s="11"/>
      <c r="F28" s="37"/>
      <c r="G28" s="79" t="e">
        <f t="shared" si="1"/>
        <v>#DIV/0!</v>
      </c>
      <c r="H28" s="47">
        <v>45629</v>
      </c>
      <c r="I28" s="19" t="s">
        <v>127</v>
      </c>
      <c r="J28" s="41">
        <v>4980</v>
      </c>
      <c r="N28" s="64"/>
      <c r="O28" s="298"/>
      <c r="P28" s="299"/>
      <c r="R28" s="84"/>
      <c r="S28" s="85"/>
    </row>
    <row r="29" spans="2:19">
      <c r="B29" s="74"/>
      <c r="C29" s="15"/>
      <c r="D29" s="11"/>
      <c r="E29" s="11"/>
      <c r="F29" s="37"/>
      <c r="G29" s="79" t="e">
        <f t="shared" si="1"/>
        <v>#DIV/0!</v>
      </c>
      <c r="H29" s="47">
        <v>45632</v>
      </c>
      <c r="I29" s="19" t="s">
        <v>127</v>
      </c>
      <c r="J29" s="41">
        <v>4970</v>
      </c>
      <c r="N29" s="64"/>
      <c r="O29" s="298"/>
      <c r="P29" s="299"/>
      <c r="R29" s="84"/>
      <c r="S29" s="85"/>
    </row>
    <row r="30" spans="2:19">
      <c r="B30" s="74"/>
      <c r="C30" s="15"/>
      <c r="D30" s="11"/>
      <c r="E30" s="11"/>
      <c r="F30" s="37"/>
      <c r="G30" s="79" t="e">
        <f t="shared" si="1"/>
        <v>#DIV/0!</v>
      </c>
      <c r="H30" s="47">
        <v>45636</v>
      </c>
      <c r="I30" s="19" t="s">
        <v>127</v>
      </c>
      <c r="J30" s="41">
        <v>5020</v>
      </c>
      <c r="N30" s="64"/>
      <c r="O30" s="298"/>
      <c r="P30" s="299"/>
      <c r="R30" s="84"/>
      <c r="S30" s="85"/>
    </row>
    <row r="31" spans="2:19">
      <c r="B31" s="74"/>
      <c r="C31" s="15"/>
      <c r="D31" s="11"/>
      <c r="E31" s="11"/>
      <c r="F31" s="37"/>
      <c r="G31" s="79" t="e">
        <f t="shared" si="1"/>
        <v>#DIV/0!</v>
      </c>
      <c r="H31" s="47">
        <v>45638</v>
      </c>
      <c r="I31" s="19" t="s">
        <v>127</v>
      </c>
      <c r="J31" s="41">
        <v>4990</v>
      </c>
      <c r="N31" s="64"/>
      <c r="O31" s="298"/>
      <c r="P31" s="299"/>
      <c r="R31" s="84"/>
      <c r="S31" s="85"/>
    </row>
    <row r="32" spans="2:19" ht="18" thickBot="1">
      <c r="B32" s="14"/>
      <c r="C32" s="15"/>
      <c r="D32" s="11"/>
      <c r="E32" s="11"/>
      <c r="F32" s="37"/>
      <c r="G32" s="79" t="e">
        <f t="shared" si="1"/>
        <v>#DIV/0!</v>
      </c>
      <c r="H32" s="47">
        <v>45640</v>
      </c>
      <c r="I32" s="19" t="s">
        <v>127</v>
      </c>
      <c r="J32" s="41">
        <v>3020</v>
      </c>
      <c r="N32" s="64"/>
      <c r="O32" s="298"/>
      <c r="P32" s="299"/>
      <c r="R32" s="86"/>
      <c r="S32" s="87"/>
    </row>
    <row r="33" spans="2:16" ht="18" thickTop="1">
      <c r="B33" s="14"/>
      <c r="C33" s="15"/>
      <c r="D33" s="11"/>
      <c r="E33" s="11"/>
      <c r="F33" s="37"/>
      <c r="G33" s="79" t="e">
        <f t="shared" si="1"/>
        <v>#DIV/0!</v>
      </c>
      <c r="H33" s="47">
        <v>45643</v>
      </c>
      <c r="I33" s="19" t="s">
        <v>127</v>
      </c>
      <c r="J33" s="41">
        <v>4950</v>
      </c>
      <c r="N33" s="64"/>
      <c r="O33" s="298"/>
      <c r="P33" s="299"/>
    </row>
    <row r="34" spans="2:16">
      <c r="B34" s="14"/>
      <c r="C34" s="15"/>
      <c r="D34" s="11"/>
      <c r="E34" s="11"/>
      <c r="F34" s="37"/>
      <c r="G34" s="37"/>
      <c r="H34" s="47">
        <v>45646</v>
      </c>
      <c r="I34" s="19" t="s">
        <v>127</v>
      </c>
      <c r="J34" s="41">
        <v>5940</v>
      </c>
      <c r="N34" s="64"/>
      <c r="O34" s="298"/>
      <c r="P34" s="299"/>
    </row>
    <row r="35" spans="2:16">
      <c r="B35" s="14"/>
      <c r="C35" s="15"/>
      <c r="D35" s="11"/>
      <c r="E35" s="11"/>
      <c r="F35" s="37"/>
      <c r="G35" s="37"/>
      <c r="H35" s="47">
        <v>45649</v>
      </c>
      <c r="I35" s="19" t="s">
        <v>127</v>
      </c>
      <c r="J35" s="41">
        <v>4900</v>
      </c>
      <c r="N35" s="64"/>
      <c r="O35" s="298"/>
      <c r="P35" s="299"/>
    </row>
    <row r="36" spans="2:16">
      <c r="B36" s="14"/>
      <c r="C36" s="15"/>
      <c r="D36" s="11"/>
      <c r="E36" s="11"/>
      <c r="F36" s="37"/>
      <c r="G36" s="37"/>
      <c r="H36" s="47">
        <v>45652</v>
      </c>
      <c r="I36" s="19" t="s">
        <v>92</v>
      </c>
      <c r="J36" s="41">
        <v>5910</v>
      </c>
      <c r="N36" s="64"/>
      <c r="O36" s="298"/>
      <c r="P36" s="299"/>
    </row>
    <row r="37" spans="2:16">
      <c r="B37" s="14"/>
      <c r="C37" s="15"/>
      <c r="D37" s="11"/>
      <c r="E37" s="11"/>
      <c r="F37" s="37"/>
      <c r="G37" s="37"/>
      <c r="H37" s="47">
        <v>45654</v>
      </c>
      <c r="I37" s="19" t="s">
        <v>92</v>
      </c>
      <c r="J37" s="41">
        <v>4760</v>
      </c>
      <c r="N37" s="64"/>
      <c r="O37" s="298"/>
      <c r="P37" s="299"/>
    </row>
    <row r="38" spans="2:16">
      <c r="B38" s="14"/>
      <c r="C38" s="15"/>
      <c r="D38" s="11"/>
      <c r="E38" s="11"/>
      <c r="F38" s="37"/>
      <c r="G38" s="37"/>
      <c r="H38" s="47">
        <v>46022</v>
      </c>
      <c r="I38" s="19" t="s">
        <v>29</v>
      </c>
      <c r="J38" s="41">
        <v>5000</v>
      </c>
      <c r="N38" s="64"/>
      <c r="O38" s="298"/>
      <c r="P38" s="299"/>
    </row>
    <row r="39" spans="2:16">
      <c r="B39" s="14"/>
      <c r="C39" s="15"/>
      <c r="D39" s="11"/>
      <c r="E39" s="11"/>
      <c r="F39" s="37"/>
      <c r="G39" s="37"/>
      <c r="H39" s="47">
        <v>45659</v>
      </c>
      <c r="I39" s="19" t="s">
        <v>29</v>
      </c>
      <c r="J39" s="41">
        <v>4940</v>
      </c>
      <c r="N39" s="64"/>
      <c r="O39" s="298"/>
      <c r="P39" s="299"/>
    </row>
    <row r="40" spans="2:16">
      <c r="B40" s="14"/>
      <c r="C40" s="15"/>
      <c r="D40" s="11"/>
      <c r="E40" s="11"/>
      <c r="F40" s="37"/>
      <c r="G40" s="37"/>
      <c r="H40" s="47">
        <v>45661</v>
      </c>
      <c r="I40" s="19" t="s">
        <v>127</v>
      </c>
      <c r="J40" s="41">
        <v>2970</v>
      </c>
      <c r="N40" s="64"/>
      <c r="O40" s="298"/>
      <c r="P40" s="299"/>
    </row>
    <row r="41" spans="2:16">
      <c r="B41" s="14"/>
      <c r="C41" s="15"/>
      <c r="D41" s="11"/>
      <c r="E41" s="11"/>
      <c r="F41" s="37"/>
      <c r="G41" s="37"/>
      <c r="H41" s="47">
        <v>45664</v>
      </c>
      <c r="I41" s="19" t="s">
        <v>127</v>
      </c>
      <c r="J41" s="41">
        <v>4990</v>
      </c>
      <c r="N41" s="64"/>
      <c r="O41" s="298"/>
      <c r="P41" s="299"/>
    </row>
    <row r="42" spans="2:16">
      <c r="B42" s="14"/>
      <c r="C42" s="15"/>
      <c r="D42" s="11"/>
      <c r="E42" s="11"/>
      <c r="F42" s="37"/>
      <c r="G42" s="37"/>
      <c r="H42" s="47">
        <v>45666</v>
      </c>
      <c r="I42" s="19" t="s">
        <v>127</v>
      </c>
      <c r="J42" s="41">
        <v>2990</v>
      </c>
      <c r="N42" s="64"/>
      <c r="O42" s="298"/>
      <c r="P42" s="299"/>
    </row>
    <row r="43" spans="2:16">
      <c r="B43" s="14"/>
      <c r="C43" s="15"/>
      <c r="D43" s="11"/>
      <c r="E43" s="11"/>
      <c r="F43" s="37"/>
      <c r="G43" s="37"/>
      <c r="H43" s="47">
        <v>45668</v>
      </c>
      <c r="I43" s="19" t="s">
        <v>127</v>
      </c>
      <c r="J43" s="41">
        <v>1980</v>
      </c>
      <c r="N43" s="64"/>
      <c r="O43" s="298"/>
      <c r="P43" s="299"/>
    </row>
    <row r="44" spans="2:16">
      <c r="B44" s="14"/>
      <c r="C44" s="15"/>
      <c r="D44" s="11"/>
      <c r="E44" s="11"/>
      <c r="F44" s="37"/>
      <c r="G44" s="37"/>
      <c r="H44" s="47">
        <v>45670</v>
      </c>
      <c r="I44" s="19" t="s">
        <v>127</v>
      </c>
      <c r="J44" s="41">
        <v>1950</v>
      </c>
      <c r="N44" s="64"/>
      <c r="O44" s="298"/>
      <c r="P44" s="299"/>
    </row>
    <row r="45" spans="2:16">
      <c r="B45" s="14"/>
      <c r="C45" s="15"/>
      <c r="D45" s="11"/>
      <c r="E45" s="11"/>
      <c r="F45" s="37"/>
      <c r="G45" s="37"/>
      <c r="H45" s="47">
        <v>45672</v>
      </c>
      <c r="I45" s="19" t="s">
        <v>127</v>
      </c>
      <c r="J45" s="41">
        <v>1990</v>
      </c>
      <c r="N45" s="64"/>
      <c r="O45" s="298"/>
      <c r="P45" s="299"/>
    </row>
    <row r="46" spans="2:16">
      <c r="B46" s="14"/>
      <c r="C46" s="15"/>
      <c r="D46" s="11"/>
      <c r="E46" s="11"/>
      <c r="F46" s="37"/>
      <c r="G46" s="37"/>
      <c r="H46" s="47">
        <v>45675</v>
      </c>
      <c r="I46" s="19" t="s">
        <v>127</v>
      </c>
      <c r="J46" s="41">
        <v>2980</v>
      </c>
      <c r="N46" s="64"/>
      <c r="O46" s="298"/>
      <c r="P46" s="299"/>
    </row>
    <row r="47" spans="2:16">
      <c r="B47" s="14"/>
      <c r="C47" s="15"/>
      <c r="D47" s="11"/>
      <c r="E47" s="11"/>
      <c r="F47" s="37"/>
      <c r="G47" s="37"/>
      <c r="H47" s="47">
        <v>45678</v>
      </c>
      <c r="I47" s="19" t="s">
        <v>127</v>
      </c>
      <c r="J47" s="41">
        <v>990</v>
      </c>
      <c r="N47" s="64"/>
      <c r="O47" s="298"/>
      <c r="P47" s="299"/>
    </row>
    <row r="48" spans="2:16">
      <c r="B48" s="14"/>
      <c r="C48" s="15"/>
      <c r="D48" s="11"/>
      <c r="E48" s="11"/>
      <c r="F48" s="37"/>
      <c r="G48" s="37"/>
      <c r="H48" s="47">
        <v>45681</v>
      </c>
      <c r="I48" s="19" t="s">
        <v>127</v>
      </c>
      <c r="J48" s="41">
        <v>990</v>
      </c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>
        <v>45683</v>
      </c>
      <c r="I49" s="19" t="s">
        <v>127</v>
      </c>
      <c r="J49" s="41">
        <v>1980</v>
      </c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>
        <v>45684</v>
      </c>
      <c r="I50" s="19" t="s">
        <v>127</v>
      </c>
      <c r="J50" s="41">
        <v>990</v>
      </c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47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47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47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47"/>
      <c r="I57" s="20"/>
      <c r="J57" s="41"/>
      <c r="N57" s="64"/>
      <c r="O57" s="298"/>
      <c r="P57" s="299"/>
    </row>
    <row r="58" spans="2:16">
      <c r="B58" s="16"/>
      <c r="C58" s="17"/>
      <c r="D58" s="12"/>
      <c r="E58" s="12"/>
      <c r="F58" s="36"/>
      <c r="G58" s="36"/>
      <c r="H58" s="114"/>
      <c r="I58" s="20"/>
      <c r="J58" s="42"/>
      <c r="N58" s="64"/>
      <c r="O58" s="221"/>
      <c r="P58" s="222"/>
    </row>
    <row r="59" spans="2:16">
      <c r="B59" s="16"/>
      <c r="C59" s="17"/>
      <c r="D59" s="12"/>
      <c r="E59" s="12"/>
      <c r="F59" s="36"/>
      <c r="G59" s="36"/>
      <c r="H59" s="114"/>
      <c r="I59" s="20"/>
      <c r="J59" s="42"/>
      <c r="N59" s="64"/>
      <c r="O59" s="221"/>
      <c r="P59" s="222"/>
    </row>
    <row r="60" spans="2:16">
      <c r="B60" s="16"/>
      <c r="C60" s="17"/>
      <c r="D60" s="12"/>
      <c r="E60" s="12"/>
      <c r="F60" s="36"/>
      <c r="G60" s="36"/>
      <c r="H60" s="114"/>
      <c r="I60" s="19"/>
      <c r="J60" s="42"/>
      <c r="N60" s="64"/>
      <c r="O60" s="221"/>
      <c r="P60" s="222"/>
    </row>
    <row r="61" spans="2:16">
      <c r="B61" s="16"/>
      <c r="C61" s="17"/>
      <c r="D61" s="12"/>
      <c r="E61" s="12"/>
      <c r="F61" s="36"/>
      <c r="G61" s="36"/>
      <c r="H61" s="114"/>
      <c r="I61" s="19"/>
      <c r="J61" s="42"/>
      <c r="N61" s="64"/>
      <c r="O61" s="298"/>
      <c r="P61" s="299"/>
    </row>
    <row r="62" spans="2:16" ht="18" thickBot="1">
      <c r="B62" s="16"/>
      <c r="C62" s="17"/>
      <c r="D62" s="12"/>
      <c r="E62" s="12"/>
      <c r="F62" s="36"/>
      <c r="G62" s="36"/>
      <c r="H62" s="114"/>
      <c r="I62" s="19"/>
      <c r="J62" s="42"/>
      <c r="N62" s="64"/>
      <c r="O62" s="298"/>
      <c r="P62" s="299"/>
    </row>
    <row r="63" spans="2:16" ht="18" thickBot="1">
      <c r="B63" s="7"/>
      <c r="C63" s="8">
        <f>SUM(C12:C61)</f>
        <v>28</v>
      </c>
      <c r="D63" s="8"/>
      <c r="E63" s="8">
        <f>SUM(E12:E61)</f>
        <v>561</v>
      </c>
      <c r="F63" s="39">
        <f>SUM(F12:F61)</f>
        <v>65053.116883116883</v>
      </c>
      <c r="G63" s="71">
        <f>F63/E63</f>
        <v>115.95921013033312</v>
      </c>
      <c r="H63" s="8"/>
      <c r="I63" s="8"/>
      <c r="J63" s="43">
        <f>SUM(J12:J61)</f>
        <v>139450</v>
      </c>
      <c r="N63" s="65"/>
      <c r="O63" s="300"/>
      <c r="P63" s="301"/>
    </row>
  </sheetData>
  <mergeCells count="65">
    <mergeCell ref="O63:P63"/>
    <mergeCell ref="O54:P54"/>
    <mergeCell ref="O55:P55"/>
    <mergeCell ref="O56:P56"/>
    <mergeCell ref="O57:P57"/>
    <mergeCell ref="O61:P61"/>
    <mergeCell ref="O62:P62"/>
    <mergeCell ref="O53:P53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41:P41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29:P29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17:P17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6:P16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1E19-AF02-4D4E-9771-287095C301EC}">
  <dimension ref="A1:S59"/>
  <sheetViews>
    <sheetView showGridLines="0" topLeftCell="A4" zoomScaleNormal="100" workbookViewId="0">
      <selection activeCell="D33" sqref="D33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1.3984375" bestFit="1" customWidth="1"/>
    <col min="12" max="12" width="12.19921875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 t="s">
        <v>69</v>
      </c>
      <c r="D1" s="73"/>
      <c r="E1" s="73">
        <f ca="1">TODAY()</f>
        <v>46325</v>
      </c>
      <c r="F1">
        <f ca="1">E1-B4</f>
        <v>869</v>
      </c>
      <c r="I1">
        <f ca="1">M16/E1</f>
        <v>5.7819152125682081E-3</v>
      </c>
      <c r="J1">
        <v>4</v>
      </c>
      <c r="L1">
        <f>M8/F8</f>
        <v>0.65917602996254676</v>
      </c>
    </row>
    <row r="2" spans="1:19" ht="18" thickBot="1">
      <c r="F2" s="302" t="s">
        <v>9</v>
      </c>
      <c r="G2" s="305"/>
      <c r="H2" s="314"/>
      <c r="O2" s="302" t="s">
        <v>8</v>
      </c>
      <c r="P2" s="314"/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19">
      <c r="B4" s="27">
        <v>45456</v>
      </c>
      <c r="C4" s="30">
        <v>550</v>
      </c>
      <c r="D4" s="36">
        <f>4810+4250+4150</f>
        <v>13210</v>
      </c>
      <c r="E4" s="70">
        <f>D4/C4</f>
        <v>24.018181818181819</v>
      </c>
      <c r="F4" s="315">
        <f>C8-P8</f>
        <v>534</v>
      </c>
      <c r="G4" s="318">
        <f>D8-(D8/C8*P8)</f>
        <v>12825.709090909091</v>
      </c>
      <c r="H4" s="327">
        <f>G4/F4</f>
        <v>24.018181818181819</v>
      </c>
      <c r="I4" s="321" t="s">
        <v>150</v>
      </c>
      <c r="J4" s="1">
        <f>B4+90</f>
        <v>45546</v>
      </c>
      <c r="K4" s="323">
        <f>C59</f>
        <v>182</v>
      </c>
      <c r="L4" s="325">
        <f>K8/F8</f>
        <v>0.34082397003745318</v>
      </c>
      <c r="M4" s="323">
        <f>E59</f>
        <v>352</v>
      </c>
      <c r="N4" s="323">
        <f>F8-C59-E59</f>
        <v>0</v>
      </c>
      <c r="O4" s="22">
        <v>45456</v>
      </c>
      <c r="P4" s="33">
        <v>16</v>
      </c>
      <c r="Q4">
        <v>27</v>
      </c>
      <c r="R4" s="69"/>
    </row>
    <row r="5" spans="1:19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</row>
    <row r="6" spans="1:19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2"/>
      <c r="K6" s="323"/>
      <c r="L6" s="325"/>
      <c r="M6" s="323"/>
      <c r="N6" s="323"/>
      <c r="O6" s="22"/>
      <c r="P6" s="33"/>
      <c r="R6" s="77"/>
    </row>
    <row r="7" spans="1:19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19" ht="18" thickBot="1">
      <c r="B8" s="9" t="s">
        <v>10</v>
      </c>
      <c r="C8" s="32">
        <f>SUM(C4:C7)</f>
        <v>550</v>
      </c>
      <c r="D8" s="39">
        <f>SUM(D4:D7)</f>
        <v>13210</v>
      </c>
      <c r="E8" s="71">
        <f>D8/C8</f>
        <v>24.018181818181819</v>
      </c>
      <c r="F8" s="32">
        <f>SUM(F4)</f>
        <v>534</v>
      </c>
      <c r="G8" s="39">
        <f>SUM(G4)</f>
        <v>12825.709090909091</v>
      </c>
      <c r="H8" s="71">
        <f>G8/F8</f>
        <v>24.018181818181819</v>
      </c>
      <c r="I8" s="8"/>
      <c r="J8" s="8"/>
      <c r="K8" s="32">
        <f>K4</f>
        <v>182</v>
      </c>
      <c r="L8" s="26">
        <f>L4</f>
        <v>0.34082397003745318</v>
      </c>
      <c r="M8" s="32">
        <f>M4</f>
        <v>352</v>
      </c>
      <c r="N8" s="32">
        <f>N4</f>
        <v>0</v>
      </c>
      <c r="O8" s="46">
        <f>P8/C8</f>
        <v>2.9090909090909091E-2</v>
      </c>
      <c r="P8" s="35">
        <f>SUM(P4:P7)</f>
        <v>16</v>
      </c>
      <c r="Q8" s="69">
        <f>P8-Q4-Q5-Q6</f>
        <v>-11</v>
      </c>
    </row>
    <row r="9" spans="1:19" ht="18" thickBot="1">
      <c r="F9" s="69">
        <f>F8-163</f>
        <v>371</v>
      </c>
      <c r="G9">
        <v>12826</v>
      </c>
      <c r="I9">
        <v>519</v>
      </c>
    </row>
    <row r="10" spans="1:19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19" ht="18" thickBot="1">
      <c r="B11" s="9" t="s">
        <v>0</v>
      </c>
      <c r="C11" s="168" t="s">
        <v>1</v>
      </c>
      <c r="D11" s="168" t="s">
        <v>0</v>
      </c>
      <c r="E11" s="168" t="s">
        <v>1</v>
      </c>
      <c r="F11" s="168" t="s">
        <v>2</v>
      </c>
      <c r="G11" s="168" t="s">
        <v>3</v>
      </c>
      <c r="H11" s="168" t="s">
        <v>0</v>
      </c>
      <c r="I11" s="168" t="s">
        <v>15</v>
      </c>
      <c r="J11" s="168" t="s">
        <v>16</v>
      </c>
      <c r="K11" s="56" t="s">
        <v>15</v>
      </c>
      <c r="L11" s="168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19">
      <c r="B12" s="45">
        <v>45490</v>
      </c>
      <c r="C12" s="13">
        <v>4</v>
      </c>
      <c r="D12" s="155">
        <v>45573</v>
      </c>
      <c r="E12" s="156">
        <v>19</v>
      </c>
      <c r="F12" s="157">
        <v>2150</v>
      </c>
      <c r="G12" s="79">
        <f>F12/E12</f>
        <v>113.15789473684211</v>
      </c>
      <c r="H12" s="18">
        <v>45456</v>
      </c>
      <c r="I12" s="19" t="s">
        <v>28</v>
      </c>
      <c r="J12" s="61">
        <v>5060</v>
      </c>
      <c r="K12" s="57" t="s">
        <v>18</v>
      </c>
      <c r="L12" s="52">
        <f>SUMIF($I$12:$I$124,K12,$J$12:$J$124)</f>
        <v>14900</v>
      </c>
      <c r="M12" s="48">
        <f>L12/$C$8</f>
        <v>27.09090909090909</v>
      </c>
      <c r="N12" s="66"/>
      <c r="O12" s="310"/>
      <c r="P12" s="311"/>
      <c r="R12" s="84" t="s">
        <v>188</v>
      </c>
      <c r="S12" s="85">
        <v>19</v>
      </c>
    </row>
    <row r="13" spans="1:19">
      <c r="B13" s="74">
        <v>45492</v>
      </c>
      <c r="C13" s="15">
        <v>6</v>
      </c>
      <c r="D13" s="76">
        <v>45582</v>
      </c>
      <c r="E13" s="11">
        <v>28</v>
      </c>
      <c r="F13" s="37">
        <v>3080</v>
      </c>
      <c r="G13" s="79">
        <f t="shared" ref="G13:G27" si="1">F13/E13</f>
        <v>110</v>
      </c>
      <c r="H13" s="47">
        <v>45465</v>
      </c>
      <c r="I13" s="19" t="s">
        <v>28</v>
      </c>
      <c r="J13" s="62">
        <v>4910</v>
      </c>
      <c r="K13" s="58" t="s">
        <v>25</v>
      </c>
      <c r="L13" s="53">
        <f t="shared" ref="L13:L15" si="2">SUMIF($I$12:$I$124,K13,$J$12:$J$124)</f>
        <v>0</v>
      </c>
      <c r="M13" s="49">
        <f>L13/$C$8</f>
        <v>0</v>
      </c>
      <c r="N13" s="1"/>
      <c r="O13" s="312"/>
      <c r="P13" s="313"/>
      <c r="R13" s="84" t="s">
        <v>34</v>
      </c>
      <c r="S13" s="85">
        <v>28</v>
      </c>
    </row>
    <row r="14" spans="1:19">
      <c r="B14" s="45">
        <v>45494</v>
      </c>
      <c r="C14" s="13">
        <v>7</v>
      </c>
      <c r="D14" s="76">
        <v>45589</v>
      </c>
      <c r="E14" s="11">
        <v>50</v>
      </c>
      <c r="F14" s="37">
        <v>5560</v>
      </c>
      <c r="G14" s="79">
        <f t="shared" si="1"/>
        <v>111.2</v>
      </c>
      <c r="H14" s="47">
        <v>45472</v>
      </c>
      <c r="I14" s="19" t="s">
        <v>28</v>
      </c>
      <c r="J14" s="62">
        <v>4930</v>
      </c>
      <c r="K14" s="58" t="s">
        <v>93</v>
      </c>
      <c r="L14" s="53">
        <f t="shared" si="2"/>
        <v>23070</v>
      </c>
      <c r="M14" s="49">
        <f>L14/$C$8</f>
        <v>41.945454545454545</v>
      </c>
      <c r="N14" s="1"/>
      <c r="O14" s="169"/>
      <c r="P14" s="170"/>
      <c r="R14" s="84" t="s">
        <v>35</v>
      </c>
      <c r="S14" s="85">
        <v>100</v>
      </c>
    </row>
    <row r="15" spans="1:19" ht="18" thickBot="1">
      <c r="A15" s="197" t="s">
        <v>169</v>
      </c>
      <c r="B15" s="194">
        <v>45495</v>
      </c>
      <c r="C15" s="195">
        <v>6</v>
      </c>
      <c r="D15" s="76">
        <v>45589</v>
      </c>
      <c r="E15" s="11">
        <v>50</v>
      </c>
      <c r="F15" s="37">
        <v>5370</v>
      </c>
      <c r="G15" s="79">
        <f t="shared" si="1"/>
        <v>107.4</v>
      </c>
      <c r="H15" s="47">
        <v>45479</v>
      </c>
      <c r="I15" s="19" t="s">
        <v>92</v>
      </c>
      <c r="J15" s="62">
        <v>5060</v>
      </c>
      <c r="K15" s="59" t="s">
        <v>26</v>
      </c>
      <c r="L15" s="54">
        <f t="shared" si="2"/>
        <v>77740</v>
      </c>
      <c r="M15" s="50">
        <f>L15/$C$8</f>
        <v>141.34545454545454</v>
      </c>
      <c r="N15" s="1"/>
      <c r="O15" s="298"/>
      <c r="P15" s="299"/>
      <c r="R15" s="84" t="s">
        <v>162</v>
      </c>
      <c r="S15" s="85">
        <v>37</v>
      </c>
    </row>
    <row r="16" spans="1:19" ht="18" thickBot="1">
      <c r="A16" s="197" t="s">
        <v>169</v>
      </c>
      <c r="B16" s="194">
        <v>45496</v>
      </c>
      <c r="C16" s="195">
        <v>7</v>
      </c>
      <c r="D16" s="76">
        <v>45596</v>
      </c>
      <c r="E16" s="11">
        <v>37</v>
      </c>
      <c r="F16" s="37">
        <v>4060</v>
      </c>
      <c r="G16" s="79">
        <f t="shared" si="1"/>
        <v>109.72972972972973</v>
      </c>
      <c r="H16" s="47">
        <v>45485</v>
      </c>
      <c r="I16" s="19" t="s">
        <v>92</v>
      </c>
      <c r="J16" s="41">
        <v>5050</v>
      </c>
      <c r="K16" s="60" t="s">
        <v>21</v>
      </c>
      <c r="L16" s="55">
        <f>SUM(L12:L15)</f>
        <v>115710</v>
      </c>
      <c r="M16" s="40">
        <f>L16/(M8+N8+80)</f>
        <v>267.84722222222223</v>
      </c>
      <c r="N16" s="1"/>
      <c r="O16" s="298"/>
      <c r="P16" s="299"/>
      <c r="R16" s="84" t="s">
        <v>189</v>
      </c>
      <c r="S16" s="85">
        <v>18</v>
      </c>
    </row>
    <row r="17" spans="1:19">
      <c r="A17" s="197" t="s">
        <v>169</v>
      </c>
      <c r="B17" s="194">
        <v>45497</v>
      </c>
      <c r="C17" s="195">
        <v>2</v>
      </c>
      <c r="D17" s="76">
        <v>45597</v>
      </c>
      <c r="E17" s="11">
        <v>18</v>
      </c>
      <c r="F17" s="37">
        <v>2000</v>
      </c>
      <c r="G17" s="79">
        <f t="shared" si="1"/>
        <v>111.11111111111111</v>
      </c>
      <c r="H17" s="47">
        <v>45497</v>
      </c>
      <c r="I17" s="19" t="s">
        <v>127</v>
      </c>
      <c r="J17" s="41">
        <v>4990</v>
      </c>
      <c r="N17" s="63"/>
      <c r="O17" s="298"/>
      <c r="P17" s="299"/>
      <c r="R17" s="84" t="s">
        <v>179</v>
      </c>
      <c r="S17" s="85"/>
    </row>
    <row r="18" spans="1:19">
      <c r="A18" s="197" t="s">
        <v>169</v>
      </c>
      <c r="B18" s="194">
        <v>45498</v>
      </c>
      <c r="C18" s="195">
        <v>3</v>
      </c>
      <c r="D18" s="76">
        <v>45610</v>
      </c>
      <c r="E18" s="11">
        <v>15</v>
      </c>
      <c r="F18" s="37">
        <v>1710</v>
      </c>
      <c r="G18" s="79">
        <f t="shared" si="1"/>
        <v>114</v>
      </c>
      <c r="H18" s="47">
        <v>45509</v>
      </c>
      <c r="I18" s="19" t="s">
        <v>92</v>
      </c>
      <c r="J18" s="41">
        <v>5060</v>
      </c>
      <c r="N18" s="63"/>
      <c r="O18" s="298"/>
      <c r="P18" s="299"/>
      <c r="R18" s="84" t="s">
        <v>175</v>
      </c>
      <c r="S18" s="85">
        <v>30</v>
      </c>
    </row>
    <row r="19" spans="1:19">
      <c r="A19" s="197" t="s">
        <v>169</v>
      </c>
      <c r="B19" s="194">
        <v>45499</v>
      </c>
      <c r="C19" s="195">
        <v>8</v>
      </c>
      <c r="D19" s="76">
        <v>45610</v>
      </c>
      <c r="E19" s="11">
        <v>15</v>
      </c>
      <c r="F19" s="37">
        <v>1710</v>
      </c>
      <c r="G19" s="79">
        <f t="shared" si="1"/>
        <v>114</v>
      </c>
      <c r="H19" s="47">
        <v>45518</v>
      </c>
      <c r="I19" s="19" t="s">
        <v>92</v>
      </c>
      <c r="J19" s="41">
        <v>2860</v>
      </c>
      <c r="K19" t="s">
        <v>32</v>
      </c>
      <c r="L19" s="78">
        <f>(J59/M8)/(G59-H8)</f>
        <v>3.8952251427340303</v>
      </c>
      <c r="N19" s="63"/>
      <c r="O19" s="298"/>
      <c r="P19" s="299"/>
      <c r="R19" s="84" t="s">
        <v>176</v>
      </c>
      <c r="S19" s="85">
        <v>63</v>
      </c>
    </row>
    <row r="20" spans="1:19">
      <c r="A20" s="197" t="s">
        <v>169</v>
      </c>
      <c r="B20" s="194">
        <v>45501</v>
      </c>
      <c r="C20" s="195">
        <v>8</v>
      </c>
      <c r="D20" s="76">
        <v>45616</v>
      </c>
      <c r="E20" s="11">
        <v>30</v>
      </c>
      <c r="F20" s="37">
        <v>3430</v>
      </c>
      <c r="G20" s="79">
        <f t="shared" si="1"/>
        <v>114.33333333333333</v>
      </c>
      <c r="H20" s="176">
        <v>45479</v>
      </c>
      <c r="I20" s="141" t="s">
        <v>92</v>
      </c>
      <c r="J20" s="177">
        <v>5040</v>
      </c>
      <c r="K20" t="s">
        <v>172</v>
      </c>
      <c r="L20">
        <f ca="1">J59/(N8+M8)/F1</f>
        <v>0.37827570875614608</v>
      </c>
      <c r="N20" s="63"/>
      <c r="O20" s="298"/>
      <c r="P20" s="299"/>
      <c r="R20" s="84" t="s">
        <v>177</v>
      </c>
      <c r="S20" s="85">
        <v>60</v>
      </c>
    </row>
    <row r="21" spans="1:19">
      <c r="A21" s="197" t="s">
        <v>169</v>
      </c>
      <c r="B21" s="194">
        <v>45502</v>
      </c>
      <c r="C21" s="195">
        <v>4</v>
      </c>
      <c r="D21" s="76">
        <v>45616</v>
      </c>
      <c r="E21" s="11">
        <v>33</v>
      </c>
      <c r="F21" s="37">
        <v>3780</v>
      </c>
      <c r="G21" s="79">
        <f t="shared" si="1"/>
        <v>114.54545454545455</v>
      </c>
      <c r="H21" s="176">
        <v>45492</v>
      </c>
      <c r="I21" s="141" t="s">
        <v>127</v>
      </c>
      <c r="J21" s="177">
        <v>5000</v>
      </c>
      <c r="L21" t="e">
        <f>J30/N8/5.5</f>
        <v>#DIV/0!</v>
      </c>
      <c r="N21" s="63"/>
      <c r="O21" s="298"/>
      <c r="P21" s="299"/>
      <c r="R21" s="84"/>
      <c r="S21" s="85"/>
    </row>
    <row r="22" spans="1:19">
      <c r="A22" s="197" t="s">
        <v>169</v>
      </c>
      <c r="B22" s="194">
        <v>45506</v>
      </c>
      <c r="C22" s="195">
        <v>5</v>
      </c>
      <c r="D22" s="190">
        <v>45623</v>
      </c>
      <c r="E22" s="191">
        <v>15</v>
      </c>
      <c r="F22" s="260">
        <v>1710</v>
      </c>
      <c r="G22" s="79">
        <f t="shared" si="1"/>
        <v>114</v>
      </c>
      <c r="H22" s="176">
        <v>45497</v>
      </c>
      <c r="I22" s="141" t="s">
        <v>127</v>
      </c>
      <c r="J22" s="177">
        <v>2050</v>
      </c>
      <c r="N22" s="63"/>
      <c r="O22" s="298"/>
      <c r="P22" s="299"/>
      <c r="R22" s="84"/>
      <c r="S22" s="85"/>
    </row>
    <row r="23" spans="1:19">
      <c r="A23" s="215" t="s">
        <v>169</v>
      </c>
      <c r="B23" s="194">
        <v>45507</v>
      </c>
      <c r="C23" s="195">
        <v>4</v>
      </c>
      <c r="D23" s="190">
        <v>45623</v>
      </c>
      <c r="E23" s="191">
        <v>16</v>
      </c>
      <c r="F23" s="260">
        <v>1760</v>
      </c>
      <c r="G23" s="79">
        <f t="shared" si="1"/>
        <v>110</v>
      </c>
      <c r="H23" s="176">
        <v>45500</v>
      </c>
      <c r="I23" s="141" t="s">
        <v>127</v>
      </c>
      <c r="J23" s="177">
        <v>5000</v>
      </c>
      <c r="L23" s="228">
        <f>L16/(N8+M8+3)</f>
        <v>325.94366197183098</v>
      </c>
      <c r="M23" s="25"/>
      <c r="N23" s="63"/>
      <c r="O23" s="298"/>
      <c r="P23" s="299"/>
      <c r="R23" s="84"/>
      <c r="S23" s="85"/>
    </row>
    <row r="24" spans="1:19">
      <c r="A24" s="197" t="s">
        <v>169</v>
      </c>
      <c r="B24" s="194">
        <v>45508</v>
      </c>
      <c r="C24" s="195">
        <v>1</v>
      </c>
      <c r="D24" s="76">
        <v>45631</v>
      </c>
      <c r="E24" s="11">
        <v>5</v>
      </c>
      <c r="F24" s="37">
        <v>570</v>
      </c>
      <c r="G24" s="79">
        <f t="shared" si="1"/>
        <v>114</v>
      </c>
      <c r="H24" s="47">
        <v>45534</v>
      </c>
      <c r="I24" s="19" t="s">
        <v>127</v>
      </c>
      <c r="J24" s="41">
        <v>5020</v>
      </c>
      <c r="L24">
        <f>L16/L23</f>
        <v>355</v>
      </c>
      <c r="N24" s="63"/>
      <c r="O24" s="298"/>
      <c r="P24" s="299"/>
      <c r="R24" s="84"/>
      <c r="S24" s="85"/>
    </row>
    <row r="25" spans="1:19">
      <c r="A25" s="215" t="s">
        <v>169</v>
      </c>
      <c r="B25" s="194">
        <v>45509</v>
      </c>
      <c r="C25" s="195">
        <v>4</v>
      </c>
      <c r="D25" s="76">
        <v>45652</v>
      </c>
      <c r="E25" s="11">
        <v>21</v>
      </c>
      <c r="F25" s="37">
        <v>1270</v>
      </c>
      <c r="G25" s="79">
        <f t="shared" si="1"/>
        <v>60.476190476190474</v>
      </c>
      <c r="H25" s="47">
        <v>45544</v>
      </c>
      <c r="I25" s="19" t="s">
        <v>127</v>
      </c>
      <c r="J25" s="41">
        <v>3010</v>
      </c>
      <c r="L25" t="e">
        <f>J29/5.5/N8</f>
        <v>#DIV/0!</v>
      </c>
      <c r="N25" s="63"/>
      <c r="O25" s="298"/>
      <c r="P25" s="299"/>
      <c r="R25" s="84"/>
      <c r="S25" s="85"/>
    </row>
    <row r="26" spans="1:19">
      <c r="A26" s="197" t="s">
        <v>169</v>
      </c>
      <c r="B26" s="194">
        <v>45511</v>
      </c>
      <c r="C26" s="195">
        <v>3</v>
      </c>
      <c r="D26" s="11"/>
      <c r="E26" s="11"/>
      <c r="F26" s="37"/>
      <c r="G26" s="79" t="e">
        <f t="shared" si="1"/>
        <v>#DIV/0!</v>
      </c>
      <c r="H26" s="47">
        <v>45548</v>
      </c>
      <c r="I26" s="19" t="s">
        <v>127</v>
      </c>
      <c r="J26" s="41">
        <v>5010</v>
      </c>
      <c r="N26" s="64"/>
      <c r="O26" s="298"/>
      <c r="P26" s="299"/>
      <c r="R26" s="84"/>
      <c r="S26" s="85"/>
    </row>
    <row r="27" spans="1:19">
      <c r="A27" s="197" t="s">
        <v>169</v>
      </c>
      <c r="B27" s="194">
        <v>45515</v>
      </c>
      <c r="C27" s="195">
        <v>4</v>
      </c>
      <c r="D27" s="11"/>
      <c r="E27" s="11"/>
      <c r="F27" s="37"/>
      <c r="G27" s="79" t="e">
        <f t="shared" si="1"/>
        <v>#DIV/0!</v>
      </c>
      <c r="H27" s="47">
        <v>45550</v>
      </c>
      <c r="I27" s="19" t="s">
        <v>127</v>
      </c>
      <c r="J27" s="41">
        <v>3020</v>
      </c>
      <c r="N27" s="64"/>
      <c r="O27" s="298"/>
      <c r="P27" s="299"/>
      <c r="R27" s="84"/>
      <c r="S27" s="85"/>
    </row>
    <row r="28" spans="1:19">
      <c r="B28" s="194">
        <v>45516</v>
      </c>
      <c r="C28" s="195">
        <v>5</v>
      </c>
      <c r="D28" s="11"/>
      <c r="E28" s="11"/>
      <c r="F28" s="37"/>
      <c r="G28" s="37"/>
      <c r="H28" s="47">
        <v>45554</v>
      </c>
      <c r="I28" s="19" t="s">
        <v>127</v>
      </c>
      <c r="J28" s="41">
        <v>4850</v>
      </c>
      <c r="L28">
        <f>L16/F8</f>
        <v>216.68539325842696</v>
      </c>
      <c r="N28" s="64"/>
      <c r="O28" s="298"/>
      <c r="P28" s="299"/>
      <c r="R28" s="84"/>
      <c r="S28" s="85"/>
    </row>
    <row r="29" spans="1:19">
      <c r="B29" s="194">
        <v>45517</v>
      </c>
      <c r="C29" s="195">
        <v>5</v>
      </c>
      <c r="D29" s="11"/>
      <c r="E29" s="11"/>
      <c r="F29" s="37"/>
      <c r="G29" s="37"/>
      <c r="H29" s="47">
        <v>45561</v>
      </c>
      <c r="I29" s="19" t="s">
        <v>127</v>
      </c>
      <c r="J29" s="41">
        <v>5010</v>
      </c>
      <c r="N29" s="64"/>
      <c r="O29" s="298"/>
      <c r="P29" s="299"/>
      <c r="R29" s="84"/>
      <c r="S29" s="85"/>
    </row>
    <row r="30" spans="1:19">
      <c r="B30" s="194">
        <v>45518</v>
      </c>
      <c r="C30" s="195">
        <v>4</v>
      </c>
      <c r="D30" s="11"/>
      <c r="E30" s="11"/>
      <c r="F30" s="37"/>
      <c r="G30" s="37"/>
      <c r="H30" s="47">
        <v>45569</v>
      </c>
      <c r="I30" s="19" t="s">
        <v>127</v>
      </c>
      <c r="J30" s="41">
        <v>5010</v>
      </c>
      <c r="N30" s="64"/>
      <c r="O30" s="298"/>
      <c r="P30" s="299"/>
      <c r="R30" s="84"/>
      <c r="S30" s="85"/>
    </row>
    <row r="31" spans="1:19">
      <c r="B31" s="194">
        <v>45520</v>
      </c>
      <c r="C31" s="195">
        <v>1</v>
      </c>
      <c r="D31" s="11"/>
      <c r="E31" s="11"/>
      <c r="F31" s="37"/>
      <c r="G31" s="37"/>
      <c r="H31" s="47">
        <v>45575</v>
      </c>
      <c r="I31" s="19" t="s">
        <v>127</v>
      </c>
      <c r="J31" s="41">
        <v>4960</v>
      </c>
      <c r="N31" s="64"/>
      <c r="O31" s="298"/>
      <c r="P31" s="299"/>
      <c r="R31" s="84"/>
      <c r="S31" s="85"/>
    </row>
    <row r="32" spans="1:19" ht="18" thickBot="1">
      <c r="B32" s="194">
        <v>45522</v>
      </c>
      <c r="C32" s="195">
        <v>1</v>
      </c>
      <c r="D32" s="11"/>
      <c r="E32" s="11"/>
      <c r="F32" s="37"/>
      <c r="G32" s="37"/>
      <c r="H32" s="47">
        <v>45580</v>
      </c>
      <c r="I32" s="19" t="s">
        <v>127</v>
      </c>
      <c r="J32" s="41">
        <v>4960</v>
      </c>
      <c r="N32" s="64"/>
      <c r="O32" s="298"/>
      <c r="P32" s="299"/>
      <c r="R32" s="86"/>
      <c r="S32" s="87"/>
    </row>
    <row r="33" spans="2:16" ht="18" thickTop="1">
      <c r="B33" s="194">
        <v>45523</v>
      </c>
      <c r="C33" s="195">
        <v>2</v>
      </c>
      <c r="D33" s="11"/>
      <c r="E33" s="11"/>
      <c r="F33" s="37"/>
      <c r="G33" s="37"/>
      <c r="H33" s="47">
        <v>45586</v>
      </c>
      <c r="I33" s="19" t="s">
        <v>127</v>
      </c>
      <c r="J33" s="41">
        <v>4960</v>
      </c>
      <c r="N33" s="64"/>
      <c r="O33" s="298"/>
      <c r="P33" s="299"/>
    </row>
    <row r="34" spans="2:16">
      <c r="B34" s="194">
        <v>45525</v>
      </c>
      <c r="C34" s="195">
        <v>2</v>
      </c>
      <c r="D34" s="11"/>
      <c r="E34" s="11"/>
      <c r="F34" s="37"/>
      <c r="G34" s="37"/>
      <c r="H34" s="47">
        <v>45593</v>
      </c>
      <c r="I34" s="19" t="s">
        <v>127</v>
      </c>
      <c r="J34" s="41">
        <v>4940</v>
      </c>
      <c r="N34" s="64"/>
      <c r="O34" s="298"/>
      <c r="P34" s="299"/>
    </row>
    <row r="35" spans="2:16">
      <c r="B35" s="194">
        <v>45526</v>
      </c>
      <c r="C35" s="195">
        <v>1</v>
      </c>
      <c r="D35" s="11"/>
      <c r="E35" s="11"/>
      <c r="F35" s="37"/>
      <c r="G35" s="37"/>
      <c r="H35" s="47">
        <v>45601</v>
      </c>
      <c r="I35" s="19" t="s">
        <v>127</v>
      </c>
      <c r="J35" s="41">
        <v>4970</v>
      </c>
      <c r="N35" s="64"/>
      <c r="O35" s="298"/>
      <c r="P35" s="299"/>
    </row>
    <row r="36" spans="2:16">
      <c r="B36" s="194">
        <v>45531</v>
      </c>
      <c r="C36" s="195">
        <v>2</v>
      </c>
      <c r="D36" s="11"/>
      <c r="E36" s="11"/>
      <c r="F36" s="37"/>
      <c r="G36" s="37"/>
      <c r="H36" s="47">
        <v>45607</v>
      </c>
      <c r="I36" s="19" t="s">
        <v>127</v>
      </c>
      <c r="J36" s="41">
        <v>4980</v>
      </c>
      <c r="N36" s="64"/>
      <c r="O36" s="298"/>
      <c r="P36" s="299"/>
    </row>
    <row r="37" spans="2:16">
      <c r="B37" s="194">
        <v>45532</v>
      </c>
      <c r="C37" s="195">
        <v>25</v>
      </c>
      <c r="D37" s="11"/>
      <c r="E37" s="11"/>
      <c r="F37" s="37"/>
      <c r="G37" s="37"/>
      <c r="H37" s="20"/>
      <c r="I37" s="20"/>
      <c r="J37" s="41"/>
      <c r="N37" s="64"/>
      <c r="O37" s="298"/>
      <c r="P37" s="299"/>
    </row>
    <row r="38" spans="2:16">
      <c r="B38" s="194">
        <v>45533</v>
      </c>
      <c r="C38" s="195">
        <v>10</v>
      </c>
      <c r="D38" s="11"/>
      <c r="E38" s="11"/>
      <c r="F38" s="37"/>
      <c r="G38" s="37"/>
      <c r="H38" s="20"/>
      <c r="I38" s="20"/>
      <c r="J38" s="41"/>
      <c r="N38" s="64"/>
      <c r="O38" s="298"/>
      <c r="P38" s="299"/>
    </row>
    <row r="39" spans="2:16">
      <c r="B39" s="74">
        <v>45538</v>
      </c>
      <c r="C39" s="15">
        <v>2</v>
      </c>
      <c r="D39" s="11"/>
      <c r="E39" s="11"/>
      <c r="F39" s="37"/>
      <c r="G39" s="37"/>
      <c r="H39" s="20"/>
      <c r="I39" s="20"/>
      <c r="J39" s="41"/>
      <c r="N39" s="64"/>
      <c r="O39" s="298"/>
      <c r="P39" s="299"/>
    </row>
    <row r="40" spans="2:16">
      <c r="B40" s="74">
        <v>45540</v>
      </c>
      <c r="C40" s="15">
        <v>1</v>
      </c>
      <c r="D40" s="11"/>
      <c r="E40" s="11"/>
      <c r="F40" s="37"/>
      <c r="G40" s="37"/>
      <c r="H40" s="20"/>
      <c r="I40" s="20"/>
      <c r="J40" s="41"/>
      <c r="N40" s="64"/>
      <c r="O40" s="298"/>
      <c r="P40" s="299"/>
    </row>
    <row r="41" spans="2:16">
      <c r="B41" s="194">
        <v>45541</v>
      </c>
      <c r="C41" s="195">
        <v>1</v>
      </c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194">
        <v>45542</v>
      </c>
      <c r="C42" s="195">
        <v>3</v>
      </c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74">
        <v>45547</v>
      </c>
      <c r="C43" s="15">
        <v>2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74">
        <v>45560</v>
      </c>
      <c r="C44" s="15">
        <v>1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74">
        <v>45566</v>
      </c>
      <c r="C45" s="15">
        <v>10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74">
        <v>45574</v>
      </c>
      <c r="C46" s="15">
        <v>3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74"/>
      <c r="C47" s="15"/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45587</v>
      </c>
      <c r="C48" s="15">
        <v>1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45589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74">
        <v>45601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74">
        <v>45614</v>
      </c>
      <c r="C51" s="15">
        <v>2</v>
      </c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74">
        <v>45619</v>
      </c>
      <c r="C52" s="15">
        <v>1</v>
      </c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74">
        <v>45638</v>
      </c>
      <c r="C53" s="15">
        <v>3</v>
      </c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74">
        <v>45643</v>
      </c>
      <c r="C54" s="15">
        <v>6</v>
      </c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74">
        <v>45646</v>
      </c>
      <c r="C55" s="15">
        <v>3</v>
      </c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74">
        <v>45647</v>
      </c>
      <c r="C56" s="15">
        <v>2</v>
      </c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74">
        <v>45650</v>
      </c>
      <c r="C57" s="15">
        <v>3</v>
      </c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92">
        <v>45652</v>
      </c>
      <c r="C58" s="17">
        <v>2</v>
      </c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182</v>
      </c>
      <c r="D59" s="8"/>
      <c r="E59" s="8">
        <f>SUM(E12:E58)</f>
        <v>352</v>
      </c>
      <c r="F59" s="39">
        <f>SUM(F12:F58)</f>
        <v>38160</v>
      </c>
      <c r="G59" s="71">
        <f>F59/E59</f>
        <v>108.40909090909091</v>
      </c>
      <c r="H59" s="8"/>
      <c r="I59" s="8"/>
      <c r="J59" s="43">
        <f>SUM(J12:J58)</f>
        <v>115710</v>
      </c>
      <c r="N59" s="65"/>
      <c r="O59" s="300"/>
      <c r="P59" s="301"/>
    </row>
  </sheetData>
  <mergeCells count="64"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604E-F888-42AB-A06B-53C40FE8C60F}">
  <dimension ref="A1:S59"/>
  <sheetViews>
    <sheetView showGridLines="0" zoomScaleNormal="100" workbookViewId="0">
      <selection activeCell="E27" sqref="E27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9.8984375" bestFit="1" customWidth="1"/>
    <col min="9" max="9" width="21.3984375" bestFit="1" customWidth="1"/>
    <col min="10" max="10" width="11.5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 t="s">
        <v>69</v>
      </c>
      <c r="D1" s="73"/>
      <c r="E1" s="73">
        <f ca="1">TODAY()</f>
        <v>46325</v>
      </c>
      <c r="F1">
        <f ca="1">E1-B4</f>
        <v>814</v>
      </c>
      <c r="I1">
        <f ca="1">M16/E1</f>
        <v>4.5226688694886431E-3</v>
      </c>
      <c r="J1">
        <v>4</v>
      </c>
    </row>
    <row r="2" spans="1:19" ht="18" thickBot="1">
      <c r="F2" s="302" t="s">
        <v>9</v>
      </c>
      <c r="G2" s="305"/>
      <c r="H2" s="314"/>
      <c r="O2" s="302" t="s">
        <v>8</v>
      </c>
      <c r="P2" s="314"/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19">
      <c r="B4" s="27">
        <v>45511</v>
      </c>
      <c r="C4" s="30">
        <v>570</v>
      </c>
      <c r="D4" s="36">
        <f>4560+4700+3860</f>
        <v>13120</v>
      </c>
      <c r="E4" s="70">
        <f>D4/C4</f>
        <v>23.017543859649123</v>
      </c>
      <c r="F4" s="315">
        <f>C8-P8</f>
        <v>554</v>
      </c>
      <c r="G4" s="318">
        <f>D8-(D8/C8*P8)</f>
        <v>12751.719298245614</v>
      </c>
      <c r="H4" s="327">
        <f>G4/F4</f>
        <v>23.017543859649123</v>
      </c>
      <c r="I4" s="321" t="s">
        <v>118</v>
      </c>
      <c r="J4" s="1">
        <f>B4+90</f>
        <v>45601</v>
      </c>
      <c r="K4" s="323">
        <f>C59</f>
        <v>124</v>
      </c>
      <c r="L4" s="325">
        <f>K8/F8</f>
        <v>0.22382671480144403</v>
      </c>
      <c r="M4" s="323">
        <f>E59</f>
        <v>425</v>
      </c>
      <c r="N4" s="323">
        <f>F8-C59-E59</f>
        <v>5</v>
      </c>
      <c r="O4" s="22">
        <v>45511</v>
      </c>
      <c r="P4" s="33">
        <v>16</v>
      </c>
      <c r="Q4">
        <v>17</v>
      </c>
      <c r="R4" s="69">
        <v>570</v>
      </c>
    </row>
    <row r="5" spans="1:19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>
        <f>R4-Q4</f>
        <v>553</v>
      </c>
    </row>
    <row r="6" spans="1:19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2"/>
      <c r="K6" s="323"/>
      <c r="L6" s="325"/>
      <c r="M6" s="323"/>
      <c r="N6" s="323"/>
      <c r="O6" s="22"/>
      <c r="P6" s="33"/>
      <c r="R6" s="77"/>
    </row>
    <row r="7" spans="1:19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19" ht="18" thickBot="1">
      <c r="B8" s="9" t="s">
        <v>10</v>
      </c>
      <c r="C8" s="32">
        <f>SUM(C4:C7)</f>
        <v>570</v>
      </c>
      <c r="D8" s="39">
        <f>SUM(D4:D7)</f>
        <v>13120</v>
      </c>
      <c r="E8" s="71">
        <f>D8/C8</f>
        <v>23.017543859649123</v>
      </c>
      <c r="F8" s="32">
        <f>SUM(F4)</f>
        <v>554</v>
      </c>
      <c r="G8" s="39">
        <f>SUM(G4)</f>
        <v>12751.719298245614</v>
      </c>
      <c r="H8" s="71">
        <f>G8/F8</f>
        <v>23.017543859649123</v>
      </c>
      <c r="I8" s="8"/>
      <c r="J8" s="8"/>
      <c r="K8" s="32">
        <f>K4</f>
        <v>124</v>
      </c>
      <c r="L8" s="26">
        <f>L4</f>
        <v>0.22382671480144403</v>
      </c>
      <c r="M8" s="32">
        <f>M4</f>
        <v>425</v>
      </c>
      <c r="N8" s="32">
        <f>N4</f>
        <v>5</v>
      </c>
      <c r="O8" s="46">
        <f>P8/C8</f>
        <v>2.8070175438596492E-2</v>
      </c>
      <c r="P8" s="35">
        <f>SUM(P4:P7)</f>
        <v>16</v>
      </c>
      <c r="Q8" s="69">
        <f>P8-Q4-Q5-Q6</f>
        <v>-1</v>
      </c>
    </row>
    <row r="9" spans="1:19" ht="18" thickBot="1">
      <c r="F9" s="69">
        <f>F8-53</f>
        <v>501</v>
      </c>
      <c r="G9">
        <v>12752</v>
      </c>
      <c r="I9" s="69">
        <f>N8+M8</f>
        <v>430</v>
      </c>
    </row>
    <row r="10" spans="1:19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19" ht="18" thickBot="1">
      <c r="B11" s="9" t="s">
        <v>0</v>
      </c>
      <c r="C11" s="205" t="s">
        <v>1</v>
      </c>
      <c r="D11" s="205" t="s">
        <v>0</v>
      </c>
      <c r="E11" s="205" t="s">
        <v>1</v>
      </c>
      <c r="F11" s="205" t="s">
        <v>2</v>
      </c>
      <c r="G11" s="205" t="s">
        <v>3</v>
      </c>
      <c r="H11" s="205" t="s">
        <v>0</v>
      </c>
      <c r="I11" s="205" t="s">
        <v>15</v>
      </c>
      <c r="J11" s="205" t="s">
        <v>16</v>
      </c>
      <c r="K11" s="56" t="s">
        <v>15</v>
      </c>
      <c r="L11" s="205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19">
      <c r="B12" s="216">
        <v>45540</v>
      </c>
      <c r="C12" s="217">
        <v>2</v>
      </c>
      <c r="D12" s="155">
        <v>45631</v>
      </c>
      <c r="E12" s="156">
        <v>46</v>
      </c>
      <c r="F12" s="157">
        <v>5220</v>
      </c>
      <c r="G12" s="79">
        <f>F12/E12</f>
        <v>113.47826086956522</v>
      </c>
      <c r="H12" s="18">
        <v>45511</v>
      </c>
      <c r="I12" s="19" t="s">
        <v>28</v>
      </c>
      <c r="J12" s="61">
        <v>1880</v>
      </c>
      <c r="K12" s="57" t="s">
        <v>18</v>
      </c>
      <c r="L12" s="52">
        <f>SUMIF($I$12:$I$124,K12,$J$12:$J$124)</f>
        <v>35800</v>
      </c>
      <c r="M12" s="48">
        <f>L12/$C$8</f>
        <v>62.807017543859651</v>
      </c>
      <c r="N12" s="66"/>
      <c r="O12" s="310"/>
      <c r="P12" s="311"/>
      <c r="R12" s="84" t="s">
        <v>181</v>
      </c>
      <c r="S12" s="85">
        <v>40</v>
      </c>
    </row>
    <row r="13" spans="1:19">
      <c r="B13" s="194">
        <v>45542</v>
      </c>
      <c r="C13" s="195">
        <v>2</v>
      </c>
      <c r="D13" s="76">
        <v>45638</v>
      </c>
      <c r="E13" s="11">
        <v>41</v>
      </c>
      <c r="F13" s="37">
        <v>4530</v>
      </c>
      <c r="G13" s="79">
        <f t="shared" ref="G13:G29" si="1">F13/E13</f>
        <v>110.48780487804878</v>
      </c>
      <c r="H13" s="18">
        <v>45511</v>
      </c>
      <c r="I13" s="19" t="s">
        <v>28</v>
      </c>
      <c r="J13" s="62">
        <v>2900</v>
      </c>
      <c r="K13" s="58" t="s">
        <v>25</v>
      </c>
      <c r="L13" s="53">
        <f t="shared" ref="L13:L15" si="2">SUMIF($I$12:$I$124,K13,$J$12:$J$124)</f>
        <v>26840</v>
      </c>
      <c r="M13" s="49">
        <f>L13/$C$8</f>
        <v>47.087719298245617</v>
      </c>
      <c r="N13" s="1"/>
      <c r="O13" s="312"/>
      <c r="P13" s="313"/>
      <c r="R13" s="84" t="s">
        <v>182</v>
      </c>
      <c r="S13" s="85">
        <v>60</v>
      </c>
    </row>
    <row r="14" spans="1:19">
      <c r="B14" s="216">
        <v>45544</v>
      </c>
      <c r="C14" s="217">
        <v>2</v>
      </c>
      <c r="D14" s="76">
        <v>45638</v>
      </c>
      <c r="E14" s="11">
        <v>44</v>
      </c>
      <c r="F14" s="37">
        <v>5010</v>
      </c>
      <c r="G14" s="79">
        <f t="shared" si="1"/>
        <v>113.86363636363636</v>
      </c>
      <c r="H14" s="47">
        <v>45518</v>
      </c>
      <c r="I14" s="19" t="s">
        <v>28</v>
      </c>
      <c r="J14" s="62">
        <v>1890</v>
      </c>
      <c r="K14" s="58" t="s">
        <v>93</v>
      </c>
      <c r="L14" s="53">
        <f t="shared" si="2"/>
        <v>0</v>
      </c>
      <c r="M14" s="49">
        <f>L14/$C$8</f>
        <v>0</v>
      </c>
      <c r="N14" s="1"/>
      <c r="O14" s="206"/>
      <c r="P14" s="207"/>
      <c r="R14" s="84" t="s">
        <v>183</v>
      </c>
      <c r="S14" s="85">
        <v>120</v>
      </c>
    </row>
    <row r="15" spans="1:19" ht="18" thickBot="1">
      <c r="A15" s="197"/>
      <c r="B15" s="194">
        <v>45548</v>
      </c>
      <c r="C15" s="195">
        <v>1</v>
      </c>
      <c r="D15" s="76">
        <v>45642</v>
      </c>
      <c r="E15" s="11">
        <v>33</v>
      </c>
      <c r="F15" s="37">
        <v>3710</v>
      </c>
      <c r="G15" s="79">
        <f t="shared" si="1"/>
        <v>112.42424242424242</v>
      </c>
      <c r="H15" s="47">
        <v>45523</v>
      </c>
      <c r="I15" s="19" t="s">
        <v>28</v>
      </c>
      <c r="J15" s="62">
        <v>2830</v>
      </c>
      <c r="K15" s="59" t="s">
        <v>26</v>
      </c>
      <c r="L15" s="54">
        <f t="shared" si="2"/>
        <v>53430</v>
      </c>
      <c r="M15" s="50">
        <f>L15/$C$8</f>
        <v>93.736842105263165</v>
      </c>
      <c r="N15" s="1"/>
      <c r="O15" s="298"/>
      <c r="P15" s="299"/>
      <c r="R15" s="84" t="s">
        <v>184</v>
      </c>
      <c r="S15" s="85">
        <v>80</v>
      </c>
    </row>
    <row r="16" spans="1:19" ht="18" thickBot="1">
      <c r="A16" s="197"/>
      <c r="B16" s="194">
        <v>45549</v>
      </c>
      <c r="C16" s="195">
        <v>1</v>
      </c>
      <c r="D16" s="76">
        <v>45645</v>
      </c>
      <c r="E16" s="11">
        <v>43</v>
      </c>
      <c r="F16" s="37">
        <v>4720</v>
      </c>
      <c r="G16" s="79">
        <f t="shared" si="1"/>
        <v>109.76744186046511</v>
      </c>
      <c r="H16" s="47">
        <v>45534</v>
      </c>
      <c r="I16" s="19" t="s">
        <v>28</v>
      </c>
      <c r="J16" s="41">
        <v>2190</v>
      </c>
      <c r="K16" s="60" t="s">
        <v>21</v>
      </c>
      <c r="L16" s="55">
        <f>SUM(L12:L15)</f>
        <v>116070</v>
      </c>
      <c r="M16" s="40">
        <f>L16/F8</f>
        <v>209.51263537906138</v>
      </c>
      <c r="N16" s="1"/>
      <c r="O16" s="298"/>
      <c r="P16" s="299"/>
      <c r="R16" s="84" t="s">
        <v>185</v>
      </c>
      <c r="S16" s="85">
        <v>40</v>
      </c>
    </row>
    <row r="17" spans="1:19">
      <c r="A17" s="197"/>
      <c r="B17" s="194">
        <v>45551</v>
      </c>
      <c r="C17" s="195">
        <v>1</v>
      </c>
      <c r="D17" s="76">
        <v>45645</v>
      </c>
      <c r="E17" s="11">
        <v>43</v>
      </c>
      <c r="F17" s="37">
        <v>4920</v>
      </c>
      <c r="G17" s="79">
        <f t="shared" si="1"/>
        <v>114.41860465116279</v>
      </c>
      <c r="H17" s="47">
        <v>45544</v>
      </c>
      <c r="I17" s="19" t="s">
        <v>28</v>
      </c>
      <c r="J17" s="41">
        <v>2050</v>
      </c>
      <c r="N17" s="63"/>
      <c r="O17" s="298"/>
      <c r="P17" s="299"/>
      <c r="R17" s="84" t="s">
        <v>192</v>
      </c>
      <c r="S17" s="85">
        <v>80</v>
      </c>
    </row>
    <row r="18" spans="1:19">
      <c r="A18" s="197"/>
      <c r="B18" s="194">
        <v>45555</v>
      </c>
      <c r="C18" s="195">
        <v>2</v>
      </c>
      <c r="D18" s="76">
        <v>45650</v>
      </c>
      <c r="E18" s="11">
        <v>30</v>
      </c>
      <c r="F18" s="37">
        <v>3420</v>
      </c>
      <c r="G18" s="79">
        <f t="shared" si="1"/>
        <v>114</v>
      </c>
      <c r="H18" s="47">
        <v>45544</v>
      </c>
      <c r="I18" s="19" t="s">
        <v>28</v>
      </c>
      <c r="J18" s="41">
        <v>5330</v>
      </c>
      <c r="N18" s="63"/>
      <c r="O18" s="298"/>
      <c r="P18" s="299"/>
      <c r="R18" s="84"/>
      <c r="S18" s="85"/>
    </row>
    <row r="19" spans="1:19">
      <c r="A19" s="197"/>
      <c r="B19" s="210">
        <v>45559</v>
      </c>
      <c r="C19" s="195">
        <v>3</v>
      </c>
      <c r="D19" s="76">
        <v>45653</v>
      </c>
      <c r="E19" s="11">
        <v>45</v>
      </c>
      <c r="F19" s="37">
        <v>4960</v>
      </c>
      <c r="G19" s="79">
        <f t="shared" si="1"/>
        <v>110.22222222222223</v>
      </c>
      <c r="H19" s="47">
        <v>45548</v>
      </c>
      <c r="I19" s="19" t="s">
        <v>28</v>
      </c>
      <c r="J19" s="41">
        <v>1150</v>
      </c>
      <c r="K19" t="s">
        <v>32</v>
      </c>
      <c r="L19" s="78">
        <f>(J59/I9)/(110-H8)</f>
        <v>3.1032721371145531</v>
      </c>
      <c r="N19" s="63"/>
      <c r="O19" s="298"/>
      <c r="P19" s="299"/>
      <c r="R19" s="84"/>
      <c r="S19" s="85"/>
    </row>
    <row r="20" spans="1:19">
      <c r="A20" s="197"/>
      <c r="B20" s="210">
        <v>45561</v>
      </c>
      <c r="C20" s="195">
        <v>1</v>
      </c>
      <c r="D20" s="76">
        <v>45656</v>
      </c>
      <c r="E20" s="11">
        <v>40</v>
      </c>
      <c r="F20" s="37">
        <v>4580</v>
      </c>
      <c r="G20" s="79">
        <f t="shared" si="1"/>
        <v>114.5</v>
      </c>
      <c r="H20" s="47">
        <v>45548</v>
      </c>
      <c r="I20" s="19" t="s">
        <v>28</v>
      </c>
      <c r="J20" s="41">
        <v>5180</v>
      </c>
      <c r="K20" t="s">
        <v>172</v>
      </c>
      <c r="L20">
        <f ca="1">J59/N8/F1</f>
        <v>28.518427518427519</v>
      </c>
      <c r="N20" s="63"/>
      <c r="O20" s="298"/>
      <c r="P20" s="299"/>
      <c r="R20" s="84"/>
      <c r="S20" s="85"/>
    </row>
    <row r="21" spans="1:19">
      <c r="A21" s="197"/>
      <c r="B21" s="210">
        <v>45562</v>
      </c>
      <c r="C21" s="195">
        <v>1</v>
      </c>
      <c r="D21" s="76">
        <v>45659</v>
      </c>
      <c r="E21" s="11">
        <v>35</v>
      </c>
      <c r="F21" s="37">
        <v>3980</v>
      </c>
      <c r="G21" s="79">
        <f t="shared" si="1"/>
        <v>113.71428571428571</v>
      </c>
      <c r="H21" s="47">
        <v>45548</v>
      </c>
      <c r="I21" s="19" t="s">
        <v>28</v>
      </c>
      <c r="J21" s="41">
        <v>3110</v>
      </c>
      <c r="L21">
        <f>J28/N8/7</f>
        <v>57.142857142857146</v>
      </c>
      <c r="N21" s="63"/>
      <c r="O21" s="298"/>
      <c r="P21" s="299"/>
      <c r="R21" s="84"/>
      <c r="S21" s="85"/>
    </row>
    <row r="22" spans="1:19">
      <c r="A22" s="197"/>
      <c r="B22" s="210">
        <v>45566</v>
      </c>
      <c r="C22" s="195">
        <v>5</v>
      </c>
      <c r="D22" s="257">
        <v>45659</v>
      </c>
      <c r="E22" s="258">
        <v>25</v>
      </c>
      <c r="F22" s="259">
        <v>2740</v>
      </c>
      <c r="G22" s="79">
        <f t="shared" si="1"/>
        <v>109.6</v>
      </c>
      <c r="H22" s="47">
        <v>45548</v>
      </c>
      <c r="I22" s="19" t="s">
        <v>28</v>
      </c>
      <c r="J22" s="41">
        <v>2180</v>
      </c>
      <c r="N22" s="63"/>
      <c r="O22" s="298"/>
      <c r="P22" s="299"/>
      <c r="R22" s="84"/>
      <c r="S22" s="85"/>
    </row>
    <row r="23" spans="1:19">
      <c r="A23" s="197"/>
      <c r="B23" s="210">
        <v>45567</v>
      </c>
      <c r="C23" s="195">
        <v>2</v>
      </c>
      <c r="D23" s="11"/>
      <c r="E23" s="11"/>
      <c r="F23" s="37"/>
      <c r="G23" s="79" t="e">
        <f t="shared" si="1"/>
        <v>#DIV/0!</v>
      </c>
      <c r="H23" s="47">
        <v>45550</v>
      </c>
      <c r="I23" s="19" t="s">
        <v>28</v>
      </c>
      <c r="J23" s="41">
        <v>2120</v>
      </c>
      <c r="M23" s="25"/>
      <c r="N23" s="63"/>
      <c r="O23" s="298"/>
      <c r="P23" s="299"/>
      <c r="R23" s="84"/>
      <c r="S23" s="85"/>
    </row>
    <row r="24" spans="1:19">
      <c r="A24" s="197"/>
      <c r="B24" s="210">
        <v>45568</v>
      </c>
      <c r="C24" s="195">
        <v>2</v>
      </c>
      <c r="D24" s="11"/>
      <c r="E24" s="11"/>
      <c r="F24" s="37"/>
      <c r="G24" s="79" t="e">
        <f t="shared" si="1"/>
        <v>#DIV/0!</v>
      </c>
      <c r="H24" s="47">
        <v>45554</v>
      </c>
      <c r="I24" s="19" t="s">
        <v>28</v>
      </c>
      <c r="J24" s="41">
        <v>2990</v>
      </c>
      <c r="N24" s="63"/>
      <c r="O24" s="298"/>
      <c r="P24" s="299"/>
      <c r="R24" s="84"/>
      <c r="S24" s="85"/>
    </row>
    <row r="25" spans="1:19">
      <c r="A25" s="197"/>
      <c r="B25" s="210">
        <v>45569</v>
      </c>
      <c r="C25" s="211">
        <v>8</v>
      </c>
      <c r="D25" s="11"/>
      <c r="E25" s="11"/>
      <c r="F25" s="37"/>
      <c r="G25" s="79" t="e">
        <f t="shared" si="1"/>
        <v>#DIV/0!</v>
      </c>
      <c r="H25" s="47">
        <v>45561</v>
      </c>
      <c r="I25" s="19" t="s">
        <v>127</v>
      </c>
      <c r="J25" s="41">
        <v>4000</v>
      </c>
      <c r="N25" s="63"/>
      <c r="O25" s="298"/>
      <c r="P25" s="299"/>
      <c r="R25" s="84"/>
      <c r="S25" s="85"/>
    </row>
    <row r="26" spans="1:19">
      <c r="A26" s="197"/>
      <c r="B26" s="210">
        <v>45570</v>
      </c>
      <c r="C26" s="211">
        <v>3</v>
      </c>
      <c r="D26" s="11"/>
      <c r="E26" s="11"/>
      <c r="F26" s="37"/>
      <c r="G26" s="79" t="e">
        <f t="shared" si="1"/>
        <v>#DIV/0!</v>
      </c>
      <c r="H26" s="47">
        <v>45569</v>
      </c>
      <c r="I26" s="19" t="s">
        <v>127</v>
      </c>
      <c r="J26" s="41">
        <v>5000</v>
      </c>
      <c r="L26" s="227"/>
      <c r="N26" s="64"/>
      <c r="O26" s="298"/>
      <c r="P26" s="299"/>
      <c r="R26" s="84"/>
      <c r="S26" s="85"/>
    </row>
    <row r="27" spans="1:19">
      <c r="B27" s="210">
        <v>45572</v>
      </c>
      <c r="C27" s="211">
        <v>3</v>
      </c>
      <c r="D27" s="11"/>
      <c r="E27" s="11"/>
      <c r="F27" s="37"/>
      <c r="G27" s="79" t="e">
        <f t="shared" si="1"/>
        <v>#DIV/0!</v>
      </c>
      <c r="H27" s="47">
        <v>45575</v>
      </c>
      <c r="I27" s="19" t="s">
        <v>127</v>
      </c>
      <c r="J27" s="41">
        <v>4220</v>
      </c>
      <c r="N27" s="64"/>
      <c r="O27" s="298"/>
      <c r="P27" s="299"/>
      <c r="R27" s="84"/>
      <c r="S27" s="85"/>
    </row>
    <row r="28" spans="1:19">
      <c r="B28" s="210">
        <v>45574</v>
      </c>
      <c r="C28" s="195">
        <v>2</v>
      </c>
      <c r="D28" s="11"/>
      <c r="E28" s="11"/>
      <c r="F28" s="37"/>
      <c r="G28" s="79" t="e">
        <f t="shared" si="1"/>
        <v>#DIV/0!</v>
      </c>
      <c r="H28" s="47">
        <v>45584</v>
      </c>
      <c r="I28" s="19" t="s">
        <v>127</v>
      </c>
      <c r="J28" s="41">
        <v>2000</v>
      </c>
      <c r="N28" s="64"/>
      <c r="O28" s="298"/>
      <c r="P28" s="299"/>
      <c r="R28" s="84"/>
      <c r="S28" s="85"/>
    </row>
    <row r="29" spans="1:19">
      <c r="B29" s="210">
        <v>45575</v>
      </c>
      <c r="C29" s="211">
        <v>2</v>
      </c>
      <c r="D29" s="11"/>
      <c r="E29" s="11"/>
      <c r="F29" s="37"/>
      <c r="G29" s="79" t="e">
        <f t="shared" si="1"/>
        <v>#DIV/0!</v>
      </c>
      <c r="H29" s="47">
        <v>45586</v>
      </c>
      <c r="I29" s="19" t="s">
        <v>127</v>
      </c>
      <c r="J29" s="41">
        <v>4970</v>
      </c>
      <c r="N29" s="64"/>
      <c r="O29" s="298"/>
      <c r="P29" s="299"/>
      <c r="R29" s="84"/>
      <c r="S29" s="85"/>
    </row>
    <row r="30" spans="1:19">
      <c r="B30" s="74">
        <v>45576</v>
      </c>
      <c r="C30" s="15">
        <v>4</v>
      </c>
      <c r="D30" s="11"/>
      <c r="E30" s="11"/>
      <c r="F30" s="37"/>
      <c r="G30" s="37"/>
      <c r="H30" s="47">
        <v>45588</v>
      </c>
      <c r="I30" s="19" t="s">
        <v>127</v>
      </c>
      <c r="J30" s="41">
        <v>3940</v>
      </c>
      <c r="N30" s="64"/>
      <c r="O30" s="298"/>
      <c r="P30" s="299"/>
      <c r="R30" s="84"/>
      <c r="S30" s="85"/>
    </row>
    <row r="31" spans="1:19">
      <c r="B31" s="74">
        <v>45577</v>
      </c>
      <c r="C31" s="15">
        <v>2</v>
      </c>
      <c r="D31" s="11"/>
      <c r="E31" s="11"/>
      <c r="F31" s="37"/>
      <c r="G31" s="37"/>
      <c r="H31" s="47">
        <v>45593</v>
      </c>
      <c r="I31" s="19" t="s">
        <v>25</v>
      </c>
      <c r="J31" s="41">
        <v>1970</v>
      </c>
      <c r="N31" s="64"/>
      <c r="O31" s="298"/>
      <c r="P31" s="299"/>
      <c r="R31" s="84"/>
      <c r="S31" s="85"/>
    </row>
    <row r="32" spans="1:19" ht="18" thickBot="1">
      <c r="B32" s="74">
        <v>45578</v>
      </c>
      <c r="C32" s="15">
        <v>1</v>
      </c>
      <c r="D32" s="11"/>
      <c r="E32" s="11"/>
      <c r="F32" s="37"/>
      <c r="G32" s="37"/>
      <c r="H32" s="47">
        <v>45597</v>
      </c>
      <c r="I32" s="19" t="s">
        <v>127</v>
      </c>
      <c r="J32" s="41">
        <v>4930</v>
      </c>
      <c r="N32" s="64"/>
      <c r="O32" s="298"/>
      <c r="P32" s="299"/>
      <c r="R32" s="86"/>
      <c r="S32" s="87"/>
    </row>
    <row r="33" spans="2:16" ht="18" thickTop="1">
      <c r="B33" s="74">
        <v>45580</v>
      </c>
      <c r="C33" s="15">
        <v>3</v>
      </c>
      <c r="D33" s="11"/>
      <c r="E33" s="11"/>
      <c r="F33" s="37"/>
      <c r="G33" s="37"/>
      <c r="H33" s="47">
        <v>45601</v>
      </c>
      <c r="I33" s="19" t="s">
        <v>25</v>
      </c>
      <c r="J33" s="41">
        <v>2980</v>
      </c>
      <c r="N33" s="64"/>
      <c r="O33" s="298"/>
      <c r="P33" s="299"/>
    </row>
    <row r="34" spans="2:16">
      <c r="B34" s="74">
        <v>45585</v>
      </c>
      <c r="C34" s="15">
        <v>4</v>
      </c>
      <c r="D34" s="11"/>
      <c r="E34" s="11"/>
      <c r="F34" s="37"/>
      <c r="G34" s="37"/>
      <c r="H34" s="47">
        <v>45607</v>
      </c>
      <c r="I34" s="19" t="s">
        <v>127</v>
      </c>
      <c r="J34" s="41">
        <v>4970</v>
      </c>
      <c r="N34" s="64"/>
      <c r="O34" s="298"/>
      <c r="P34" s="299"/>
    </row>
    <row r="35" spans="2:16">
      <c r="B35" s="74">
        <v>45586</v>
      </c>
      <c r="C35" s="15">
        <v>5</v>
      </c>
      <c r="D35" s="11"/>
      <c r="E35" s="11"/>
      <c r="F35" s="37"/>
      <c r="G35" s="37"/>
      <c r="H35" s="47">
        <v>45610</v>
      </c>
      <c r="I35" s="19" t="s">
        <v>127</v>
      </c>
      <c r="J35" s="41">
        <v>5010</v>
      </c>
      <c r="N35" s="64"/>
      <c r="O35" s="298"/>
      <c r="P35" s="299"/>
    </row>
    <row r="36" spans="2:16">
      <c r="B36" s="74">
        <v>45588</v>
      </c>
      <c r="C36" s="15">
        <v>4</v>
      </c>
      <c r="D36" s="11"/>
      <c r="E36" s="11"/>
      <c r="F36" s="37"/>
      <c r="G36" s="37"/>
      <c r="H36" s="47">
        <v>45614</v>
      </c>
      <c r="I36" s="19" t="s">
        <v>127</v>
      </c>
      <c r="J36" s="41">
        <v>3010</v>
      </c>
      <c r="N36" s="64"/>
      <c r="O36" s="298"/>
      <c r="P36" s="299"/>
    </row>
    <row r="37" spans="2:16">
      <c r="B37" s="74">
        <v>45590</v>
      </c>
      <c r="C37" s="15">
        <v>2</v>
      </c>
      <c r="D37" s="11"/>
      <c r="E37" s="11"/>
      <c r="F37" s="37"/>
      <c r="G37" s="37"/>
      <c r="H37" s="47">
        <v>45614</v>
      </c>
      <c r="I37" s="19" t="s">
        <v>25</v>
      </c>
      <c r="J37" s="41">
        <v>2000</v>
      </c>
      <c r="N37" s="64"/>
      <c r="O37" s="298"/>
      <c r="P37" s="299"/>
    </row>
    <row r="38" spans="2:16">
      <c r="B38" s="74">
        <v>45592</v>
      </c>
      <c r="C38" s="15">
        <v>2</v>
      </c>
      <c r="D38" s="11"/>
      <c r="E38" s="11"/>
      <c r="F38" s="37"/>
      <c r="G38" s="37"/>
      <c r="H38" s="47">
        <v>45618</v>
      </c>
      <c r="I38" s="19" t="s">
        <v>25</v>
      </c>
      <c r="J38" s="41">
        <v>4950</v>
      </c>
      <c r="N38" s="64"/>
      <c r="O38" s="298"/>
      <c r="P38" s="299"/>
    </row>
    <row r="39" spans="2:16">
      <c r="B39" s="74">
        <v>45594</v>
      </c>
      <c r="C39" s="15">
        <v>2</v>
      </c>
      <c r="D39" s="11"/>
      <c r="E39" s="11"/>
      <c r="F39" s="37"/>
      <c r="G39" s="37"/>
      <c r="H39" s="47">
        <v>45621</v>
      </c>
      <c r="I39" s="19" t="s">
        <v>25</v>
      </c>
      <c r="J39" s="41">
        <v>5000</v>
      </c>
      <c r="N39" s="64"/>
      <c r="O39" s="298"/>
      <c r="P39" s="299"/>
    </row>
    <row r="40" spans="2:16">
      <c r="B40" s="74">
        <v>45598</v>
      </c>
      <c r="C40" s="15">
        <v>2</v>
      </c>
      <c r="D40" s="11"/>
      <c r="E40" s="11"/>
      <c r="F40" s="37"/>
      <c r="G40" s="37"/>
      <c r="H40" s="47">
        <v>45624</v>
      </c>
      <c r="I40" s="19" t="s">
        <v>127</v>
      </c>
      <c r="J40" s="41">
        <v>1970</v>
      </c>
      <c r="N40" s="64"/>
      <c r="O40" s="298"/>
      <c r="P40" s="299"/>
    </row>
    <row r="41" spans="2:16">
      <c r="B41" s="74">
        <v>45601</v>
      </c>
      <c r="C41" s="15">
        <v>3</v>
      </c>
      <c r="D41" s="11"/>
      <c r="E41" s="11"/>
      <c r="F41" s="37"/>
      <c r="G41" s="37"/>
      <c r="H41" s="47">
        <v>45624</v>
      </c>
      <c r="I41" s="19" t="s">
        <v>25</v>
      </c>
      <c r="J41" s="41">
        <v>970</v>
      </c>
      <c r="N41" s="64"/>
      <c r="O41" s="298"/>
      <c r="P41" s="299"/>
    </row>
    <row r="42" spans="2:16">
      <c r="B42" s="74">
        <v>45603</v>
      </c>
      <c r="C42" s="15">
        <v>2</v>
      </c>
      <c r="D42" s="11"/>
      <c r="E42" s="11"/>
      <c r="F42" s="37"/>
      <c r="G42" s="37"/>
      <c r="H42" s="47">
        <v>45628</v>
      </c>
      <c r="I42" s="19" t="s">
        <v>127</v>
      </c>
      <c r="J42" s="41">
        <v>1350</v>
      </c>
      <c r="N42" s="64"/>
      <c r="O42" s="298"/>
      <c r="P42" s="299"/>
    </row>
    <row r="43" spans="2:16">
      <c r="B43" s="74">
        <v>45606</v>
      </c>
      <c r="C43" s="15">
        <v>4</v>
      </c>
      <c r="D43" s="11"/>
      <c r="E43" s="11"/>
      <c r="F43" s="37"/>
      <c r="G43" s="37"/>
      <c r="H43" s="47">
        <v>45628</v>
      </c>
      <c r="I43" s="19" t="s">
        <v>127</v>
      </c>
      <c r="J43" s="41">
        <v>3070</v>
      </c>
      <c r="N43" s="64"/>
      <c r="O43" s="298"/>
      <c r="P43" s="299"/>
    </row>
    <row r="44" spans="2:16">
      <c r="B44" s="74">
        <v>45609</v>
      </c>
      <c r="C44" s="15">
        <v>3</v>
      </c>
      <c r="D44" s="11"/>
      <c r="E44" s="11"/>
      <c r="F44" s="37"/>
      <c r="G44" s="37"/>
      <c r="H44" s="47">
        <v>45631</v>
      </c>
      <c r="I44" s="19" t="s">
        <v>127</v>
      </c>
      <c r="J44" s="41">
        <v>4990</v>
      </c>
      <c r="N44" s="64"/>
      <c r="O44" s="298"/>
      <c r="P44" s="299"/>
    </row>
    <row r="45" spans="2:16">
      <c r="B45" s="74">
        <v>45614</v>
      </c>
      <c r="C45" s="15">
        <v>2</v>
      </c>
      <c r="D45" s="11"/>
      <c r="E45" s="11"/>
      <c r="F45" s="37"/>
      <c r="G45" s="37"/>
      <c r="H45" s="47">
        <v>45637</v>
      </c>
      <c r="I45" s="19" t="s">
        <v>25</v>
      </c>
      <c r="J45" s="41">
        <v>4000</v>
      </c>
      <c r="N45" s="64"/>
      <c r="O45" s="298"/>
      <c r="P45" s="299"/>
    </row>
    <row r="46" spans="2:16">
      <c r="B46" s="74">
        <v>45618</v>
      </c>
      <c r="C46" s="15">
        <v>1</v>
      </c>
      <c r="D46" s="11"/>
      <c r="E46" s="11"/>
      <c r="F46" s="37"/>
      <c r="G46" s="37"/>
      <c r="H46" s="47">
        <v>45637</v>
      </c>
      <c r="I46" s="19" t="s">
        <v>25</v>
      </c>
      <c r="J46" s="41">
        <v>4970</v>
      </c>
      <c r="N46" s="64"/>
      <c r="O46" s="298"/>
      <c r="P46" s="299"/>
    </row>
    <row r="47" spans="2:16">
      <c r="B47" s="74">
        <v>45619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45627</v>
      </c>
      <c r="C48" s="15">
        <v>1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45630</v>
      </c>
      <c r="C49" s="15">
        <v>1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74">
        <v>45633</v>
      </c>
      <c r="C50" s="15">
        <v>2</v>
      </c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74">
        <v>45637</v>
      </c>
      <c r="C51" s="15">
        <v>2</v>
      </c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74">
        <v>45644</v>
      </c>
      <c r="C52" s="15">
        <v>4</v>
      </c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74">
        <v>45652</v>
      </c>
      <c r="C53" s="15">
        <v>11</v>
      </c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74">
        <v>45665</v>
      </c>
      <c r="C54" s="15">
        <v>3</v>
      </c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74">
        <v>45667</v>
      </c>
      <c r="C55" s="15">
        <v>4</v>
      </c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74">
        <v>45669</v>
      </c>
      <c r="C56" s="15">
        <v>1</v>
      </c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14"/>
      <c r="C57" s="15">
        <v>4</v>
      </c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 ht="18" thickBot="1">
      <c r="B58" s="16"/>
      <c r="C58" s="17"/>
      <c r="D58" s="12"/>
      <c r="E58" s="12"/>
      <c r="F58" s="36"/>
      <c r="G58" s="36"/>
      <c r="H58" s="21"/>
      <c r="I58" s="21"/>
      <c r="J58" s="42"/>
      <c r="N58" s="64"/>
      <c r="O58" s="298"/>
      <c r="P58" s="299"/>
    </row>
    <row r="59" spans="2:16" ht="18" thickBot="1">
      <c r="B59" s="7"/>
      <c r="C59" s="8">
        <f>SUM(C12:C58)</f>
        <v>124</v>
      </c>
      <c r="D59" s="8"/>
      <c r="E59" s="8">
        <f>SUM(E12:E58)</f>
        <v>425</v>
      </c>
      <c r="F59" s="39">
        <f>SUM(F12:F58)</f>
        <v>47790</v>
      </c>
      <c r="G59" s="71">
        <f>F59/E59</f>
        <v>112.44705882352942</v>
      </c>
      <c r="H59" s="8"/>
      <c r="I59" s="8"/>
      <c r="J59" s="43">
        <f>SUM(J12:J58)</f>
        <v>116070</v>
      </c>
      <c r="N59" s="65"/>
      <c r="O59" s="300"/>
      <c r="P59" s="301"/>
    </row>
  </sheetData>
  <mergeCells count="64">
    <mergeCell ref="O59:P59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2700-E6E2-492E-85D1-E8FD5666C4E4}">
  <dimension ref="A1:S71"/>
  <sheetViews>
    <sheetView showGridLines="0" zoomScaleNormal="100" workbookViewId="0">
      <selection activeCell="C12" sqref="C12:C19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1.3984375" bestFit="1" customWidth="1"/>
    <col min="12" max="12" width="12.69921875" bestFit="1" customWidth="1"/>
    <col min="13" max="13" width="11.59765625" bestFit="1" customWidth="1"/>
    <col min="14" max="14" width="11.09765625" bestFit="1" customWidth="1"/>
    <col min="15" max="15" width="9.8984375" bestFit="1" customWidth="1"/>
  </cols>
  <sheetData>
    <row r="1" spans="1:19" ht="18" thickBot="1">
      <c r="A1" t="s">
        <v>27</v>
      </c>
      <c r="B1" s="51" t="s">
        <v>69</v>
      </c>
      <c r="D1" s="73"/>
      <c r="E1" s="73">
        <f ca="1">TODAY()</f>
        <v>46325</v>
      </c>
      <c r="F1">
        <f ca="1">E1-B4</f>
        <v>807</v>
      </c>
      <c r="I1">
        <f ca="1">M16/E1</f>
        <v>4.245239380155732E-3</v>
      </c>
      <c r="J1">
        <v>4</v>
      </c>
    </row>
    <row r="2" spans="1:19" ht="18" thickBot="1">
      <c r="F2" s="302" t="s">
        <v>9</v>
      </c>
      <c r="G2" s="305"/>
      <c r="H2" s="314"/>
      <c r="O2" s="302" t="s">
        <v>8</v>
      </c>
      <c r="P2" s="314"/>
    </row>
    <row r="3" spans="1:19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19">
      <c r="B4" s="27">
        <v>45518</v>
      </c>
      <c r="C4" s="30">
        <v>580</v>
      </c>
      <c r="D4" s="36">
        <v>12450</v>
      </c>
      <c r="E4" s="70">
        <f>D4/C4</f>
        <v>21.46551724137931</v>
      </c>
      <c r="F4" s="315">
        <f>C8-P8</f>
        <v>560</v>
      </c>
      <c r="G4" s="318">
        <f>D8-(D8/C8*P8)</f>
        <v>12020.689655172413</v>
      </c>
      <c r="H4" s="327">
        <f>G4/F4</f>
        <v>21.46551724137931</v>
      </c>
      <c r="I4" s="321" t="s">
        <v>118</v>
      </c>
      <c r="J4" s="1">
        <f>B4+90</f>
        <v>45608</v>
      </c>
      <c r="K4" s="323">
        <f>C71</f>
        <v>103</v>
      </c>
      <c r="L4" s="325">
        <f>K8/F8</f>
        <v>0.18392857142857144</v>
      </c>
      <c r="M4" s="323">
        <f>E71</f>
        <v>407</v>
      </c>
      <c r="N4" s="323">
        <f>F8-C71-E71</f>
        <v>50</v>
      </c>
      <c r="O4" s="22">
        <v>45518</v>
      </c>
      <c r="P4" s="33">
        <v>20</v>
      </c>
      <c r="Q4">
        <v>6</v>
      </c>
      <c r="R4" s="69"/>
    </row>
    <row r="5" spans="1:19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</row>
    <row r="6" spans="1:19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2"/>
      <c r="K6" s="323"/>
      <c r="L6" s="325"/>
      <c r="M6" s="323"/>
      <c r="N6" s="323"/>
      <c r="O6" s="22"/>
      <c r="P6" s="33"/>
      <c r="R6" s="77"/>
    </row>
    <row r="7" spans="1:19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19" ht="18" thickBot="1">
      <c r="B8" s="9" t="s">
        <v>10</v>
      </c>
      <c r="C8" s="32">
        <f>SUM(C4:C7)</f>
        <v>580</v>
      </c>
      <c r="D8" s="39">
        <f>SUM(D4:D7)</f>
        <v>12450</v>
      </c>
      <c r="E8" s="71">
        <f>D8/C8</f>
        <v>21.46551724137931</v>
      </c>
      <c r="F8" s="32">
        <f>SUM(F4)</f>
        <v>560</v>
      </c>
      <c r="G8" s="39">
        <f>SUM(G4)</f>
        <v>12020.689655172413</v>
      </c>
      <c r="H8" s="71">
        <f>G8/F8</f>
        <v>21.46551724137931</v>
      </c>
      <c r="I8" s="8"/>
      <c r="J8" s="8"/>
      <c r="K8" s="32">
        <f>K4</f>
        <v>103</v>
      </c>
      <c r="L8" s="26">
        <f>L4</f>
        <v>0.18392857142857144</v>
      </c>
      <c r="M8" s="32">
        <f>M4</f>
        <v>407</v>
      </c>
      <c r="N8" s="32">
        <f>N4</f>
        <v>50</v>
      </c>
      <c r="O8" s="46">
        <f>P8/C8</f>
        <v>3.4482758620689655E-2</v>
      </c>
      <c r="P8" s="35">
        <f>SUM(P4:P7)</f>
        <v>20</v>
      </c>
      <c r="Q8" s="69">
        <f>P8-Q4-Q5-Q6</f>
        <v>14</v>
      </c>
    </row>
    <row r="9" spans="1:19" ht="18" thickBot="1">
      <c r="F9" s="69">
        <f>F8-57</f>
        <v>503</v>
      </c>
      <c r="G9">
        <v>12030</v>
      </c>
      <c r="I9" s="69">
        <f>M8+N8</f>
        <v>457</v>
      </c>
    </row>
    <row r="10" spans="1:19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19" ht="18" thickBot="1">
      <c r="B11" s="9" t="s">
        <v>0</v>
      </c>
      <c r="C11" s="212" t="s">
        <v>1</v>
      </c>
      <c r="D11" s="212" t="s">
        <v>0</v>
      </c>
      <c r="E11" s="212" t="s">
        <v>1</v>
      </c>
      <c r="F11" s="212" t="s">
        <v>2</v>
      </c>
      <c r="G11" s="212" t="s">
        <v>3</v>
      </c>
      <c r="H11" s="212" t="s">
        <v>0</v>
      </c>
      <c r="I11" s="212" t="s">
        <v>15</v>
      </c>
      <c r="J11" s="212" t="s">
        <v>16</v>
      </c>
      <c r="K11" s="56" t="s">
        <v>15</v>
      </c>
      <c r="L11" s="212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19">
      <c r="B12" s="216">
        <v>45536</v>
      </c>
      <c r="C12" s="217">
        <v>2</v>
      </c>
      <c r="D12" s="155">
        <v>45667</v>
      </c>
      <c r="E12" s="156">
        <v>71</v>
      </c>
      <c r="F12" s="44">
        <v>7930</v>
      </c>
      <c r="G12" s="79">
        <f>F12/E12</f>
        <v>111.69014084507042</v>
      </c>
      <c r="H12" s="18">
        <v>45518</v>
      </c>
      <c r="I12" s="19" t="s">
        <v>28</v>
      </c>
      <c r="J12" s="61">
        <v>2920</v>
      </c>
      <c r="K12" s="57" t="s">
        <v>18</v>
      </c>
      <c r="L12" s="52">
        <f>SUMIF($I$12:$I$136,K12,$J$12:$J$136)</f>
        <v>40670</v>
      </c>
      <c r="M12" s="48">
        <f>L12/$C$8</f>
        <v>70.120689655172413</v>
      </c>
      <c r="N12" s="66"/>
      <c r="O12" s="310"/>
      <c r="P12" s="311"/>
      <c r="R12" s="84" t="s">
        <v>38</v>
      </c>
      <c r="S12" s="85"/>
    </row>
    <row r="13" spans="1:19">
      <c r="B13" s="194">
        <v>45538</v>
      </c>
      <c r="C13" s="195">
        <v>1</v>
      </c>
      <c r="D13" s="76">
        <v>45672</v>
      </c>
      <c r="E13" s="11">
        <v>61</v>
      </c>
      <c r="F13" s="37">
        <v>6760</v>
      </c>
      <c r="G13" s="79">
        <f t="shared" ref="G13:G29" si="1">F13/E13</f>
        <v>110.81967213114754</v>
      </c>
      <c r="H13" s="18">
        <v>45518</v>
      </c>
      <c r="I13" s="19" t="s">
        <v>28</v>
      </c>
      <c r="J13" s="62">
        <v>1890</v>
      </c>
      <c r="K13" s="58" t="s">
        <v>25</v>
      </c>
      <c r="L13" s="53">
        <f t="shared" ref="L13:L15" si="2">SUMIF($I$12:$I$136,K13,$J$12:$J$136)</f>
        <v>18930</v>
      </c>
      <c r="M13" s="49">
        <f>L13/$C$8</f>
        <v>32.637931034482762</v>
      </c>
      <c r="N13" s="1"/>
      <c r="O13" s="312"/>
      <c r="P13" s="313"/>
      <c r="R13" s="84" t="s">
        <v>186</v>
      </c>
      <c r="S13" s="85">
        <v>120</v>
      </c>
    </row>
    <row r="14" spans="1:19">
      <c r="B14" s="216">
        <v>45539</v>
      </c>
      <c r="C14" s="217">
        <v>2</v>
      </c>
      <c r="D14" s="76">
        <v>45674</v>
      </c>
      <c r="E14" s="11">
        <v>30</v>
      </c>
      <c r="F14" s="37">
        <v>3300</v>
      </c>
      <c r="G14" s="79">
        <f t="shared" si="1"/>
        <v>110</v>
      </c>
      <c r="H14" s="47">
        <v>45523</v>
      </c>
      <c r="I14" s="19" t="s">
        <v>28</v>
      </c>
      <c r="J14" s="62">
        <v>2830</v>
      </c>
      <c r="K14" s="58" t="s">
        <v>93</v>
      </c>
      <c r="L14" s="53">
        <f t="shared" si="2"/>
        <v>0</v>
      </c>
      <c r="M14" s="49">
        <f>L14/$C$8</f>
        <v>0</v>
      </c>
      <c r="N14" s="1"/>
      <c r="O14" s="213"/>
      <c r="P14" s="214"/>
      <c r="R14" s="84" t="s">
        <v>57</v>
      </c>
      <c r="S14" s="85">
        <v>120</v>
      </c>
    </row>
    <row r="15" spans="1:19" ht="18" thickBot="1">
      <c r="A15" s="197"/>
      <c r="B15" s="194">
        <v>45542</v>
      </c>
      <c r="C15" s="195">
        <v>1</v>
      </c>
      <c r="D15" s="76">
        <v>45678</v>
      </c>
      <c r="E15" s="11">
        <v>61</v>
      </c>
      <c r="F15" s="37">
        <v>6420</v>
      </c>
      <c r="G15" s="79">
        <f t="shared" si="1"/>
        <v>105.24590163934427</v>
      </c>
      <c r="H15" s="47">
        <v>45534</v>
      </c>
      <c r="I15" s="19" t="s">
        <v>28</v>
      </c>
      <c r="J15" s="62">
        <v>4180</v>
      </c>
      <c r="K15" s="59" t="s">
        <v>26</v>
      </c>
      <c r="L15" s="54">
        <f t="shared" si="2"/>
        <v>50530</v>
      </c>
      <c r="M15" s="50">
        <f>L15/$C$8</f>
        <v>87.120689655172413</v>
      </c>
      <c r="N15" s="1"/>
      <c r="O15" s="298"/>
      <c r="P15" s="299"/>
      <c r="R15" s="84" t="s">
        <v>58</v>
      </c>
      <c r="S15" s="85">
        <v>120</v>
      </c>
    </row>
    <row r="16" spans="1:19" ht="18" thickBot="1">
      <c r="A16" s="197"/>
      <c r="B16" s="194">
        <v>45550</v>
      </c>
      <c r="C16" s="195">
        <v>3</v>
      </c>
      <c r="D16" s="76">
        <v>45682</v>
      </c>
      <c r="E16" s="11">
        <v>40</v>
      </c>
      <c r="F16" s="37">
        <v>4450</v>
      </c>
      <c r="G16" s="79">
        <f t="shared" si="1"/>
        <v>111.25</v>
      </c>
      <c r="H16" s="47">
        <v>45534</v>
      </c>
      <c r="I16" s="19" t="s">
        <v>28</v>
      </c>
      <c r="J16" s="41">
        <v>4650</v>
      </c>
      <c r="K16" s="60" t="s">
        <v>21</v>
      </c>
      <c r="L16" s="55">
        <f>SUM(L12:L15)</f>
        <v>110130</v>
      </c>
      <c r="M16" s="40">
        <f>L16/F8</f>
        <v>196.66071428571428</v>
      </c>
      <c r="N16" s="1"/>
      <c r="O16" s="298"/>
      <c r="P16" s="299"/>
      <c r="R16" s="84" t="s">
        <v>48</v>
      </c>
      <c r="S16" s="85">
        <v>80</v>
      </c>
    </row>
    <row r="17" spans="1:19">
      <c r="A17" s="197"/>
      <c r="B17" s="194">
        <v>45552</v>
      </c>
      <c r="C17" s="195">
        <v>2</v>
      </c>
      <c r="D17" s="76">
        <v>45680</v>
      </c>
      <c r="E17" s="11">
        <v>15</v>
      </c>
      <c r="F17" s="37">
        <v>1100</v>
      </c>
      <c r="G17" s="79">
        <f t="shared" si="1"/>
        <v>73.333333333333329</v>
      </c>
      <c r="H17" s="47">
        <v>45544</v>
      </c>
      <c r="I17" s="19" t="s">
        <v>28</v>
      </c>
      <c r="J17" s="41">
        <v>5160</v>
      </c>
      <c r="N17" s="63"/>
      <c r="O17" s="298"/>
      <c r="P17" s="299"/>
      <c r="R17" s="84"/>
      <c r="S17" s="85"/>
    </row>
    <row r="18" spans="1:19">
      <c r="A18" s="197"/>
      <c r="B18" s="194">
        <v>45553</v>
      </c>
      <c r="C18" s="195">
        <v>1</v>
      </c>
      <c r="D18" s="76">
        <v>45695</v>
      </c>
      <c r="E18" s="11">
        <v>62</v>
      </c>
      <c r="F18" s="37">
        <v>6710</v>
      </c>
      <c r="G18" s="79">
        <f t="shared" si="1"/>
        <v>108.2258064516129</v>
      </c>
      <c r="H18" s="47">
        <v>45548</v>
      </c>
      <c r="I18" s="19" t="s">
        <v>28</v>
      </c>
      <c r="J18" s="41">
        <v>3110</v>
      </c>
      <c r="N18" s="63"/>
      <c r="O18" s="298"/>
      <c r="P18" s="299"/>
      <c r="R18" s="84"/>
      <c r="S18" s="85"/>
    </row>
    <row r="19" spans="1:19">
      <c r="A19" s="197"/>
      <c r="B19" s="194">
        <v>45554</v>
      </c>
      <c r="C19" s="195">
        <v>2</v>
      </c>
      <c r="D19" s="76">
        <v>45695</v>
      </c>
      <c r="E19" s="11">
        <v>67</v>
      </c>
      <c r="F19" s="37">
        <v>7300</v>
      </c>
      <c r="G19" s="79">
        <f t="shared" si="1"/>
        <v>108.95522388059702</v>
      </c>
      <c r="H19" s="47">
        <v>45554</v>
      </c>
      <c r="I19" s="19" t="s">
        <v>28</v>
      </c>
      <c r="J19" s="41">
        <v>8960</v>
      </c>
      <c r="K19" t="s">
        <v>32</v>
      </c>
      <c r="L19" s="78">
        <f>(J71/I9)/(110-H8)</f>
        <v>2.7219302039677076</v>
      </c>
      <c r="N19" s="63"/>
      <c r="O19" s="298"/>
      <c r="P19" s="299"/>
      <c r="R19" s="84"/>
      <c r="S19" s="85"/>
    </row>
    <row r="20" spans="1:19">
      <c r="A20" s="197"/>
      <c r="B20" s="210">
        <v>45559</v>
      </c>
      <c r="C20" s="211">
        <v>1</v>
      </c>
      <c r="D20" s="11"/>
      <c r="E20" s="11"/>
      <c r="F20" s="37"/>
      <c r="G20" s="79" t="e">
        <f t="shared" si="1"/>
        <v>#DIV/0!</v>
      </c>
      <c r="H20" s="47">
        <v>45561</v>
      </c>
      <c r="I20" s="19" t="s">
        <v>127</v>
      </c>
      <c r="J20" s="41">
        <v>4990</v>
      </c>
      <c r="K20" t="s">
        <v>172</v>
      </c>
      <c r="L20">
        <f ca="1">J71/N8/F1</f>
        <v>2.7293680297397769</v>
      </c>
      <c r="N20" s="63"/>
      <c r="O20" s="298"/>
      <c r="P20" s="299"/>
      <c r="R20" s="84"/>
      <c r="S20" s="85"/>
    </row>
    <row r="21" spans="1:19">
      <c r="A21" s="197"/>
      <c r="B21" s="210">
        <v>45560</v>
      </c>
      <c r="C21" s="211">
        <v>1</v>
      </c>
      <c r="D21" s="11"/>
      <c r="E21" s="11"/>
      <c r="F21" s="37"/>
      <c r="G21" s="79" t="e">
        <f t="shared" si="1"/>
        <v>#DIV/0!</v>
      </c>
      <c r="H21" s="47">
        <v>45566</v>
      </c>
      <c r="I21" s="19" t="s">
        <v>127</v>
      </c>
      <c r="J21" s="41">
        <v>4920</v>
      </c>
      <c r="N21" s="63"/>
      <c r="O21" s="298"/>
      <c r="P21" s="299"/>
      <c r="R21" s="84"/>
      <c r="S21" s="85"/>
    </row>
    <row r="22" spans="1:19">
      <c r="A22" s="197"/>
      <c r="B22" s="210">
        <v>45564</v>
      </c>
      <c r="C22" s="211">
        <v>1</v>
      </c>
      <c r="D22" s="11"/>
      <c r="E22" s="11"/>
      <c r="F22" s="37"/>
      <c r="G22" s="79" t="e">
        <f t="shared" si="1"/>
        <v>#DIV/0!</v>
      </c>
      <c r="H22" s="47">
        <v>45573</v>
      </c>
      <c r="I22" s="19" t="s">
        <v>127</v>
      </c>
      <c r="J22" s="41">
        <v>2990</v>
      </c>
      <c r="L22">
        <f>L16*1.5</f>
        <v>165195</v>
      </c>
      <c r="N22" s="63"/>
      <c r="O22" s="298"/>
      <c r="P22" s="299"/>
      <c r="R22" s="84"/>
      <c r="S22" s="85"/>
    </row>
    <row r="23" spans="1:19">
      <c r="A23" s="197"/>
      <c r="B23" s="210">
        <v>45566</v>
      </c>
      <c r="C23" s="211">
        <v>6</v>
      </c>
      <c r="D23" s="11"/>
      <c r="E23" s="11"/>
      <c r="F23" s="37"/>
      <c r="G23" s="79" t="e">
        <f t="shared" si="1"/>
        <v>#DIV/0!</v>
      </c>
      <c r="H23" s="47">
        <v>45573</v>
      </c>
      <c r="I23" s="19" t="s">
        <v>127</v>
      </c>
      <c r="J23" s="41">
        <v>5010</v>
      </c>
      <c r="M23" s="25"/>
      <c r="N23" s="63"/>
      <c r="O23" s="298"/>
      <c r="P23" s="299"/>
      <c r="R23" s="84"/>
      <c r="S23" s="85"/>
    </row>
    <row r="24" spans="1:19">
      <c r="A24" s="197"/>
      <c r="B24" s="210">
        <v>45567</v>
      </c>
      <c r="C24" s="211">
        <v>2</v>
      </c>
      <c r="D24" s="11"/>
      <c r="E24" s="11"/>
      <c r="F24" s="37"/>
      <c r="G24" s="79" t="e">
        <f t="shared" si="1"/>
        <v>#DIV/0!</v>
      </c>
      <c r="H24" s="47">
        <v>45584</v>
      </c>
      <c r="I24" s="19" t="s">
        <v>127</v>
      </c>
      <c r="J24" s="41">
        <v>2950</v>
      </c>
      <c r="L24">
        <f>(J21+1000)/7/M8</f>
        <v>2.0779220779220777</v>
      </c>
      <c r="N24" s="63"/>
      <c r="O24" s="298"/>
      <c r="P24" s="299"/>
      <c r="R24" s="84"/>
      <c r="S24" s="85"/>
    </row>
    <row r="25" spans="1:19">
      <c r="A25" s="197"/>
      <c r="B25" s="210">
        <v>45568</v>
      </c>
      <c r="C25" s="211">
        <v>2</v>
      </c>
      <c r="D25" s="11"/>
      <c r="E25" s="11"/>
      <c r="F25" s="37"/>
      <c r="G25" s="79" t="e">
        <f t="shared" si="1"/>
        <v>#DIV/0!</v>
      </c>
      <c r="H25" s="47">
        <v>45588</v>
      </c>
      <c r="I25" s="19" t="s">
        <v>127</v>
      </c>
      <c r="J25" s="41">
        <v>4980</v>
      </c>
      <c r="N25" s="63"/>
      <c r="O25" s="298"/>
      <c r="P25" s="299"/>
      <c r="R25" s="84"/>
      <c r="S25" s="85"/>
    </row>
    <row r="26" spans="1:19">
      <c r="A26" s="197"/>
      <c r="B26" s="210">
        <v>45570</v>
      </c>
      <c r="C26" s="211">
        <v>3</v>
      </c>
      <c r="D26" s="11"/>
      <c r="E26" s="11"/>
      <c r="F26" s="37"/>
      <c r="G26" s="79" t="e">
        <f t="shared" si="1"/>
        <v>#DIV/0!</v>
      </c>
      <c r="H26" s="47">
        <v>45593</v>
      </c>
      <c r="I26" s="19" t="s">
        <v>127</v>
      </c>
      <c r="J26" s="41">
        <v>2940</v>
      </c>
      <c r="N26" s="64"/>
      <c r="O26" s="298"/>
      <c r="P26" s="299"/>
      <c r="R26" s="84"/>
      <c r="S26" s="85"/>
    </row>
    <row r="27" spans="1:19">
      <c r="B27" s="210">
        <v>45571</v>
      </c>
      <c r="C27" s="211">
        <v>2</v>
      </c>
      <c r="D27" s="11"/>
      <c r="E27" s="11"/>
      <c r="F27" s="37"/>
      <c r="G27" s="79" t="e">
        <f t="shared" si="1"/>
        <v>#DIV/0!</v>
      </c>
      <c r="H27" s="47">
        <v>45601</v>
      </c>
      <c r="I27" s="19" t="s">
        <v>127</v>
      </c>
      <c r="J27" s="41">
        <v>4920</v>
      </c>
      <c r="N27" s="64"/>
      <c r="O27" s="298"/>
      <c r="P27" s="299"/>
      <c r="R27" s="84"/>
      <c r="S27" s="85"/>
    </row>
    <row r="28" spans="1:19">
      <c r="B28" s="210">
        <v>45572</v>
      </c>
      <c r="C28" s="211">
        <v>5</v>
      </c>
      <c r="D28" s="11"/>
      <c r="E28" s="11"/>
      <c r="F28" s="37"/>
      <c r="G28" s="79" t="e">
        <f t="shared" si="1"/>
        <v>#DIV/0!</v>
      </c>
      <c r="H28" s="47">
        <v>45601</v>
      </c>
      <c r="I28" s="19" t="s">
        <v>190</v>
      </c>
      <c r="J28" s="41">
        <v>2980</v>
      </c>
      <c r="N28" s="64"/>
      <c r="O28" s="298"/>
      <c r="P28" s="299"/>
      <c r="R28" s="84"/>
      <c r="S28" s="85"/>
    </row>
    <row r="29" spans="1:19">
      <c r="B29" s="210">
        <v>45573</v>
      </c>
      <c r="C29" s="211">
        <v>4</v>
      </c>
      <c r="D29" s="11"/>
      <c r="E29" s="11"/>
      <c r="F29" s="37"/>
      <c r="G29" s="79" t="e">
        <f t="shared" si="1"/>
        <v>#DIV/0!</v>
      </c>
      <c r="H29" s="47">
        <v>45607</v>
      </c>
      <c r="I29" s="19" t="s">
        <v>127</v>
      </c>
      <c r="J29" s="41">
        <v>4960</v>
      </c>
      <c r="N29" s="64"/>
      <c r="O29" s="298"/>
      <c r="P29" s="299"/>
      <c r="R29" s="84"/>
      <c r="S29" s="85"/>
    </row>
    <row r="30" spans="1:19">
      <c r="B30" s="74">
        <v>45574</v>
      </c>
      <c r="C30" s="15">
        <v>2</v>
      </c>
      <c r="D30" s="11"/>
      <c r="E30" s="11"/>
      <c r="F30" s="37"/>
      <c r="G30" s="37"/>
      <c r="H30" s="47">
        <v>45610</v>
      </c>
      <c r="I30" s="19" t="s">
        <v>127</v>
      </c>
      <c r="J30" s="41">
        <v>2990</v>
      </c>
      <c r="N30" s="64"/>
      <c r="O30" s="298"/>
      <c r="P30" s="299"/>
      <c r="R30" s="84"/>
      <c r="S30" s="85"/>
    </row>
    <row r="31" spans="1:19">
      <c r="B31" s="74">
        <v>45575</v>
      </c>
      <c r="C31" s="15">
        <v>2</v>
      </c>
      <c r="D31" s="11"/>
      <c r="E31" s="11"/>
      <c r="F31" s="37"/>
      <c r="G31" s="37"/>
      <c r="H31" s="47">
        <v>45614</v>
      </c>
      <c r="I31" s="19" t="s">
        <v>127</v>
      </c>
      <c r="J31" s="41">
        <v>2940</v>
      </c>
      <c r="N31" s="64"/>
      <c r="O31" s="298"/>
      <c r="P31" s="299"/>
      <c r="R31" s="84"/>
      <c r="S31" s="85"/>
    </row>
    <row r="32" spans="1:19" ht="18" thickBot="1">
      <c r="B32" s="74">
        <v>45577</v>
      </c>
      <c r="C32" s="15">
        <v>2</v>
      </c>
      <c r="D32" s="11"/>
      <c r="E32" s="11"/>
      <c r="F32" s="37"/>
      <c r="G32" s="37"/>
      <c r="H32" s="47">
        <v>45614</v>
      </c>
      <c r="I32" s="19" t="s">
        <v>25</v>
      </c>
      <c r="J32" s="41">
        <v>1950</v>
      </c>
      <c r="N32" s="64"/>
      <c r="O32" s="298"/>
      <c r="P32" s="299"/>
      <c r="R32" s="86"/>
      <c r="S32" s="87"/>
    </row>
    <row r="33" spans="2:16" ht="18" thickTop="1">
      <c r="B33" s="74">
        <v>45578</v>
      </c>
      <c r="C33" s="15">
        <v>2</v>
      </c>
      <c r="D33" s="11"/>
      <c r="E33" s="11"/>
      <c r="F33" s="37"/>
      <c r="G33" s="37"/>
      <c r="H33" s="47">
        <v>45618</v>
      </c>
      <c r="I33" s="19" t="s">
        <v>25</v>
      </c>
      <c r="J33" s="41">
        <v>3020</v>
      </c>
      <c r="N33" s="64"/>
      <c r="O33" s="298"/>
      <c r="P33" s="299"/>
    </row>
    <row r="34" spans="2:16">
      <c r="B34" s="74">
        <v>45581</v>
      </c>
      <c r="C34" s="15">
        <v>3</v>
      </c>
      <c r="D34" s="11"/>
      <c r="E34" s="11"/>
      <c r="F34" s="37"/>
      <c r="G34" s="37"/>
      <c r="H34" s="47">
        <v>45621</v>
      </c>
      <c r="I34" s="19" t="s">
        <v>28</v>
      </c>
      <c r="J34" s="41">
        <v>6970</v>
      </c>
      <c r="N34" s="64"/>
      <c r="O34" s="298"/>
      <c r="P34" s="299"/>
    </row>
    <row r="35" spans="2:16">
      <c r="B35" s="74">
        <v>45582</v>
      </c>
      <c r="C35" s="15">
        <v>2</v>
      </c>
      <c r="D35" s="11"/>
      <c r="E35" s="11"/>
      <c r="F35" s="37"/>
      <c r="G35" s="37"/>
      <c r="H35" s="47">
        <v>45624</v>
      </c>
      <c r="I35" s="19" t="s">
        <v>25</v>
      </c>
      <c r="J35" s="41">
        <v>1950</v>
      </c>
      <c r="N35" s="64"/>
      <c r="O35" s="298"/>
      <c r="P35" s="299"/>
    </row>
    <row r="36" spans="2:16">
      <c r="B36" s="74">
        <v>45584</v>
      </c>
      <c r="C36" s="15">
        <v>3</v>
      </c>
      <c r="D36" s="11"/>
      <c r="E36" s="11"/>
      <c r="F36" s="37"/>
      <c r="G36" s="37"/>
      <c r="H36" s="47">
        <v>45624</v>
      </c>
      <c r="I36" s="19" t="s">
        <v>127</v>
      </c>
      <c r="J36" s="41">
        <v>970</v>
      </c>
      <c r="N36" s="64"/>
      <c r="O36" s="298"/>
      <c r="P36" s="299"/>
    </row>
    <row r="37" spans="2:16">
      <c r="B37" s="74">
        <v>45586</v>
      </c>
      <c r="C37" s="15">
        <v>2</v>
      </c>
      <c r="D37" s="11"/>
      <c r="E37" s="11"/>
      <c r="F37" s="37"/>
      <c r="G37" s="37"/>
      <c r="H37" s="47">
        <v>45628</v>
      </c>
      <c r="I37" s="19" t="s">
        <v>127</v>
      </c>
      <c r="J37" s="41">
        <v>1950</v>
      </c>
      <c r="N37" s="64"/>
      <c r="O37" s="298"/>
      <c r="P37" s="299"/>
    </row>
    <row r="38" spans="2:16">
      <c r="B38" s="74">
        <v>45587</v>
      </c>
      <c r="C38" s="15">
        <v>4</v>
      </c>
      <c r="D38" s="11"/>
      <c r="E38" s="11"/>
      <c r="F38" s="37"/>
      <c r="G38" s="37"/>
      <c r="H38" s="47">
        <v>45628</v>
      </c>
      <c r="I38" s="19" t="s">
        <v>127</v>
      </c>
      <c r="J38" s="41">
        <v>3020</v>
      </c>
      <c r="N38" s="64"/>
      <c r="O38" s="298"/>
      <c r="P38" s="299"/>
    </row>
    <row r="39" spans="2:16">
      <c r="B39" s="74">
        <v>45588</v>
      </c>
      <c r="C39" s="15">
        <v>1</v>
      </c>
      <c r="D39" s="11"/>
      <c r="E39" s="11"/>
      <c r="F39" s="37"/>
      <c r="G39" s="37"/>
      <c r="H39" s="47">
        <v>45631</v>
      </c>
      <c r="I39" s="19" t="s">
        <v>25</v>
      </c>
      <c r="J39" s="41">
        <v>2010</v>
      </c>
      <c r="K39" s="72"/>
      <c r="N39" s="64"/>
      <c r="O39" s="298"/>
      <c r="P39" s="299"/>
    </row>
    <row r="40" spans="2:16">
      <c r="B40" s="74">
        <v>45589</v>
      </c>
      <c r="C40" s="15">
        <v>2</v>
      </c>
      <c r="D40" s="11"/>
      <c r="E40" s="11"/>
      <c r="F40" s="37"/>
      <c r="G40" s="37"/>
      <c r="H40" s="47">
        <v>45637</v>
      </c>
      <c r="I40" s="19" t="s">
        <v>25</v>
      </c>
      <c r="J40" s="41">
        <v>7020</v>
      </c>
      <c r="N40" s="64"/>
      <c r="O40" s="298"/>
      <c r="P40" s="299"/>
    </row>
    <row r="41" spans="2:16">
      <c r="B41" s="74">
        <v>45590</v>
      </c>
      <c r="C41" s="15">
        <v>3</v>
      </c>
      <c r="D41" s="11"/>
      <c r="E41" s="11"/>
      <c r="F41" s="37"/>
      <c r="G41" s="37"/>
      <c r="H41" s="20"/>
      <c r="I41" s="20"/>
      <c r="J41" s="41"/>
      <c r="N41" s="64"/>
      <c r="O41" s="298"/>
      <c r="P41" s="299"/>
    </row>
    <row r="42" spans="2:16">
      <c r="B42" s="74">
        <v>45591</v>
      </c>
      <c r="C42" s="15">
        <v>2</v>
      </c>
      <c r="D42" s="11"/>
      <c r="E42" s="11"/>
      <c r="F42" s="37"/>
      <c r="G42" s="37"/>
      <c r="H42" s="20"/>
      <c r="I42" s="20"/>
      <c r="J42" s="41"/>
      <c r="N42" s="64"/>
      <c r="O42" s="298"/>
      <c r="P42" s="299"/>
    </row>
    <row r="43" spans="2:16">
      <c r="B43" s="74">
        <v>45593</v>
      </c>
      <c r="C43" s="15">
        <v>2</v>
      </c>
      <c r="D43" s="11"/>
      <c r="E43" s="11"/>
      <c r="F43" s="37"/>
      <c r="G43" s="37"/>
      <c r="H43" s="20"/>
      <c r="I43" s="20"/>
      <c r="J43" s="41"/>
      <c r="N43" s="64"/>
      <c r="O43" s="298"/>
      <c r="P43" s="299"/>
    </row>
    <row r="44" spans="2:16">
      <c r="B44" s="74">
        <v>45596</v>
      </c>
      <c r="C44" s="15">
        <v>2</v>
      </c>
      <c r="D44" s="11"/>
      <c r="E44" s="11"/>
      <c r="F44" s="37"/>
      <c r="G44" s="37"/>
      <c r="H44" s="20"/>
      <c r="I44" s="20"/>
      <c r="J44" s="41"/>
      <c r="N44" s="64"/>
      <c r="O44" s="298"/>
      <c r="P44" s="299"/>
    </row>
    <row r="45" spans="2:16">
      <c r="B45" s="74">
        <v>45600</v>
      </c>
      <c r="C45" s="15">
        <v>2</v>
      </c>
      <c r="D45" s="11"/>
      <c r="E45" s="11"/>
      <c r="F45" s="37"/>
      <c r="G45" s="37"/>
      <c r="H45" s="20"/>
      <c r="I45" s="20"/>
      <c r="J45" s="41"/>
      <c r="N45" s="64"/>
      <c r="O45" s="298"/>
      <c r="P45" s="299"/>
    </row>
    <row r="46" spans="2:16">
      <c r="B46" s="74">
        <v>45602</v>
      </c>
      <c r="C46" s="15">
        <v>3</v>
      </c>
      <c r="D46" s="11"/>
      <c r="E46" s="11"/>
      <c r="F46" s="37"/>
      <c r="G46" s="37"/>
      <c r="H46" s="20"/>
      <c r="I46" s="20"/>
      <c r="J46" s="41"/>
      <c r="N46" s="64"/>
      <c r="O46" s="298"/>
      <c r="P46" s="299"/>
    </row>
    <row r="47" spans="2:16">
      <c r="B47" s="74">
        <v>45603</v>
      </c>
      <c r="C47" s="15">
        <v>2</v>
      </c>
      <c r="D47" s="11"/>
      <c r="E47" s="11"/>
      <c r="F47" s="37"/>
      <c r="G47" s="37"/>
      <c r="H47" s="20"/>
      <c r="I47" s="20"/>
      <c r="J47" s="41"/>
      <c r="N47" s="64"/>
      <c r="O47" s="298"/>
      <c r="P47" s="299"/>
    </row>
    <row r="48" spans="2:16">
      <c r="B48" s="74">
        <v>45607</v>
      </c>
      <c r="C48" s="15">
        <v>2</v>
      </c>
      <c r="D48" s="11"/>
      <c r="E48" s="11"/>
      <c r="F48" s="37"/>
      <c r="G48" s="37"/>
      <c r="H48" s="20"/>
      <c r="I48" s="20"/>
      <c r="J48" s="41"/>
      <c r="N48" s="64"/>
      <c r="O48" s="298"/>
      <c r="P48" s="299"/>
    </row>
    <row r="49" spans="2:16">
      <c r="B49" s="74">
        <v>45609</v>
      </c>
      <c r="C49" s="15">
        <v>2</v>
      </c>
      <c r="D49" s="11"/>
      <c r="E49" s="11"/>
      <c r="F49" s="37"/>
      <c r="G49" s="37"/>
      <c r="H49" s="20"/>
      <c r="I49" s="20"/>
      <c r="J49" s="41"/>
      <c r="N49" s="64"/>
      <c r="O49" s="298"/>
      <c r="P49" s="299"/>
    </row>
    <row r="50" spans="2:16">
      <c r="B50" s="74">
        <v>45610</v>
      </c>
      <c r="C50" s="15">
        <v>1</v>
      </c>
      <c r="D50" s="11"/>
      <c r="E50" s="11"/>
      <c r="F50" s="37"/>
      <c r="G50" s="37"/>
      <c r="H50" s="20"/>
      <c r="I50" s="20"/>
      <c r="J50" s="41"/>
      <c r="N50" s="64"/>
      <c r="O50" s="298"/>
      <c r="P50" s="299"/>
    </row>
    <row r="51" spans="2:16">
      <c r="B51" s="74">
        <v>45611</v>
      </c>
      <c r="C51" s="15">
        <v>1</v>
      </c>
      <c r="D51" s="11"/>
      <c r="E51" s="11"/>
      <c r="F51" s="37"/>
      <c r="G51" s="37"/>
      <c r="H51" s="20"/>
      <c r="I51" s="20"/>
      <c r="J51" s="41"/>
      <c r="N51" s="64"/>
      <c r="O51" s="298"/>
      <c r="P51" s="299"/>
    </row>
    <row r="52" spans="2:16">
      <c r="B52" s="74">
        <v>45617</v>
      </c>
      <c r="C52" s="15">
        <v>2</v>
      </c>
      <c r="D52" s="11"/>
      <c r="E52" s="11"/>
      <c r="F52" s="37"/>
      <c r="G52" s="37"/>
      <c r="H52" s="20"/>
      <c r="I52" s="20"/>
      <c r="J52" s="41"/>
      <c r="N52" s="64"/>
      <c r="O52" s="298"/>
      <c r="P52" s="299"/>
    </row>
    <row r="53" spans="2:16">
      <c r="B53" s="74">
        <v>45618</v>
      </c>
      <c r="C53" s="15">
        <v>1</v>
      </c>
      <c r="D53" s="11"/>
      <c r="E53" s="11"/>
      <c r="F53" s="37"/>
      <c r="G53" s="37"/>
      <c r="H53" s="20"/>
      <c r="I53" s="20"/>
      <c r="J53" s="41"/>
      <c r="N53" s="64"/>
      <c r="O53" s="298"/>
      <c r="P53" s="299"/>
    </row>
    <row r="54" spans="2:16">
      <c r="B54" s="74">
        <v>45621</v>
      </c>
      <c r="C54" s="15">
        <v>1</v>
      </c>
      <c r="D54" s="11"/>
      <c r="E54" s="11"/>
      <c r="F54" s="37"/>
      <c r="G54" s="37"/>
      <c r="H54" s="20"/>
      <c r="I54" s="20"/>
      <c r="J54" s="41"/>
      <c r="N54" s="64"/>
      <c r="O54" s="298"/>
      <c r="P54" s="299"/>
    </row>
    <row r="55" spans="2:16">
      <c r="B55" s="74">
        <v>45627</v>
      </c>
      <c r="C55" s="15">
        <v>1</v>
      </c>
      <c r="D55" s="11"/>
      <c r="E55" s="11"/>
      <c r="F55" s="37"/>
      <c r="G55" s="37"/>
      <c r="H55" s="20"/>
      <c r="I55" s="20"/>
      <c r="J55" s="41"/>
      <c r="N55" s="64"/>
      <c r="O55" s="298"/>
      <c r="P55" s="299"/>
    </row>
    <row r="56" spans="2:16">
      <c r="B56" s="74">
        <v>45633</v>
      </c>
      <c r="C56" s="15">
        <v>2</v>
      </c>
      <c r="D56" s="11"/>
      <c r="E56" s="11"/>
      <c r="F56" s="37"/>
      <c r="G56" s="37"/>
      <c r="H56" s="20"/>
      <c r="I56" s="20"/>
      <c r="J56" s="41"/>
      <c r="N56" s="64"/>
      <c r="O56" s="298"/>
      <c r="P56" s="299"/>
    </row>
    <row r="57" spans="2:16">
      <c r="B57" s="74">
        <v>45676</v>
      </c>
      <c r="C57" s="15">
        <v>4</v>
      </c>
      <c r="D57" s="11"/>
      <c r="E57" s="11"/>
      <c r="F57" s="37"/>
      <c r="G57" s="37"/>
      <c r="H57" s="20"/>
      <c r="I57" s="20"/>
      <c r="J57" s="41"/>
      <c r="N57" s="64"/>
      <c r="O57" s="298"/>
      <c r="P57" s="299"/>
    </row>
    <row r="58" spans="2:16">
      <c r="B58" s="92">
        <v>45678</v>
      </c>
      <c r="C58" s="17">
        <v>4</v>
      </c>
      <c r="D58" s="12"/>
      <c r="E58" s="12"/>
      <c r="F58" s="36"/>
      <c r="G58" s="36"/>
      <c r="H58" s="21"/>
      <c r="I58" s="21"/>
      <c r="J58" s="42"/>
      <c r="N58" s="64"/>
      <c r="O58" s="263"/>
      <c r="P58" s="264"/>
    </row>
    <row r="59" spans="2:16">
      <c r="B59" s="92"/>
      <c r="C59" s="17"/>
      <c r="D59" s="12"/>
      <c r="E59" s="12"/>
      <c r="F59" s="36"/>
      <c r="G59" s="36"/>
      <c r="H59" s="21"/>
      <c r="I59" s="21"/>
      <c r="J59" s="42"/>
      <c r="N59" s="64"/>
      <c r="O59" s="263"/>
      <c r="P59" s="264"/>
    </row>
    <row r="60" spans="2:16">
      <c r="B60" s="92"/>
      <c r="C60" s="17"/>
      <c r="D60" s="12"/>
      <c r="E60" s="12"/>
      <c r="F60" s="36"/>
      <c r="G60" s="36"/>
      <c r="H60" s="21"/>
      <c r="I60" s="21"/>
      <c r="J60" s="42"/>
      <c r="N60" s="64"/>
      <c r="O60" s="263"/>
      <c r="P60" s="264"/>
    </row>
    <row r="61" spans="2:16">
      <c r="B61" s="92"/>
      <c r="C61" s="17"/>
      <c r="D61" s="12"/>
      <c r="E61" s="12"/>
      <c r="F61" s="36"/>
      <c r="G61" s="36"/>
      <c r="H61" s="21"/>
      <c r="I61" s="21"/>
      <c r="J61" s="42"/>
      <c r="N61" s="64"/>
      <c r="O61" s="263"/>
      <c r="P61" s="264"/>
    </row>
    <row r="62" spans="2:16">
      <c r="B62" s="92"/>
      <c r="C62" s="17"/>
      <c r="D62" s="12"/>
      <c r="E62" s="12"/>
      <c r="F62" s="36"/>
      <c r="G62" s="36"/>
      <c r="H62" s="21"/>
      <c r="I62" s="21"/>
      <c r="J62" s="42"/>
      <c r="N62" s="64"/>
      <c r="O62" s="263"/>
      <c r="P62" s="264"/>
    </row>
    <row r="63" spans="2:16">
      <c r="B63" s="92"/>
      <c r="C63" s="17"/>
      <c r="D63" s="12"/>
      <c r="E63" s="12"/>
      <c r="F63" s="36"/>
      <c r="G63" s="36"/>
      <c r="H63" s="21"/>
      <c r="I63" s="21"/>
      <c r="J63" s="42"/>
      <c r="N63" s="64"/>
      <c r="O63" s="263"/>
      <c r="P63" s="264"/>
    </row>
    <row r="64" spans="2:16">
      <c r="B64" s="92"/>
      <c r="C64" s="17"/>
      <c r="D64" s="12"/>
      <c r="E64" s="12"/>
      <c r="F64" s="36"/>
      <c r="G64" s="36"/>
      <c r="H64" s="21"/>
      <c r="I64" s="21"/>
      <c r="J64" s="42"/>
      <c r="N64" s="64"/>
      <c r="O64" s="263"/>
      <c r="P64" s="264"/>
    </row>
    <row r="65" spans="2:16">
      <c r="B65" s="92"/>
      <c r="C65" s="17"/>
      <c r="D65" s="12"/>
      <c r="E65" s="12"/>
      <c r="F65" s="36"/>
      <c r="G65" s="36"/>
      <c r="H65" s="21"/>
      <c r="I65" s="21"/>
      <c r="J65" s="42"/>
      <c r="N65" s="64"/>
      <c r="O65" s="263"/>
      <c r="P65" s="264"/>
    </row>
    <row r="66" spans="2:16">
      <c r="B66" s="92"/>
      <c r="C66" s="17"/>
      <c r="D66" s="12"/>
      <c r="E66" s="12"/>
      <c r="F66" s="36"/>
      <c r="G66" s="36"/>
      <c r="H66" s="21"/>
      <c r="I66" s="21"/>
      <c r="J66" s="42"/>
      <c r="N66" s="64"/>
      <c r="O66" s="263"/>
      <c r="P66" s="264"/>
    </row>
    <row r="67" spans="2:16">
      <c r="B67" s="92"/>
      <c r="C67" s="17"/>
      <c r="D67" s="12"/>
      <c r="E67" s="12"/>
      <c r="F67" s="36"/>
      <c r="G67" s="36"/>
      <c r="H67" s="21"/>
      <c r="I67" s="21"/>
      <c r="J67" s="42"/>
      <c r="N67" s="64"/>
      <c r="O67" s="263"/>
      <c r="P67" s="264"/>
    </row>
    <row r="68" spans="2:16">
      <c r="B68" s="92"/>
      <c r="C68" s="17"/>
      <c r="D68" s="12"/>
      <c r="E68" s="12"/>
      <c r="F68" s="36"/>
      <c r="G68" s="36"/>
      <c r="H68" s="21"/>
      <c r="I68" s="21"/>
      <c r="J68" s="42"/>
      <c r="N68" s="64"/>
      <c r="O68" s="263"/>
      <c r="P68" s="264"/>
    </row>
    <row r="69" spans="2:16">
      <c r="B69" s="92"/>
      <c r="C69" s="17"/>
      <c r="D69" s="12"/>
      <c r="E69" s="12"/>
      <c r="F69" s="36"/>
      <c r="G69" s="36"/>
      <c r="H69" s="21"/>
      <c r="I69" s="21"/>
      <c r="J69" s="42"/>
      <c r="N69" s="64"/>
      <c r="O69" s="263"/>
      <c r="P69" s="264"/>
    </row>
    <row r="70" spans="2:16" ht="18" thickBot="1">
      <c r="B70" s="16"/>
      <c r="C70" s="17"/>
      <c r="D70" s="12"/>
      <c r="E70" s="12"/>
      <c r="F70" s="36"/>
      <c r="G70" s="36"/>
      <c r="H70" s="21"/>
      <c r="I70" s="21"/>
      <c r="J70" s="42"/>
      <c r="N70" s="64"/>
      <c r="O70" s="298"/>
      <c r="P70" s="299"/>
    </row>
    <row r="71" spans="2:16" ht="18" thickBot="1">
      <c r="B71" s="7"/>
      <c r="C71" s="8">
        <f>SUM(C12:C70)</f>
        <v>103</v>
      </c>
      <c r="D71" s="8"/>
      <c r="E71" s="8">
        <f>SUM(E12:E70)</f>
        <v>407</v>
      </c>
      <c r="F71" s="39">
        <f>SUM(F12:F70)</f>
        <v>43970</v>
      </c>
      <c r="G71" s="39">
        <f>F71/E71</f>
        <v>108.03439803439804</v>
      </c>
      <c r="H71" s="8"/>
      <c r="I71" s="8"/>
      <c r="J71" s="43">
        <f>SUM(J12:J70)</f>
        <v>110130</v>
      </c>
      <c r="N71" s="65"/>
      <c r="O71" s="300"/>
      <c r="P71" s="301"/>
    </row>
  </sheetData>
  <mergeCells count="64">
    <mergeCell ref="O71:P71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70:P70"/>
    <mergeCell ref="O47:P4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23:P23"/>
    <mergeCell ref="O11:P11"/>
    <mergeCell ref="O12:P12"/>
    <mergeCell ref="O13:P13"/>
    <mergeCell ref="O15:P15"/>
    <mergeCell ref="O16:P16"/>
    <mergeCell ref="O17:P17"/>
    <mergeCell ref="O18:P18"/>
    <mergeCell ref="O19:P19"/>
    <mergeCell ref="O20:P20"/>
    <mergeCell ref="O21:P21"/>
    <mergeCell ref="O22:P22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83B8-97A5-42A8-A360-5112E42C6FEA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210</v>
      </c>
      <c r="D1" s="73"/>
      <c r="E1" s="73">
        <f ca="1">TODAY()</f>
        <v>46325</v>
      </c>
      <c r="F1">
        <f ca="1">E1-B4</f>
        <v>101</v>
      </c>
      <c r="H1">
        <v>140</v>
      </c>
      <c r="I1" s="73">
        <f>B5+H1</f>
        <v>46401</v>
      </c>
      <c r="J1">
        <f>G4/F4*489</f>
        <v>12080.873684210525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46224</v>
      </c>
      <c r="C4" s="30">
        <v>570</v>
      </c>
      <c r="D4" s="36">
        <f>23.3*580</f>
        <v>13514</v>
      </c>
      <c r="E4" s="70">
        <f>D4/C4</f>
        <v>23.708771929824561</v>
      </c>
      <c r="F4" s="315">
        <f>C8-P8</f>
        <v>936</v>
      </c>
      <c r="G4" s="318">
        <f>D8-(D8/C8*P8)</f>
        <v>23124.126315789472</v>
      </c>
      <c r="H4" s="327">
        <f>G4/F4</f>
        <v>24.705263157894734</v>
      </c>
      <c r="I4" s="321" t="s">
        <v>224</v>
      </c>
      <c r="J4" s="1">
        <f>B4+90</f>
        <v>46314</v>
      </c>
      <c r="K4" s="323">
        <f>C69</f>
        <v>53</v>
      </c>
      <c r="L4" s="325">
        <f>K8/F8</f>
        <v>5.6623931623931624E-2</v>
      </c>
      <c r="M4" s="323">
        <f>E69</f>
        <v>0</v>
      </c>
      <c r="N4" s="323">
        <f>F8-C69-E69</f>
        <v>883</v>
      </c>
      <c r="O4" s="22"/>
      <c r="P4" s="33">
        <v>10</v>
      </c>
      <c r="R4" s="69"/>
      <c r="U4" s="142"/>
    </row>
    <row r="5" spans="1:21">
      <c r="B5" s="27">
        <v>46261</v>
      </c>
      <c r="C5" s="30">
        <v>380</v>
      </c>
      <c r="D5" s="37">
        <f>26.2*380</f>
        <v>9956</v>
      </c>
      <c r="E5" s="70">
        <f t="shared" ref="E5:E7" si="0">D5/C5</f>
        <v>26.2</v>
      </c>
      <c r="F5" s="316"/>
      <c r="G5" s="319"/>
      <c r="H5" s="328"/>
      <c r="I5" s="321"/>
      <c r="J5" s="1">
        <f>B5+90</f>
        <v>46351</v>
      </c>
      <c r="K5" s="323"/>
      <c r="L5" s="325"/>
      <c r="M5" s="323"/>
      <c r="N5" s="323"/>
      <c r="O5" s="22"/>
      <c r="P5" s="33">
        <v>4</v>
      </c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1">
        <f>B6+90</f>
        <v>90</v>
      </c>
      <c r="K6" s="323"/>
      <c r="L6" s="325"/>
      <c r="M6" s="323"/>
      <c r="N6" s="323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  <c r="U7" s="142"/>
    </row>
    <row r="8" spans="1:21" ht="18" thickBot="1">
      <c r="B8" s="9" t="s">
        <v>10</v>
      </c>
      <c r="C8" s="32">
        <f>SUM(C4:C7)</f>
        <v>950</v>
      </c>
      <c r="D8" s="39">
        <f>SUM(D4:D7)</f>
        <v>23470</v>
      </c>
      <c r="E8" s="71">
        <f>D8/C8</f>
        <v>24.705263157894738</v>
      </c>
      <c r="F8" s="32">
        <f>SUM(F4)</f>
        <v>936</v>
      </c>
      <c r="G8" s="39">
        <f>SUM(G4)</f>
        <v>23124.126315789472</v>
      </c>
      <c r="H8" s="71">
        <f>G8/F8</f>
        <v>24.705263157894734</v>
      </c>
      <c r="I8" s="8"/>
      <c r="J8" s="8"/>
      <c r="K8" s="32">
        <f>K4</f>
        <v>53</v>
      </c>
      <c r="L8" s="26">
        <f>L4</f>
        <v>5.6623931623931624E-2</v>
      </c>
      <c r="M8" s="32">
        <f>M4</f>
        <v>0</v>
      </c>
      <c r="N8" s="32">
        <f>N4</f>
        <v>883</v>
      </c>
      <c r="O8" s="46">
        <f>P8/C8</f>
        <v>1.4736842105263158E-2</v>
      </c>
      <c r="P8" s="35">
        <f>SUM(P4:P7)</f>
        <v>14</v>
      </c>
      <c r="Q8" s="69">
        <f>P8-Q4-Q5-Q6</f>
        <v>14</v>
      </c>
    </row>
    <row r="9" spans="1:21" ht="18" thickBot="1">
      <c r="G9">
        <v>13730</v>
      </c>
      <c r="I9">
        <f>F8*0.95</f>
        <v>889.19999999999993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239" t="s">
        <v>1</v>
      </c>
      <c r="D11" s="239" t="s">
        <v>0</v>
      </c>
      <c r="E11" s="239" t="s">
        <v>1</v>
      </c>
      <c r="F11" s="239" t="s">
        <v>2</v>
      </c>
      <c r="G11" s="239" t="s">
        <v>3</v>
      </c>
      <c r="H11" s="239" t="s">
        <v>0</v>
      </c>
      <c r="I11" s="239" t="s">
        <v>15</v>
      </c>
      <c r="J11" s="239" t="s">
        <v>16</v>
      </c>
      <c r="K11" s="56" t="s">
        <v>15</v>
      </c>
      <c r="L11" s="239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 t="s">
        <v>209</v>
      </c>
      <c r="C12" s="13">
        <v>35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0"/>
      <c r="P12" s="311"/>
      <c r="R12" s="84"/>
      <c r="S12" s="85"/>
    </row>
    <row r="13" spans="1:21">
      <c r="B13" s="74"/>
      <c r="C13" s="15">
        <v>18</v>
      </c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12"/>
      <c r="P13" s="313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298"/>
      <c r="P14" s="299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ref="L15:L16" si="4">SUMIF($I$12:$I$134,K15,$J$12:$J$134)</f>
        <v>0</v>
      </c>
      <c r="M15" s="107">
        <f t="shared" ref="M15:M16" si="5">L15/$C$8</f>
        <v>0</v>
      </c>
      <c r="N15" s="1"/>
      <c r="O15" s="280"/>
      <c r="P15" s="281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205</v>
      </c>
      <c r="L16" s="53">
        <f t="shared" si="4"/>
        <v>0</v>
      </c>
      <c r="M16" s="107">
        <f t="shared" si="5"/>
        <v>0</v>
      </c>
      <c r="N16" s="1"/>
      <c r="O16" s="280"/>
      <c r="P16" s="281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37"/>
      <c r="P17" s="238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298"/>
      <c r="P18" s="299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298"/>
      <c r="P19" s="299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298"/>
      <c r="P20" s="299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298"/>
      <c r="P21" s="299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298"/>
      <c r="P22" s="299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298"/>
      <c r="P23" s="299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298"/>
      <c r="P24" s="299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298"/>
      <c r="P25" s="299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298"/>
      <c r="P26" s="299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298"/>
      <c r="P27" s="299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298"/>
      <c r="P28" s="299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298"/>
      <c r="P29" s="299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298"/>
      <c r="P30" s="299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298"/>
      <c r="P31" s="299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298"/>
      <c r="P32" s="299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298"/>
      <c r="P33" s="299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298"/>
      <c r="P34" s="299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298"/>
      <c r="P35" s="299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298"/>
      <c r="P36" s="299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298"/>
      <c r="P37" s="299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298"/>
      <c r="P38" s="299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298"/>
      <c r="P39" s="299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298"/>
      <c r="P40" s="299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298"/>
      <c r="P41" s="299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298"/>
      <c r="P42" s="299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298"/>
      <c r="P43" s="299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298"/>
      <c r="P44" s="299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298"/>
      <c r="P45" s="299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298"/>
      <c r="P46" s="299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298"/>
      <c r="P47" s="299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85"/>
      <c r="P56" s="286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85"/>
      <c r="P57" s="286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85"/>
      <c r="P58" s="286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85"/>
      <c r="P59" s="286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298"/>
      <c r="P60" s="299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298"/>
      <c r="P61" s="299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298"/>
      <c r="P62" s="299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298"/>
      <c r="P63" s="299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37"/>
      <c r="P64" s="238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37"/>
      <c r="P65" s="238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37"/>
      <c r="P66" s="238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298"/>
      <c r="P67" s="299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298"/>
      <c r="P68" s="299"/>
    </row>
    <row r="69" spans="2:16" ht="18" thickBot="1">
      <c r="B69" s="7"/>
      <c r="C69" s="8">
        <f>SUM(C12:C67)</f>
        <v>53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00"/>
      <c r="P69" s="301"/>
    </row>
  </sheetData>
  <mergeCells count="65">
    <mergeCell ref="O69:P69"/>
    <mergeCell ref="O60:P60"/>
    <mergeCell ref="O61:P61"/>
    <mergeCell ref="O62:P62"/>
    <mergeCell ref="O63:P63"/>
    <mergeCell ref="O67:P67"/>
    <mergeCell ref="O68:P68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CC2D-8604-4AC5-AE3E-37341734097F}">
  <dimension ref="A1:W69"/>
  <sheetViews>
    <sheetView showGridLines="0" workbookViewId="0"/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211</v>
      </c>
      <c r="D1" s="73"/>
      <c r="E1" s="73">
        <f ca="1">TODAY()</f>
        <v>46325</v>
      </c>
      <c r="F1">
        <f ca="1">E1-B4</f>
        <v>50</v>
      </c>
      <c r="H1">
        <v>140</v>
      </c>
      <c r="I1" s="73">
        <f>B5+H1</f>
        <v>140</v>
      </c>
      <c r="J1">
        <f>G4/F4*489</f>
        <v>14425.5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46275</v>
      </c>
      <c r="C4" s="30">
        <v>480</v>
      </c>
      <c r="D4" s="36">
        <f>29.5*480</f>
        <v>14160</v>
      </c>
      <c r="E4" s="70">
        <f>D4/C4</f>
        <v>29.5</v>
      </c>
      <c r="F4" s="315">
        <f>C8-P8</f>
        <v>475</v>
      </c>
      <c r="G4" s="318">
        <f>D8-(D8/C8*P8)</f>
        <v>14012.5</v>
      </c>
      <c r="H4" s="327">
        <f>G4/F4</f>
        <v>29.5</v>
      </c>
      <c r="I4" s="321" t="s">
        <v>224</v>
      </c>
      <c r="J4" s="1">
        <f>B4+90</f>
        <v>46365</v>
      </c>
      <c r="K4" s="323">
        <f>C69</f>
        <v>19</v>
      </c>
      <c r="L4" s="325">
        <f>K8/F8</f>
        <v>0.04</v>
      </c>
      <c r="M4" s="323">
        <f>E69</f>
        <v>0</v>
      </c>
      <c r="N4" s="323">
        <f>F8-C69-E69</f>
        <v>456</v>
      </c>
      <c r="O4" s="22"/>
      <c r="P4" s="33">
        <v>5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1">
        <f>B6+90</f>
        <v>90</v>
      </c>
      <c r="K6" s="323"/>
      <c r="L6" s="325"/>
      <c r="M6" s="323"/>
      <c r="N6" s="323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  <c r="U7" s="142"/>
    </row>
    <row r="8" spans="1:21" ht="18" thickBot="1">
      <c r="B8" s="9" t="s">
        <v>10</v>
      </c>
      <c r="C8" s="32">
        <f>SUM(C4:C7)</f>
        <v>480</v>
      </c>
      <c r="D8" s="39">
        <f>SUM(D4:D7)</f>
        <v>14160</v>
      </c>
      <c r="E8" s="71">
        <f>D8/C8</f>
        <v>29.5</v>
      </c>
      <c r="F8" s="32">
        <f>SUM(F4)</f>
        <v>475</v>
      </c>
      <c r="G8" s="39">
        <f>SUM(G4)</f>
        <v>14012.5</v>
      </c>
      <c r="H8" s="71">
        <f>G8/F8</f>
        <v>29.5</v>
      </c>
      <c r="I8" s="8"/>
      <c r="J8" s="8"/>
      <c r="K8" s="32">
        <f>K4</f>
        <v>19</v>
      </c>
      <c r="L8" s="26">
        <f>L4</f>
        <v>0.04</v>
      </c>
      <c r="M8" s="32">
        <f>M4</f>
        <v>0</v>
      </c>
      <c r="N8" s="32">
        <f>N4</f>
        <v>456</v>
      </c>
      <c r="O8" s="46">
        <f>P8/C8</f>
        <v>1.0416666666666666E-2</v>
      </c>
      <c r="P8" s="35">
        <f>SUM(P4:P7)</f>
        <v>5</v>
      </c>
      <c r="Q8" s="69">
        <f>P8-Q4-Q5-Q6</f>
        <v>5</v>
      </c>
    </row>
    <row r="9" spans="1:21" ht="18" thickBot="1">
      <c r="G9">
        <v>13730</v>
      </c>
      <c r="I9">
        <f>F8*0.95</f>
        <v>451.25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/>
      <c r="C12" s="13">
        <v>19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0"/>
      <c r="P12" s="311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12"/>
      <c r="P13" s="313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298"/>
      <c r="P14" s="299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298"/>
      <c r="P18" s="299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298"/>
      <c r="P19" s="299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298"/>
      <c r="P20" s="299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298"/>
      <c r="P21" s="299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298"/>
      <c r="P22" s="299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298"/>
      <c r="P23" s="299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298"/>
      <c r="P24" s="299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298"/>
      <c r="P25" s="299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298"/>
      <c r="P26" s="299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298"/>
      <c r="P27" s="299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298"/>
      <c r="P28" s="299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298"/>
      <c r="P29" s="299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298"/>
      <c r="P30" s="299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298"/>
      <c r="P31" s="299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298"/>
      <c r="P32" s="299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298"/>
      <c r="P33" s="299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298"/>
      <c r="P34" s="299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298"/>
      <c r="P35" s="299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298"/>
      <c r="P36" s="299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298"/>
      <c r="P37" s="299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298"/>
      <c r="P38" s="299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298"/>
      <c r="P39" s="299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298"/>
      <c r="P40" s="299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298"/>
      <c r="P41" s="299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298"/>
      <c r="P42" s="299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298"/>
      <c r="P43" s="299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298"/>
      <c r="P44" s="299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298"/>
      <c r="P45" s="299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298"/>
      <c r="P46" s="299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298"/>
      <c r="P47" s="299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298"/>
      <c r="P60" s="299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298"/>
      <c r="P61" s="299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298"/>
      <c r="P62" s="299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298"/>
      <c r="P63" s="299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298"/>
      <c r="P67" s="299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298"/>
      <c r="P68" s="299"/>
    </row>
    <row r="69" spans="2:16" ht="18" thickBot="1">
      <c r="B69" s="7"/>
      <c r="C69" s="8">
        <f>SUM(C12:C67)</f>
        <v>19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00"/>
      <c r="P69" s="301"/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69:P69"/>
    <mergeCell ref="O60:P60"/>
    <mergeCell ref="O61:P61"/>
    <mergeCell ref="O62:P62"/>
    <mergeCell ref="O63:P63"/>
    <mergeCell ref="O67:P67"/>
    <mergeCell ref="O68:P68"/>
  </mergeCells>
  <phoneticPr fontId="2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21BB-86C6-4983-80A7-B6C713F32515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212</v>
      </c>
      <c r="D1" s="73"/>
      <c r="E1" s="73">
        <f ca="1">TODAY()</f>
        <v>46325</v>
      </c>
      <c r="F1">
        <f ca="1">E1-B4</f>
        <v>43</v>
      </c>
      <c r="H1">
        <v>140</v>
      </c>
      <c r="I1" s="73">
        <f>B5+H1</f>
        <v>140</v>
      </c>
      <c r="J1">
        <f>G4/F4*489</f>
        <v>14132.099999999999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46282</v>
      </c>
      <c r="C4" s="30">
        <v>400</v>
      </c>
      <c r="D4" s="36">
        <f>28.9*400</f>
        <v>11560</v>
      </c>
      <c r="E4" s="70">
        <f>D4/C4</f>
        <v>28.9</v>
      </c>
      <c r="F4" s="315">
        <f>C8-P8</f>
        <v>396</v>
      </c>
      <c r="G4" s="318">
        <f>D8-(D8/C8*P8)</f>
        <v>11444.4</v>
      </c>
      <c r="H4" s="327">
        <f>G4/F4</f>
        <v>28.9</v>
      </c>
      <c r="I4" s="321" t="s">
        <v>224</v>
      </c>
      <c r="J4" s="1">
        <f>B4+90</f>
        <v>46372</v>
      </c>
      <c r="K4" s="323">
        <f>C69</f>
        <v>15</v>
      </c>
      <c r="L4" s="325">
        <f>K8/F8</f>
        <v>3.787878787878788E-2</v>
      </c>
      <c r="M4" s="323">
        <f>E69</f>
        <v>0</v>
      </c>
      <c r="N4" s="323">
        <f>F8-C69-E69</f>
        <v>381</v>
      </c>
      <c r="O4" s="22"/>
      <c r="P4" s="33">
        <v>4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1">
        <f>B6+90</f>
        <v>90</v>
      </c>
      <c r="K6" s="323"/>
      <c r="L6" s="325"/>
      <c r="M6" s="323"/>
      <c r="N6" s="323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  <c r="U7" s="142"/>
    </row>
    <row r="8" spans="1:21" ht="18" thickBot="1">
      <c r="B8" s="9" t="s">
        <v>10</v>
      </c>
      <c r="C8" s="32">
        <f>SUM(C4:C7)</f>
        <v>400</v>
      </c>
      <c r="D8" s="39">
        <f>SUM(D4:D7)</f>
        <v>11560</v>
      </c>
      <c r="E8" s="71">
        <f>D8/C8</f>
        <v>28.9</v>
      </c>
      <c r="F8" s="32">
        <f>SUM(F4)</f>
        <v>396</v>
      </c>
      <c r="G8" s="39">
        <f>SUM(G4)</f>
        <v>11444.4</v>
      </c>
      <c r="H8" s="71">
        <f>G8/F8</f>
        <v>28.9</v>
      </c>
      <c r="I8" s="8"/>
      <c r="J8" s="8"/>
      <c r="K8" s="32">
        <f>K4</f>
        <v>15</v>
      </c>
      <c r="L8" s="26">
        <f>L4</f>
        <v>3.787878787878788E-2</v>
      </c>
      <c r="M8" s="32">
        <f>M4</f>
        <v>0</v>
      </c>
      <c r="N8" s="32">
        <f>N4</f>
        <v>381</v>
      </c>
      <c r="O8" s="46">
        <f>P8/C8</f>
        <v>0.01</v>
      </c>
      <c r="P8" s="35">
        <f>SUM(P4:P7)</f>
        <v>4</v>
      </c>
      <c r="Q8" s="69">
        <f>P8-Q4-Q5-Q6</f>
        <v>4</v>
      </c>
    </row>
    <row r="9" spans="1:21" ht="18" thickBot="1">
      <c r="G9">
        <v>13730</v>
      </c>
      <c r="I9">
        <f>F8*0.95</f>
        <v>376.2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 t="s">
        <v>209</v>
      </c>
      <c r="C12" s="13">
        <v>15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0"/>
      <c r="P12" s="311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12"/>
      <c r="P13" s="313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298"/>
      <c r="P14" s="299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298"/>
      <c r="P18" s="299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298"/>
      <c r="P19" s="299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298"/>
      <c r="P20" s="299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298"/>
      <c r="P21" s="299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298"/>
      <c r="P22" s="299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298"/>
      <c r="P23" s="299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298"/>
      <c r="P24" s="299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298"/>
      <c r="P25" s="299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298"/>
      <c r="P26" s="299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298"/>
      <c r="P27" s="299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298"/>
      <c r="P28" s="299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298"/>
      <c r="P29" s="299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298"/>
      <c r="P30" s="299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298"/>
      <c r="P31" s="299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298"/>
      <c r="P32" s="299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298"/>
      <c r="P33" s="299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298"/>
      <c r="P34" s="299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298"/>
      <c r="P35" s="299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298"/>
      <c r="P36" s="299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298"/>
      <c r="P37" s="299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298"/>
      <c r="P38" s="299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298"/>
      <c r="P39" s="299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298"/>
      <c r="P40" s="299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298"/>
      <c r="P41" s="299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298"/>
      <c r="P42" s="299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298"/>
      <c r="P43" s="299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298"/>
      <c r="P44" s="299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298"/>
      <c r="P45" s="299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298"/>
      <c r="P46" s="299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298"/>
      <c r="P47" s="299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298"/>
      <c r="P60" s="299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298"/>
      <c r="P61" s="299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298"/>
      <c r="P62" s="299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298"/>
      <c r="P63" s="299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298"/>
      <c r="P67" s="299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298"/>
      <c r="P68" s="299"/>
    </row>
    <row r="69" spans="2:16" ht="18" thickBot="1">
      <c r="B69" s="7"/>
      <c r="C69" s="8">
        <f>SUM(C12:C67)</f>
        <v>15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00"/>
      <c r="P69" s="301"/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69:P69"/>
    <mergeCell ref="O60:P60"/>
    <mergeCell ref="O61:P61"/>
    <mergeCell ref="O62:P62"/>
    <mergeCell ref="O63:P63"/>
    <mergeCell ref="O67:P67"/>
    <mergeCell ref="O68:P68"/>
  </mergeCells>
  <phoneticPr fontId="2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088A-9819-4866-81CC-1C224BAA2364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213</v>
      </c>
      <c r="D1" s="73"/>
      <c r="E1" s="73">
        <f ca="1">TODAY()</f>
        <v>46325</v>
      </c>
      <c r="F1">
        <f ca="1">E1-B4</f>
        <v>31</v>
      </c>
      <c r="H1">
        <v>140</v>
      </c>
      <c r="I1" s="73">
        <f>B5+H1</f>
        <v>140</v>
      </c>
      <c r="J1">
        <f>G4/F4*489</f>
        <v>15305.699999999999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46294</v>
      </c>
      <c r="C4" s="30">
        <v>400</v>
      </c>
      <c r="D4" s="36">
        <f>31.3*400</f>
        <v>12520</v>
      </c>
      <c r="E4" s="70">
        <f>D4/C4</f>
        <v>31.3</v>
      </c>
      <c r="F4" s="315">
        <f>C8-P8</f>
        <v>396</v>
      </c>
      <c r="G4" s="318">
        <f>D8-(D8/C8*P8)</f>
        <v>12394.8</v>
      </c>
      <c r="H4" s="327">
        <f>G4/F4</f>
        <v>31.299999999999997</v>
      </c>
      <c r="I4" s="321" t="s">
        <v>224</v>
      </c>
      <c r="J4" s="1">
        <f>B4+90</f>
        <v>46384</v>
      </c>
      <c r="K4" s="323">
        <f>C69</f>
        <v>12</v>
      </c>
      <c r="L4" s="325">
        <f>K8/F8</f>
        <v>3.0303030303030304E-2</v>
      </c>
      <c r="M4" s="323">
        <f>E69</f>
        <v>0</v>
      </c>
      <c r="N4" s="323">
        <f>F8-C69-E69</f>
        <v>384</v>
      </c>
      <c r="O4" s="22"/>
      <c r="P4" s="33">
        <v>4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1">
        <f>B6+90</f>
        <v>90</v>
      </c>
      <c r="K6" s="323"/>
      <c r="L6" s="325"/>
      <c r="M6" s="323"/>
      <c r="N6" s="323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  <c r="U7" s="142"/>
    </row>
    <row r="8" spans="1:21" ht="18" thickBot="1">
      <c r="B8" s="9" t="s">
        <v>10</v>
      </c>
      <c r="C8" s="32">
        <f>SUM(C4:C7)</f>
        <v>400</v>
      </c>
      <c r="D8" s="39">
        <f>SUM(D4:D7)</f>
        <v>12520</v>
      </c>
      <c r="E8" s="71">
        <f>D8/C8</f>
        <v>31.3</v>
      </c>
      <c r="F8" s="32">
        <f>SUM(F4)</f>
        <v>396</v>
      </c>
      <c r="G8" s="39">
        <f>SUM(G4)</f>
        <v>12394.8</v>
      </c>
      <c r="H8" s="71">
        <f>G8/F8</f>
        <v>31.299999999999997</v>
      </c>
      <c r="I8" s="8"/>
      <c r="J8" s="8"/>
      <c r="K8" s="32">
        <f>K4</f>
        <v>12</v>
      </c>
      <c r="L8" s="26">
        <f>L4</f>
        <v>3.0303030303030304E-2</v>
      </c>
      <c r="M8" s="32">
        <f>M4</f>
        <v>0</v>
      </c>
      <c r="N8" s="32">
        <f>N4</f>
        <v>384</v>
      </c>
      <c r="O8" s="46">
        <f>P8/C8</f>
        <v>0.01</v>
      </c>
      <c r="P8" s="35">
        <f>SUM(P4:P7)</f>
        <v>4</v>
      </c>
      <c r="Q8" s="69">
        <f>P8-Q4-Q5-Q6</f>
        <v>4</v>
      </c>
    </row>
    <row r="9" spans="1:21" ht="18" thickBot="1">
      <c r="G9">
        <v>13730</v>
      </c>
      <c r="I9">
        <f>F8*0.95</f>
        <v>376.2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 t="s">
        <v>209</v>
      </c>
      <c r="C12" s="13">
        <v>12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0"/>
      <c r="P12" s="311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12"/>
      <c r="P13" s="313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298"/>
      <c r="P14" s="299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298"/>
      <c r="P18" s="299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298"/>
      <c r="P19" s="299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298"/>
      <c r="P20" s="299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298"/>
      <c r="P21" s="299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298"/>
      <c r="P22" s="299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298"/>
      <c r="P23" s="299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298"/>
      <c r="P24" s="299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298"/>
      <c r="P25" s="299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298"/>
      <c r="P26" s="299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298"/>
      <c r="P27" s="299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298"/>
      <c r="P28" s="299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298"/>
      <c r="P29" s="299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298"/>
      <c r="P30" s="299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298"/>
      <c r="P31" s="299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298"/>
      <c r="P32" s="299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298"/>
      <c r="P33" s="299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298"/>
      <c r="P34" s="299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298"/>
      <c r="P35" s="299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298"/>
      <c r="P36" s="299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298"/>
      <c r="P37" s="299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298"/>
      <c r="P38" s="299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298"/>
      <c r="P39" s="299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298"/>
      <c r="P40" s="299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298"/>
      <c r="P41" s="299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298"/>
      <c r="P42" s="299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298"/>
      <c r="P43" s="299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298"/>
      <c r="P44" s="299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298"/>
      <c r="P45" s="299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298"/>
      <c r="P46" s="299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298"/>
      <c r="P47" s="299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298"/>
      <c r="P60" s="299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298"/>
      <c r="P61" s="299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298"/>
      <c r="P62" s="299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298"/>
      <c r="P63" s="299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298"/>
      <c r="P67" s="299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298"/>
      <c r="P68" s="299"/>
    </row>
    <row r="69" spans="2:16" ht="18" thickBot="1">
      <c r="B69" s="7"/>
      <c r="C69" s="8">
        <f>SUM(C12:C67)</f>
        <v>12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00"/>
      <c r="P69" s="301"/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69:P69"/>
    <mergeCell ref="O60:P60"/>
    <mergeCell ref="O61:P61"/>
    <mergeCell ref="O62:P62"/>
    <mergeCell ref="O63:P63"/>
    <mergeCell ref="O67:P67"/>
    <mergeCell ref="O68:P68"/>
  </mergeCells>
  <phoneticPr fontId="2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44EC-F73F-4304-AC60-FD0A39A2D081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216</v>
      </c>
      <c r="D1" s="73"/>
      <c r="E1" s="73">
        <f ca="1">TODAY()</f>
        <v>46325</v>
      </c>
      <c r="F1">
        <f ca="1">E1-B4</f>
        <v>22</v>
      </c>
      <c r="H1">
        <v>140</v>
      </c>
      <c r="I1" s="73">
        <f>B5+H1</f>
        <v>140</v>
      </c>
      <c r="J1">
        <f>G4/F4*489</f>
        <v>13692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46303</v>
      </c>
      <c r="C4" s="30">
        <v>400</v>
      </c>
      <c r="D4" s="36">
        <f>28*400</f>
        <v>11200</v>
      </c>
      <c r="E4" s="70">
        <f>D4/C4</f>
        <v>28</v>
      </c>
      <c r="F4" s="315">
        <f>C8-P8</f>
        <v>396</v>
      </c>
      <c r="G4" s="318">
        <f>D8-(D8/C8*P8)</f>
        <v>11088</v>
      </c>
      <c r="H4" s="327">
        <f>G4/F4</f>
        <v>28</v>
      </c>
      <c r="I4" s="321" t="s">
        <v>224</v>
      </c>
      <c r="J4" s="1">
        <f>B4+90</f>
        <v>46393</v>
      </c>
      <c r="K4" s="323">
        <f>C69</f>
        <v>11</v>
      </c>
      <c r="L4" s="325">
        <f>K8/F8</f>
        <v>2.7777777777777776E-2</v>
      </c>
      <c r="M4" s="323">
        <f>E69</f>
        <v>0</v>
      </c>
      <c r="N4" s="323">
        <f>F8-C69-E69</f>
        <v>385</v>
      </c>
      <c r="O4" s="22"/>
      <c r="P4" s="33">
        <v>4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1">
        <f>B6+90</f>
        <v>90</v>
      </c>
      <c r="K6" s="323"/>
      <c r="L6" s="325"/>
      <c r="M6" s="323"/>
      <c r="N6" s="323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  <c r="U7" s="142"/>
    </row>
    <row r="8" spans="1:21" ht="18" thickBot="1">
      <c r="B8" s="9" t="s">
        <v>10</v>
      </c>
      <c r="C8" s="32">
        <f>SUM(C4:C7)</f>
        <v>400</v>
      </c>
      <c r="D8" s="39">
        <f>SUM(D4:D7)</f>
        <v>11200</v>
      </c>
      <c r="E8" s="71">
        <f>D8/C8</f>
        <v>28</v>
      </c>
      <c r="F8" s="32">
        <f>SUM(F4)</f>
        <v>396</v>
      </c>
      <c r="G8" s="39">
        <f>SUM(G4)</f>
        <v>11088</v>
      </c>
      <c r="H8" s="71">
        <f>G8/F8</f>
        <v>28</v>
      </c>
      <c r="I8" s="8"/>
      <c r="J8" s="8"/>
      <c r="K8" s="32">
        <f>K4</f>
        <v>11</v>
      </c>
      <c r="L8" s="26">
        <f>L4</f>
        <v>2.7777777777777776E-2</v>
      </c>
      <c r="M8" s="32">
        <f>M4</f>
        <v>0</v>
      </c>
      <c r="N8" s="32">
        <f>N4</f>
        <v>385</v>
      </c>
      <c r="O8" s="46">
        <f>P8/C8</f>
        <v>0.01</v>
      </c>
      <c r="P8" s="35">
        <f>SUM(P4:P7)</f>
        <v>4</v>
      </c>
      <c r="Q8" s="69">
        <f>P8-Q4-Q5-Q6</f>
        <v>4</v>
      </c>
    </row>
    <row r="9" spans="1:21" ht="18" thickBot="1">
      <c r="G9">
        <v>13730</v>
      </c>
      <c r="I9">
        <f>F8*0.95</f>
        <v>376.2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 t="s">
        <v>209</v>
      </c>
      <c r="C12" s="13">
        <v>11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0"/>
      <c r="P12" s="311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12"/>
      <c r="P13" s="313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298"/>
      <c r="P14" s="299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298"/>
      <c r="P18" s="299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298"/>
      <c r="P19" s="299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298"/>
      <c r="P20" s="299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298"/>
      <c r="P21" s="299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298"/>
      <c r="P22" s="299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298"/>
      <c r="P23" s="299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298"/>
      <c r="P24" s="299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298"/>
      <c r="P25" s="299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298"/>
      <c r="P26" s="299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298"/>
      <c r="P27" s="299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298"/>
      <c r="P28" s="299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298"/>
      <c r="P29" s="299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298"/>
      <c r="P30" s="299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298"/>
      <c r="P31" s="299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298"/>
      <c r="P32" s="299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298"/>
      <c r="P33" s="299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298"/>
      <c r="P34" s="299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298"/>
      <c r="P35" s="299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298"/>
      <c r="P36" s="299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298"/>
      <c r="P37" s="299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298"/>
      <c r="P38" s="299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298"/>
      <c r="P39" s="299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298"/>
      <c r="P40" s="299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298"/>
      <c r="P41" s="299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298"/>
      <c r="P42" s="299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298"/>
      <c r="P43" s="299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298"/>
      <c r="P44" s="299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298"/>
      <c r="P45" s="299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298"/>
      <c r="P46" s="299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298"/>
      <c r="P47" s="299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298"/>
      <c r="P60" s="299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298"/>
      <c r="P61" s="299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298"/>
      <c r="P62" s="299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298"/>
      <c r="P63" s="299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298"/>
      <c r="P67" s="299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298"/>
      <c r="P68" s="299"/>
    </row>
    <row r="69" spans="2:16" ht="18" thickBot="1">
      <c r="B69" s="7"/>
      <c r="C69" s="8">
        <f>SUM(C12:C67)</f>
        <v>11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00"/>
      <c r="P69" s="301"/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69:P69"/>
    <mergeCell ref="O60:P60"/>
    <mergeCell ref="O61:P61"/>
    <mergeCell ref="O62:P62"/>
    <mergeCell ref="O63:P63"/>
    <mergeCell ref="O67:P67"/>
    <mergeCell ref="O68:P68"/>
  </mergeCells>
  <phoneticPr fontId="2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6F5B-1ED7-461D-B3DE-173D4D9CF45F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215</v>
      </c>
      <c r="D1" s="73"/>
      <c r="E1" s="73">
        <f ca="1">TODAY()</f>
        <v>46325</v>
      </c>
      <c r="F1">
        <f ca="1">E1-B4</f>
        <v>9</v>
      </c>
      <c r="H1">
        <v>140</v>
      </c>
      <c r="I1" s="73">
        <f>B5+H1</f>
        <v>140</v>
      </c>
      <c r="J1">
        <f>G4/F4*489</f>
        <v>12958.5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46316</v>
      </c>
      <c r="C4" s="30">
        <v>400</v>
      </c>
      <c r="D4" s="36">
        <f>26.5*400</f>
        <v>10600</v>
      </c>
      <c r="E4" s="70">
        <f>D4/C4</f>
        <v>26.5</v>
      </c>
      <c r="F4" s="315">
        <f>C8-P8</f>
        <v>396</v>
      </c>
      <c r="G4" s="318">
        <f>D8-(D8/C8*P8)</f>
        <v>10494</v>
      </c>
      <c r="H4" s="327">
        <f>G4/F4</f>
        <v>26.5</v>
      </c>
      <c r="I4" s="321" t="s">
        <v>224</v>
      </c>
      <c r="J4" s="1">
        <f>B4+90</f>
        <v>46406</v>
      </c>
      <c r="K4" s="323">
        <f>C69</f>
        <v>6</v>
      </c>
      <c r="L4" s="325">
        <f>K8/F8</f>
        <v>1.5151515151515152E-2</v>
      </c>
      <c r="M4" s="323">
        <f>E69</f>
        <v>0</v>
      </c>
      <c r="N4" s="323">
        <f>F8-C69-E69</f>
        <v>390</v>
      </c>
      <c r="O4" s="22"/>
      <c r="P4" s="33">
        <v>4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1">
        <f>B6+90</f>
        <v>90</v>
      </c>
      <c r="K6" s="323"/>
      <c r="L6" s="325"/>
      <c r="M6" s="323"/>
      <c r="N6" s="323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  <c r="U7" s="142"/>
    </row>
    <row r="8" spans="1:21" ht="18" thickBot="1">
      <c r="B8" s="9" t="s">
        <v>10</v>
      </c>
      <c r="C8" s="32">
        <f>SUM(C4:C7)</f>
        <v>400</v>
      </c>
      <c r="D8" s="39">
        <f>SUM(D4:D7)</f>
        <v>10600</v>
      </c>
      <c r="E8" s="71">
        <f>D8/C8</f>
        <v>26.5</v>
      </c>
      <c r="F8" s="32">
        <f>SUM(F4)</f>
        <v>396</v>
      </c>
      <c r="G8" s="39">
        <f>SUM(G4)</f>
        <v>10494</v>
      </c>
      <c r="H8" s="71">
        <f>G8/F8</f>
        <v>26.5</v>
      </c>
      <c r="I8" s="8"/>
      <c r="J8" s="8"/>
      <c r="K8" s="32">
        <f>K4</f>
        <v>6</v>
      </c>
      <c r="L8" s="26">
        <f>L4</f>
        <v>1.5151515151515152E-2</v>
      </c>
      <c r="M8" s="32">
        <f>M4</f>
        <v>0</v>
      </c>
      <c r="N8" s="32">
        <f>N4</f>
        <v>390</v>
      </c>
      <c r="O8" s="46">
        <f>P8/C8</f>
        <v>0.01</v>
      </c>
      <c r="P8" s="35">
        <f>SUM(P4:P7)</f>
        <v>4</v>
      </c>
      <c r="Q8" s="69">
        <f>P8-Q4-Q5-Q6</f>
        <v>4</v>
      </c>
    </row>
    <row r="9" spans="1:21" ht="18" thickBot="1">
      <c r="G9">
        <v>13730</v>
      </c>
      <c r="I9">
        <f>F8*0.95</f>
        <v>376.2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 t="s">
        <v>209</v>
      </c>
      <c r="C12" s="13">
        <v>6</v>
      </c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0"/>
      <c r="P12" s="311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12"/>
      <c r="P13" s="313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298"/>
      <c r="P14" s="299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298"/>
      <c r="P18" s="299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298"/>
      <c r="P19" s="299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298"/>
      <c r="P20" s="299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298"/>
      <c r="P21" s="299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298"/>
      <c r="P22" s="299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298"/>
      <c r="P23" s="299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298"/>
      <c r="P24" s="299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298"/>
      <c r="P25" s="299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298"/>
      <c r="P26" s="299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298"/>
      <c r="P27" s="299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298"/>
      <c r="P28" s="299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298"/>
      <c r="P29" s="299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298"/>
      <c r="P30" s="299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298"/>
      <c r="P31" s="299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298"/>
      <c r="P32" s="299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298"/>
      <c r="P33" s="299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298"/>
      <c r="P34" s="299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298"/>
      <c r="P35" s="299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298"/>
      <c r="P36" s="299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298"/>
      <c r="P37" s="299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298"/>
      <c r="P38" s="299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298"/>
      <c r="P39" s="299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298"/>
      <c r="P40" s="299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298"/>
      <c r="P41" s="299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298"/>
      <c r="P42" s="299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298"/>
      <c r="P43" s="299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298"/>
      <c r="P44" s="299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298"/>
      <c r="P45" s="299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298"/>
      <c r="P46" s="299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298"/>
      <c r="P47" s="299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298"/>
      <c r="P60" s="299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298"/>
      <c r="P61" s="299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298"/>
      <c r="P62" s="299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298"/>
      <c r="P63" s="299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298"/>
      <c r="P67" s="299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298"/>
      <c r="P68" s="299"/>
    </row>
    <row r="69" spans="2:16" ht="18" thickBot="1">
      <c r="B69" s="7"/>
      <c r="C69" s="8">
        <f>SUM(C12:C67)</f>
        <v>6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00"/>
      <c r="P69" s="301"/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69:P69"/>
    <mergeCell ref="O60:P60"/>
    <mergeCell ref="O61:P61"/>
    <mergeCell ref="O62:P62"/>
    <mergeCell ref="O63:P63"/>
    <mergeCell ref="O67:P67"/>
    <mergeCell ref="O68:P68"/>
  </mergeCells>
  <phoneticPr fontId="2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271E-E2E3-4434-8AF1-5ADCF7FF4A02}">
  <dimension ref="A1:W69"/>
  <sheetViews>
    <sheetView showGridLines="0" workbookViewId="0">
      <selection activeCell="I8" sqref="I8"/>
    </sheetView>
  </sheetViews>
  <sheetFormatPr defaultRowHeight="17.399999999999999"/>
  <cols>
    <col min="2" max="2" width="11.09765625" bestFit="1" customWidth="1"/>
    <col min="4" max="5" width="11.09765625" bestFit="1" customWidth="1"/>
    <col min="6" max="6" width="10" bestFit="1" customWidth="1"/>
    <col min="8" max="8" width="9.8984375" bestFit="1" customWidth="1"/>
    <col min="9" max="9" width="21.3984375" bestFit="1" customWidth="1"/>
    <col min="10" max="10" width="11" bestFit="1" customWidth="1"/>
    <col min="11" max="11" width="20.3984375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8984375" bestFit="1" customWidth="1"/>
    <col min="20" max="20" width="9.8984375" bestFit="1" customWidth="1"/>
  </cols>
  <sheetData>
    <row r="1" spans="1:21" ht="18" thickBot="1">
      <c r="A1" t="s">
        <v>27</v>
      </c>
      <c r="B1" s="51" t="s">
        <v>214</v>
      </c>
      <c r="D1" s="73"/>
      <c r="E1" s="73">
        <f ca="1">TODAY()</f>
        <v>46325</v>
      </c>
      <c r="F1">
        <f ca="1">E1-B4</f>
        <v>1</v>
      </c>
      <c r="H1">
        <v>140</v>
      </c>
      <c r="I1" s="73">
        <f>B5+H1</f>
        <v>140</v>
      </c>
      <c r="J1">
        <f>G4/F4*489</f>
        <v>12811.800000000001</v>
      </c>
    </row>
    <row r="2" spans="1:21" ht="18" thickBot="1">
      <c r="F2" s="302" t="s">
        <v>9</v>
      </c>
      <c r="G2" s="305"/>
      <c r="H2" s="314"/>
      <c r="O2" s="302" t="s">
        <v>8</v>
      </c>
      <c r="P2" s="314"/>
      <c r="R2" s="83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T3" s="83"/>
    </row>
    <row r="4" spans="1:21">
      <c r="B4" s="27">
        <v>46324</v>
      </c>
      <c r="C4" s="30">
        <v>400</v>
      </c>
      <c r="D4" s="36">
        <f>26.2*400</f>
        <v>10480</v>
      </c>
      <c r="E4" s="70">
        <f>D4/C4</f>
        <v>26.2</v>
      </c>
      <c r="F4" s="315">
        <f>C8-P8</f>
        <v>396</v>
      </c>
      <c r="G4" s="318">
        <f>D8-(D8/C8*P8)</f>
        <v>10375.200000000001</v>
      </c>
      <c r="H4" s="327">
        <f>G4/F4</f>
        <v>26.200000000000003</v>
      </c>
      <c r="I4" s="321" t="s">
        <v>224</v>
      </c>
      <c r="J4" s="1">
        <f>B4+90</f>
        <v>46414</v>
      </c>
      <c r="K4" s="323">
        <f>C69</f>
        <v>0</v>
      </c>
      <c r="L4" s="325">
        <f>K8/F8</f>
        <v>0</v>
      </c>
      <c r="M4" s="323">
        <f>E69</f>
        <v>0</v>
      </c>
      <c r="N4" s="323">
        <f>F8-C69-E69</f>
        <v>396</v>
      </c>
      <c r="O4" s="22"/>
      <c r="P4" s="33">
        <v>4</v>
      </c>
      <c r="R4" s="69"/>
      <c r="U4" s="142"/>
    </row>
    <row r="5" spans="1:21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  <c r="U5" s="142"/>
    </row>
    <row r="6" spans="1:21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1">
        <f>B6+90</f>
        <v>90</v>
      </c>
      <c r="K6" s="323"/>
      <c r="L6" s="325"/>
      <c r="M6" s="323"/>
      <c r="N6" s="323"/>
      <c r="O6" s="22"/>
      <c r="P6" s="33"/>
      <c r="U6" s="142"/>
    </row>
    <row r="7" spans="1:21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  <c r="U7" s="142"/>
    </row>
    <row r="8" spans="1:21" ht="18" thickBot="1">
      <c r="B8" s="9" t="s">
        <v>10</v>
      </c>
      <c r="C8" s="32">
        <f>SUM(C4:C7)</f>
        <v>400</v>
      </c>
      <c r="D8" s="39">
        <f>SUM(D4:D7)</f>
        <v>10480</v>
      </c>
      <c r="E8" s="71">
        <f>D8/C8</f>
        <v>26.2</v>
      </c>
      <c r="F8" s="32">
        <f>SUM(F4)</f>
        <v>396</v>
      </c>
      <c r="G8" s="39">
        <f>SUM(G4)</f>
        <v>10375.200000000001</v>
      </c>
      <c r="H8" s="71">
        <f>G8/F8</f>
        <v>26.200000000000003</v>
      </c>
      <c r="I8" s="8"/>
      <c r="J8" s="8"/>
      <c r="K8" s="32">
        <f>K4</f>
        <v>0</v>
      </c>
      <c r="L8" s="26">
        <f>L4</f>
        <v>0</v>
      </c>
      <c r="M8" s="32">
        <f>M4</f>
        <v>0</v>
      </c>
      <c r="N8" s="32">
        <f>N4</f>
        <v>396</v>
      </c>
      <c r="O8" s="46">
        <f>P8/C8</f>
        <v>0.01</v>
      </c>
      <c r="P8" s="35">
        <f>SUM(P4:P7)</f>
        <v>4</v>
      </c>
      <c r="Q8" s="69">
        <f>P8-Q4-Q5-Q6</f>
        <v>4</v>
      </c>
    </row>
    <row r="9" spans="1:21" ht="18" thickBot="1">
      <c r="G9">
        <v>13730</v>
      </c>
      <c r="I9">
        <f>F8*0.95</f>
        <v>376.2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295" t="s">
        <v>1</v>
      </c>
      <c r="D11" s="295" t="s">
        <v>0</v>
      </c>
      <c r="E11" s="295" t="s">
        <v>1</v>
      </c>
      <c r="F11" s="295" t="s">
        <v>2</v>
      </c>
      <c r="G11" s="295" t="s">
        <v>3</v>
      </c>
      <c r="H11" s="295" t="s">
        <v>0</v>
      </c>
      <c r="I11" s="295" t="s">
        <v>15</v>
      </c>
      <c r="J11" s="295" t="s">
        <v>16</v>
      </c>
      <c r="K11" s="56" t="s">
        <v>15</v>
      </c>
      <c r="L11" s="295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 t="s">
        <v>209</v>
      </c>
      <c r="C12" s="13"/>
      <c r="D12" s="75"/>
      <c r="E12" s="10"/>
      <c r="F12" s="44"/>
      <c r="G12" s="79" t="e">
        <f>F12/E12</f>
        <v>#DIV/0!</v>
      </c>
      <c r="H12" s="47"/>
      <c r="I12" s="188"/>
      <c r="J12" s="41"/>
      <c r="K12" s="57" t="s">
        <v>18</v>
      </c>
      <c r="L12" s="52">
        <f>SUMIF($I$12:$I$134,K12,$J$12:$J$134)</f>
        <v>0</v>
      </c>
      <c r="M12" s="48">
        <f>L12/$C$8</f>
        <v>0</v>
      </c>
      <c r="N12" s="66"/>
      <c r="O12" s="310"/>
      <c r="P12" s="311"/>
      <c r="R12" s="84"/>
      <c r="S12" s="85"/>
    </row>
    <row r="13" spans="1:21">
      <c r="B13" s="74"/>
      <c r="C13" s="15"/>
      <c r="D13" s="75"/>
      <c r="E13" s="11"/>
      <c r="F13" s="37"/>
      <c r="G13" s="79" t="e">
        <f t="shared" ref="G13:G35" si="1">F13/E13</f>
        <v>#DIV/0!</v>
      </c>
      <c r="H13" s="47"/>
      <c r="I13" s="188"/>
      <c r="J13" s="62"/>
      <c r="K13" s="58" t="s">
        <v>25</v>
      </c>
      <c r="L13" s="53">
        <f t="shared" ref="L13:L17" si="2">SUMIF($I$12:$I$134,K13,$J$12:$J$134)</f>
        <v>0</v>
      </c>
      <c r="M13" s="49">
        <f t="shared" ref="M13:M17" si="3">L13/$C$8</f>
        <v>0</v>
      </c>
      <c r="N13" s="1"/>
      <c r="O13" s="312"/>
      <c r="P13" s="313"/>
      <c r="R13" s="84"/>
      <c r="S13" s="85"/>
    </row>
    <row r="14" spans="1:21">
      <c r="B14" s="74"/>
      <c r="C14" s="15"/>
      <c r="D14" s="75"/>
      <c r="E14" s="11"/>
      <c r="F14" s="37"/>
      <c r="G14" s="79" t="e">
        <f t="shared" si="1"/>
        <v>#DIV/0!</v>
      </c>
      <c r="H14" s="47"/>
      <c r="I14" s="188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298"/>
      <c r="P14" s="299"/>
      <c r="R14" s="84"/>
      <c r="S14" s="85"/>
    </row>
    <row r="15" spans="1:21">
      <c r="B15" s="74"/>
      <c r="C15" s="15"/>
      <c r="D15" s="76"/>
      <c r="E15" s="11"/>
      <c r="F15" s="37"/>
      <c r="G15" s="79" t="e">
        <f t="shared" si="1"/>
        <v>#DIV/0!</v>
      </c>
      <c r="H15" s="47"/>
      <c r="I15" s="188"/>
      <c r="J15" s="41"/>
      <c r="K15" s="106" t="s">
        <v>203</v>
      </c>
      <c r="L15" s="53">
        <f t="shared" si="2"/>
        <v>0</v>
      </c>
      <c r="M15" s="107">
        <f t="shared" si="3"/>
        <v>0</v>
      </c>
      <c r="N15" s="1"/>
      <c r="O15" s="293"/>
      <c r="P15" s="294"/>
      <c r="R15" s="84"/>
      <c r="S15" s="85"/>
    </row>
    <row r="16" spans="1:21">
      <c r="B16" s="74"/>
      <c r="C16" s="15"/>
      <c r="D16" s="76"/>
      <c r="E16" s="11"/>
      <c r="F16" s="37"/>
      <c r="G16" s="79" t="e">
        <f t="shared" si="1"/>
        <v>#DIV/0!</v>
      </c>
      <c r="H16" s="47"/>
      <c r="I16" s="188"/>
      <c r="J16" s="41"/>
      <c r="K16" s="287" t="s">
        <v>204</v>
      </c>
      <c r="L16" s="53">
        <f t="shared" si="2"/>
        <v>0</v>
      </c>
      <c r="M16" s="107">
        <f t="shared" si="3"/>
        <v>0</v>
      </c>
      <c r="N16" s="1"/>
      <c r="O16" s="293"/>
      <c r="P16" s="294"/>
      <c r="R16" s="84"/>
      <c r="S16" s="85"/>
    </row>
    <row r="17" spans="2:23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88"/>
      <c r="J17" s="41"/>
      <c r="K17" s="59" t="s">
        <v>92</v>
      </c>
      <c r="L17" s="53">
        <f t="shared" si="2"/>
        <v>0</v>
      </c>
      <c r="M17" s="107">
        <f t="shared" si="3"/>
        <v>0</v>
      </c>
      <c r="N17" s="1"/>
      <c r="O17" s="293"/>
      <c r="P17" s="294"/>
      <c r="R17" s="84"/>
      <c r="S17" s="85"/>
    </row>
    <row r="18" spans="2:23" ht="18" thickBot="1">
      <c r="B18" s="74"/>
      <c r="C18" s="15"/>
      <c r="D18" s="76"/>
      <c r="E18" s="11"/>
      <c r="F18" s="37"/>
      <c r="G18" s="79" t="e">
        <f t="shared" si="1"/>
        <v>#DIV/0!</v>
      </c>
      <c r="H18" s="47"/>
      <c r="I18" s="188"/>
      <c r="J18" s="41"/>
      <c r="K18" s="60" t="s">
        <v>21</v>
      </c>
      <c r="L18" s="55">
        <f>SUM(L12:L17)</f>
        <v>0</v>
      </c>
      <c r="M18" s="40">
        <f>L18/F8</f>
        <v>0</v>
      </c>
      <c r="N18" s="1"/>
      <c r="O18" s="298"/>
      <c r="P18" s="299"/>
      <c r="R18" s="84"/>
      <c r="S18" s="85"/>
      <c r="W18" s="69"/>
    </row>
    <row r="19" spans="2:23">
      <c r="B19" s="74"/>
      <c r="C19" s="15"/>
      <c r="D19" s="76"/>
      <c r="E19" s="11"/>
      <c r="F19" s="37"/>
      <c r="G19" s="79" t="e">
        <f t="shared" si="1"/>
        <v>#DIV/0!</v>
      </c>
      <c r="H19" s="47"/>
      <c r="I19" s="188"/>
      <c r="J19" s="41"/>
      <c r="N19" s="63"/>
      <c r="O19" s="298"/>
      <c r="P19" s="299"/>
      <c r="R19" s="84"/>
      <c r="S19" s="85"/>
    </row>
    <row r="20" spans="2:23">
      <c r="B20" s="74"/>
      <c r="C20" s="15"/>
      <c r="D20" s="76"/>
      <c r="E20" s="11"/>
      <c r="F20" s="37"/>
      <c r="G20" s="79" t="e">
        <f t="shared" si="1"/>
        <v>#DIV/0!</v>
      </c>
      <c r="H20" s="47"/>
      <c r="I20" s="188"/>
      <c r="J20" s="41"/>
      <c r="N20" s="63"/>
      <c r="O20" s="298"/>
      <c r="P20" s="299"/>
      <c r="R20" s="84"/>
      <c r="S20" s="85"/>
    </row>
    <row r="21" spans="2:23">
      <c r="B21" s="74"/>
      <c r="C21" s="15"/>
      <c r="D21" s="76"/>
      <c r="E21" s="11"/>
      <c r="F21" s="37"/>
      <c r="G21" s="79" t="e">
        <f t="shared" si="1"/>
        <v>#DIV/0!</v>
      </c>
      <c r="H21" s="47"/>
      <c r="I21" s="188"/>
      <c r="J21" s="41"/>
      <c r="K21" t="s">
        <v>32</v>
      </c>
      <c r="L21" s="78">
        <f>(J69/I9)/(113-H8)</f>
        <v>0</v>
      </c>
      <c r="N21" s="63"/>
      <c r="O21" s="298"/>
      <c r="P21" s="299"/>
      <c r="R21" s="84"/>
      <c r="S21" s="85"/>
    </row>
    <row r="22" spans="2:23">
      <c r="B22" s="74"/>
      <c r="C22" s="15"/>
      <c r="D22" s="76"/>
      <c r="E22" s="11"/>
      <c r="F22" s="37"/>
      <c r="G22" s="79" t="e">
        <f t="shared" si="1"/>
        <v>#DIV/0!</v>
      </c>
      <c r="H22" s="47"/>
      <c r="I22" s="188"/>
      <c r="J22" s="41"/>
      <c r="K22" t="s">
        <v>172</v>
      </c>
      <c r="L22">
        <f>J14/N8/7</f>
        <v>0</v>
      </c>
      <c r="N22" s="63"/>
      <c r="O22" s="298"/>
      <c r="P22" s="299"/>
      <c r="R22" s="84"/>
      <c r="S22" s="85"/>
    </row>
    <row r="23" spans="2:23">
      <c r="B23" s="74"/>
      <c r="C23" s="15"/>
      <c r="D23" s="76"/>
      <c r="E23" s="11"/>
      <c r="F23" s="37"/>
      <c r="G23" s="79" t="e">
        <f t="shared" si="1"/>
        <v>#DIV/0!</v>
      </c>
      <c r="H23" s="47"/>
      <c r="I23" s="188"/>
      <c r="J23" s="41"/>
      <c r="N23" s="63"/>
      <c r="O23" s="298"/>
      <c r="P23" s="299"/>
      <c r="R23" s="84"/>
      <c r="S23" s="85"/>
    </row>
    <row r="24" spans="2:23">
      <c r="B24" s="74"/>
      <c r="C24" s="15"/>
      <c r="D24" s="76"/>
      <c r="E24" s="11"/>
      <c r="F24" s="37"/>
      <c r="G24" s="79" t="e">
        <f t="shared" si="1"/>
        <v>#DIV/0!</v>
      </c>
      <c r="H24" s="47"/>
      <c r="I24" s="188"/>
      <c r="J24" s="41"/>
      <c r="N24" s="63"/>
      <c r="O24" s="298"/>
      <c r="P24" s="299"/>
      <c r="R24" s="84"/>
      <c r="S24" s="85"/>
    </row>
    <row r="25" spans="2:23">
      <c r="B25" s="74"/>
      <c r="C25" s="15"/>
      <c r="D25" s="76"/>
      <c r="E25" s="11"/>
      <c r="F25" s="37"/>
      <c r="G25" s="79" t="e">
        <f t="shared" si="1"/>
        <v>#DIV/0!</v>
      </c>
      <c r="H25" s="47"/>
      <c r="I25" s="188"/>
      <c r="J25" s="41"/>
      <c r="M25" s="25"/>
      <c r="N25" s="63"/>
      <c r="O25" s="298"/>
      <c r="P25" s="299"/>
      <c r="R25" s="84"/>
      <c r="S25" s="85"/>
    </row>
    <row r="26" spans="2:23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298"/>
      <c r="P26" s="299"/>
      <c r="R26" s="84"/>
      <c r="S26" s="85"/>
    </row>
    <row r="27" spans="2:23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L27">
        <f ca="1">L18/F1</f>
        <v>0</v>
      </c>
      <c r="N27" s="63"/>
      <c r="O27" s="298"/>
      <c r="P27" s="299"/>
      <c r="R27" s="84"/>
      <c r="S27" s="85"/>
    </row>
    <row r="28" spans="2:23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L28">
        <f ca="1">L27/N8</f>
        <v>0</v>
      </c>
      <c r="N28" s="64"/>
      <c r="O28" s="298"/>
      <c r="P28" s="299"/>
      <c r="R28" s="84"/>
      <c r="S28" s="85"/>
    </row>
    <row r="29" spans="2:23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298"/>
      <c r="P29" s="299"/>
      <c r="R29" s="84"/>
      <c r="S29" s="85"/>
    </row>
    <row r="30" spans="2:23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298"/>
      <c r="P30" s="299"/>
      <c r="R30" s="84"/>
      <c r="S30" s="85"/>
    </row>
    <row r="31" spans="2:23">
      <c r="B31" s="74"/>
      <c r="C31" s="15"/>
      <c r="D31" s="11"/>
      <c r="E31" s="11"/>
      <c r="F31" s="37"/>
      <c r="G31" s="79" t="e">
        <f t="shared" si="1"/>
        <v>#DIV/0!</v>
      </c>
      <c r="H31" s="47"/>
      <c r="I31" s="19"/>
      <c r="J31" s="41"/>
      <c r="N31" s="64"/>
      <c r="O31" s="298"/>
      <c r="P31" s="299"/>
      <c r="R31" s="84"/>
      <c r="S31" s="85"/>
    </row>
    <row r="32" spans="2:23">
      <c r="B32" s="74"/>
      <c r="C32" s="15"/>
      <c r="D32" s="11"/>
      <c r="E32" s="11"/>
      <c r="F32" s="37"/>
      <c r="G32" s="79" t="e">
        <f t="shared" si="1"/>
        <v>#DIV/0!</v>
      </c>
      <c r="H32" s="47"/>
      <c r="I32" s="19"/>
      <c r="J32" s="41"/>
      <c r="N32" s="64"/>
      <c r="O32" s="298"/>
      <c r="P32" s="299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1"/>
        <v>#DIV/0!</v>
      </c>
      <c r="H33" s="47"/>
      <c r="I33" s="19"/>
      <c r="J33" s="41"/>
      <c r="N33" s="64"/>
      <c r="O33" s="298"/>
      <c r="P33" s="299"/>
      <c r="R33" s="84"/>
      <c r="S33" s="85"/>
    </row>
    <row r="34" spans="2:19" ht="18" thickBot="1">
      <c r="B34" s="14"/>
      <c r="C34" s="15"/>
      <c r="D34" s="11"/>
      <c r="E34" s="11"/>
      <c r="F34" s="37"/>
      <c r="G34" s="79" t="e">
        <f t="shared" si="1"/>
        <v>#DIV/0!</v>
      </c>
      <c r="H34" s="47"/>
      <c r="I34" s="20"/>
      <c r="J34" s="41"/>
      <c r="N34" s="64"/>
      <c r="O34" s="298"/>
      <c r="P34" s="299"/>
      <c r="R34" s="86"/>
      <c r="S34" s="87"/>
    </row>
    <row r="35" spans="2:19" ht="18" thickTop="1">
      <c r="B35" s="14"/>
      <c r="C35" s="15"/>
      <c r="D35" s="11"/>
      <c r="E35" s="11"/>
      <c r="F35" s="37"/>
      <c r="G35" s="79" t="e">
        <f t="shared" si="1"/>
        <v>#DIV/0!</v>
      </c>
      <c r="H35" s="47"/>
      <c r="I35" s="20"/>
      <c r="J35" s="41"/>
      <c r="N35" s="64"/>
      <c r="O35" s="298"/>
      <c r="P35" s="299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298"/>
      <c r="P36" s="299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298"/>
      <c r="P37" s="299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L38" s="72">
        <f>J38+J39+J40</f>
        <v>0</v>
      </c>
      <c r="N38" s="64"/>
      <c r="O38" s="298"/>
      <c r="P38" s="299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L39">
        <f>L38/N8</f>
        <v>0</v>
      </c>
      <c r="N39" s="64"/>
      <c r="O39" s="298"/>
      <c r="P39" s="299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L40">
        <f>L39/4</f>
        <v>0</v>
      </c>
      <c r="N40" s="64"/>
      <c r="O40" s="298"/>
      <c r="P40" s="299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298"/>
      <c r="P41" s="299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298"/>
      <c r="P42" s="299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298"/>
      <c r="P43" s="299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298"/>
      <c r="P44" s="299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298"/>
      <c r="P45" s="299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298"/>
      <c r="P46" s="299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298"/>
      <c r="P47" s="299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47"/>
      <c r="I54" s="188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47"/>
      <c r="I55" s="188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47"/>
      <c r="I56" s="188"/>
      <c r="J56" s="41"/>
      <c r="N56" s="64"/>
      <c r="O56" s="293"/>
      <c r="P56" s="294"/>
    </row>
    <row r="57" spans="2:16">
      <c r="B57" s="14"/>
      <c r="C57" s="15"/>
      <c r="D57" s="11"/>
      <c r="E57" s="11"/>
      <c r="F57" s="37"/>
      <c r="G57" s="37"/>
      <c r="H57" s="47"/>
      <c r="I57" s="188"/>
      <c r="J57" s="41"/>
      <c r="N57" s="64"/>
      <c r="O57" s="293"/>
      <c r="P57" s="294"/>
    </row>
    <row r="58" spans="2:16">
      <c r="B58" s="14"/>
      <c r="C58" s="15"/>
      <c r="D58" s="11"/>
      <c r="E58" s="11"/>
      <c r="F58" s="37"/>
      <c r="G58" s="37"/>
      <c r="H58" s="47"/>
      <c r="I58" s="188"/>
      <c r="J58" s="41"/>
      <c r="N58" s="64"/>
      <c r="O58" s="293"/>
      <c r="P58" s="294"/>
    </row>
    <row r="59" spans="2:16">
      <c r="B59" s="14"/>
      <c r="C59" s="15"/>
      <c r="D59" s="11"/>
      <c r="E59" s="11"/>
      <c r="F59" s="37"/>
      <c r="G59" s="37"/>
      <c r="H59" s="47"/>
      <c r="I59" s="188"/>
      <c r="J59" s="41"/>
      <c r="N59" s="64"/>
      <c r="O59" s="293"/>
      <c r="P59" s="294"/>
    </row>
    <row r="60" spans="2:16">
      <c r="B60" s="14"/>
      <c r="C60" s="15"/>
      <c r="D60" s="11"/>
      <c r="E60" s="11"/>
      <c r="F60" s="37"/>
      <c r="G60" s="37"/>
      <c r="H60" s="47"/>
      <c r="I60" s="188"/>
      <c r="J60" s="41"/>
      <c r="N60" s="64"/>
      <c r="O60" s="298"/>
      <c r="P60" s="299"/>
    </row>
    <row r="61" spans="2:16">
      <c r="B61" s="14"/>
      <c r="C61" s="15"/>
      <c r="D61" s="11"/>
      <c r="E61" s="11"/>
      <c r="F61" s="37"/>
      <c r="G61" s="37"/>
      <c r="H61" s="47"/>
      <c r="I61" s="188"/>
      <c r="J61" s="41"/>
      <c r="N61" s="64"/>
      <c r="O61" s="298"/>
      <c r="P61" s="299"/>
    </row>
    <row r="62" spans="2:16">
      <c r="B62" s="14"/>
      <c r="C62" s="15"/>
      <c r="D62" s="11"/>
      <c r="E62" s="11"/>
      <c r="F62" s="37"/>
      <c r="G62" s="37"/>
      <c r="H62" s="47"/>
      <c r="I62" s="188"/>
      <c r="J62" s="41"/>
      <c r="N62" s="64"/>
      <c r="O62" s="298"/>
      <c r="P62" s="299"/>
    </row>
    <row r="63" spans="2:16">
      <c r="B63" s="14"/>
      <c r="C63" s="15"/>
      <c r="D63" s="11"/>
      <c r="E63" s="11"/>
      <c r="F63" s="37"/>
      <c r="G63" s="37"/>
      <c r="H63" s="114"/>
      <c r="I63" s="188"/>
      <c r="J63" s="42"/>
      <c r="N63" s="64"/>
      <c r="O63" s="298"/>
      <c r="P63" s="299"/>
    </row>
    <row r="64" spans="2:16">
      <c r="B64" s="16"/>
      <c r="C64" s="17"/>
      <c r="D64" s="12"/>
      <c r="E64" s="12"/>
      <c r="F64" s="36"/>
      <c r="G64" s="36"/>
      <c r="H64" s="114"/>
      <c r="I64" s="188"/>
      <c r="J64" s="42"/>
      <c r="N64" s="64"/>
      <c r="O64" s="293"/>
      <c r="P64" s="294"/>
    </row>
    <row r="65" spans="2:16">
      <c r="B65" s="16"/>
      <c r="C65" s="17"/>
      <c r="D65" s="12"/>
      <c r="E65" s="12"/>
      <c r="F65" s="36"/>
      <c r="G65" s="36"/>
      <c r="H65" s="114"/>
      <c r="I65" s="188"/>
      <c r="J65" s="42"/>
      <c r="N65" s="64"/>
      <c r="O65" s="293"/>
      <c r="P65" s="294"/>
    </row>
    <row r="66" spans="2:16">
      <c r="B66" s="16"/>
      <c r="C66" s="17"/>
      <c r="D66" s="12"/>
      <c r="E66" s="12"/>
      <c r="F66" s="36"/>
      <c r="G66" s="36"/>
      <c r="H66" s="114"/>
      <c r="I66" s="188"/>
      <c r="J66" s="42"/>
      <c r="N66" s="64"/>
      <c r="O66" s="293"/>
      <c r="P66" s="294"/>
    </row>
    <row r="67" spans="2:16">
      <c r="B67" s="16"/>
      <c r="C67" s="17"/>
      <c r="D67" s="12"/>
      <c r="E67" s="12"/>
      <c r="F67" s="36"/>
      <c r="G67" s="36"/>
      <c r="H67" s="114"/>
      <c r="I67" s="19"/>
      <c r="J67" s="42"/>
      <c r="N67" s="64"/>
      <c r="O67" s="298"/>
      <c r="P67" s="299"/>
    </row>
    <row r="68" spans="2:16" ht="18" thickBot="1">
      <c r="B68" s="16"/>
      <c r="C68" s="17"/>
      <c r="D68" s="12"/>
      <c r="E68" s="12"/>
      <c r="F68" s="36"/>
      <c r="G68" s="36"/>
      <c r="H68" s="114"/>
      <c r="I68" s="19"/>
      <c r="J68" s="42"/>
      <c r="N68" s="64"/>
      <c r="O68" s="298"/>
      <c r="P68" s="299"/>
    </row>
    <row r="69" spans="2:16" ht="18" thickBot="1">
      <c r="B69" s="7"/>
      <c r="C69" s="8">
        <f>SUM(C12:C67)</f>
        <v>0</v>
      </c>
      <c r="D69" s="8"/>
      <c r="E69" s="8">
        <f>SUM(E12:E67)</f>
        <v>0</v>
      </c>
      <c r="F69" s="39">
        <f>SUM(F12:F67)</f>
        <v>0</v>
      </c>
      <c r="G69" s="71" t="e">
        <f>F69/E69</f>
        <v>#DIV/0!</v>
      </c>
      <c r="H69" s="8"/>
      <c r="I69" s="8"/>
      <c r="J69" s="43">
        <f>SUM(J12:J67)</f>
        <v>0</v>
      </c>
      <c r="N69" s="65"/>
      <c r="O69" s="300"/>
      <c r="P69" s="301"/>
    </row>
  </sheetData>
  <mergeCells count="65"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  <mergeCell ref="O19:P19"/>
    <mergeCell ref="B10:C10"/>
    <mergeCell ref="D10:G10"/>
    <mergeCell ref="H10:J10"/>
    <mergeCell ref="K10:M10"/>
    <mergeCell ref="N10:P10"/>
    <mergeCell ref="O11:P11"/>
    <mergeCell ref="O12:P12"/>
    <mergeCell ref="O13:P13"/>
    <mergeCell ref="O14:P14"/>
    <mergeCell ref="O18:P18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69:P69"/>
    <mergeCell ref="O60:P60"/>
    <mergeCell ref="O61:P61"/>
    <mergeCell ref="O62:P62"/>
    <mergeCell ref="O63:P63"/>
    <mergeCell ref="O67:P67"/>
    <mergeCell ref="O68:P68"/>
  </mergeCells>
  <phoneticPr fontId="2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0695-E8BD-4444-915F-058C20B35D41}">
  <dimension ref="A1:V65"/>
  <sheetViews>
    <sheetView showGridLines="0" tabSelected="1" zoomScaleNormal="100" workbookViewId="0">
      <selection activeCell="D13" sqref="D13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11.09765625" bestFit="1" customWidth="1"/>
    <col min="9" max="9" width="20.3984375" customWidth="1"/>
    <col min="10" max="10" width="11" bestFit="1" customWidth="1"/>
    <col min="11" max="11" width="18" customWidth="1"/>
    <col min="12" max="12" width="11.09765625" customWidth="1"/>
    <col min="13" max="13" width="11.59765625" bestFit="1" customWidth="1"/>
    <col min="14" max="14" width="11.09765625" bestFit="1" customWidth="1"/>
    <col min="15" max="15" width="9.8984375" bestFit="1" customWidth="1"/>
    <col min="18" max="18" width="9.5" bestFit="1" customWidth="1"/>
    <col min="19" max="19" width="14.59765625" bestFit="1" customWidth="1"/>
  </cols>
  <sheetData>
    <row r="1" spans="1:22" ht="18" thickBot="1">
      <c r="A1" t="s">
        <v>27</v>
      </c>
      <c r="B1" s="51" t="s">
        <v>208</v>
      </c>
      <c r="D1" s="73"/>
      <c r="E1" s="73">
        <f ca="1">TODAY()</f>
        <v>46325</v>
      </c>
      <c r="F1" s="140">
        <f ca="1">E1-B5</f>
        <v>46325</v>
      </c>
      <c r="H1" s="73"/>
      <c r="I1" s="73">
        <f>B5+120</f>
        <v>120</v>
      </c>
    </row>
    <row r="2" spans="1:22" ht="18" thickBot="1">
      <c r="F2" s="302" t="s">
        <v>9</v>
      </c>
      <c r="G2" s="305"/>
      <c r="H2" s="314"/>
      <c r="O2" s="302" t="s">
        <v>8</v>
      </c>
      <c r="P2" s="314"/>
    </row>
    <row r="3" spans="1:22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  <c r="R3">
        <v>3</v>
      </c>
      <c r="S3">
        <f>R3/C4</f>
        <v>3.1578947368421052E-3</v>
      </c>
    </row>
    <row r="4" spans="1:22">
      <c r="B4" s="27">
        <v>46318</v>
      </c>
      <c r="C4" s="30">
        <v>950</v>
      </c>
      <c r="D4" s="36">
        <f>C4*31.2</f>
        <v>29640</v>
      </c>
      <c r="E4" s="70">
        <f>D4/C4</f>
        <v>31.2</v>
      </c>
      <c r="F4" s="315">
        <f>C8-P8</f>
        <v>938</v>
      </c>
      <c r="G4" s="318">
        <f>D8-(D8/C8*P8)</f>
        <v>29265.599999999999</v>
      </c>
      <c r="H4" s="327">
        <f>G4/F4</f>
        <v>31.2</v>
      </c>
      <c r="I4" s="321" t="s">
        <v>191</v>
      </c>
      <c r="J4" s="1">
        <f>B4+90</f>
        <v>46408</v>
      </c>
      <c r="K4" s="323">
        <f>C65</f>
        <v>3</v>
      </c>
      <c r="L4" s="325">
        <f>K8/F8</f>
        <v>3.1982942430703624E-3</v>
      </c>
      <c r="M4" s="323">
        <f>E65</f>
        <v>0</v>
      </c>
      <c r="N4" s="323">
        <f>F8-C65-E65</f>
        <v>935</v>
      </c>
      <c r="O4" s="22"/>
      <c r="P4" s="33">
        <v>12</v>
      </c>
      <c r="R4" s="69"/>
    </row>
    <row r="5" spans="1:22">
      <c r="B5" s="27"/>
      <c r="C5" s="30"/>
      <c r="D5" s="37"/>
      <c r="E5" s="70" t="e">
        <f t="shared" ref="E5:E7" si="0"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  <c r="R5" s="69"/>
      <c r="S5" s="91"/>
    </row>
    <row r="6" spans="1:22">
      <c r="B6" s="27"/>
      <c r="C6" s="30"/>
      <c r="D6" s="37"/>
      <c r="E6" s="70" t="e">
        <f t="shared" si="0"/>
        <v>#DIV/0!</v>
      </c>
      <c r="F6" s="316"/>
      <c r="G6" s="319"/>
      <c r="H6" s="328"/>
      <c r="I6" s="321"/>
      <c r="J6" s="1">
        <f>B6+90</f>
        <v>90</v>
      </c>
      <c r="K6" s="323"/>
      <c r="L6" s="325"/>
      <c r="M6" s="323"/>
      <c r="N6" s="323"/>
      <c r="O6" s="22"/>
      <c r="P6" s="33"/>
      <c r="R6" s="128"/>
    </row>
    <row r="7" spans="1:22" ht="18" thickBot="1">
      <c r="B7" s="28"/>
      <c r="C7" s="31"/>
      <c r="D7" s="38"/>
      <c r="E7" s="36" t="e">
        <f t="shared" si="0"/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2" ht="18" thickBot="1">
      <c r="B8" s="9" t="s">
        <v>10</v>
      </c>
      <c r="C8" s="32">
        <f>SUM(C4:C7)</f>
        <v>950</v>
      </c>
      <c r="D8" s="39">
        <f>SUM(D4:D7)</f>
        <v>29640</v>
      </c>
      <c r="E8" s="71">
        <f>D8/C8</f>
        <v>31.2</v>
      </c>
      <c r="F8" s="32">
        <f>SUM(F4)</f>
        <v>938</v>
      </c>
      <c r="G8" s="39">
        <f>SUM(G4)</f>
        <v>29265.599999999999</v>
      </c>
      <c r="H8" s="71">
        <f>G8/F8</f>
        <v>31.2</v>
      </c>
      <c r="I8" s="8"/>
      <c r="J8" s="8"/>
      <c r="K8" s="32">
        <f>K4</f>
        <v>3</v>
      </c>
      <c r="L8" s="26">
        <f>L4</f>
        <v>3.1982942430703624E-3</v>
      </c>
      <c r="M8" s="32">
        <f>M4</f>
        <v>0</v>
      </c>
      <c r="N8" s="32">
        <f>N4</f>
        <v>935</v>
      </c>
      <c r="O8" s="46">
        <f>P8/C8</f>
        <v>1.2631578947368421E-2</v>
      </c>
      <c r="P8" s="35">
        <f>SUM(P4:P7)</f>
        <v>12</v>
      </c>
      <c r="Q8" s="69">
        <f>P8-Q4-Q5-Q6</f>
        <v>12</v>
      </c>
    </row>
    <row r="9" spans="1:22" ht="18" thickBot="1">
      <c r="G9">
        <v>8051</v>
      </c>
      <c r="I9">
        <f>F8*0.95</f>
        <v>891.09999999999991</v>
      </c>
    </row>
    <row r="10" spans="1:22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  <c r="U10" s="296" t="s">
        <v>43</v>
      </c>
      <c r="V10" s="297"/>
    </row>
    <row r="11" spans="1:22" ht="18" thickBot="1">
      <c r="B11" s="9" t="s">
        <v>0</v>
      </c>
      <c r="C11" s="284" t="s">
        <v>1</v>
      </c>
      <c r="D11" s="284" t="s">
        <v>0</v>
      </c>
      <c r="E11" s="284" t="s">
        <v>1</v>
      </c>
      <c r="F11" s="284" t="s">
        <v>2</v>
      </c>
      <c r="G11" s="284" t="s">
        <v>3</v>
      </c>
      <c r="H11" s="284" t="s">
        <v>0</v>
      </c>
      <c r="I11" s="284" t="s">
        <v>15</v>
      </c>
      <c r="J11" s="284" t="s">
        <v>16</v>
      </c>
      <c r="K11" s="56" t="s">
        <v>15</v>
      </c>
      <c r="L11" s="284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  <c r="U11" s="88" t="s">
        <v>44</v>
      </c>
      <c r="V11" s="89" t="s">
        <v>1</v>
      </c>
    </row>
    <row r="12" spans="1:22">
      <c r="B12" s="45">
        <v>46323</v>
      </c>
      <c r="C12" s="13">
        <v>3</v>
      </c>
      <c r="D12" s="75"/>
      <c r="E12" s="10"/>
      <c r="F12" s="44"/>
      <c r="G12" s="79" t="e">
        <f>F12/E12</f>
        <v>#DIV/0!</v>
      </c>
      <c r="H12" s="47"/>
      <c r="I12" s="19"/>
      <c r="J12" s="62"/>
      <c r="K12" s="57" t="s">
        <v>18</v>
      </c>
      <c r="L12" s="52">
        <f>SUMIF($I$12:$I$130,K12,$J$12:$J$130)</f>
        <v>0</v>
      </c>
      <c r="M12" s="48">
        <f>L12/$C$8</f>
        <v>0</v>
      </c>
      <c r="N12" s="66"/>
      <c r="O12" s="310"/>
      <c r="P12" s="311"/>
      <c r="R12" s="84"/>
      <c r="S12" s="85"/>
      <c r="U12" s="84"/>
      <c r="V12" s="85"/>
    </row>
    <row r="13" spans="1:22">
      <c r="B13" s="74"/>
      <c r="C13" s="15"/>
      <c r="D13" s="76"/>
      <c r="E13" s="11"/>
      <c r="F13" s="37"/>
      <c r="G13" s="79" t="e">
        <f t="shared" ref="G13:G44" si="1">F13/E13</f>
        <v>#DIV/0!</v>
      </c>
      <c r="H13" s="47"/>
      <c r="I13" s="19"/>
      <c r="J13" s="62"/>
      <c r="K13" s="58" t="s">
        <v>25</v>
      </c>
      <c r="L13" s="53">
        <f t="shared" ref="L13:L16" si="2">SUMIF($I$12:$I$130,K13,$J$12:$J$130)</f>
        <v>0</v>
      </c>
      <c r="M13" s="49">
        <f t="shared" ref="M13:M16" si="3">L13/$C$8</f>
        <v>0</v>
      </c>
      <c r="N13" s="1"/>
      <c r="O13" s="312"/>
      <c r="P13" s="313"/>
      <c r="R13" s="84"/>
      <c r="S13" s="85"/>
      <c r="U13" s="84"/>
      <c r="V13" s="85"/>
    </row>
    <row r="14" spans="1:22">
      <c r="B14" s="45"/>
      <c r="C14" s="13"/>
      <c r="D14" s="76"/>
      <c r="E14" s="11"/>
      <c r="F14" s="37"/>
      <c r="G14" s="79" t="e">
        <f t="shared" si="1"/>
        <v>#DIV/0!</v>
      </c>
      <c r="H14" s="47"/>
      <c r="I14" s="19"/>
      <c r="J14" s="41"/>
      <c r="K14" s="106" t="s">
        <v>26</v>
      </c>
      <c r="L14" s="53">
        <f t="shared" si="2"/>
        <v>0</v>
      </c>
      <c r="M14" s="107">
        <f t="shared" si="3"/>
        <v>0</v>
      </c>
      <c r="N14" s="1"/>
      <c r="O14" s="298"/>
      <c r="P14" s="299"/>
      <c r="R14" s="84"/>
      <c r="S14" s="85"/>
      <c r="U14" s="84"/>
      <c r="V14" s="85"/>
    </row>
    <row r="15" spans="1:22">
      <c r="B15" s="45"/>
      <c r="C15" s="13"/>
      <c r="D15" s="76"/>
      <c r="E15" s="11"/>
      <c r="F15" s="37"/>
      <c r="G15" s="79" t="e">
        <f t="shared" si="1"/>
        <v>#DIV/0!</v>
      </c>
      <c r="H15" s="47"/>
      <c r="I15" s="19"/>
      <c r="J15" s="41"/>
      <c r="K15" s="125" t="s">
        <v>204</v>
      </c>
      <c r="L15" s="126">
        <f t="shared" si="2"/>
        <v>0</v>
      </c>
      <c r="M15" s="127">
        <f t="shared" si="3"/>
        <v>0</v>
      </c>
      <c r="N15" s="1"/>
      <c r="O15" s="282"/>
      <c r="P15" s="283"/>
      <c r="R15" s="84"/>
      <c r="S15" s="85"/>
      <c r="U15" s="84"/>
      <c r="V15" s="85"/>
    </row>
    <row r="16" spans="1:22">
      <c r="B16" s="45"/>
      <c r="C16" s="13"/>
      <c r="D16" s="76"/>
      <c r="E16" s="11"/>
      <c r="F16" s="37"/>
      <c r="G16" s="79" t="e">
        <f t="shared" si="1"/>
        <v>#DIV/0!</v>
      </c>
      <c r="H16" s="47"/>
      <c r="I16" s="19"/>
      <c r="J16" s="41"/>
      <c r="K16" s="125" t="s">
        <v>93</v>
      </c>
      <c r="L16" s="126">
        <f t="shared" si="2"/>
        <v>0</v>
      </c>
      <c r="M16" s="127">
        <f t="shared" si="3"/>
        <v>0</v>
      </c>
      <c r="N16" s="1"/>
      <c r="O16" s="282"/>
      <c r="P16" s="283"/>
      <c r="R16" s="84"/>
      <c r="S16" s="85"/>
      <c r="U16" s="84"/>
      <c r="V16" s="85"/>
    </row>
    <row r="17" spans="2:22" ht="18" thickBot="1">
      <c r="B17" s="74"/>
      <c r="C17" s="15"/>
      <c r="D17" s="76"/>
      <c r="E17" s="11"/>
      <c r="F17" s="37"/>
      <c r="G17" s="79" t="e">
        <f t="shared" si="1"/>
        <v>#DIV/0!</v>
      </c>
      <c r="H17" s="47"/>
      <c r="I17" s="19"/>
      <c r="J17" s="41"/>
      <c r="K17" s="60" t="s">
        <v>21</v>
      </c>
      <c r="L17" s="55">
        <f>SUM(L12:L16)</f>
        <v>0</v>
      </c>
      <c r="M17" s="40">
        <f>L17/F8</f>
        <v>0</v>
      </c>
      <c r="N17" s="1"/>
      <c r="O17" s="298"/>
      <c r="P17" s="299"/>
      <c r="R17" s="84"/>
      <c r="S17" s="85"/>
      <c r="U17" s="84"/>
      <c r="V17" s="85"/>
    </row>
    <row r="18" spans="2:22">
      <c r="B18" s="74"/>
      <c r="C18" s="15"/>
      <c r="D18" s="76"/>
      <c r="E18" s="11"/>
      <c r="F18" s="37"/>
      <c r="G18" s="79" t="e">
        <f t="shared" si="1"/>
        <v>#DIV/0!</v>
      </c>
      <c r="H18" s="47"/>
      <c r="I18" s="19"/>
      <c r="J18" s="41"/>
      <c r="N18" s="63"/>
      <c r="O18" s="298"/>
      <c r="P18" s="299"/>
      <c r="R18" s="84"/>
      <c r="S18" s="85"/>
      <c r="U18" s="84"/>
      <c r="V18" s="85"/>
    </row>
    <row r="19" spans="2:22">
      <c r="B19" s="74"/>
      <c r="C19" s="15"/>
      <c r="D19" s="76"/>
      <c r="E19" s="11"/>
      <c r="F19" s="37"/>
      <c r="G19" s="79" t="e">
        <f t="shared" si="1"/>
        <v>#DIV/0!</v>
      </c>
      <c r="H19" s="47"/>
      <c r="I19" s="19"/>
      <c r="J19" s="41"/>
      <c r="N19" s="63"/>
      <c r="O19" s="298"/>
      <c r="P19" s="299"/>
      <c r="R19" s="84"/>
      <c r="S19" s="85"/>
      <c r="U19" s="84"/>
      <c r="V19" s="85"/>
    </row>
    <row r="20" spans="2:22">
      <c r="B20" s="74"/>
      <c r="C20" s="15"/>
      <c r="D20" s="76"/>
      <c r="E20" s="11"/>
      <c r="F20" s="37"/>
      <c r="G20" s="79" t="e">
        <f t="shared" si="1"/>
        <v>#DIV/0!</v>
      </c>
      <c r="H20" s="47"/>
      <c r="I20" s="19"/>
      <c r="J20" s="41"/>
      <c r="K20" t="s">
        <v>32</v>
      </c>
      <c r="L20" s="78">
        <f>(J65/I9)/(113-H8)</f>
        <v>0</v>
      </c>
      <c r="N20" s="63"/>
      <c r="O20" s="298"/>
      <c r="P20" s="299"/>
      <c r="R20" s="84"/>
      <c r="S20" s="85"/>
      <c r="U20" s="84"/>
      <c r="V20" s="85"/>
    </row>
    <row r="21" spans="2:22">
      <c r="B21" s="74"/>
      <c r="C21" s="15"/>
      <c r="D21" s="76"/>
      <c r="E21" s="11"/>
      <c r="F21" s="37"/>
      <c r="G21" s="79" t="e">
        <f t="shared" si="1"/>
        <v>#DIV/0!</v>
      </c>
      <c r="H21" s="47"/>
      <c r="I21" s="19"/>
      <c r="J21" s="41"/>
      <c r="K21" t="s">
        <v>172</v>
      </c>
      <c r="L21">
        <f>(J42+J41)/N8/4</f>
        <v>0</v>
      </c>
      <c r="N21" s="63"/>
      <c r="O21" s="298"/>
      <c r="P21" s="299"/>
      <c r="R21" s="84"/>
      <c r="S21" s="85"/>
      <c r="U21" s="84"/>
      <c r="V21" s="85"/>
    </row>
    <row r="22" spans="2:22">
      <c r="B22" s="74"/>
      <c r="C22" s="15"/>
      <c r="D22" s="76"/>
      <c r="E22" s="11"/>
      <c r="F22" s="37"/>
      <c r="G22" s="79" t="e">
        <f t="shared" si="1"/>
        <v>#DIV/0!</v>
      </c>
      <c r="H22" s="47"/>
      <c r="I22" s="19"/>
      <c r="J22" s="41"/>
      <c r="N22" s="63"/>
      <c r="O22" s="298"/>
      <c r="P22" s="299"/>
      <c r="R22" s="84"/>
      <c r="S22" s="85"/>
      <c r="U22" s="84"/>
      <c r="V22" s="85"/>
    </row>
    <row r="23" spans="2:22">
      <c r="B23" s="74"/>
      <c r="C23" s="15"/>
      <c r="D23" s="76"/>
      <c r="E23" s="11"/>
      <c r="F23" s="37"/>
      <c r="G23" s="79" t="e">
        <f t="shared" si="1"/>
        <v>#DIV/0!</v>
      </c>
      <c r="H23" s="47"/>
      <c r="I23" s="19"/>
      <c r="J23" s="41"/>
      <c r="N23" s="63"/>
      <c r="O23" s="298"/>
      <c r="P23" s="299"/>
      <c r="R23" s="84"/>
      <c r="S23" s="85"/>
      <c r="U23" s="84"/>
      <c r="V23" s="85"/>
    </row>
    <row r="24" spans="2:22">
      <c r="B24" s="74"/>
      <c r="C24" s="15"/>
      <c r="D24" s="76"/>
      <c r="E24" s="11"/>
      <c r="F24" s="37"/>
      <c r="G24" s="79" t="e">
        <f t="shared" si="1"/>
        <v>#DIV/0!</v>
      </c>
      <c r="H24" s="47"/>
      <c r="I24" s="19"/>
      <c r="J24" s="41"/>
      <c r="M24" s="25"/>
      <c r="N24" s="63"/>
      <c r="O24" s="298"/>
      <c r="P24" s="299"/>
      <c r="R24" s="84"/>
      <c r="S24" s="85"/>
      <c r="U24" s="84"/>
      <c r="V24" s="85"/>
    </row>
    <row r="25" spans="2:22">
      <c r="B25" s="74"/>
      <c r="C25" s="15"/>
      <c r="D25" s="76"/>
      <c r="E25" s="11"/>
      <c r="F25" s="37"/>
      <c r="G25" s="79" t="e">
        <f t="shared" si="1"/>
        <v>#DIV/0!</v>
      </c>
      <c r="H25" s="47"/>
      <c r="I25" s="19"/>
      <c r="J25" s="41"/>
      <c r="N25" s="63"/>
      <c r="O25" s="298"/>
      <c r="P25" s="299"/>
      <c r="R25" s="84"/>
      <c r="S25" s="85"/>
      <c r="U25" s="84"/>
      <c r="V25" s="85"/>
    </row>
    <row r="26" spans="2:22">
      <c r="B26" s="74"/>
      <c r="C26" s="15"/>
      <c r="D26" s="76"/>
      <c r="E26" s="11"/>
      <c r="F26" s="37"/>
      <c r="G26" s="79" t="e">
        <f t="shared" si="1"/>
        <v>#DIV/0!</v>
      </c>
      <c r="H26" s="47"/>
      <c r="I26" s="19"/>
      <c r="J26" s="41"/>
      <c r="N26" s="63"/>
      <c r="O26" s="298"/>
      <c r="P26" s="299"/>
      <c r="R26" s="84"/>
      <c r="S26" s="85"/>
      <c r="U26" s="84"/>
      <c r="V26" s="85"/>
    </row>
    <row r="27" spans="2:22">
      <c r="B27" s="74"/>
      <c r="C27" s="15"/>
      <c r="D27" s="76"/>
      <c r="E27" s="11"/>
      <c r="F27" s="37"/>
      <c r="G27" s="79" t="e">
        <f t="shared" si="1"/>
        <v>#DIV/0!</v>
      </c>
      <c r="H27" s="47"/>
      <c r="I27" s="19"/>
      <c r="J27" s="41"/>
      <c r="N27" s="64"/>
      <c r="O27" s="298"/>
      <c r="P27" s="299"/>
      <c r="R27" s="84"/>
      <c r="S27" s="85"/>
      <c r="U27" s="84"/>
      <c r="V27" s="85"/>
    </row>
    <row r="28" spans="2:22">
      <c r="B28" s="74"/>
      <c r="C28" s="15"/>
      <c r="D28" s="76"/>
      <c r="E28" s="11"/>
      <c r="F28" s="37"/>
      <c r="G28" s="79" t="e">
        <f t="shared" si="1"/>
        <v>#DIV/0!</v>
      </c>
      <c r="H28" s="47"/>
      <c r="I28" s="19"/>
      <c r="J28" s="41"/>
      <c r="N28" s="64"/>
      <c r="O28" s="288"/>
      <c r="P28" s="289"/>
      <c r="R28" s="84"/>
      <c r="S28" s="85"/>
      <c r="U28" s="84"/>
      <c r="V28" s="85"/>
    </row>
    <row r="29" spans="2:22">
      <c r="B29" s="74"/>
      <c r="C29" s="15"/>
      <c r="D29" s="76"/>
      <c r="E29" s="11"/>
      <c r="F29" s="37"/>
      <c r="G29" s="79" t="e">
        <f t="shared" si="1"/>
        <v>#DIV/0!</v>
      </c>
      <c r="H29" s="47"/>
      <c r="I29" s="19"/>
      <c r="J29" s="41"/>
      <c r="N29" s="64"/>
      <c r="O29" s="288"/>
      <c r="P29" s="289"/>
      <c r="R29" s="84"/>
      <c r="S29" s="85"/>
      <c r="U29" s="84"/>
      <c r="V29" s="85"/>
    </row>
    <row r="30" spans="2:22">
      <c r="B30" s="74"/>
      <c r="C30" s="15"/>
      <c r="D30" s="76"/>
      <c r="E30" s="11"/>
      <c r="F30" s="37"/>
      <c r="G30" s="79" t="e">
        <f t="shared" si="1"/>
        <v>#DIV/0!</v>
      </c>
      <c r="H30" s="47"/>
      <c r="I30" s="19"/>
      <c r="J30" s="41"/>
      <c r="N30" s="64"/>
      <c r="O30" s="288"/>
      <c r="P30" s="289"/>
      <c r="R30" s="84"/>
      <c r="S30" s="85"/>
      <c r="U30" s="84"/>
      <c r="V30" s="85"/>
    </row>
    <row r="31" spans="2:22">
      <c r="B31" s="74"/>
      <c r="C31" s="15"/>
      <c r="D31" s="76"/>
      <c r="E31" s="11"/>
      <c r="F31" s="37"/>
      <c r="G31" s="79" t="e">
        <f t="shared" si="1"/>
        <v>#DIV/0!</v>
      </c>
      <c r="H31" s="47"/>
      <c r="I31" s="19"/>
      <c r="J31" s="41"/>
      <c r="N31" s="64"/>
      <c r="O31" s="288"/>
      <c r="P31" s="289"/>
      <c r="R31" s="84"/>
      <c r="S31" s="85"/>
      <c r="U31" s="84"/>
      <c r="V31" s="85"/>
    </row>
    <row r="32" spans="2:22">
      <c r="B32" s="74"/>
      <c r="C32" s="15"/>
      <c r="D32" s="76"/>
      <c r="E32" s="11"/>
      <c r="F32" s="37"/>
      <c r="G32" s="79" t="e">
        <f t="shared" si="1"/>
        <v>#DIV/0!</v>
      </c>
      <c r="H32" s="47"/>
      <c r="I32" s="19"/>
      <c r="J32" s="41"/>
      <c r="N32" s="64"/>
      <c r="O32" s="288"/>
      <c r="P32" s="289"/>
      <c r="R32" s="84"/>
      <c r="S32" s="85"/>
      <c r="U32" s="84"/>
      <c r="V32" s="85"/>
    </row>
    <row r="33" spans="2:22">
      <c r="B33" s="74"/>
      <c r="C33" s="15"/>
      <c r="D33" s="76"/>
      <c r="E33" s="11"/>
      <c r="F33" s="37"/>
      <c r="G33" s="79" t="e">
        <f t="shared" si="1"/>
        <v>#DIV/0!</v>
      </c>
      <c r="H33" s="47"/>
      <c r="I33" s="19"/>
      <c r="J33" s="41"/>
      <c r="N33" s="64"/>
      <c r="O33" s="298"/>
      <c r="P33" s="299"/>
      <c r="R33" s="84"/>
      <c r="S33" s="85"/>
      <c r="U33" s="84"/>
      <c r="V33" s="85"/>
    </row>
    <row r="34" spans="2:22">
      <c r="B34" s="74"/>
      <c r="C34" s="15"/>
      <c r="D34" s="76"/>
      <c r="E34" s="11"/>
      <c r="F34" s="37"/>
      <c r="G34" s="79" t="e">
        <f t="shared" si="1"/>
        <v>#DIV/0!</v>
      </c>
      <c r="H34" s="47"/>
      <c r="I34" s="19"/>
      <c r="J34" s="41"/>
      <c r="N34" s="64"/>
      <c r="O34" s="298"/>
      <c r="P34" s="299"/>
      <c r="R34" s="84"/>
      <c r="S34" s="85"/>
      <c r="U34" s="84"/>
      <c r="V34" s="85"/>
    </row>
    <row r="35" spans="2:22">
      <c r="B35" s="74"/>
      <c r="C35" s="15"/>
      <c r="D35" s="11"/>
      <c r="E35" s="11"/>
      <c r="F35" s="37"/>
      <c r="G35" s="79" t="e">
        <f t="shared" si="1"/>
        <v>#DIV/0!</v>
      </c>
      <c r="H35" s="47"/>
      <c r="I35" s="19"/>
      <c r="J35" s="41"/>
      <c r="N35" s="64"/>
      <c r="O35" s="298"/>
      <c r="P35" s="299"/>
      <c r="R35" s="84"/>
      <c r="S35" s="85"/>
      <c r="U35" s="84"/>
      <c r="V35" s="85"/>
    </row>
    <row r="36" spans="2:22">
      <c r="B36" s="74"/>
      <c r="C36" s="15"/>
      <c r="D36" s="11"/>
      <c r="E36" s="11"/>
      <c r="F36" s="37"/>
      <c r="G36" s="79" t="e">
        <f t="shared" si="1"/>
        <v>#DIV/0!</v>
      </c>
      <c r="H36" s="47"/>
      <c r="I36" s="19"/>
      <c r="J36" s="41"/>
      <c r="N36" s="64"/>
      <c r="O36" s="298"/>
      <c r="P36" s="299"/>
      <c r="R36" s="84"/>
      <c r="S36" s="85"/>
      <c r="U36" s="84"/>
      <c r="V36" s="85"/>
    </row>
    <row r="37" spans="2:22">
      <c r="B37" s="74"/>
      <c r="C37" s="15"/>
      <c r="D37" s="11"/>
      <c r="E37" s="11"/>
      <c r="F37" s="37"/>
      <c r="G37" s="79" t="e">
        <f t="shared" si="1"/>
        <v>#DIV/0!</v>
      </c>
      <c r="H37" s="47"/>
      <c r="I37" s="19"/>
      <c r="J37" s="41"/>
      <c r="N37" s="64"/>
      <c r="O37" s="298"/>
      <c r="P37" s="299"/>
      <c r="R37" s="84"/>
      <c r="S37" s="85"/>
      <c r="U37" s="84"/>
      <c r="V37" s="85"/>
    </row>
    <row r="38" spans="2:22" ht="18" thickBot="1">
      <c r="B38" s="74"/>
      <c r="C38" s="15"/>
      <c r="D38" s="11"/>
      <c r="E38" s="11"/>
      <c r="F38" s="37"/>
      <c r="G38" s="79" t="e">
        <f t="shared" si="1"/>
        <v>#DIV/0!</v>
      </c>
      <c r="H38" s="47"/>
      <c r="I38" s="19"/>
      <c r="J38" s="41"/>
      <c r="N38" s="64"/>
      <c r="O38" s="298"/>
      <c r="P38" s="299"/>
      <c r="R38" s="86"/>
      <c r="S38" s="87"/>
      <c r="U38" s="86"/>
      <c r="V38" s="87"/>
    </row>
    <row r="39" spans="2:22" ht="18" thickTop="1">
      <c r="B39" s="74"/>
      <c r="C39" s="15"/>
      <c r="D39" s="11"/>
      <c r="E39" s="11"/>
      <c r="F39" s="37"/>
      <c r="G39" s="79" t="e">
        <f t="shared" si="1"/>
        <v>#DIV/0!</v>
      </c>
      <c r="H39" s="47"/>
      <c r="I39" s="19"/>
      <c r="J39" s="41"/>
      <c r="N39" s="64"/>
      <c r="O39" s="298"/>
      <c r="P39" s="299"/>
    </row>
    <row r="40" spans="2:22">
      <c r="B40" s="74"/>
      <c r="C40" s="15"/>
      <c r="D40" s="11"/>
      <c r="E40" s="11"/>
      <c r="F40" s="37"/>
      <c r="G40" s="79" t="e">
        <f t="shared" si="1"/>
        <v>#DIV/0!</v>
      </c>
      <c r="H40" s="47"/>
      <c r="I40" s="19"/>
      <c r="J40" s="41"/>
      <c r="N40" s="64"/>
      <c r="O40" s="298"/>
      <c r="P40" s="299"/>
    </row>
    <row r="41" spans="2:22">
      <c r="B41" s="74"/>
      <c r="C41" s="15"/>
      <c r="D41" s="11"/>
      <c r="E41" s="11"/>
      <c r="F41" s="37"/>
      <c r="G41" s="79" t="e">
        <f t="shared" si="1"/>
        <v>#DIV/0!</v>
      </c>
      <c r="H41" s="47"/>
      <c r="I41" s="19"/>
      <c r="J41" s="41"/>
      <c r="N41" s="64"/>
      <c r="O41" s="298"/>
      <c r="P41" s="299"/>
    </row>
    <row r="42" spans="2:22">
      <c r="B42" s="14"/>
      <c r="C42" s="15"/>
      <c r="D42" s="11"/>
      <c r="E42" s="11"/>
      <c r="F42" s="37"/>
      <c r="G42" s="79" t="e">
        <f t="shared" si="1"/>
        <v>#DIV/0!</v>
      </c>
      <c r="H42" s="47"/>
      <c r="I42" s="19"/>
      <c r="J42" s="41"/>
      <c r="N42" s="64"/>
      <c r="O42" s="298"/>
      <c r="P42" s="299"/>
    </row>
    <row r="43" spans="2:22">
      <c r="B43" s="14"/>
      <c r="C43" s="15"/>
      <c r="D43" s="11"/>
      <c r="E43" s="11"/>
      <c r="F43" s="37"/>
      <c r="G43" s="79" t="e">
        <f t="shared" si="1"/>
        <v>#DIV/0!</v>
      </c>
      <c r="H43" s="47"/>
      <c r="I43" s="19"/>
      <c r="J43" s="41"/>
      <c r="N43" s="64"/>
      <c r="O43" s="298"/>
      <c r="P43" s="299"/>
    </row>
    <row r="44" spans="2:22">
      <c r="B44" s="14"/>
      <c r="C44" s="15"/>
      <c r="D44" s="11"/>
      <c r="E44" s="11"/>
      <c r="F44" s="37"/>
      <c r="G44" s="79" t="e">
        <f t="shared" si="1"/>
        <v>#DIV/0!</v>
      </c>
      <c r="H44" s="47"/>
      <c r="I44" s="19"/>
      <c r="J44" s="41"/>
      <c r="N44" s="64"/>
      <c r="O44" s="298"/>
      <c r="P44" s="299"/>
    </row>
    <row r="45" spans="2:22">
      <c r="B45" s="14"/>
      <c r="C45" s="15"/>
      <c r="D45" s="11"/>
      <c r="E45" s="11"/>
      <c r="F45" s="37"/>
      <c r="G45" s="37"/>
      <c r="H45" s="47"/>
      <c r="I45" s="19"/>
      <c r="J45" s="41"/>
      <c r="N45" s="64"/>
      <c r="O45" s="298"/>
      <c r="P45" s="299"/>
    </row>
    <row r="46" spans="2:22">
      <c r="B46" s="14"/>
      <c r="C46" s="15"/>
      <c r="D46" s="11"/>
      <c r="E46" s="11"/>
      <c r="F46" s="37"/>
      <c r="G46" s="37"/>
      <c r="H46" s="47"/>
      <c r="I46" s="19"/>
      <c r="J46" s="41"/>
      <c r="N46" s="64"/>
      <c r="O46" s="298"/>
      <c r="P46" s="299"/>
    </row>
    <row r="47" spans="2:22">
      <c r="B47" s="14"/>
      <c r="C47" s="15"/>
      <c r="D47" s="11"/>
      <c r="E47" s="11"/>
      <c r="F47" s="37"/>
      <c r="G47" s="37"/>
      <c r="H47" s="47"/>
      <c r="I47" s="19"/>
      <c r="J47" s="41"/>
      <c r="N47" s="64"/>
      <c r="O47" s="298"/>
      <c r="P47" s="299"/>
    </row>
    <row r="48" spans="2:22">
      <c r="B48" s="14"/>
      <c r="C48" s="15"/>
      <c r="D48" s="11"/>
      <c r="E48" s="11"/>
      <c r="F48" s="37"/>
      <c r="G48" s="37"/>
      <c r="H48" s="47"/>
      <c r="I48" s="19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/>
      <c r="I49" s="19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/>
      <c r="I50" s="19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/>
      <c r="I51" s="19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/>
      <c r="I52" s="19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/>
      <c r="I53" s="19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47"/>
      <c r="I54" s="19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47"/>
      <c r="I55" s="19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47"/>
      <c r="I56" s="19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279"/>
      <c r="I57" s="19"/>
      <c r="J57" s="41"/>
      <c r="N57" s="64"/>
      <c r="O57" s="298"/>
      <c r="P57" s="299"/>
    </row>
    <row r="58" spans="2:16">
      <c r="B58" s="14"/>
      <c r="C58" s="15"/>
      <c r="D58" s="11"/>
      <c r="E58" s="11"/>
      <c r="F58" s="37"/>
      <c r="G58" s="37"/>
      <c r="H58" s="279"/>
      <c r="I58" s="19"/>
      <c r="J58" s="41"/>
      <c r="N58" s="64"/>
      <c r="O58" s="298"/>
      <c r="P58" s="299"/>
    </row>
    <row r="59" spans="2:16">
      <c r="B59" s="14"/>
      <c r="C59" s="15"/>
      <c r="D59" s="11"/>
      <c r="E59" s="11"/>
      <c r="F59" s="37"/>
      <c r="G59" s="37"/>
      <c r="H59" s="279"/>
      <c r="I59" s="19"/>
      <c r="J59" s="41"/>
      <c r="N59" s="64"/>
      <c r="O59" s="298"/>
      <c r="P59" s="299"/>
    </row>
    <row r="60" spans="2:16">
      <c r="B60" s="14"/>
      <c r="C60" s="15"/>
      <c r="D60" s="11"/>
      <c r="E60" s="11"/>
      <c r="F60" s="37"/>
      <c r="G60" s="37"/>
      <c r="H60" s="279"/>
      <c r="I60" s="19"/>
      <c r="J60" s="41"/>
      <c r="N60" s="64"/>
      <c r="O60" s="298"/>
      <c r="P60" s="299"/>
    </row>
    <row r="61" spans="2:16">
      <c r="B61" s="14"/>
      <c r="C61" s="15"/>
      <c r="D61" s="11"/>
      <c r="E61" s="11"/>
      <c r="F61" s="37"/>
      <c r="G61" s="37"/>
      <c r="H61" s="279"/>
      <c r="I61" s="19"/>
      <c r="J61" s="41"/>
      <c r="N61" s="64"/>
      <c r="O61" s="298"/>
      <c r="P61" s="299"/>
    </row>
    <row r="62" spans="2:16">
      <c r="B62" s="14"/>
      <c r="C62" s="15"/>
      <c r="D62" s="11"/>
      <c r="E62" s="11"/>
      <c r="F62" s="37"/>
      <c r="G62" s="37"/>
      <c r="H62" s="279"/>
      <c r="I62" s="19"/>
      <c r="J62" s="41"/>
      <c r="N62" s="64"/>
      <c r="O62" s="298"/>
      <c r="P62" s="299"/>
    </row>
    <row r="63" spans="2:16">
      <c r="B63" s="14"/>
      <c r="C63" s="15"/>
      <c r="D63" s="11"/>
      <c r="E63" s="11"/>
      <c r="F63" s="37"/>
      <c r="G63" s="37"/>
      <c r="H63" s="279"/>
      <c r="I63" s="20"/>
      <c r="J63" s="41"/>
      <c r="N63" s="64"/>
      <c r="O63" s="298"/>
      <c r="P63" s="299"/>
    </row>
    <row r="64" spans="2:16" ht="18" thickBot="1">
      <c r="B64" s="16"/>
      <c r="C64" s="17"/>
      <c r="D64" s="12"/>
      <c r="E64" s="12"/>
      <c r="F64" s="36"/>
      <c r="G64" s="36"/>
      <c r="H64" s="21"/>
      <c r="I64" s="21"/>
      <c r="J64" s="42"/>
      <c r="N64" s="64"/>
      <c r="O64" s="298"/>
      <c r="P64" s="299"/>
    </row>
    <row r="65" spans="2:16" ht="18" thickBot="1">
      <c r="B65" s="7"/>
      <c r="C65" s="8">
        <f>SUM(C12:C64)</f>
        <v>3</v>
      </c>
      <c r="D65" s="8"/>
      <c r="E65" s="8">
        <f>SUM(E12:E64)</f>
        <v>0</v>
      </c>
      <c r="F65" s="39">
        <f>SUM(F12:F64)</f>
        <v>0</v>
      </c>
      <c r="G65" s="71" t="e">
        <f>F65/E65</f>
        <v>#DIV/0!</v>
      </c>
      <c r="H65" s="8"/>
      <c r="I65" s="8"/>
      <c r="J65" s="43">
        <f>SUM(J12:J64)</f>
        <v>0</v>
      </c>
      <c r="N65" s="65"/>
      <c r="O65" s="300"/>
      <c r="P65" s="301"/>
    </row>
  </sheetData>
  <mergeCells count="65">
    <mergeCell ref="O65:P65"/>
    <mergeCell ref="O59:P59"/>
    <mergeCell ref="O60:P60"/>
    <mergeCell ref="O61:P61"/>
    <mergeCell ref="O62:P62"/>
    <mergeCell ref="O63:P63"/>
    <mergeCell ref="O64:P64"/>
    <mergeCell ref="O58:P58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46:P46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34:P34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33:P33"/>
    <mergeCell ref="U10:V10"/>
    <mergeCell ref="O11:P11"/>
    <mergeCell ref="O12:P12"/>
    <mergeCell ref="O13:P13"/>
    <mergeCell ref="O14:P14"/>
    <mergeCell ref="R10:S10"/>
    <mergeCell ref="O17:P17"/>
    <mergeCell ref="B10:C10"/>
    <mergeCell ref="D10:G10"/>
    <mergeCell ref="H10:J10"/>
    <mergeCell ref="K10:M10"/>
    <mergeCell ref="N10:P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C5-8BC1-435C-8483-B85542A7A289}">
  <dimension ref="A1:U95"/>
  <sheetViews>
    <sheetView showGridLines="0" workbookViewId="0">
      <selection activeCell="B4" sqref="B4"/>
    </sheetView>
  </sheetViews>
  <sheetFormatPr defaultRowHeight="17.399999999999999"/>
  <cols>
    <col min="2" max="2" width="11.09765625" bestFit="1" customWidth="1"/>
    <col min="4" max="5" width="11.09765625" bestFit="1" customWidth="1"/>
    <col min="8" max="8" width="11.19921875" customWidth="1"/>
    <col min="9" max="9" width="19.8984375" customWidth="1"/>
    <col min="10" max="10" width="11" bestFit="1" customWidth="1"/>
    <col min="11" max="11" width="21.3984375" bestFit="1" customWidth="1"/>
    <col min="12" max="12" width="10" bestFit="1" customWidth="1"/>
    <col min="13" max="13" width="11.59765625" bestFit="1" customWidth="1"/>
    <col min="14" max="14" width="11.09765625" bestFit="1" customWidth="1"/>
    <col min="15" max="15" width="9.8984375" bestFit="1" customWidth="1"/>
    <col min="21" max="21" width="11.8984375" bestFit="1" customWidth="1"/>
  </cols>
  <sheetData>
    <row r="1" spans="1:21" ht="18" thickBot="1">
      <c r="A1" t="s">
        <v>27</v>
      </c>
      <c r="B1" s="51" t="s">
        <v>206</v>
      </c>
      <c r="D1" s="73"/>
      <c r="E1" s="73">
        <f ca="1">TODAY()</f>
        <v>46325</v>
      </c>
      <c r="F1">
        <f ca="1">E1-B4</f>
        <v>46325</v>
      </c>
      <c r="J1">
        <f>D18-B4</f>
        <v>0</v>
      </c>
    </row>
    <row r="2" spans="1:21" ht="18" thickBot="1">
      <c r="F2" s="302" t="s">
        <v>9</v>
      </c>
      <c r="G2" s="305"/>
      <c r="H2" s="314"/>
      <c r="O2" s="302" t="s">
        <v>8</v>
      </c>
      <c r="P2" s="314"/>
    </row>
    <row r="3" spans="1:21">
      <c r="B3" s="3" t="s">
        <v>0</v>
      </c>
      <c r="C3" s="4" t="s">
        <v>1</v>
      </c>
      <c r="D3" s="4" t="s">
        <v>2</v>
      </c>
      <c r="E3" s="4" t="s">
        <v>3</v>
      </c>
      <c r="F3" s="4" t="s">
        <v>1</v>
      </c>
      <c r="G3" s="4" t="s">
        <v>2</v>
      </c>
      <c r="H3" s="4" t="s">
        <v>3</v>
      </c>
      <c r="I3" s="4" t="s">
        <v>24</v>
      </c>
      <c r="J3" s="4" t="s">
        <v>11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0</v>
      </c>
      <c r="P3" s="5" t="s">
        <v>1</v>
      </c>
    </row>
    <row r="4" spans="1:21">
      <c r="B4" s="27"/>
      <c r="C4" s="30"/>
      <c r="D4" s="37"/>
      <c r="E4" s="70" t="e">
        <f>D4/C4</f>
        <v>#DIV/0!</v>
      </c>
      <c r="F4" s="315">
        <f>C8-P8</f>
        <v>0</v>
      </c>
      <c r="G4" s="318" t="e">
        <f>D8-(D8/C8*P8)</f>
        <v>#DIV/0!</v>
      </c>
      <c r="H4" s="327" t="e">
        <f>G4/F4</f>
        <v>#DIV/0!</v>
      </c>
      <c r="I4" s="321" t="s">
        <v>191</v>
      </c>
      <c r="J4" s="1">
        <f>B4+90</f>
        <v>90</v>
      </c>
      <c r="K4" s="323">
        <f>C61</f>
        <v>0</v>
      </c>
      <c r="L4" s="325" t="e">
        <f>K8/F8</f>
        <v>#DIV/0!</v>
      </c>
      <c r="M4" s="323">
        <f>E61</f>
        <v>0</v>
      </c>
      <c r="N4" s="323">
        <f>F8-C61-E61</f>
        <v>0</v>
      </c>
      <c r="O4" s="22"/>
      <c r="P4" s="33"/>
      <c r="Q4">
        <v>10</v>
      </c>
      <c r="R4" s="69">
        <f>C4-P4</f>
        <v>0</v>
      </c>
      <c r="T4" s="95"/>
    </row>
    <row r="5" spans="1:21">
      <c r="B5" s="27"/>
      <c r="C5" s="30"/>
      <c r="D5" s="37"/>
      <c r="E5" s="70" t="e">
        <f>D5/C5</f>
        <v>#DIV/0!</v>
      </c>
      <c r="F5" s="316"/>
      <c r="G5" s="319"/>
      <c r="H5" s="328"/>
      <c r="I5" s="321"/>
      <c r="J5" s="1">
        <f>B5+90</f>
        <v>90</v>
      </c>
      <c r="K5" s="323"/>
      <c r="L5" s="325"/>
      <c r="M5" s="323"/>
      <c r="N5" s="323"/>
      <c r="O5" s="22"/>
      <c r="P5" s="33"/>
    </row>
    <row r="6" spans="1:21">
      <c r="B6" s="27"/>
      <c r="C6" s="30"/>
      <c r="D6" s="37"/>
      <c r="E6" s="70" t="e">
        <f>D6/C6</f>
        <v>#DIV/0!</v>
      </c>
      <c r="F6" s="316"/>
      <c r="G6" s="319"/>
      <c r="H6" s="328"/>
      <c r="I6" s="321"/>
      <c r="J6" s="2"/>
      <c r="K6" s="323"/>
      <c r="L6" s="325"/>
      <c r="M6" s="323"/>
      <c r="N6" s="323"/>
      <c r="O6" s="23"/>
      <c r="P6" s="33"/>
    </row>
    <row r="7" spans="1:21" ht="18" thickBot="1">
      <c r="B7" s="28"/>
      <c r="C7" s="31"/>
      <c r="D7" s="38"/>
      <c r="E7" s="70" t="e">
        <f>D7/C7</f>
        <v>#DIV/0!</v>
      </c>
      <c r="F7" s="317"/>
      <c r="G7" s="320"/>
      <c r="H7" s="329"/>
      <c r="I7" s="322"/>
      <c r="J7" s="6"/>
      <c r="K7" s="324"/>
      <c r="L7" s="326"/>
      <c r="M7" s="324"/>
      <c r="N7" s="324"/>
      <c r="O7" s="24"/>
      <c r="P7" s="34"/>
    </row>
    <row r="8" spans="1:21" ht="18" thickBot="1">
      <c r="B8" s="9" t="s">
        <v>10</v>
      </c>
      <c r="C8" s="32">
        <f>SUM(C4:C7)</f>
        <v>0</v>
      </c>
      <c r="D8" s="39">
        <f>SUM(D4:D7)</f>
        <v>0</v>
      </c>
      <c r="E8" s="71" t="e">
        <f>D8/C8</f>
        <v>#DIV/0!</v>
      </c>
      <c r="F8" s="32">
        <f>SUM(F4)</f>
        <v>0</v>
      </c>
      <c r="G8" s="39" t="e">
        <f>SUM(G4)</f>
        <v>#DIV/0!</v>
      </c>
      <c r="H8" s="71" t="e">
        <f>G8/F8</f>
        <v>#DIV/0!</v>
      </c>
      <c r="I8" s="8"/>
      <c r="J8" s="8"/>
      <c r="K8" s="32">
        <f>K4</f>
        <v>0</v>
      </c>
      <c r="L8" s="26" t="e">
        <f>L4</f>
        <v>#DIV/0!</v>
      </c>
      <c r="M8" s="32">
        <f>M4</f>
        <v>0</v>
      </c>
      <c r="N8" s="32">
        <f>N4</f>
        <v>0</v>
      </c>
      <c r="O8" s="46" t="e">
        <f>P8/C8</f>
        <v>#DIV/0!</v>
      </c>
      <c r="P8" s="35">
        <f>SUM(P4:P7)</f>
        <v>0</v>
      </c>
      <c r="Q8" s="69">
        <f>P8-Q4-Q5</f>
        <v>-10</v>
      </c>
    </row>
    <row r="9" spans="1:21" ht="18" thickBot="1">
      <c r="G9">
        <v>10008</v>
      </c>
      <c r="I9">
        <f>F8*0.95</f>
        <v>0</v>
      </c>
    </row>
    <row r="10" spans="1:21" ht="18.600000000000001" thickTop="1" thickBot="1">
      <c r="B10" s="302" t="s">
        <v>12</v>
      </c>
      <c r="C10" s="303"/>
      <c r="D10" s="304" t="s">
        <v>13</v>
      </c>
      <c r="E10" s="305"/>
      <c r="F10" s="305"/>
      <c r="G10" s="303"/>
      <c r="H10" s="304" t="s">
        <v>14</v>
      </c>
      <c r="I10" s="305"/>
      <c r="J10" s="303"/>
      <c r="K10" s="305" t="s">
        <v>17</v>
      </c>
      <c r="L10" s="305"/>
      <c r="M10" s="305"/>
      <c r="N10" s="306" t="s">
        <v>22</v>
      </c>
      <c r="O10" s="306"/>
      <c r="P10" s="307"/>
      <c r="R10" s="296" t="s">
        <v>43</v>
      </c>
      <c r="S10" s="297"/>
    </row>
    <row r="11" spans="1:21" ht="18" thickBot="1">
      <c r="B11" s="9" t="s">
        <v>0</v>
      </c>
      <c r="C11" s="292" t="s">
        <v>1</v>
      </c>
      <c r="D11" s="292" t="s">
        <v>0</v>
      </c>
      <c r="E11" s="292" t="s">
        <v>1</v>
      </c>
      <c r="F11" s="292" t="s">
        <v>2</v>
      </c>
      <c r="G11" s="292" t="s">
        <v>3</v>
      </c>
      <c r="H11" s="292" t="s">
        <v>0</v>
      </c>
      <c r="I11" s="292" t="s">
        <v>15</v>
      </c>
      <c r="J11" s="292" t="s">
        <v>16</v>
      </c>
      <c r="K11" s="56" t="s">
        <v>15</v>
      </c>
      <c r="L11" s="292" t="s">
        <v>19</v>
      </c>
      <c r="M11" s="29" t="s">
        <v>20</v>
      </c>
      <c r="N11" s="67" t="s">
        <v>0</v>
      </c>
      <c r="O11" s="308" t="s">
        <v>23</v>
      </c>
      <c r="P11" s="309"/>
      <c r="R11" s="88" t="s">
        <v>44</v>
      </c>
      <c r="S11" s="89" t="s">
        <v>1</v>
      </c>
    </row>
    <row r="12" spans="1:21">
      <c r="B12" s="45"/>
      <c r="C12" s="13"/>
      <c r="D12" s="155"/>
      <c r="E12" s="156"/>
      <c r="F12" s="157"/>
      <c r="G12" s="79" t="e">
        <f>F12/E12</f>
        <v>#DIV/0!</v>
      </c>
      <c r="H12" s="18"/>
      <c r="I12" s="20"/>
      <c r="J12" s="62"/>
      <c r="K12" s="57" t="s">
        <v>18</v>
      </c>
      <c r="L12" s="52">
        <f>SUMIF($I$12:$I$126,K12,$J$12:$J$126)</f>
        <v>0</v>
      </c>
      <c r="M12" s="48" t="e">
        <f>L12/$C$8</f>
        <v>#DIV/0!</v>
      </c>
      <c r="N12" s="66"/>
      <c r="O12" s="310"/>
      <c r="P12" s="311"/>
      <c r="R12" s="84"/>
      <c r="S12" s="85"/>
    </row>
    <row r="13" spans="1:21">
      <c r="B13" s="210"/>
      <c r="C13" s="211"/>
      <c r="D13" s="76"/>
      <c r="E13" s="11"/>
      <c r="F13" s="37"/>
      <c r="G13" s="79" t="e">
        <f t="shared" ref="G13:G34" si="0">F13/E13</f>
        <v>#DIV/0!</v>
      </c>
      <c r="H13" s="18"/>
      <c r="I13" s="20"/>
      <c r="J13" s="62"/>
      <c r="K13" s="58" t="s">
        <v>25</v>
      </c>
      <c r="L13" s="53">
        <f t="shared" ref="L13:L17" si="1">SUMIF($I$12:$I$126,K13,$J$12:$J$126)</f>
        <v>0</v>
      </c>
      <c r="M13" s="49" t="e">
        <f t="shared" ref="M13:M17" si="2">L13/$C$8</f>
        <v>#DIV/0!</v>
      </c>
      <c r="N13" s="1"/>
      <c r="O13" s="312"/>
      <c r="P13" s="313"/>
      <c r="R13" s="84"/>
      <c r="S13" s="85"/>
      <c r="U13" s="91"/>
    </row>
    <row r="14" spans="1:21">
      <c r="B14" s="210"/>
      <c r="C14" s="211"/>
      <c r="D14" s="76"/>
      <c r="E14" s="11"/>
      <c r="F14" s="37"/>
      <c r="G14" s="79" t="e">
        <f t="shared" si="0"/>
        <v>#DIV/0!</v>
      </c>
      <c r="H14" s="47"/>
      <c r="I14" s="20"/>
      <c r="J14" s="62"/>
      <c r="K14" s="106" t="s">
        <v>26</v>
      </c>
      <c r="L14" s="53">
        <f t="shared" si="1"/>
        <v>0</v>
      </c>
      <c r="M14" s="107" t="e">
        <f t="shared" si="2"/>
        <v>#DIV/0!</v>
      </c>
      <c r="N14" s="1"/>
      <c r="O14" s="298"/>
      <c r="P14" s="299"/>
      <c r="R14" s="84"/>
      <c r="S14" s="85"/>
    </row>
    <row r="15" spans="1:21">
      <c r="B15" s="210"/>
      <c r="C15" s="211"/>
      <c r="D15" s="76"/>
      <c r="E15" s="11"/>
      <c r="F15" s="37"/>
      <c r="G15" s="79" t="e">
        <f t="shared" si="0"/>
        <v>#DIV/0!</v>
      </c>
      <c r="H15" s="18"/>
      <c r="I15" s="20"/>
      <c r="J15" s="62"/>
      <c r="K15" s="106" t="s">
        <v>203</v>
      </c>
      <c r="L15" s="53">
        <f t="shared" si="1"/>
        <v>0</v>
      </c>
      <c r="M15" s="107" t="e">
        <f t="shared" si="2"/>
        <v>#DIV/0!</v>
      </c>
      <c r="N15" s="1"/>
      <c r="O15" s="290"/>
      <c r="P15" s="291"/>
      <c r="R15" s="84"/>
      <c r="S15" s="85"/>
    </row>
    <row r="16" spans="1:21">
      <c r="B16" s="210"/>
      <c r="C16" s="211"/>
      <c r="D16" s="76"/>
      <c r="E16" s="11"/>
      <c r="F16" s="37"/>
      <c r="G16" s="79" t="e">
        <f t="shared" si="0"/>
        <v>#DIV/0!</v>
      </c>
      <c r="H16" s="47"/>
      <c r="I16" s="20"/>
      <c r="J16" s="62"/>
      <c r="K16" s="125" t="s">
        <v>204</v>
      </c>
      <c r="L16" s="53">
        <f t="shared" si="1"/>
        <v>0</v>
      </c>
      <c r="M16" s="107" t="e">
        <f t="shared" si="2"/>
        <v>#DIV/0!</v>
      </c>
      <c r="N16" s="1"/>
      <c r="O16" s="290"/>
      <c r="P16" s="291"/>
      <c r="R16" s="84"/>
      <c r="S16" s="85"/>
    </row>
    <row r="17" spans="2:19">
      <c r="B17" s="210"/>
      <c r="C17" s="211"/>
      <c r="D17" s="76"/>
      <c r="E17" s="11"/>
      <c r="F17" s="37"/>
      <c r="G17" s="79" t="e">
        <f t="shared" si="0"/>
        <v>#DIV/0!</v>
      </c>
      <c r="H17" s="47"/>
      <c r="I17" s="20"/>
      <c r="J17" s="62"/>
      <c r="K17" s="106" t="s">
        <v>92</v>
      </c>
      <c r="L17" s="53">
        <f t="shared" si="1"/>
        <v>0</v>
      </c>
      <c r="M17" s="107" t="e">
        <f t="shared" si="2"/>
        <v>#DIV/0!</v>
      </c>
      <c r="N17" s="1"/>
      <c r="O17" s="290"/>
      <c r="P17" s="291"/>
      <c r="R17" s="84"/>
      <c r="S17" s="85"/>
    </row>
    <row r="18" spans="2:19" ht="18" thickBot="1">
      <c r="B18" s="210"/>
      <c r="C18" s="211"/>
      <c r="D18" s="76"/>
      <c r="E18" s="11"/>
      <c r="F18" s="37"/>
      <c r="G18" s="79" t="e">
        <f t="shared" si="0"/>
        <v>#DIV/0!</v>
      </c>
      <c r="H18" s="47"/>
      <c r="I18" s="20"/>
      <c r="J18" s="62"/>
      <c r="K18" s="60" t="s">
        <v>21</v>
      </c>
      <c r="L18" s="55">
        <f>SUM(L12:L17)</f>
        <v>0</v>
      </c>
      <c r="M18" s="40" t="e">
        <f>L18/C8</f>
        <v>#DIV/0!</v>
      </c>
      <c r="N18" s="1"/>
      <c r="O18" s="298"/>
      <c r="P18" s="299"/>
      <c r="R18" s="84"/>
      <c r="S18" s="85"/>
    </row>
    <row r="19" spans="2:19">
      <c r="B19" s="210"/>
      <c r="C19" s="211"/>
      <c r="D19" s="76"/>
      <c r="E19" s="11"/>
      <c r="F19" s="37"/>
      <c r="G19" s="79" t="e">
        <f t="shared" si="0"/>
        <v>#DIV/0!</v>
      </c>
      <c r="H19" s="47"/>
      <c r="I19" s="20"/>
      <c r="J19" s="62"/>
      <c r="N19" s="63"/>
      <c r="O19" s="298"/>
      <c r="P19" s="299"/>
      <c r="R19" s="84"/>
      <c r="S19" s="85"/>
    </row>
    <row r="20" spans="2:19">
      <c r="B20" s="210"/>
      <c r="C20" s="211"/>
      <c r="D20" s="11"/>
      <c r="E20" s="11"/>
      <c r="F20" s="37"/>
      <c r="G20" s="79" t="e">
        <f t="shared" si="0"/>
        <v>#DIV/0!</v>
      </c>
      <c r="H20" s="47"/>
      <c r="I20" s="20"/>
      <c r="J20" s="62"/>
      <c r="N20" s="63"/>
      <c r="O20" s="298"/>
      <c r="P20" s="299"/>
      <c r="R20" s="84"/>
      <c r="S20" s="85"/>
    </row>
    <row r="21" spans="2:19">
      <c r="B21" s="210"/>
      <c r="C21" s="211"/>
      <c r="D21" s="11"/>
      <c r="E21" s="11"/>
      <c r="F21" s="37"/>
      <c r="G21" s="79" t="e">
        <f t="shared" si="0"/>
        <v>#DIV/0!</v>
      </c>
      <c r="H21" s="47"/>
      <c r="I21" s="20"/>
      <c r="J21" s="62"/>
      <c r="K21" t="s">
        <v>32</v>
      </c>
      <c r="L21" s="78" t="e">
        <f>(J61/I9)/(113-H8)</f>
        <v>#DIV/0!</v>
      </c>
      <c r="N21" s="63"/>
      <c r="O21" s="298"/>
      <c r="P21" s="299"/>
      <c r="R21" s="84"/>
      <c r="S21" s="85"/>
    </row>
    <row r="22" spans="2:19">
      <c r="B22" s="210"/>
      <c r="C22" s="211"/>
      <c r="D22" s="11"/>
      <c r="E22" s="11"/>
      <c r="F22" s="37"/>
      <c r="G22" s="79" t="e">
        <f t="shared" si="0"/>
        <v>#DIV/0!</v>
      </c>
      <c r="H22" s="47"/>
      <c r="I22" s="20"/>
      <c r="J22" s="41"/>
      <c r="K22" t="s">
        <v>172</v>
      </c>
      <c r="L22" t="e">
        <f>J25*2/N8/5</f>
        <v>#DIV/0!</v>
      </c>
      <c r="N22" s="63"/>
      <c r="O22" s="298"/>
      <c r="P22" s="299"/>
      <c r="R22" s="84"/>
      <c r="S22" s="85"/>
    </row>
    <row r="23" spans="2:19">
      <c r="B23" s="74"/>
      <c r="C23" s="15"/>
      <c r="D23" s="11"/>
      <c r="E23" s="11"/>
      <c r="F23" s="37"/>
      <c r="G23" s="79" t="e">
        <f t="shared" si="0"/>
        <v>#DIV/0!</v>
      </c>
      <c r="H23" s="47"/>
      <c r="I23" s="20"/>
      <c r="J23" s="41"/>
      <c r="N23" s="63"/>
      <c r="O23" s="298"/>
      <c r="P23" s="299"/>
      <c r="R23" s="84"/>
      <c r="S23" s="85"/>
    </row>
    <row r="24" spans="2:19">
      <c r="B24" s="210"/>
      <c r="C24" s="211"/>
      <c r="D24" s="11"/>
      <c r="E24" s="11"/>
      <c r="F24" s="37"/>
      <c r="G24" s="79" t="e">
        <f t="shared" si="0"/>
        <v>#DIV/0!</v>
      </c>
      <c r="H24" s="47"/>
      <c r="I24" s="20"/>
      <c r="J24" s="41"/>
      <c r="N24" s="63"/>
      <c r="O24" s="298"/>
      <c r="P24" s="299"/>
      <c r="R24" s="84"/>
      <c r="S24" s="85"/>
    </row>
    <row r="25" spans="2:19">
      <c r="B25" s="210"/>
      <c r="C25" s="211"/>
      <c r="D25" s="11"/>
      <c r="E25" s="11"/>
      <c r="F25" s="37"/>
      <c r="G25" s="79" t="e">
        <f t="shared" si="0"/>
        <v>#DIV/0!</v>
      </c>
      <c r="H25" s="47"/>
      <c r="I25" s="20"/>
      <c r="J25" s="41"/>
      <c r="M25" s="25"/>
      <c r="N25" s="63"/>
      <c r="O25" s="298"/>
      <c r="P25" s="299"/>
      <c r="R25" s="84"/>
      <c r="S25" s="85"/>
    </row>
    <row r="26" spans="2:19">
      <c r="B26" s="210"/>
      <c r="C26" s="211"/>
      <c r="D26" s="11"/>
      <c r="E26" s="11"/>
      <c r="F26" s="37"/>
      <c r="G26" s="79" t="e">
        <f t="shared" si="0"/>
        <v>#DIV/0!</v>
      </c>
      <c r="H26" s="47"/>
      <c r="I26" s="20"/>
      <c r="J26" s="41"/>
      <c r="N26" s="63"/>
      <c r="O26" s="298"/>
      <c r="P26" s="299"/>
      <c r="R26" s="84"/>
      <c r="S26" s="85"/>
    </row>
    <row r="27" spans="2:19">
      <c r="B27" s="74"/>
      <c r="C27" s="15"/>
      <c r="D27" s="11"/>
      <c r="E27" s="11"/>
      <c r="F27" s="37"/>
      <c r="G27" s="79" t="e">
        <f t="shared" si="0"/>
        <v>#DIV/0!</v>
      </c>
      <c r="H27" s="47"/>
      <c r="I27" s="20"/>
      <c r="J27" s="41"/>
      <c r="L27" t="e">
        <f>J26/5/N8</f>
        <v>#DIV/0!</v>
      </c>
      <c r="N27" s="63"/>
      <c r="O27" s="298"/>
      <c r="P27" s="299"/>
      <c r="R27" s="84"/>
      <c r="S27" s="85"/>
    </row>
    <row r="28" spans="2:19">
      <c r="B28" s="74"/>
      <c r="C28" s="15"/>
      <c r="D28" s="11"/>
      <c r="E28" s="11"/>
      <c r="F28" s="37"/>
      <c r="G28" s="79" t="e">
        <f t="shared" si="0"/>
        <v>#DIV/0!</v>
      </c>
      <c r="H28" s="47"/>
      <c r="I28" s="20"/>
      <c r="J28" s="41"/>
      <c r="N28" s="64"/>
      <c r="O28" s="298"/>
      <c r="P28" s="299"/>
      <c r="R28" s="84"/>
      <c r="S28" s="85"/>
    </row>
    <row r="29" spans="2:19">
      <c r="B29" s="74"/>
      <c r="C29" s="15"/>
      <c r="D29" s="11"/>
      <c r="E29" s="11"/>
      <c r="F29" s="37"/>
      <c r="G29" s="79" t="e">
        <f t="shared" si="0"/>
        <v>#DIV/0!</v>
      </c>
      <c r="H29" s="47"/>
      <c r="I29" s="20"/>
      <c r="J29" s="41"/>
      <c r="N29" s="64"/>
      <c r="O29" s="298"/>
      <c r="P29" s="299"/>
      <c r="R29" s="84"/>
      <c r="S29" s="85"/>
    </row>
    <row r="30" spans="2:19">
      <c r="B30" s="74"/>
      <c r="C30" s="15"/>
      <c r="D30" s="11"/>
      <c r="E30" s="11"/>
      <c r="F30" s="37"/>
      <c r="G30" s="79" t="e">
        <f>F30/E30</f>
        <v>#DIV/0!</v>
      </c>
      <c r="H30" s="47"/>
      <c r="I30" s="20"/>
      <c r="J30" s="41"/>
      <c r="N30" s="64"/>
      <c r="O30" s="298"/>
      <c r="P30" s="299"/>
      <c r="R30" s="84"/>
      <c r="S30" s="85"/>
    </row>
    <row r="31" spans="2:19">
      <c r="B31" s="74"/>
      <c r="C31" s="15"/>
      <c r="D31" s="11"/>
      <c r="E31" s="11"/>
      <c r="F31" s="37"/>
      <c r="G31" s="79" t="e">
        <f t="shared" si="0"/>
        <v>#DIV/0!</v>
      </c>
      <c r="H31" s="47"/>
      <c r="I31" s="20"/>
      <c r="J31" s="41"/>
      <c r="N31" s="64"/>
      <c r="O31" s="298"/>
      <c r="P31" s="299"/>
      <c r="R31" s="84"/>
      <c r="S31" s="85"/>
    </row>
    <row r="32" spans="2:19">
      <c r="B32" s="74"/>
      <c r="C32" s="15"/>
      <c r="D32" s="11"/>
      <c r="E32" s="11"/>
      <c r="F32" s="37"/>
      <c r="G32" s="79" t="e">
        <f t="shared" si="0"/>
        <v>#DIV/0!</v>
      </c>
      <c r="H32" s="47"/>
      <c r="I32" s="20"/>
      <c r="J32" s="41"/>
      <c r="N32" s="64"/>
      <c r="O32" s="298"/>
      <c r="P32" s="299"/>
      <c r="R32" s="84"/>
      <c r="S32" s="85"/>
    </row>
    <row r="33" spans="2:19">
      <c r="B33" s="74"/>
      <c r="C33" s="15"/>
      <c r="D33" s="11"/>
      <c r="E33" s="11"/>
      <c r="F33" s="37"/>
      <c r="G33" s="79" t="e">
        <f t="shared" si="0"/>
        <v>#DIV/0!</v>
      </c>
      <c r="H33" s="47"/>
      <c r="I33" s="20"/>
      <c r="J33" s="41"/>
      <c r="N33" s="64"/>
      <c r="O33" s="298"/>
      <c r="P33" s="299"/>
      <c r="R33" s="84"/>
      <c r="S33" s="85"/>
    </row>
    <row r="34" spans="2:19" ht="18" thickBot="1">
      <c r="B34" s="74"/>
      <c r="C34" s="15"/>
      <c r="D34" s="11"/>
      <c r="E34" s="11"/>
      <c r="F34" s="37"/>
      <c r="G34" s="79" t="e">
        <f t="shared" si="0"/>
        <v>#DIV/0!</v>
      </c>
      <c r="H34" s="47"/>
      <c r="I34" s="20"/>
      <c r="J34" s="41"/>
      <c r="N34" s="64"/>
      <c r="O34" s="298"/>
      <c r="P34" s="299"/>
      <c r="R34" s="86"/>
      <c r="S34" s="87"/>
    </row>
    <row r="35" spans="2:19" ht="18" thickTop="1">
      <c r="B35" s="74"/>
      <c r="C35" s="15"/>
      <c r="D35" s="11"/>
      <c r="E35" s="11"/>
      <c r="F35" s="37"/>
      <c r="G35" s="37"/>
      <c r="H35" s="47"/>
      <c r="I35" s="20"/>
      <c r="J35" s="41"/>
      <c r="N35" s="64"/>
      <c r="O35" s="298"/>
      <c r="P35" s="299"/>
    </row>
    <row r="36" spans="2:19">
      <c r="B36" s="14"/>
      <c r="C36" s="15"/>
      <c r="D36" s="11"/>
      <c r="E36" s="11"/>
      <c r="F36" s="37"/>
      <c r="G36" s="37"/>
      <c r="H36" s="47"/>
      <c r="I36" s="20"/>
      <c r="J36" s="41"/>
      <c r="N36" s="64"/>
      <c r="O36" s="298"/>
      <c r="P36" s="299"/>
    </row>
    <row r="37" spans="2:19">
      <c r="B37" s="14"/>
      <c r="C37" s="15"/>
      <c r="D37" s="11"/>
      <c r="E37" s="11"/>
      <c r="F37" s="37"/>
      <c r="G37" s="37"/>
      <c r="H37" s="47"/>
      <c r="I37" s="20"/>
      <c r="J37" s="41"/>
      <c r="N37" s="64"/>
      <c r="O37" s="298"/>
      <c r="P37" s="299"/>
    </row>
    <row r="38" spans="2:19">
      <c r="B38" s="14"/>
      <c r="C38" s="15"/>
      <c r="D38" s="11"/>
      <c r="E38" s="11"/>
      <c r="F38" s="37"/>
      <c r="G38" s="37"/>
      <c r="H38" s="47"/>
      <c r="I38" s="20"/>
      <c r="J38" s="41"/>
      <c r="N38" s="64"/>
      <c r="O38" s="298"/>
      <c r="P38" s="299"/>
    </row>
    <row r="39" spans="2:19">
      <c r="B39" s="14"/>
      <c r="C39" s="15"/>
      <c r="D39" s="11"/>
      <c r="E39" s="11"/>
      <c r="F39" s="37"/>
      <c r="G39" s="37"/>
      <c r="H39" s="47"/>
      <c r="I39" s="20"/>
      <c r="J39" s="41"/>
      <c r="N39" s="64"/>
      <c r="O39" s="298"/>
      <c r="P39" s="299"/>
    </row>
    <row r="40" spans="2:19">
      <c r="B40" s="14"/>
      <c r="C40" s="15"/>
      <c r="D40" s="11"/>
      <c r="E40" s="11"/>
      <c r="F40" s="37"/>
      <c r="G40" s="37"/>
      <c r="H40" s="47"/>
      <c r="I40" s="20"/>
      <c r="J40" s="41"/>
      <c r="N40" s="64"/>
      <c r="O40" s="298"/>
      <c r="P40" s="299"/>
    </row>
    <row r="41" spans="2:19">
      <c r="B41" s="14"/>
      <c r="C41" s="15"/>
      <c r="D41" s="11"/>
      <c r="E41" s="11"/>
      <c r="F41" s="37"/>
      <c r="G41" s="37"/>
      <c r="H41" s="47"/>
      <c r="I41" s="20"/>
      <c r="J41" s="41"/>
      <c r="N41" s="64"/>
      <c r="O41" s="298"/>
      <c r="P41" s="299"/>
    </row>
    <row r="42" spans="2:19">
      <c r="B42" s="14"/>
      <c r="C42" s="15"/>
      <c r="D42" s="11"/>
      <c r="E42" s="11"/>
      <c r="F42" s="37"/>
      <c r="G42" s="37"/>
      <c r="H42" s="47"/>
      <c r="I42" s="20"/>
      <c r="J42" s="41"/>
      <c r="N42" s="64"/>
      <c r="O42" s="298"/>
      <c r="P42" s="299"/>
    </row>
    <row r="43" spans="2:19">
      <c r="B43" s="14"/>
      <c r="C43" s="15"/>
      <c r="D43" s="11"/>
      <c r="E43" s="11"/>
      <c r="F43" s="37"/>
      <c r="G43" s="37"/>
      <c r="H43" s="47"/>
      <c r="I43" s="20"/>
      <c r="J43" s="41"/>
      <c r="N43" s="64"/>
      <c r="O43" s="298"/>
      <c r="P43" s="299"/>
    </row>
    <row r="44" spans="2:19">
      <c r="B44" s="14"/>
      <c r="C44" s="15"/>
      <c r="D44" s="11"/>
      <c r="E44" s="11"/>
      <c r="F44" s="37"/>
      <c r="G44" s="37"/>
      <c r="H44" s="47"/>
      <c r="I44" s="20"/>
      <c r="J44" s="41"/>
      <c r="N44" s="64"/>
      <c r="O44" s="298"/>
      <c r="P44" s="299"/>
    </row>
    <row r="45" spans="2:19">
      <c r="B45" s="14"/>
      <c r="C45" s="15"/>
      <c r="D45" s="11"/>
      <c r="E45" s="11"/>
      <c r="F45" s="37"/>
      <c r="G45" s="37"/>
      <c r="H45" s="47"/>
      <c r="I45" s="20"/>
      <c r="J45" s="41"/>
      <c r="N45" s="64"/>
      <c r="O45" s="298"/>
      <c r="P45" s="299"/>
    </row>
    <row r="46" spans="2:19">
      <c r="B46" s="14"/>
      <c r="C46" s="15"/>
      <c r="D46" s="11"/>
      <c r="E46" s="11"/>
      <c r="F46" s="37"/>
      <c r="G46" s="37"/>
      <c r="H46" s="47"/>
      <c r="I46" s="20"/>
      <c r="J46" s="41"/>
      <c r="N46" s="64"/>
      <c r="O46" s="298"/>
      <c r="P46" s="299"/>
    </row>
    <row r="47" spans="2:19">
      <c r="B47" s="14"/>
      <c r="C47" s="15"/>
      <c r="D47" s="11"/>
      <c r="E47" s="11"/>
      <c r="F47" s="37"/>
      <c r="G47" s="37"/>
      <c r="H47" s="47"/>
      <c r="I47" s="20"/>
      <c r="J47" s="41"/>
      <c r="N47" s="64"/>
      <c r="O47" s="298"/>
      <c r="P47" s="299"/>
    </row>
    <row r="48" spans="2:19">
      <c r="B48" s="14"/>
      <c r="C48" s="15"/>
      <c r="D48" s="11"/>
      <c r="E48" s="11"/>
      <c r="F48" s="37"/>
      <c r="G48" s="37"/>
      <c r="H48" s="47"/>
      <c r="I48" s="20"/>
      <c r="J48" s="41"/>
      <c r="N48" s="64"/>
      <c r="O48" s="298"/>
      <c r="P48" s="299"/>
    </row>
    <row r="49" spans="2:16">
      <c r="B49" s="14"/>
      <c r="C49" s="15"/>
      <c r="D49" s="11"/>
      <c r="E49" s="11"/>
      <c r="F49" s="37"/>
      <c r="G49" s="37"/>
      <c r="H49" s="47"/>
      <c r="I49" s="20"/>
      <c r="J49" s="41"/>
      <c r="N49" s="64"/>
      <c r="O49" s="298"/>
      <c r="P49" s="299"/>
    </row>
    <row r="50" spans="2:16">
      <c r="B50" s="14"/>
      <c r="C50" s="15"/>
      <c r="D50" s="11"/>
      <c r="E50" s="11"/>
      <c r="F50" s="37"/>
      <c r="G50" s="37"/>
      <c r="H50" s="47"/>
      <c r="I50" s="20"/>
      <c r="J50" s="41"/>
      <c r="N50" s="64"/>
      <c r="O50" s="298"/>
      <c r="P50" s="299"/>
    </row>
    <row r="51" spans="2:16">
      <c r="B51" s="14"/>
      <c r="C51" s="15"/>
      <c r="D51" s="11"/>
      <c r="E51" s="11"/>
      <c r="F51" s="37"/>
      <c r="G51" s="37"/>
      <c r="H51" s="47"/>
      <c r="I51" s="20"/>
      <c r="J51" s="41"/>
      <c r="N51" s="64"/>
      <c r="O51" s="298"/>
      <c r="P51" s="299"/>
    </row>
    <row r="52" spans="2:16">
      <c r="B52" s="14"/>
      <c r="C52" s="15"/>
      <c r="D52" s="11"/>
      <c r="E52" s="11"/>
      <c r="F52" s="37"/>
      <c r="G52" s="37"/>
      <c r="H52" s="47"/>
      <c r="I52" s="20"/>
      <c r="J52" s="41"/>
      <c r="N52" s="64"/>
      <c r="O52" s="298"/>
      <c r="P52" s="299"/>
    </row>
    <row r="53" spans="2:16">
      <c r="B53" s="14"/>
      <c r="C53" s="15"/>
      <c r="D53" s="11"/>
      <c r="E53" s="11"/>
      <c r="F53" s="37"/>
      <c r="G53" s="37"/>
      <c r="H53" s="47"/>
      <c r="I53" s="20"/>
      <c r="J53" s="41"/>
      <c r="N53" s="64"/>
      <c r="O53" s="298"/>
      <c r="P53" s="299"/>
    </row>
    <row r="54" spans="2:16">
      <c r="B54" s="14"/>
      <c r="C54" s="15"/>
      <c r="D54" s="11"/>
      <c r="E54" s="11"/>
      <c r="F54" s="37"/>
      <c r="G54" s="37"/>
      <c r="H54" s="47"/>
      <c r="I54" s="20"/>
      <c r="J54" s="41"/>
      <c r="N54" s="64"/>
      <c r="O54" s="298"/>
      <c r="P54" s="299"/>
    </row>
    <row r="55" spans="2:16">
      <c r="B55" s="14"/>
      <c r="C55" s="15"/>
      <c r="D55" s="11"/>
      <c r="E55" s="11"/>
      <c r="F55" s="37"/>
      <c r="G55" s="37"/>
      <c r="H55" s="47"/>
      <c r="I55" s="20"/>
      <c r="J55" s="41"/>
      <c r="N55" s="64"/>
      <c r="O55" s="298"/>
      <c r="P55" s="299"/>
    </row>
    <row r="56" spans="2:16">
      <c r="B56" s="14"/>
      <c r="C56" s="15"/>
      <c r="D56" s="11"/>
      <c r="E56" s="11"/>
      <c r="F56" s="37"/>
      <c r="G56" s="37"/>
      <c r="H56" s="47"/>
      <c r="I56" s="20"/>
      <c r="J56" s="41"/>
      <c r="N56" s="64"/>
      <c r="O56" s="298"/>
      <c r="P56" s="299"/>
    </row>
    <row r="57" spans="2:16">
      <c r="B57" s="14"/>
      <c r="C57" s="15"/>
      <c r="D57" s="11"/>
      <c r="E57" s="11"/>
      <c r="F57" s="37"/>
      <c r="G57" s="37"/>
      <c r="H57" s="47"/>
      <c r="I57" s="20"/>
      <c r="J57" s="41"/>
      <c r="N57" s="64"/>
      <c r="O57" s="298"/>
      <c r="P57" s="299"/>
    </row>
    <row r="58" spans="2:16">
      <c r="B58" s="14"/>
      <c r="C58" s="15"/>
      <c r="D58" s="11"/>
      <c r="E58" s="11"/>
      <c r="F58" s="37"/>
      <c r="G58" s="37"/>
      <c r="H58" s="47"/>
      <c r="I58" s="20"/>
      <c r="J58" s="41"/>
      <c r="N58" s="64"/>
      <c r="O58" s="298"/>
      <c r="P58" s="299"/>
    </row>
    <row r="59" spans="2:16">
      <c r="B59" s="14"/>
      <c r="C59" s="15"/>
      <c r="D59" s="11"/>
      <c r="E59" s="11"/>
      <c r="F59" s="37"/>
      <c r="G59" s="37"/>
      <c r="H59" s="20"/>
      <c r="I59" s="20"/>
      <c r="J59" s="41"/>
      <c r="N59" s="64"/>
      <c r="O59" s="298"/>
      <c r="P59" s="299"/>
    </row>
    <row r="60" spans="2:16" ht="18" thickBot="1">
      <c r="B60" s="16"/>
      <c r="C60" s="17"/>
      <c r="D60" s="12"/>
      <c r="E60" s="12"/>
      <c r="F60" s="36"/>
      <c r="G60" s="36"/>
      <c r="H60" s="21"/>
      <c r="I60" s="21"/>
      <c r="J60" s="42"/>
      <c r="N60" s="64"/>
      <c r="O60" s="298"/>
      <c r="P60" s="299"/>
    </row>
    <row r="61" spans="2:16" ht="18" thickBot="1">
      <c r="B61" s="7"/>
      <c r="C61" s="8">
        <f>SUM(C12:C60)</f>
        <v>0</v>
      </c>
      <c r="D61" s="8"/>
      <c r="E61" s="8">
        <f>SUM(E12:E60)</f>
        <v>0</v>
      </c>
      <c r="F61" s="39">
        <f>SUM(F12:F60)</f>
        <v>0</v>
      </c>
      <c r="G61" s="71" t="e">
        <f>F61/E61</f>
        <v>#DIV/0!</v>
      </c>
      <c r="H61" s="8"/>
      <c r="I61" s="8"/>
      <c r="J61" s="43">
        <f>SUM(J12:J60)</f>
        <v>0</v>
      </c>
      <c r="N61" s="65"/>
      <c r="O61" s="300"/>
      <c r="P61" s="301"/>
    </row>
    <row r="64" spans="2:16">
      <c r="D64" s="73">
        <v>45246</v>
      </c>
      <c r="E64">
        <v>30</v>
      </c>
    </row>
    <row r="65" spans="4:19">
      <c r="D65" s="73">
        <v>45253</v>
      </c>
      <c r="E65">
        <v>80</v>
      </c>
    </row>
    <row r="66" spans="4:19">
      <c r="D66" s="73">
        <v>45262</v>
      </c>
      <c r="E66">
        <v>100</v>
      </c>
    </row>
    <row r="67" spans="4:19">
      <c r="D67" s="73">
        <v>45269</v>
      </c>
      <c r="E67">
        <v>80</v>
      </c>
    </row>
    <row r="68" spans="4:19">
      <c r="D68" s="73"/>
    </row>
    <row r="75" spans="4:19">
      <c r="S75">
        <f>700</f>
        <v>700</v>
      </c>
    </row>
    <row r="77" spans="4:19">
      <c r="S77">
        <v>25</v>
      </c>
    </row>
    <row r="78" spans="4:19">
      <c r="S78">
        <f>S77/S75</f>
        <v>3.5714285714285712E-2</v>
      </c>
    </row>
    <row r="79" spans="4:19">
      <c r="F79">
        <f>2040+6100</f>
        <v>8140</v>
      </c>
    </row>
    <row r="80" spans="4:19">
      <c r="F80">
        <f>F79+460</f>
        <v>8600</v>
      </c>
    </row>
    <row r="81" spans="17:19">
      <c r="S81" t="s">
        <v>65</v>
      </c>
    </row>
    <row r="94" spans="17:19">
      <c r="Q94">
        <v>112</v>
      </c>
    </row>
    <row r="95" spans="17:19">
      <c r="Q95" t="e">
        <f>Q94/Q88</f>
        <v>#DIV/0!</v>
      </c>
    </row>
  </sheetData>
  <mergeCells count="64">
    <mergeCell ref="O61:P61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49:P49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37:P37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25:P25"/>
    <mergeCell ref="O11:P11"/>
    <mergeCell ref="O12:P12"/>
    <mergeCell ref="O13:P13"/>
    <mergeCell ref="O14:P14"/>
    <mergeCell ref="O18:P18"/>
    <mergeCell ref="O19:P19"/>
    <mergeCell ref="O20:P20"/>
    <mergeCell ref="O21:P21"/>
    <mergeCell ref="O22:P22"/>
    <mergeCell ref="O23:P23"/>
    <mergeCell ref="O24:P24"/>
    <mergeCell ref="B10:C10"/>
    <mergeCell ref="D10:G10"/>
    <mergeCell ref="H10:J10"/>
    <mergeCell ref="K10:M10"/>
    <mergeCell ref="N10:P10"/>
    <mergeCell ref="R10:S10"/>
    <mergeCell ref="F2:H2"/>
    <mergeCell ref="O2:P2"/>
    <mergeCell ref="F4:F7"/>
    <mergeCell ref="G4:G7"/>
    <mergeCell ref="H4:H7"/>
    <mergeCell ref="I4:I7"/>
    <mergeCell ref="K4:K7"/>
    <mergeCell ref="L4:L7"/>
    <mergeCell ref="M4:M7"/>
    <mergeCell ref="N4:N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35</vt:i4>
      </vt:variant>
    </vt:vector>
  </HeadingPairs>
  <TitlesOfParts>
    <vt:vector size="35" baseType="lpstr">
      <vt:lpstr>양식2</vt:lpstr>
      <vt:lpstr>통합</vt:lpstr>
      <vt:lpstr>대웅돈유전자1(1027)</vt:lpstr>
      <vt:lpstr>진일농장(1004)</vt:lpstr>
      <vt:lpstr>대웅돈유전자1(0401)</vt:lpstr>
      <vt:lpstr>진일농장4(1101)</vt:lpstr>
      <vt:lpstr>진일농장3(1220)</vt:lpstr>
      <vt:lpstr>진일농장2(0124)</vt:lpstr>
      <vt:lpstr>진일농장4(0215)</vt:lpstr>
      <vt:lpstr>진일농장3(0327)</vt:lpstr>
      <vt:lpstr>진일농장2(0424)</vt:lpstr>
      <vt:lpstr>진일농장4(0602)</vt:lpstr>
      <vt:lpstr>진일농장3(0704)</vt:lpstr>
      <vt:lpstr>잘커농장(0102)</vt:lpstr>
      <vt:lpstr>잘커농장(0214)</vt:lpstr>
      <vt:lpstr>진일농장2(0801)</vt:lpstr>
      <vt:lpstr>진일농장4(0913)</vt:lpstr>
      <vt:lpstr>진일농장3(1010)</vt:lpstr>
      <vt:lpstr>잘커농장(0512)</vt:lpstr>
      <vt:lpstr>잘커농장(0622)</vt:lpstr>
      <vt:lpstr>한별농장(0110)</vt:lpstr>
      <vt:lpstr>한별농장(0229)</vt:lpstr>
      <vt:lpstr>가산농장(1005)</vt:lpstr>
      <vt:lpstr>한별농장(0613)</vt:lpstr>
      <vt:lpstr>한별농장(0807)</vt:lpstr>
      <vt:lpstr>한별농장(0814)</vt:lpstr>
      <vt:lpstr>신흥(1-1)</vt:lpstr>
      <vt:lpstr>신흥(1-6)</vt:lpstr>
      <vt:lpstr>신흥(2-10)</vt:lpstr>
      <vt:lpstr>신흥(2-11)</vt:lpstr>
      <vt:lpstr>신흥(2-12)</vt:lpstr>
      <vt:lpstr>신흥(2-13)</vt:lpstr>
      <vt:lpstr>신흥(2-14)</vt:lpstr>
      <vt:lpstr>준석(26-003)</vt:lpstr>
      <vt:lpstr>요셉(1106)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유선 심</cp:lastModifiedBy>
  <cp:lastPrinted>2024-03-11T08:35:41Z</cp:lastPrinted>
  <dcterms:created xsi:type="dcterms:W3CDTF">2023-06-27T04:15:06Z</dcterms:created>
  <dcterms:modified xsi:type="dcterms:W3CDTF">2026-10-30T01:17:17Z</dcterms:modified>
</cp:coreProperties>
</file>