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Simarjeet Singh\Downloads\"/>
    </mc:Choice>
  </mc:AlternateContent>
  <xr:revisionPtr revIDLastSave="0" documentId="13_ncr:1_{1F6BEAC8-F174-42BD-8C1F-5ECE58129EB1}" xr6:coauthVersionLast="47" xr6:coauthVersionMax="47" xr10:uidLastSave="{00000000-0000-0000-0000-000000000000}"/>
  <bookViews>
    <workbookView xWindow="-110" yWindow="-110" windowWidth="19420" windowHeight="11500" firstSheet="9" activeTab="11" xr2:uid="{00000000-000D-0000-FFFF-FFFF00000000}"/>
  </bookViews>
  <sheets>
    <sheet name="Sheet3" sheetId="3" r:id="rId1"/>
    <sheet name="Market Sizing" sheetId="2" r:id="rId2"/>
    <sheet name="2023-2024" sheetId="11" r:id="rId3"/>
    <sheet name="Retail prices" sheetId="8" r:id="rId4"/>
    <sheet name="Target customer data" sheetId="9" r:id="rId5"/>
    <sheet name="C3 CX" sheetId="18" r:id="rId6"/>
    <sheet name="C1 CX" sheetId="20" r:id="rId7"/>
    <sheet name="C2 CX" sheetId="21" r:id="rId8"/>
    <sheet name="Target customer data 2" sheetId="4" r:id="rId9"/>
    <sheet name="Voice of customers" sheetId="5" r:id="rId10"/>
    <sheet name="Competitors" sheetId="7" r:id="rId11"/>
    <sheet name="Technology trends and mapping" sheetId="6" r:id="rId12"/>
  </sheets>
  <definedNames>
    <definedName name="_xlnm._FilterDatabase" localSheetId="1" hidden="1">'Market Sizing'!$A$1:$U$59</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5" i="11" l="1"/>
  <c r="K58" i="11" l="1"/>
  <c r="K51" i="11"/>
  <c r="K47" i="11"/>
  <c r="K39" i="11"/>
  <c r="K38" i="11"/>
  <c r="K32" i="11"/>
  <c r="K30" i="11"/>
  <c r="K28" i="11"/>
  <c r="K25" i="11"/>
  <c r="K24" i="11"/>
  <c r="K14" i="11"/>
  <c r="K5" i="11"/>
  <c r="S3" i="4"/>
  <c r="S4" i="4"/>
  <c r="D16" i="4"/>
  <c r="C8" i="4" s="1"/>
  <c r="J3" i="4"/>
  <c r="I3" i="4" s="1"/>
  <c r="J5" i="11"/>
  <c r="J3" i="11"/>
  <c r="K3" i="11" s="1"/>
  <c r="C15" i="4" l="1"/>
  <c r="C11" i="4"/>
  <c r="C7" i="4"/>
  <c r="C4" i="4"/>
  <c r="C13" i="4"/>
  <c r="C9" i="4"/>
  <c r="C5" i="4"/>
  <c r="C3" i="4"/>
  <c r="C14" i="4"/>
  <c r="C10" i="4"/>
  <c r="C6" i="4"/>
  <c r="C12" i="4"/>
  <c r="L22" i="11"/>
  <c r="L6" i="11"/>
  <c r="L3" i="11"/>
  <c r="H16" i="4"/>
  <c r="F16" i="4"/>
  <c r="J4" i="4"/>
  <c r="J5" i="4"/>
  <c r="I5" i="4" s="1"/>
  <c r="J6" i="4"/>
  <c r="J7" i="4"/>
  <c r="J8" i="4"/>
  <c r="J9" i="4"/>
  <c r="I9" i="4" s="1"/>
  <c r="J10" i="4"/>
  <c r="J11" i="4"/>
  <c r="J12" i="4"/>
  <c r="J13" i="4"/>
  <c r="J14" i="4"/>
  <c r="J15" i="4"/>
  <c r="Y16" i="4"/>
  <c r="AC16" i="9"/>
  <c r="L15" i="4" l="1"/>
  <c r="L3" i="4"/>
  <c r="L12" i="4"/>
  <c r="L10" i="4"/>
  <c r="L8" i="4"/>
  <c r="L7" i="4"/>
  <c r="L5" i="4"/>
  <c r="L6" i="4"/>
  <c r="L14" i="4"/>
  <c r="L13" i="4"/>
  <c r="L11" i="4"/>
  <c r="L9" i="4"/>
  <c r="L4" i="4"/>
  <c r="E4" i="4"/>
  <c r="E8" i="4"/>
  <c r="E12" i="4"/>
  <c r="E3" i="4"/>
  <c r="E6" i="4"/>
  <c r="E10" i="4"/>
  <c r="E14" i="4"/>
  <c r="E11" i="4"/>
  <c r="E5" i="4"/>
  <c r="E9" i="4"/>
  <c r="E13" i="4"/>
  <c r="E7" i="4"/>
  <c r="E15" i="4"/>
  <c r="G4" i="4"/>
  <c r="G8" i="4"/>
  <c r="G12" i="4"/>
  <c r="G3" i="4"/>
  <c r="G6" i="4"/>
  <c r="G10" i="4"/>
  <c r="G14" i="4"/>
  <c r="G15" i="4"/>
  <c r="G5" i="4"/>
  <c r="G9" i="4"/>
  <c r="G13" i="4"/>
  <c r="G7" i="4"/>
  <c r="G11" i="4"/>
  <c r="I7" i="4"/>
  <c r="I14" i="4"/>
  <c r="I10" i="4"/>
  <c r="I6" i="4"/>
  <c r="I15" i="4"/>
  <c r="I11" i="4"/>
  <c r="I13" i="4"/>
  <c r="I12" i="4"/>
  <c r="I8" i="4"/>
  <c r="I4" i="4"/>
  <c r="J22" i="11"/>
  <c r="K22" i="11" s="1"/>
  <c r="J7" i="11"/>
  <c r="K7" i="11" s="1"/>
  <c r="N30" i="11" s="1"/>
  <c r="J6" i="11"/>
  <c r="K6" i="11" s="1"/>
  <c r="N29" i="11" s="1"/>
  <c r="K60" i="11" l="1"/>
  <c r="AA16" i="9"/>
  <c r="AE15" i="9"/>
  <c r="AE14" i="9"/>
  <c r="AE13" i="9"/>
  <c r="AE12" i="9"/>
  <c r="AE11" i="9"/>
  <c r="AE10" i="9"/>
  <c r="AE9" i="9"/>
  <c r="AE8" i="9"/>
  <c r="AE7" i="9"/>
  <c r="AE6" i="9"/>
  <c r="AE5" i="9"/>
  <c r="AE4" i="9"/>
  <c r="AE3" i="9"/>
  <c r="AD15" i="9"/>
  <c r="AD14" i="9"/>
  <c r="AD13" i="9"/>
  <c r="AD12" i="9"/>
  <c r="AD11" i="9"/>
  <c r="AD10" i="9"/>
  <c r="AD9" i="9"/>
  <c r="AD4" i="9"/>
  <c r="AD8" i="9"/>
  <c r="AD7" i="9"/>
  <c r="AD6" i="9"/>
  <c r="AD5" i="9"/>
  <c r="AD3" i="9"/>
  <c r="F61" i="9"/>
  <c r="G30" i="8" l="1"/>
  <c r="F30" i="8"/>
  <c r="F28" i="8"/>
  <c r="G28" i="8"/>
  <c r="G10" i="8"/>
  <c r="G9" i="8"/>
  <c r="F10" i="8"/>
  <c r="F11" i="8"/>
  <c r="F12" i="8"/>
  <c r="F13" i="8"/>
  <c r="F14" i="8"/>
  <c r="F15" i="8"/>
  <c r="F16" i="8"/>
  <c r="F17" i="8"/>
  <c r="F18" i="8"/>
  <c r="F19" i="8"/>
  <c r="F20" i="8"/>
  <c r="F21" i="8"/>
  <c r="F22" i="8"/>
  <c r="F23" i="8"/>
  <c r="F24" i="8"/>
  <c r="F25" i="8"/>
  <c r="F26" i="8"/>
  <c r="F27" i="8"/>
  <c r="F29" i="8"/>
  <c r="F31" i="8"/>
  <c r="F32" i="8"/>
  <c r="F33" i="8"/>
  <c r="F34" i="8"/>
  <c r="F35" i="8"/>
  <c r="F36" i="8"/>
  <c r="F37" i="8"/>
  <c r="F38" i="8"/>
  <c r="F39" i="8"/>
  <c r="F40" i="8"/>
  <c r="F41" i="8"/>
  <c r="F42" i="8"/>
  <c r="F43" i="8"/>
  <c r="F44" i="8"/>
  <c r="F45" i="8"/>
  <c r="F46" i="8"/>
  <c r="F47" i="8"/>
  <c r="F48" i="8"/>
  <c r="F49" i="8"/>
  <c r="F50" i="8"/>
  <c r="F51" i="8"/>
  <c r="F52" i="8"/>
  <c r="F53" i="8"/>
  <c r="F54" i="8"/>
  <c r="F55" i="8"/>
  <c r="F56" i="8"/>
  <c r="F57" i="8"/>
  <c r="F9" i="8"/>
  <c r="G15" i="8"/>
  <c r="G4" i="8"/>
  <c r="G5" i="8"/>
  <c r="G6" i="8"/>
  <c r="G7" i="8"/>
  <c r="G8" i="8"/>
  <c r="G11" i="8"/>
  <c r="G12" i="8"/>
  <c r="G13" i="8"/>
  <c r="G14" i="8"/>
  <c r="G16" i="8"/>
  <c r="G17" i="8"/>
  <c r="G18" i="8"/>
  <c r="G19" i="8"/>
  <c r="G20" i="8"/>
  <c r="G21" i="8"/>
  <c r="G22" i="8"/>
  <c r="G23" i="8"/>
  <c r="G24" i="8"/>
  <c r="G25" i="8"/>
  <c r="G26" i="8"/>
  <c r="G27" i="8"/>
  <c r="G29" i="8"/>
  <c r="G31" i="8"/>
  <c r="G32" i="8"/>
  <c r="G33" i="8"/>
  <c r="G34" i="8"/>
  <c r="G35" i="8"/>
  <c r="G36" i="8"/>
  <c r="G37" i="8"/>
  <c r="G38" i="8"/>
  <c r="G39" i="8"/>
  <c r="G40" i="8"/>
  <c r="G41" i="8"/>
  <c r="G42" i="8"/>
  <c r="G43" i="8"/>
  <c r="G44" i="8"/>
  <c r="G45" i="8"/>
  <c r="G46" i="8"/>
  <c r="G47" i="8"/>
  <c r="G48" i="8"/>
  <c r="G49" i="8"/>
  <c r="G50" i="8"/>
  <c r="G51" i="8"/>
  <c r="G52" i="8"/>
  <c r="G53" i="8"/>
  <c r="G54" i="8"/>
  <c r="G55" i="8"/>
  <c r="G56" i="8"/>
  <c r="G57" i="8"/>
  <c r="G3" i="8"/>
  <c r="F4" i="8"/>
  <c r="F5" i="8"/>
  <c r="F6" i="8"/>
  <c r="F7" i="8"/>
  <c r="F8" i="8"/>
  <c r="F3" i="8"/>
  <c r="G58" i="8" l="1"/>
  <c r="G59" i="8"/>
  <c r="G61" i="8" s="1"/>
  <c r="F58" i="8"/>
  <c r="F59" i="8"/>
  <c r="F61" i="8" s="1"/>
  <c r="I16" i="4"/>
  <c r="J16" i="4"/>
  <c r="S10" i="4"/>
  <c r="S7" i="4"/>
  <c r="S9" i="4"/>
  <c r="S11" i="4"/>
  <c r="S6" i="4"/>
  <c r="S14" i="4"/>
  <c r="S8" i="4"/>
  <c r="S5" i="4"/>
  <c r="S12" i="4"/>
  <c r="R15" i="4"/>
  <c r="S16" i="4"/>
  <c r="S13" i="4"/>
</calcChain>
</file>

<file path=xl/sharedStrings.xml><?xml version="1.0" encoding="utf-8"?>
<sst xmlns="http://schemas.openxmlformats.org/spreadsheetml/2006/main" count="1035" uniqueCount="406">
  <si>
    <t>Motor Type</t>
  </si>
  <si>
    <t>L2</t>
  </si>
  <si>
    <t>SEG Automotive</t>
  </si>
  <si>
    <t>S1 Pro</t>
  </si>
  <si>
    <t>Okinawa</t>
  </si>
  <si>
    <t>Ridge 100</t>
  </si>
  <si>
    <t>L1</t>
  </si>
  <si>
    <t>Lite</t>
  </si>
  <si>
    <t>Ridge+</t>
  </si>
  <si>
    <t>Praise Pro</t>
  </si>
  <si>
    <t>Primus</t>
  </si>
  <si>
    <t>Sona Comstar</t>
  </si>
  <si>
    <t>Magnus EX</t>
  </si>
  <si>
    <t>TVS</t>
  </si>
  <si>
    <t>iQube ST</t>
  </si>
  <si>
    <t>Mahle</t>
  </si>
  <si>
    <t>Chetak</t>
  </si>
  <si>
    <t>JET 250XL</t>
  </si>
  <si>
    <t>JMT Classic City</t>
  </si>
  <si>
    <t>JMT1000HS</t>
  </si>
  <si>
    <t>Tork</t>
  </si>
  <si>
    <t>Kratos R</t>
  </si>
  <si>
    <t>Tork Motors</t>
  </si>
  <si>
    <t>Kinetic Green</t>
  </si>
  <si>
    <t>Zing HSS</t>
  </si>
  <si>
    <t>Flex</t>
  </si>
  <si>
    <t>Storie</t>
  </si>
  <si>
    <t>Lucas TVS</t>
  </si>
  <si>
    <t>-</t>
  </si>
  <si>
    <t>Motor Make (OEM)</t>
  </si>
  <si>
    <t xml:space="preserve">Anand Mando </t>
  </si>
  <si>
    <t>Taizhou Quanshun Motor Co., Ltd., brand name “QSMOTOR”</t>
  </si>
  <si>
    <t xml:space="preserve">Lucas TVS </t>
  </si>
  <si>
    <r>
      <rPr>
        <b/>
        <sz val="8"/>
        <color rgb="FF274E13"/>
        <rFont val="Arial"/>
        <family val="2"/>
      </rPr>
      <t xml:space="preserve">Sona Comstar
</t>
    </r>
    <r>
      <rPr>
        <b/>
        <u/>
        <sz val="8"/>
        <color rgb="FF1155CC"/>
        <rFont val="Arial"/>
        <family val="2"/>
      </rPr>
      <t>https://transport.delhi.gov.in/sites/default/files/transport_data/Ms%20Ampere%20Vehicl%3Bes%20Limited%20Circular%2090217.pdf</t>
    </r>
  </si>
  <si>
    <r>
      <rPr>
        <b/>
        <sz val="8"/>
        <color rgb="FF274E13"/>
        <rFont val="Arial"/>
        <family val="2"/>
      </rPr>
      <t xml:space="preserve">BOSCH
</t>
    </r>
    <r>
      <rPr>
        <b/>
        <u/>
        <sz val="8"/>
        <color rgb="FF1155CC"/>
        <rFont val="Arial"/>
        <family val="2"/>
      </rPr>
      <t>https://www.autocarpro.in/feature/tvs-motor-gears-up-for-an-electrified-future-with-iqube-56464</t>
    </r>
  </si>
  <si>
    <r>
      <rPr>
        <b/>
        <sz val="8"/>
        <color rgb="FF274E13"/>
        <rFont val="Arial"/>
        <family val="2"/>
      </rPr>
      <t xml:space="preserve">MAHLE
</t>
    </r>
    <r>
      <rPr>
        <b/>
        <u/>
        <sz val="8"/>
        <color rgb="FF1155CC"/>
        <rFont val="Arial"/>
        <family val="2"/>
      </rPr>
      <t>https://www.linkedin.com/posts/mahle_mahle-is-in-the-right-place-at-the-right-activity-6687069620555304960-Ijwc/?trk=public_profile_like_view&amp;originalSubdomain=in</t>
    </r>
  </si>
  <si>
    <r>
      <rPr>
        <b/>
        <sz val="8"/>
        <color rgb="FF274E13"/>
        <rFont val="Arial"/>
        <family val="2"/>
      </rPr>
      <t xml:space="preserve">Varroc Engineering Limited (50%)
</t>
    </r>
    <r>
      <rPr>
        <b/>
        <u/>
        <sz val="8"/>
        <color rgb="FF1155CC"/>
        <rFont val="Arial"/>
        <family val="2"/>
      </rPr>
      <t>https://www.autocarpro.in/news-national/varroc-engineering-wins-orders-worth-rs-500-crore-in-ongoing-fiscal-77821</t>
    </r>
  </si>
  <si>
    <r>
      <rPr>
        <b/>
        <sz val="8"/>
        <color rgb="FF274E13"/>
        <rFont val="Arial"/>
        <family val="2"/>
      </rPr>
      <t xml:space="preserve">BOSCH (50%)
</t>
    </r>
    <r>
      <rPr>
        <b/>
        <u/>
        <sz val="8"/>
        <color rgb="FF1155CC"/>
        <rFont val="Arial"/>
        <family val="2"/>
      </rPr>
      <t>https://www.timesnownews.com/auto/bike-news/article/more-powerful-version-of-bajaj-chetak-electric-scooter-in-the-making/846891</t>
    </r>
  </si>
  <si>
    <t>Chinese (Speculated OEMs QS Motors OR YM Motors)</t>
  </si>
  <si>
    <r>
      <rPr>
        <b/>
        <sz val="8"/>
        <color rgb="FF274E13"/>
        <rFont val="Arial"/>
        <family val="2"/>
      </rPr>
      <t xml:space="preserve">Sona Comstar
</t>
    </r>
    <r>
      <rPr>
        <b/>
        <u/>
        <sz val="8"/>
        <color rgb="FF1155CC"/>
        <rFont val="Arial"/>
        <family val="2"/>
      </rPr>
      <t>https://www.autocarpro.in/news-national/sona-comstar-to-supply-bldc-motor-and-controller-to-ebike-maker-revolt-motors-67071</t>
    </r>
  </si>
  <si>
    <t>QS MOTOR, CHINA</t>
  </si>
  <si>
    <t>YMMOTOR, Jiangsu, CHINA</t>
  </si>
  <si>
    <r>
      <rPr>
        <b/>
        <sz val="8"/>
        <color rgb="FFFF0000"/>
        <rFont val="Arial"/>
        <family val="2"/>
      </rPr>
      <t xml:space="preserve">Chinese make (Speculated OEMs: Anand Mando &amp; LUCAS TVS
</t>
    </r>
    <r>
      <rPr>
        <b/>
        <u/>
        <sz val="8"/>
        <color rgb="FF1155CC"/>
        <rFont val="Arial"/>
        <family val="2"/>
      </rPr>
      <t>https://www.careratings.com/upload/CompanyFiles/PR/09022023065556_Anand_Mando_Emobility_Private_Limited.pdf</t>
    </r>
  </si>
  <si>
    <t>Chinese make (Speculated OEMs: QS Motors, YM Motors, Amthi, Saili Motor Co. etc)</t>
  </si>
  <si>
    <t>Nidec Corp.</t>
  </si>
  <si>
    <r>
      <rPr>
        <b/>
        <sz val="8"/>
        <color rgb="FF274E13"/>
        <rFont val="Arial"/>
        <family val="2"/>
      </rPr>
      <t xml:space="preserve">LUCAS TVS
</t>
    </r>
    <r>
      <rPr>
        <b/>
        <u/>
        <sz val="8"/>
        <color rgb="FF1155CC"/>
        <rFont val="Arial"/>
        <family val="2"/>
      </rPr>
      <t>https://www.autocarpro.in/feature/amara-raja-charged-up-for-the-future-92238</t>
    </r>
  </si>
  <si>
    <t>Speculated make: Chinese (YM Motors, QS Motors etc.,)</t>
  </si>
  <si>
    <t xml:space="preserve">Speculated make: Chinese (YM Motors, QS Motors etc.,)
</t>
  </si>
  <si>
    <t>Mid Drive (Tr. Belt Drive)</t>
  </si>
  <si>
    <t>Maker/OEM</t>
  </si>
  <si>
    <t>Model/Variant</t>
  </si>
  <si>
    <t>Category (L1/L2)</t>
  </si>
  <si>
    <t>Sales Vol. (F.Y 2022-23), Apr-2022 to March-2023</t>
  </si>
  <si>
    <t>Max. Speed (Kmph)</t>
  </si>
  <si>
    <t>Motor type</t>
  </si>
  <si>
    <t>Drive Type</t>
  </si>
  <si>
    <t>Motor power (kW), Source: Website, Tech. Spec</t>
  </si>
  <si>
    <t>Products</t>
  </si>
  <si>
    <t xml:space="preserve">Plant Address </t>
  </si>
  <si>
    <t>About</t>
  </si>
  <si>
    <t>Link</t>
  </si>
  <si>
    <t>Remark</t>
  </si>
  <si>
    <t>(Low,L1 (0-45 kmph, High Speed,L2 (&gt;45 kmph)</t>
  </si>
  <si>
    <t>(High Speed Vehicle), Source: SMEV</t>
  </si>
  <si>
    <t>Source: SMEV</t>
  </si>
  <si>
    <t>Source: Website, Tech. Specification</t>
  </si>
  <si>
    <t>Continous</t>
  </si>
  <si>
    <t>Peak</t>
  </si>
  <si>
    <t>OLA Electric</t>
  </si>
  <si>
    <t>S1 (2kWh,3kWh)</t>
  </si>
  <si>
    <t>90,95</t>
  </si>
  <si>
    <t>IPM</t>
  </si>
  <si>
    <t>Mid Drive</t>
  </si>
  <si>
    <t>High voltage E-Machines, 48V E-Machines, Generators, Starter Motors</t>
  </si>
  <si>
    <t>Hosa Rd, Naganathapura, Rayasandra, Bengaluru, Karnataka 560100</t>
  </si>
  <si>
    <t>https://www.seg-automotive.com/about-us/</t>
  </si>
  <si>
    <t>https://www.seg-automotive.com/</t>
  </si>
  <si>
    <t>As per discussion with Mr. Karan at plant, Ola at present is procuring tr.motor from SEG automotive India Pvt.Ltd</t>
  </si>
  <si>
    <t>S1 Air (2kWh,3kWh,4kWh)</t>
  </si>
  <si>
    <t>Hub Drive</t>
  </si>
  <si>
    <t>Hub Motor, Controller, Centre Motor</t>
  </si>
  <si>
    <t>A 581/B, RIICO Industrial Area,
Bhiwadi, Alwar 301 019
Rajasthan (India)</t>
  </si>
  <si>
    <t>The idea for entering into the eMobility segment was conceptualised in January 2021, and 7 months later, in July 2021, the idea has transformed into a Joint Venture (JV). Production started 9 months later, in October 2021. The JV company is presently designing, developing and manufacturing traction motors and controllers in India.</t>
  </si>
  <si>
    <t>https://www.anandgroupindia.com/anandmandoemobility/overview/</t>
  </si>
  <si>
    <t>https://www.financialexpress.com/auto/electric-vehicles/sgem-bags-order-for-rs-60cr-motor-controller-units-from-undisclosed-electric-bike-maker/2294732/</t>
  </si>
  <si>
    <t>OKHI-90</t>
  </si>
  <si>
    <t>80-90</t>
  </si>
  <si>
    <t>BLDC</t>
  </si>
  <si>
    <t>Mid Drive (Tr. Belt drive)</t>
  </si>
  <si>
    <t>Hub Motor, Mid Drive Motor, Spoke Motor, Controller, Electric accessories</t>
  </si>
  <si>
    <t>QS Motor,Jin Bei Avenue, Lin's Village, Jinqing Town, Luqiao District, Taizhou City, Zhejiang Province, P.R China</t>
  </si>
  <si>
    <t>http://www.cnqsmotor.com/en/article_list_94.html</t>
  </si>
  <si>
    <t>http://www.cnqsmotor.com/en/</t>
  </si>
  <si>
    <t>IPraise+</t>
  </si>
  <si>
    <t>Dual 100</t>
  </si>
  <si>
    <t>R30</t>
  </si>
  <si>
    <t>Hero Electric</t>
  </si>
  <si>
    <t>NYX HS500 ER</t>
  </si>
  <si>
    <r>
      <rPr>
        <u/>
        <sz val="8"/>
        <color rgb="FF1155CC"/>
        <rFont val="Arial"/>
        <family val="2"/>
      </rPr>
      <t>http://www.cnqsmotor.com/en/</t>
    </r>
    <r>
      <rPr>
        <sz val="8"/>
        <rFont val="Arial"/>
        <family val="2"/>
      </rPr>
      <t xml:space="preserve">
</t>
    </r>
  </si>
  <si>
    <t>Optima CX-Dual battery</t>
  </si>
  <si>
    <t>Optima CX-Single battery</t>
  </si>
  <si>
    <t>Optima CX 2.0</t>
  </si>
  <si>
    <t>Optima CX 5.0 (Dual battery)</t>
  </si>
  <si>
    <t>48/55</t>
  </si>
  <si>
    <t>Photon HX</t>
  </si>
  <si>
    <t>Atria LX</t>
  </si>
  <si>
    <t>Eddy</t>
  </si>
  <si>
    <t>AMPERE</t>
  </si>
  <si>
    <t>PMSM</t>
  </si>
  <si>
    <t>Mid Mount (Tr. Belt Drive)</t>
  </si>
  <si>
    <t>E2W: Mid drive motor, hub motor, controller, E3W: BLDC/PMSM Motor, controller</t>
  </si>
  <si>
    <t xml:space="preserve">Chennai (Padi), Rewari, Puducherry (Nettapakkam), Uttarakhand (Pant Nagar), Pune (Chakan), Puducherry (Commune), Indrad Automotive System (Kancheepuram, T.N) </t>
  </si>
  <si>
    <r>
      <rPr>
        <u/>
        <sz val="8"/>
        <color rgb="FF1155CC"/>
        <rFont val="Arial"/>
        <family val="2"/>
      </rPr>
      <t>https://www.lucas-tvs.com/about-the-company/</t>
    </r>
    <r>
      <rPr>
        <sz val="8"/>
        <rFont val="Arial"/>
        <family val="2"/>
      </rPr>
      <t>/</t>
    </r>
  </si>
  <si>
    <t>https://www.lucas-tvs.com/about-the-company/</t>
  </si>
  <si>
    <t>ZEAL EX</t>
  </si>
  <si>
    <t>50-55</t>
  </si>
  <si>
    <t>Differential assemblies, Differential gears, EV transmission gears, EV traction motors, Motor control units, Conventional and micro/plug-in hybrid starter motors</t>
  </si>
  <si>
    <t>Gurugram (3), Manesar (1), Pune (1), Chennai (3)</t>
  </si>
  <si>
    <t>https://sonacomstar.com/journey-timeline</t>
  </si>
  <si>
    <t>https://sonacomstar.com/</t>
  </si>
  <si>
    <t>iQube</t>
  </si>
  <si>
    <t>Salesperson claimed that motor is being indigenously developed by TVS</t>
  </si>
  <si>
    <t>iQube S</t>
  </si>
  <si>
    <t>DC Motors, Pumps, valves, blowers, fans, connectors, spark plugs,relays, sensors</t>
  </si>
  <si>
    <t>Ranchi, Jamshedpur, Kolkata, Patna, Raipur, Indore, Nashik, Pune, Mumbai, Chandigarh, Jodhpur, Madurai, Ernakulam, Bengaluru</t>
  </si>
  <si>
    <t>https://www.bosch.in/</t>
  </si>
  <si>
    <t>Booking and sales is in progress (Not in very high proportion)</t>
  </si>
  <si>
    <t>Model yet to be launched in the market. Delay due to govt. restrictions (FAME-II policy)</t>
  </si>
  <si>
    <t>ATHER</t>
  </si>
  <si>
    <t>450X</t>
  </si>
  <si>
    <t>Motor, Controller, gearbox, Charge BIG</t>
  </si>
  <si>
    <t>https://www.mahle.com/en/about-mahle/locations/india.jsp</t>
  </si>
  <si>
    <t xml:space="preserve">https://www.mahle.com/en/about-mahle/group-organization/
</t>
  </si>
  <si>
    <t>https://www.mahle.com/en/about-mahle/group-organization/</t>
  </si>
  <si>
    <t>450X (Pro Pack)</t>
  </si>
  <si>
    <t>BAJAJ</t>
  </si>
  <si>
    <t>Offset mounted (mid drive)</t>
  </si>
  <si>
    <t>EV Components: Traction Motor (PMSM), Traction motor controller, BMS, Displays, DC-DC Converter, On-board charger</t>
  </si>
  <si>
    <t>L-4, MIDC industrial area, Waluj, Aurangabad</t>
  </si>
  <si>
    <t>https://varroc.com/about-us/</t>
  </si>
  <si>
    <t>https://varroc.com/evolution/</t>
  </si>
  <si>
    <t>OKAYA</t>
  </si>
  <si>
    <t>FAAST-F4</t>
  </si>
  <si>
    <t>60-70</t>
  </si>
  <si>
    <t>Motor and Controller</t>
  </si>
  <si>
    <t>2555 Shugang Avenue North, Luqiao,
Taizhou City, Zhejiang Province, 318057, China</t>
  </si>
  <si>
    <t>https://www.qsmotor.com/about-us/</t>
  </si>
  <si>
    <t>https://www.qsmotor.com/</t>
  </si>
  <si>
    <r>
      <rPr>
        <sz val="8"/>
        <rFont val="Arial"/>
        <family val="2"/>
      </rPr>
      <t xml:space="preserve">Motors (Passed ISO 9000, CE Certificates, Strictly implement TS16949 System)
</t>
    </r>
    <r>
      <rPr>
        <u/>
        <sz val="8"/>
        <color rgb="FF1155CC"/>
        <rFont val="Arial"/>
        <family val="2"/>
      </rPr>
      <t>https://www.qsmotor.com/question-answer/</t>
    </r>
  </si>
  <si>
    <t>FAAST-F2B</t>
  </si>
  <si>
    <t>FREEDUM Li</t>
  </si>
  <si>
    <t>CLASSIQ 150+</t>
  </si>
  <si>
    <t>http://ym-motor.com/en/product.php</t>
  </si>
  <si>
    <t>No.120 Songnan Motorcycle Fitting Market Luochongwei Guangzhou China</t>
  </si>
  <si>
    <t>http://ym-motor.com/en/page.php?name=about</t>
  </si>
  <si>
    <t>http://ym-motor.com/en/index.php</t>
  </si>
  <si>
    <r>
      <rPr>
        <sz val="8"/>
        <rFont val="Arial"/>
        <family val="2"/>
      </rPr>
      <t xml:space="preserve">Referred </t>
    </r>
    <r>
      <rPr>
        <u/>
        <sz val="8"/>
        <color rgb="FF1155CC"/>
        <rFont val="Arial"/>
        <family val="2"/>
      </rPr>
      <t>Alibaba.com</t>
    </r>
    <r>
      <rPr>
        <sz val="8"/>
        <rFont val="Arial"/>
        <family val="2"/>
      </rPr>
      <t xml:space="preserve"> and got the details about motor manufacturer</t>
    </r>
  </si>
  <si>
    <t>FAAST-F3</t>
  </si>
  <si>
    <t>FAAST-F2F</t>
  </si>
  <si>
    <t>45-55</t>
  </si>
  <si>
    <t>REVOLT</t>
  </si>
  <si>
    <t>RV 400</t>
  </si>
  <si>
    <t>Mid Drive (Belt Driven)</t>
  </si>
  <si>
    <r>
      <rPr>
        <b/>
        <sz val="8"/>
        <rFont val="Arial"/>
        <family val="2"/>
      </rPr>
      <t xml:space="preserve">Rs.15,000 (Motor price)
</t>
    </r>
    <r>
      <rPr>
        <b/>
        <u/>
        <sz val="8"/>
        <color rgb="FF1155CC"/>
        <rFont val="Arial"/>
        <family val="2"/>
      </rPr>
      <t>https://www.autocarpro.in/news-national/sona-comstar-bags-rs-913-crore%C2%A0order-for-traction-motors-from-2w%C2%A0oem-92777</t>
    </r>
  </si>
  <si>
    <t>PURE</t>
  </si>
  <si>
    <t>ECO DRYFT</t>
  </si>
  <si>
    <t>epluto 7G</t>
  </si>
  <si>
    <t>ETRANCE NEO</t>
  </si>
  <si>
    <t>ETRYST 350</t>
  </si>
  <si>
    <t>BEING INDIA (BENLG)</t>
  </si>
  <si>
    <t>Aura Li</t>
  </si>
  <si>
    <t>FALCON</t>
  </si>
  <si>
    <t>BELIEVE</t>
  </si>
  <si>
    <t>KRITI</t>
  </si>
  <si>
    <t>JITENDRA</t>
  </si>
  <si>
    <t>JET 250XL +</t>
  </si>
  <si>
    <t xml:space="preserve">Kratos </t>
  </si>
  <si>
    <t>TBE</t>
  </si>
  <si>
    <t>PMSM (Axial Flux)</t>
  </si>
  <si>
    <t>Mid Drive (Tr. Chain Driven)</t>
  </si>
  <si>
    <t>Axial Flux Permanent Motors, 2- Speed Gearbox</t>
  </si>
  <si>
    <t>MIDC, Pune</t>
  </si>
  <si>
    <t>https://booking.torkmotors.com/</t>
  </si>
  <si>
    <r>
      <rPr>
        <b/>
        <sz val="8"/>
        <rFont val="Arial"/>
        <family val="2"/>
      </rPr>
      <t xml:space="preserve">Only Kratos R is available. Motor is indigenously being developed by Tork Motors
</t>
    </r>
    <r>
      <rPr>
        <b/>
        <u/>
        <sz val="8"/>
        <color rgb="FF1155CC"/>
        <rFont val="Arial"/>
        <family val="2"/>
      </rPr>
      <t>https://www.mobilityoutlook.com/features/the-story-of-tork-motors-beyond-electric-twowheelers/</t>
    </r>
  </si>
  <si>
    <t>Vida</t>
  </si>
  <si>
    <t>V1 Plus</t>
  </si>
  <si>
    <t>PMSM (Integrated GB,Controller)</t>
  </si>
  <si>
    <t>Motors, Precision Motors, Machine tools, Measuring equipment, sensor</t>
  </si>
  <si>
    <t>Kyoto, Japan</t>
  </si>
  <si>
    <t>Nidec Corporation is a Japanese manufacturer and distributor of electric motors. Their products are found in hard-disk drives, electric appliances, automobiles and commercial and manufacturing equipment.</t>
  </si>
  <si>
    <t>https://www.nidec.com/en/</t>
  </si>
  <si>
    <r>
      <rPr>
        <b/>
        <sz val="8"/>
        <color rgb="FF990000"/>
        <rFont val="Arial"/>
        <family val="2"/>
      </rPr>
      <t>Motor: Swing arm mounted motor</t>
    </r>
    <r>
      <rPr>
        <b/>
        <sz val="8"/>
        <color theme="1"/>
        <rFont val="Arial"/>
        <family val="2"/>
      </rPr>
      <t xml:space="preserve">
Advantages:
1.Reduces the complexity of manufacturing
2.Reduces power transfer losses caused by chain or belt driven mechanism
3.Since motor is not a part of rear wheel hub, rotational inertia reduces
4.Natural air cooled motor
</t>
    </r>
    <r>
      <rPr>
        <b/>
        <sz val="8"/>
        <color rgb="FF00FF00"/>
        <rFont val="Arial"/>
        <family val="2"/>
      </rPr>
      <t>5.Easy removal of rear wheel for fixing punctures</t>
    </r>
  </si>
  <si>
    <t>V1 Pro</t>
  </si>
  <si>
    <t>Battre</t>
  </si>
  <si>
    <t>Hub Motor, BLDC Motor, DC-DC Converter, PMSM Motor, PMSM-FOC Controller, BLDC regenerative controller</t>
  </si>
  <si>
    <t>Padi, Chennai – 600 050, INDIA.</t>
  </si>
  <si>
    <t>https://www.lucas-tvs.com/</t>
  </si>
  <si>
    <t>Seen and verified the motor at Battre showroom. Motor make is Lucas TVS</t>
  </si>
  <si>
    <t>Hop Electric</t>
  </si>
  <si>
    <t>Oxo</t>
  </si>
  <si>
    <t>Oxo (Pro package)</t>
  </si>
  <si>
    <t>Sr No.</t>
  </si>
  <si>
    <t>Sales Vol. (F.Y 2023-24), Apr-2023 to March-2024</t>
  </si>
  <si>
    <t>Market Share (%) -FY 2024</t>
  </si>
  <si>
    <t>Warranty</t>
  </si>
  <si>
    <t>3 years or 30000 km</t>
  </si>
  <si>
    <t>3year or 30k kms</t>
  </si>
  <si>
    <t>3 years and 40K kms</t>
  </si>
  <si>
    <t xml:space="preserve"> </t>
  </si>
  <si>
    <t>Market sizing</t>
  </si>
  <si>
    <t>Strategy</t>
  </si>
  <si>
    <t>Mktg</t>
  </si>
  <si>
    <t xml:space="preserve">Target customer </t>
  </si>
  <si>
    <t>Voice of Customer</t>
  </si>
  <si>
    <t>Design</t>
  </si>
  <si>
    <t xml:space="preserve">Price benchmarking </t>
  </si>
  <si>
    <t>Tecyhnology changes and future requirements (Tehnology Roadmap)</t>
  </si>
  <si>
    <t>Strategy, Mktg</t>
  </si>
  <si>
    <t>GTM Phase I: Stage 1 Release</t>
  </si>
  <si>
    <t xml:space="preserve">Strategy </t>
  </si>
  <si>
    <t>CEO/MD</t>
  </si>
  <si>
    <t>GTM Phase I: Stage 2</t>
  </si>
  <si>
    <t>Competitor Landscape</t>
  </si>
  <si>
    <t>Mktg, Design</t>
  </si>
  <si>
    <t xml:space="preserve">Product positioning </t>
  </si>
  <si>
    <t>Advik value proposition /competitive advantage</t>
  </si>
  <si>
    <t xml:space="preserve">Key success factors </t>
  </si>
  <si>
    <t>GTM Phase I</t>
  </si>
  <si>
    <t>SCM, Ops, Design, Mktg</t>
  </si>
  <si>
    <t>Heat Dissipation:</t>
  </si>
  <si>
    <t>Due to the compact size and high power density of two-wheeler traction motors, heat dissipation becomes a critical issue. Overheating can occur more quickly in these motors, leading to performance degradation and potential damage.</t>
  </si>
  <si>
    <t>Two-wheeler EVs require quick acceleration and responsive torque delivery. Traction motors must be designed to provide sufficient torque at low speeds while also delivering high-speed performance.</t>
  </si>
  <si>
    <t>Acceleration &amp; Torque:</t>
  </si>
  <si>
    <t>Regenerative Braking Efficiency:</t>
  </si>
  <si>
    <t>Present Technology</t>
  </si>
  <si>
    <t>Future Technology</t>
  </si>
  <si>
    <t>Aspect</t>
  </si>
  <si>
    <t>Permanent Magnet Synchronous Motor (PMSM) or BLDC Motors</t>
  </si>
  <si>
    <t>Power and Torque</t>
  </si>
  <si>
    <t>Moderate power and torque output</t>
  </si>
  <si>
    <t>Size and Weight</t>
  </si>
  <si>
    <t>Compact size with moderate weight</t>
  </si>
  <si>
    <t>Smaller and lighter motors without compromising performance</t>
  </si>
  <si>
    <t>Cooling Systems</t>
  </si>
  <si>
    <t>Air or liquid cooling systems</t>
  </si>
  <si>
    <t>………………….</t>
  </si>
  <si>
    <t>Cost/Motor (8-12% OF VEHICLE COST)</t>
  </si>
  <si>
    <t>SEG Automative</t>
  </si>
  <si>
    <t>As per the discussion with Mechanic head of the service centre okinawa and benling have merged together and formed a new brand EV Mera, which is only meant for servicing and not sales.</t>
  </si>
  <si>
    <t xml:space="preserve">Got an estimation of 12k from the customer service representatitive of Ampere
</t>
  </si>
  <si>
    <t>Calculated the market share from smev's others data</t>
  </si>
  <si>
    <t>1,86,006</t>
  </si>
  <si>
    <t>1,22,955</t>
  </si>
  <si>
    <t>1,19,085</t>
  </si>
  <si>
    <t>1,15,311</t>
  </si>
  <si>
    <t>1,24,360</t>
  </si>
  <si>
    <t>X</t>
  </si>
  <si>
    <t>Chetak URBAN</t>
  </si>
  <si>
    <t>CHETAK PREMIUM</t>
  </si>
  <si>
    <t>Zing big b</t>
  </si>
  <si>
    <t>primo</t>
  </si>
  <si>
    <t>JMT1000 3k</t>
  </si>
  <si>
    <t>JMT 1000HS</t>
  </si>
  <si>
    <t>JMT 1000HS 26</t>
  </si>
  <si>
    <t>Electric Flash LX</t>
  </si>
  <si>
    <t>S. No</t>
  </si>
  <si>
    <t>Maker</t>
  </si>
  <si>
    <t>Market</t>
  </si>
  <si>
    <t>FY 23</t>
  </si>
  <si>
    <t>FY 22</t>
  </si>
  <si>
    <t>OLA ELECTRIC</t>
  </si>
  <si>
    <t>OKINAWA</t>
  </si>
  <si>
    <t>HERO ELECTRIC</t>
  </si>
  <si>
    <t>OKAYA EV</t>
  </si>
  <si>
    <t>BGAUSS</t>
  </si>
  <si>
    <t>BATTRE ELECTRIC</t>
  </si>
  <si>
    <t>KINETIC GREEN</t>
  </si>
  <si>
    <t>OTHERS</t>
  </si>
  <si>
    <t>Share 2023</t>
  </si>
  <si>
    <t>Share 2022</t>
  </si>
  <si>
    <t>Share 2021</t>
  </si>
  <si>
    <t>.</t>
  </si>
  <si>
    <t>Higher power and torque output for improved performance by using neodymium magnets (Strongest and powerful magnets made by GM)</t>
  </si>
  <si>
    <t>Source</t>
  </si>
  <si>
    <t>https://www.electricmotorengineering.com/from-nanomaterials-to-the-new-generation-of-electric-motors/</t>
  </si>
  <si>
    <t>https://newsroom.mahle.com/press/en/press-releases/mahle-develops-highly-efficient-magnet-free-electric-motor--82368</t>
  </si>
  <si>
    <t>Total Market Size (Rs)</t>
  </si>
  <si>
    <t>Average Price (Rs)</t>
  </si>
  <si>
    <t>Total (Rs)</t>
  </si>
  <si>
    <t>Total Vehicles</t>
  </si>
  <si>
    <t>Market Cap. Min</t>
  </si>
  <si>
    <t>Market Cap. Max</t>
  </si>
  <si>
    <t>Min(8% price)</t>
  </si>
  <si>
    <t>Max (12% price)</t>
  </si>
  <si>
    <t>Market size</t>
  </si>
  <si>
    <t>FY 24</t>
  </si>
  <si>
    <t xml:space="preserve">  </t>
  </si>
  <si>
    <t xml:space="preserve">Sales vol (23-24) </t>
  </si>
  <si>
    <t>Price of motor</t>
  </si>
  <si>
    <t>.hub drive</t>
  </si>
  <si>
    <t>Total</t>
  </si>
  <si>
    <t>Share 2024</t>
  </si>
  <si>
    <t>share 2024</t>
  </si>
  <si>
    <t>Share 2023 %</t>
  </si>
  <si>
    <t>Share 2022 %</t>
  </si>
  <si>
    <t>Energy losses in regen braking system.</t>
  </si>
  <si>
    <t>Advantage</t>
  </si>
  <si>
    <t>Disadvantage</t>
  </si>
  <si>
    <t>Forecasted data 2025</t>
  </si>
  <si>
    <t>Forecasted data 2026</t>
  </si>
  <si>
    <t>Mid drive</t>
  </si>
  <si>
    <t>hub drive</t>
  </si>
  <si>
    <t xml:space="preserve"> Advanced composites offer superior mechanical properties, such as high tensile strength and stiffness.e of the ways to improve motor efficiency is to replace traditional methods with soft magnetic composite materials (SMC) or iron powder materials.</t>
  </si>
  <si>
    <t xml:space="preserve"> The introduction of high-performance magnets (e.g., rare-earth-free magnets), advanced composites, and carbon nanotubes, can improve motor performance, reduce weight, and enhance durability. Magnetfree ev motor (Mahle).                                            </t>
  </si>
  <si>
    <t xml:space="preserve">Increasing the surface area of the fins in the motor. Fiber-reinforced polymer materials will help motor designers to achieve the function of cooling the motor. A new cooling concept allows the use of polymer to make the motor housing, and the power density and efficiency of the motor are also improved. </t>
  </si>
  <si>
    <t xml:space="preserve"> the composite material can have higher mechanical strength while improving the magnetic properties, and the properties of this combination match those of commercial products.</t>
  </si>
  <si>
    <t>https://www.linkedin.com/pulse/how-advanced-composites-can-help-electric-motors-lighten-/</t>
  </si>
  <si>
    <t>Traction Motors manufacturers (2W)</t>
  </si>
  <si>
    <t>Website</t>
  </si>
  <si>
    <t>Location</t>
  </si>
  <si>
    <t>Gurgaon</t>
  </si>
  <si>
    <t>Tata AutoCamp</t>
  </si>
  <si>
    <t>Pune</t>
  </si>
  <si>
    <t>https://tataautocomp.com/</t>
  </si>
  <si>
    <t>EMF innovations</t>
  </si>
  <si>
    <t>Coimbatore</t>
  </si>
  <si>
    <t>https://www.emf-i.com/</t>
  </si>
  <si>
    <t>Rotomotive Powerdrive</t>
  </si>
  <si>
    <t>Gujarat</t>
  </si>
  <si>
    <t>www.rotomotive.com</t>
  </si>
  <si>
    <t>Compage Automation</t>
  </si>
  <si>
    <t>https://www.compageauto.com/</t>
  </si>
  <si>
    <t>Faridabad</t>
  </si>
  <si>
    <t>Dana TM4</t>
  </si>
  <si>
    <t>www.danatm4.com</t>
  </si>
  <si>
    <t>Entuple E-Mobility</t>
  </si>
  <si>
    <t>Bengaluru</t>
  </si>
  <si>
    <t>https://entuplemobility.com/</t>
  </si>
  <si>
    <t>Varroc Engineering</t>
  </si>
  <si>
    <t>https://varroc.com/</t>
  </si>
  <si>
    <t>Tsuyo Manufacturing</t>
  </si>
  <si>
    <t>Noida</t>
  </si>
  <si>
    <t>https://tsuyo.co.in/</t>
  </si>
  <si>
    <t>Temsrax</t>
  </si>
  <si>
    <t>Hyderabad</t>
  </si>
  <si>
    <t>Physics motors(Hub Motors)</t>
  </si>
  <si>
    <t>www.physicsmotors.com</t>
  </si>
  <si>
    <t>Bangalore</t>
  </si>
  <si>
    <t>http://www.konmos.in/</t>
  </si>
  <si>
    <t>Rajkot</t>
  </si>
  <si>
    <t>Konmos Tech (PMSM)</t>
  </si>
  <si>
    <t>www.in.mahle.com</t>
  </si>
  <si>
    <t>Sterling Gtake</t>
  </si>
  <si>
    <t>www.sterlinggtake.com</t>
  </si>
  <si>
    <t>bangalore</t>
  </si>
  <si>
    <t>Napino Auto (BLDC, PMSM)</t>
  </si>
  <si>
    <t>www.napino.com</t>
  </si>
  <si>
    <t xml:space="preserve">The supply chain for rare earths is extremely constrained geographically. </t>
  </si>
  <si>
    <t>China accounts for the vast majority of worldwide production which has historically led to price volatility. Back in 2011, China restricted exports of rare earths seeing an approximate price rise of 750% and 2000% for neodymium and dysprosium respectively. Prices since have remained fairly stable aside from a 1.5 fold increase in 2017</t>
  </si>
  <si>
    <t>Volume Division of Motor</t>
  </si>
  <si>
    <t>Hub Volume FY23</t>
  </si>
  <si>
    <t>Based on market survey</t>
  </si>
  <si>
    <t>Supply chain in traction motors</t>
  </si>
  <si>
    <t>Quality issues</t>
  </si>
  <si>
    <t>Application</t>
  </si>
  <si>
    <t>2W</t>
  </si>
  <si>
    <t>Anand Mando</t>
  </si>
  <si>
    <t>Customers</t>
  </si>
  <si>
    <t>Revolt</t>
  </si>
  <si>
    <t>Ola</t>
  </si>
  <si>
    <t>Ather</t>
  </si>
  <si>
    <t>Ola/Okinawa</t>
  </si>
  <si>
    <t>Hub</t>
  </si>
  <si>
    <t>Mid-drive</t>
  </si>
  <si>
    <t>x</t>
  </si>
  <si>
    <t>Bosch</t>
  </si>
  <si>
    <t>Row Labels</t>
  </si>
  <si>
    <t>Grand Total</t>
  </si>
  <si>
    <t>Sum of 2022</t>
  </si>
  <si>
    <t>Sum of 2023</t>
  </si>
  <si>
    <t>Sum of 2024</t>
  </si>
  <si>
    <t>Sum of 2025</t>
  </si>
  <si>
    <t>Sum of 2026</t>
  </si>
  <si>
    <t>C3 Customers</t>
  </si>
  <si>
    <t>Amount (Rs. cr)</t>
  </si>
  <si>
    <t>pmsm</t>
  </si>
  <si>
    <t>bldc, pmsm</t>
  </si>
  <si>
    <t>pmsm,bldc</t>
  </si>
  <si>
    <t>bldc</t>
  </si>
  <si>
    <t>bldc, pmsm,synrm</t>
  </si>
  <si>
    <t>ipm, pmsm</t>
  </si>
  <si>
    <t>bldc , pmsm</t>
  </si>
  <si>
    <t>bajaj</t>
  </si>
  <si>
    <t xml:space="preserve">Scarcity of rare earth-free magnets or permanent magnets for which there is a huge dependency on China. </t>
  </si>
  <si>
    <t>raction motors can overheat due to prolonged usage or inefficient cooling systems. This can lead to performance degradation and potentially even motor failure if not addressed promptly.</t>
  </si>
  <si>
    <t>Using lightweight yet durable materials in motor construction, such as high-strength alloys or carbon fiber composites, can help reduce weight without sacrificing performance or reliability.</t>
  </si>
  <si>
    <t>Power to weight ratio issue with current motors</t>
  </si>
  <si>
    <t xml:space="preserve">   </t>
  </si>
  <si>
    <t>Sr No.2</t>
  </si>
  <si>
    <t>Sr No.3</t>
  </si>
  <si>
    <t>Sr No.4</t>
  </si>
  <si>
    <t>Sr No.5</t>
  </si>
  <si>
    <t>Sr No.6</t>
  </si>
  <si>
    <t>Sr No.7</t>
  </si>
  <si>
    <t>Sr No.8</t>
  </si>
  <si>
    <t>Total Market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</si>
</sst>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36" x14ac:knownFonts="1">
    <font>
      <sz val="11"/>
      <color theme="1"/>
      <name val="Calibri"/>
      <family val="2"/>
      <scheme val="minor"/>
    </font>
    <font>
      <b/>
      <sz val="8"/>
      <color theme="1"/>
      <name val="Calibri"/>
      <family val="2"/>
      <scheme val="minor"/>
    </font>
    <font>
      <b/>
      <sz val="8"/>
      <color rgb="FF000000"/>
      <name val="Calibri"/>
      <family val="2"/>
      <scheme val="minor"/>
    </font>
    <font>
      <sz val="8"/>
      <color theme="1"/>
      <name val="Calibri"/>
      <family val="2"/>
      <scheme val="minor"/>
    </font>
    <font>
      <sz val="10"/>
      <name val="Arial"/>
      <family val="2"/>
    </font>
    <font>
      <sz val="8"/>
      <name val="Arial"/>
      <family val="2"/>
    </font>
    <font>
      <sz val="8"/>
      <color rgb="FF000000"/>
      <name val="Calibri"/>
      <family val="2"/>
      <scheme val="minor"/>
    </font>
    <font>
      <sz val="10"/>
      <color theme="1"/>
      <name val="Calibri"/>
      <family val="2"/>
      <scheme val="minor"/>
    </font>
    <font>
      <b/>
      <sz val="8"/>
      <color rgb="FF274E13"/>
      <name val="Calibri"/>
      <family val="2"/>
      <scheme val="minor"/>
    </font>
    <font>
      <b/>
      <sz val="8"/>
      <color rgb="FFCC0000"/>
      <name val="Calibri"/>
      <family val="2"/>
      <scheme val="minor"/>
    </font>
    <font>
      <b/>
      <u/>
      <sz val="8"/>
      <color rgb="FF274E13"/>
      <name val="Arial"/>
      <family val="2"/>
    </font>
    <font>
      <b/>
      <sz val="8"/>
      <color rgb="FF274E13"/>
      <name val="Arial"/>
      <family val="2"/>
    </font>
    <font>
      <b/>
      <u/>
      <sz val="8"/>
      <color rgb="FF1155CC"/>
      <name val="Arial"/>
      <family val="2"/>
    </font>
    <font>
      <b/>
      <sz val="8"/>
      <color rgb="FFFF0000"/>
      <name val="Calibri"/>
      <family val="2"/>
      <scheme val="minor"/>
    </font>
    <font>
      <b/>
      <u/>
      <sz val="8"/>
      <color rgb="FFFF0000"/>
      <name val="Arial"/>
      <family val="2"/>
    </font>
    <font>
      <b/>
      <sz val="8"/>
      <color rgb="FFFF0000"/>
      <name val="Arial"/>
      <family val="2"/>
    </font>
    <font>
      <sz val="8"/>
      <color rgb="FF333333"/>
      <name val="Roboto"/>
    </font>
    <font>
      <u/>
      <sz val="8"/>
      <color rgb="FF0000FF"/>
      <name val="Arial"/>
      <family val="2"/>
    </font>
    <font>
      <u/>
      <sz val="8"/>
      <color rgb="FF1155CC"/>
      <name val="Arial"/>
      <family val="2"/>
    </font>
    <font>
      <b/>
      <u/>
      <sz val="8"/>
      <color rgb="FF0000FF"/>
      <name val="Arial"/>
      <family val="2"/>
    </font>
    <font>
      <b/>
      <sz val="8"/>
      <name val="Arial"/>
      <family val="2"/>
    </font>
    <font>
      <u/>
      <sz val="8"/>
      <color rgb="FF1155CC"/>
      <name val="Calibri"/>
      <family val="2"/>
      <scheme val="minor"/>
    </font>
    <font>
      <b/>
      <sz val="8"/>
      <color rgb="FF990000"/>
      <name val="Arial"/>
      <family val="2"/>
    </font>
    <font>
      <b/>
      <sz val="8"/>
      <color theme="1"/>
      <name val="Arial"/>
      <family val="2"/>
    </font>
    <font>
      <b/>
      <sz val="8"/>
      <color rgb="FF00FF00"/>
      <name val="Arial"/>
      <family val="2"/>
    </font>
    <font>
      <b/>
      <sz val="8"/>
      <color theme="1"/>
      <name val="Times New Roman"/>
      <family val="1"/>
    </font>
    <font>
      <sz val="10"/>
      <name val="Times New Roman"/>
      <family val="1"/>
    </font>
    <font>
      <sz val="11"/>
      <color theme="1"/>
      <name val="Times New Roman"/>
      <family val="1"/>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9.6"/>
      <color rgb="FF0D0D0D"/>
      <name val="Segoe UI"/>
      <family val="2"/>
    </font>
    <font>
      <sz val="9.6"/>
      <color rgb="FF0D0D0D"/>
      <name val="Segoe UI"/>
      <family val="2"/>
    </font>
    <font>
      <sz val="11"/>
      <color theme="1"/>
      <name val="Calibri"/>
      <family val="2"/>
      <scheme val="minor"/>
    </font>
    <font>
      <b/>
      <sz val="9.6"/>
      <color rgb="FF0D0D0D"/>
      <name val="Segoe UI"/>
      <family val="2"/>
    </font>
  </fonts>
  <fills count="18">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EA9999"/>
        <bgColor rgb="FFEA9999"/>
      </patternFill>
    </fill>
    <fill>
      <patternFill patternType="solid">
        <fgColor rgb="FFFF0000"/>
        <bgColor indexed="64"/>
      </patternFill>
    </fill>
    <fill>
      <patternFill patternType="solid">
        <fgColor rgb="FF92D050"/>
        <bgColor indexed="64"/>
      </patternFill>
    </fill>
    <fill>
      <patternFill patternType="solid">
        <fgColor theme="4" tint="0.59999389629810485"/>
        <bgColor rgb="FFFFFFFF"/>
      </patternFill>
    </fill>
    <fill>
      <patternFill patternType="solid">
        <fgColor theme="4" tint="0.59999389629810485"/>
        <bgColor indexed="64"/>
      </patternFill>
    </fill>
    <fill>
      <patternFill patternType="solid">
        <fgColor rgb="FFFFFFFF"/>
        <bgColor indexed="64"/>
      </patternFill>
    </fill>
    <fill>
      <patternFill patternType="solid">
        <fgColor theme="7"/>
        <bgColor indexed="64"/>
      </patternFill>
    </fill>
    <fill>
      <patternFill patternType="solid">
        <fgColor theme="5"/>
        <bgColor indexed="64"/>
      </patternFill>
    </fill>
    <fill>
      <patternFill patternType="solid">
        <fgColor rgb="FF00B05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0"/>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rgb="FF000000"/>
      </right>
      <top/>
      <bottom style="thin">
        <color indexed="64"/>
      </bottom>
      <diagonal/>
    </border>
  </borders>
  <cellStyleXfs count="4">
    <xf numFmtId="0" fontId="0" fillId="0" borderId="0"/>
    <xf numFmtId="0" fontId="28" fillId="0" borderId="0" applyNumberFormat="0" applyFill="0" applyBorder="0" applyAlignment="0" applyProtection="0"/>
    <xf numFmtId="164" fontId="34" fillId="0" borderId="0" applyFont="0" applyFill="0" applyBorder="0" applyAlignment="0" applyProtection="0"/>
    <xf numFmtId="9" fontId="34" fillId="0" borderId="0" applyFont="0" applyFill="0" applyBorder="0" applyAlignment="0" applyProtection="0"/>
  </cellStyleXfs>
  <cellXfs count="240">
    <xf numFmtId="0" fontId="0" fillId="0" borderId="0" xfId="0"/>
    <xf numFmtId="0" fontId="3" fillId="0" borderId="1" xfId="0" applyFont="1" applyBorder="1" applyAlignment="1">
      <alignment horizontal="left"/>
    </xf>
    <xf numFmtId="0" fontId="0" fillId="0" borderId="3" xfId="0" applyBorder="1"/>
    <xf numFmtId="0" fontId="8" fillId="0" borderId="5" xfId="0" applyFont="1" applyBorder="1" applyAlignment="1">
      <alignment horizontal="left" vertical="center" wrapText="1"/>
    </xf>
    <xf numFmtId="0" fontId="9" fillId="0" borderId="1" xfId="0" applyFont="1" applyBorder="1" applyAlignment="1">
      <alignment horizontal="left" vertical="center"/>
    </xf>
    <xf numFmtId="0" fontId="9" fillId="3" borderId="1" xfId="0" applyFont="1" applyFill="1" applyBorder="1" applyAlignment="1">
      <alignment horizontal="left" vertical="center"/>
    </xf>
    <xf numFmtId="0" fontId="10"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3" xfId="0"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0" fontId="7" fillId="0" borderId="1" xfId="0" applyFont="1" applyBorder="1" applyAlignment="1">
      <alignment horizontal="left" vertical="center"/>
    </xf>
    <xf numFmtId="0" fontId="7" fillId="0" borderId="1" xfId="0" applyFont="1" applyBorder="1" applyAlignment="1">
      <alignment horizontal="left"/>
    </xf>
    <xf numFmtId="0" fontId="3" fillId="0" borderId="1" xfId="0" applyFont="1" applyBorder="1" applyAlignment="1">
      <alignment horizontal="left" vertical="center" wrapText="1"/>
    </xf>
    <xf numFmtId="0" fontId="3" fillId="0" borderId="5" xfId="0" applyFont="1" applyBorder="1" applyAlignment="1">
      <alignment horizontal="right" vertical="center"/>
    </xf>
    <xf numFmtId="0" fontId="3" fillId="0" borderId="5" xfId="0" applyFont="1" applyBorder="1" applyAlignment="1">
      <alignment horizontal="left" vertical="center" wrapText="1"/>
    </xf>
    <xf numFmtId="0" fontId="17" fillId="0" borderId="5" xfId="0" applyFont="1" applyBorder="1" applyAlignment="1">
      <alignment horizontal="left" vertical="center" wrapText="1"/>
    </xf>
    <xf numFmtId="0" fontId="17" fillId="0" borderId="1" xfId="0" applyFont="1" applyBorder="1" applyAlignment="1">
      <alignment horizontal="left" vertical="center" wrapText="1"/>
    </xf>
    <xf numFmtId="0" fontId="6" fillId="0" borderId="1" xfId="0" applyFont="1" applyBorder="1" applyAlignment="1">
      <alignment horizontal="left" vertical="center"/>
    </xf>
    <xf numFmtId="0" fontId="3" fillId="0" borderId="4" xfId="0" applyFont="1" applyBorder="1" applyAlignment="1">
      <alignment horizontal="left" vertical="center" wrapText="1"/>
    </xf>
    <xf numFmtId="0" fontId="17" fillId="0" borderId="4" xfId="0" applyFont="1" applyBorder="1" applyAlignment="1">
      <alignment horizontal="left" vertical="center" wrapText="1"/>
    </xf>
    <xf numFmtId="0" fontId="3" fillId="3" borderId="1" xfId="0" applyFont="1" applyFill="1" applyBorder="1" applyAlignment="1">
      <alignment horizontal="left" vertical="center" wrapText="1"/>
    </xf>
    <xf numFmtId="0" fontId="17" fillId="0" borderId="1" xfId="0" applyFont="1" applyBorder="1" applyAlignment="1">
      <alignment horizontal="left" vertical="center"/>
    </xf>
    <xf numFmtId="0" fontId="17" fillId="3" borderId="1" xfId="0" applyFont="1" applyFill="1" applyBorder="1" applyAlignment="1">
      <alignment horizontal="left" vertical="center" wrapText="1"/>
    </xf>
    <xf numFmtId="0" fontId="21"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3" fontId="16" fillId="3" borderId="1" xfId="0" applyNumberFormat="1" applyFont="1" applyFill="1" applyBorder="1" applyAlignment="1">
      <alignment horizontal="right" vertical="center"/>
    </xf>
    <xf numFmtId="0" fontId="19" fillId="0" borderId="1" xfId="0" applyFont="1" applyBorder="1" applyAlignment="1">
      <alignment horizontal="left" vertical="center" wrapText="1"/>
    </xf>
    <xf numFmtId="0" fontId="6" fillId="0" borderId="1" xfId="0" applyFont="1" applyBorder="1" applyAlignment="1">
      <alignment horizontal="left" vertical="center" wrapText="1"/>
    </xf>
    <xf numFmtId="0" fontId="1" fillId="0" borderId="1" xfId="0" applyFont="1" applyBorder="1" applyAlignment="1">
      <alignment horizontal="left" vertical="center"/>
    </xf>
    <xf numFmtId="0" fontId="7" fillId="0" borderId="1" xfId="0" applyFont="1" applyBorder="1" applyAlignment="1">
      <alignment horizontal="right" vertical="center"/>
    </xf>
    <xf numFmtId="0" fontId="3" fillId="0" borderId="1" xfId="0" applyFont="1" applyBorder="1" applyAlignment="1">
      <alignment horizontal="right"/>
    </xf>
    <xf numFmtId="0" fontId="7" fillId="0" borderId="1" xfId="0" applyFont="1" applyBorder="1" applyAlignment="1">
      <alignment horizontal="right"/>
    </xf>
    <xf numFmtId="0" fontId="27" fillId="0" borderId="0" xfId="0" applyFont="1"/>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3" fontId="16" fillId="7" borderId="1" xfId="0" applyNumberFormat="1" applyFont="1" applyFill="1" applyBorder="1" applyAlignment="1">
      <alignment horizontal="right" vertical="center"/>
    </xf>
    <xf numFmtId="0" fontId="3" fillId="8" borderId="1" xfId="0" applyFont="1" applyFill="1" applyBorder="1" applyAlignment="1">
      <alignment horizontal="right" vertical="center"/>
    </xf>
    <xf numFmtId="0" fontId="3" fillId="8" borderId="1" xfId="0" applyFont="1" applyFill="1" applyBorder="1" applyAlignment="1">
      <alignment horizontal="right"/>
    </xf>
    <xf numFmtId="0" fontId="7" fillId="8" borderId="1" xfId="0" applyFont="1" applyFill="1" applyBorder="1" applyAlignment="1">
      <alignment horizontal="right"/>
    </xf>
    <xf numFmtId="9" fontId="16" fillId="7" borderId="1" xfId="0" applyNumberFormat="1" applyFont="1" applyFill="1" applyBorder="1" applyAlignment="1">
      <alignment horizontal="right" vertical="center"/>
    </xf>
    <xf numFmtId="10" fontId="3" fillId="8" borderId="1" xfId="0" applyNumberFormat="1" applyFont="1" applyFill="1" applyBorder="1" applyAlignment="1">
      <alignment horizontal="right" vertical="center"/>
    </xf>
    <xf numFmtId="0" fontId="3" fillId="8" borderId="5" xfId="0" applyFont="1" applyFill="1" applyBorder="1" applyAlignment="1">
      <alignment horizontal="right" vertical="center"/>
    </xf>
    <xf numFmtId="3" fontId="3" fillId="8" borderId="1" xfId="0" applyNumberFormat="1" applyFont="1" applyFill="1" applyBorder="1" applyAlignment="1">
      <alignment horizontal="right" vertical="center" wrapText="1"/>
    </xf>
    <xf numFmtId="3" fontId="3" fillId="8" borderId="1" xfId="0" applyNumberFormat="1" applyFont="1" applyFill="1" applyBorder="1" applyAlignment="1">
      <alignment horizontal="right" vertical="center"/>
    </xf>
    <xf numFmtId="0" fontId="7" fillId="8" borderId="1" xfId="0" applyFont="1" applyFill="1" applyBorder="1" applyAlignment="1">
      <alignment horizontal="right" vertical="center"/>
    </xf>
    <xf numFmtId="0" fontId="25" fillId="5" borderId="1" xfId="0" applyFont="1" applyFill="1" applyBorder="1" applyAlignment="1">
      <alignment horizontal="center" vertical="center" wrapText="1"/>
    </xf>
    <xf numFmtId="0" fontId="25" fillId="5" borderId="1" xfId="0" applyFont="1" applyFill="1" applyBorder="1" applyAlignment="1">
      <alignment horizontal="center" vertical="center"/>
    </xf>
    <xf numFmtId="0" fontId="27" fillId="5" borderId="0" xfId="0" applyFont="1" applyFill="1" applyAlignment="1">
      <alignment horizontal="center"/>
    </xf>
    <xf numFmtId="0" fontId="7" fillId="8" borderId="1" xfId="0" applyFont="1" applyFill="1" applyBorder="1" applyAlignment="1">
      <alignment horizontal="center"/>
    </xf>
    <xf numFmtId="0" fontId="0" fillId="0" borderId="11" xfId="0" applyBorder="1"/>
    <xf numFmtId="0" fontId="30" fillId="0" borderId="12" xfId="0" applyFont="1" applyBorder="1" applyAlignment="1">
      <alignment vertical="center" wrapText="1"/>
    </xf>
    <xf numFmtId="0" fontId="30" fillId="0" borderId="13" xfId="0" applyFont="1" applyBorder="1" applyAlignment="1">
      <alignment vertical="center" wrapText="1"/>
    </xf>
    <xf numFmtId="0" fontId="30" fillId="0" borderId="14" xfId="0" applyFont="1" applyBorder="1" applyAlignment="1">
      <alignment vertical="center" wrapText="1"/>
    </xf>
    <xf numFmtId="0" fontId="30" fillId="0" borderId="15" xfId="0" applyFont="1" applyBorder="1" applyAlignment="1">
      <alignment vertical="center" wrapText="1"/>
    </xf>
    <xf numFmtId="0" fontId="31" fillId="0" borderId="14" xfId="0" applyFont="1" applyBorder="1" applyAlignment="1">
      <alignment vertical="center" wrapText="1"/>
    </xf>
    <xf numFmtId="0" fontId="29" fillId="0" borderId="0" xfId="0" applyFont="1"/>
    <xf numFmtId="0" fontId="25" fillId="6" borderId="3" xfId="0" applyFont="1" applyFill="1" applyBorder="1" applyAlignment="1">
      <alignment horizontal="center" vertical="center"/>
    </xf>
    <xf numFmtId="0" fontId="25" fillId="6" borderId="3" xfId="0" applyFont="1" applyFill="1" applyBorder="1" applyAlignment="1">
      <alignment horizontal="center" vertical="center" wrapText="1"/>
    </xf>
    <xf numFmtId="0" fontId="3" fillId="0" borderId="3" xfId="0" applyFont="1" applyBorder="1" applyAlignment="1">
      <alignment horizontal="left" vertical="center"/>
    </xf>
    <xf numFmtId="3" fontId="0" fillId="0" borderId="3" xfId="0" applyNumberFormat="1" applyBorder="1"/>
    <xf numFmtId="0" fontId="3" fillId="0" borderId="3" xfId="0" applyFont="1" applyBorder="1" applyAlignment="1">
      <alignment horizontal="left" vertical="center" wrapText="1"/>
    </xf>
    <xf numFmtId="0" fontId="6" fillId="0" borderId="3" xfId="0" applyFont="1" applyBorder="1" applyAlignment="1">
      <alignment horizontal="left" vertical="center"/>
    </xf>
    <xf numFmtId="0" fontId="4" fillId="0" borderId="3" xfId="0" applyFont="1" applyBorder="1"/>
    <xf numFmtId="0" fontId="3" fillId="0" borderId="3" xfId="0" applyFont="1" applyBorder="1" applyAlignment="1">
      <alignment horizontal="left"/>
    </xf>
    <xf numFmtId="0" fontId="0" fillId="0" borderId="3" xfId="0" applyBorder="1" applyAlignment="1">
      <alignment horizontal="center"/>
    </xf>
    <xf numFmtId="0" fontId="0" fillId="0" borderId="3" xfId="0" applyBorder="1" applyAlignment="1">
      <alignment vertical="center" wrapText="1"/>
    </xf>
    <xf numFmtId="9" fontId="0" fillId="0" borderId="3" xfId="0" applyNumberFormat="1" applyBorder="1" applyAlignment="1">
      <alignment vertical="center" wrapText="1"/>
    </xf>
    <xf numFmtId="10" fontId="0" fillId="0" borderId="3" xfId="0" applyNumberFormat="1" applyBorder="1" applyAlignment="1">
      <alignment vertical="center" wrapText="1"/>
    </xf>
    <xf numFmtId="0" fontId="0" fillId="10" borderId="3" xfId="0" applyFill="1" applyBorder="1" applyAlignment="1">
      <alignment vertical="center" wrapText="1"/>
    </xf>
    <xf numFmtId="0" fontId="0" fillId="11" borderId="3" xfId="0" applyFill="1" applyBorder="1" applyAlignment="1">
      <alignment vertical="center" wrapText="1"/>
    </xf>
    <xf numFmtId="0" fontId="0" fillId="12" borderId="3" xfId="0" applyFill="1" applyBorder="1" applyAlignment="1">
      <alignment vertical="center" wrapText="1"/>
    </xf>
    <xf numFmtId="9" fontId="0" fillId="12" borderId="3" xfId="0" applyNumberFormat="1"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3" borderId="0" xfId="0" applyFill="1"/>
    <xf numFmtId="0" fontId="0" fillId="13" borderId="3" xfId="0" applyFill="1" applyBorder="1" applyAlignment="1">
      <alignment vertical="center" wrapText="1"/>
    </xf>
    <xf numFmtId="9" fontId="0" fillId="13" borderId="3" xfId="0" applyNumberFormat="1" applyFill="1" applyBorder="1" applyAlignment="1">
      <alignment vertical="center" wrapText="1"/>
    </xf>
    <xf numFmtId="0" fontId="0" fillId="5" borderId="3" xfId="0" applyFill="1" applyBorder="1" applyAlignment="1">
      <alignment vertical="center" wrapText="1"/>
    </xf>
    <xf numFmtId="9" fontId="0" fillId="5" borderId="3" xfId="0" applyNumberFormat="1" applyFill="1" applyBorder="1" applyAlignment="1">
      <alignment vertical="center" wrapText="1"/>
    </xf>
    <xf numFmtId="9" fontId="0" fillId="11" borderId="3" xfId="0" applyNumberFormat="1" applyFill="1" applyBorder="1" applyAlignment="1">
      <alignment vertical="center" wrapText="1"/>
    </xf>
    <xf numFmtId="0" fontId="0" fillId="11" borderId="3" xfId="0" applyFill="1" applyBorder="1" applyAlignment="1">
      <alignment horizontal="center"/>
    </xf>
    <xf numFmtId="0" fontId="26" fillId="6" borderId="3" xfId="0" applyFont="1" applyFill="1" applyBorder="1"/>
    <xf numFmtId="0" fontId="0" fillId="0" borderId="3" xfId="0" applyBorder="1" applyAlignment="1">
      <alignment horizontal="center" vertical="center" wrapText="1"/>
    </xf>
    <xf numFmtId="0" fontId="1" fillId="3" borderId="3" xfId="0" applyFont="1" applyFill="1" applyBorder="1" applyAlignment="1">
      <alignment horizontal="center" vertical="center"/>
    </xf>
    <xf numFmtId="0" fontId="25" fillId="6" borderId="2" xfId="0" applyFont="1" applyFill="1" applyBorder="1" applyAlignment="1">
      <alignment horizontal="center" vertical="center" wrapText="1"/>
    </xf>
    <xf numFmtId="0" fontId="0" fillId="14" borderId="3" xfId="0" applyFill="1" applyBorder="1" applyAlignment="1">
      <alignment horizontal="center" vertical="center"/>
    </xf>
    <xf numFmtId="0" fontId="1" fillId="16" borderId="3" xfId="0" applyFont="1" applyFill="1" applyBorder="1" applyAlignment="1">
      <alignment horizontal="left" vertical="center" wrapText="1"/>
    </xf>
    <xf numFmtId="0" fontId="1" fillId="15" borderId="3" xfId="0" applyFont="1" applyFill="1" applyBorder="1" applyAlignment="1">
      <alignment horizontal="left" vertical="center"/>
    </xf>
    <xf numFmtId="0" fontId="4" fillId="15" borderId="3" xfId="0" applyFont="1" applyFill="1" applyBorder="1"/>
    <xf numFmtId="0" fontId="1" fillId="16" borderId="3" xfId="0" applyFont="1" applyFill="1" applyBorder="1" applyAlignment="1">
      <alignment horizontal="left" vertical="center"/>
    </xf>
    <xf numFmtId="0" fontId="1" fillId="16" borderId="3" xfId="0" applyFont="1" applyFill="1" applyBorder="1" applyAlignment="1">
      <alignment horizontal="center" vertical="center"/>
    </xf>
    <xf numFmtId="0" fontId="13" fillId="15" borderId="3" xfId="0" applyFont="1" applyFill="1" applyBorder="1" applyAlignment="1">
      <alignment horizontal="left" vertical="center" wrapText="1"/>
    </xf>
    <xf numFmtId="0" fontId="13" fillId="15" borderId="3" xfId="0" applyFont="1" applyFill="1" applyBorder="1" applyAlignment="1">
      <alignment horizontal="left" vertical="center"/>
    </xf>
    <xf numFmtId="0" fontId="2" fillId="15" borderId="3" xfId="0" applyFont="1" applyFill="1" applyBorder="1" applyAlignment="1">
      <alignment horizontal="left" vertical="center"/>
    </xf>
    <xf numFmtId="0" fontId="0" fillId="17" borderId="3" xfId="0" applyFill="1" applyBorder="1" applyAlignment="1">
      <alignment horizontal="center" vertical="center"/>
    </xf>
    <xf numFmtId="165" fontId="0" fillId="0" borderId="3" xfId="2" applyNumberFormat="1" applyFont="1" applyBorder="1"/>
    <xf numFmtId="165" fontId="0" fillId="0" borderId="0" xfId="2" applyNumberFormat="1" applyFont="1"/>
    <xf numFmtId="165" fontId="0" fillId="0" borderId="16" xfId="2" applyNumberFormat="1" applyFont="1" applyBorder="1"/>
    <xf numFmtId="165" fontId="0" fillId="0" borderId="3" xfId="2" applyNumberFormat="1" applyFont="1" applyBorder="1" applyAlignment="1">
      <alignment vertical="center" wrapText="1"/>
    </xf>
    <xf numFmtId="165" fontId="0" fillId="0" borderId="17" xfId="2" applyNumberFormat="1" applyFont="1" applyFill="1" applyBorder="1" applyAlignment="1">
      <alignment vertical="center" wrapText="1"/>
    </xf>
    <xf numFmtId="165" fontId="0" fillId="0" borderId="0" xfId="2" applyNumberFormat="1" applyFont="1" applyFill="1" applyBorder="1" applyAlignment="1">
      <alignment vertical="center" wrapText="1"/>
    </xf>
    <xf numFmtId="0" fontId="0" fillId="0" borderId="0" xfId="0" applyAlignment="1">
      <alignment vertical="center" wrapText="1"/>
    </xf>
    <xf numFmtId="9" fontId="0" fillId="0" borderId="0" xfId="0" applyNumberFormat="1" applyAlignment="1">
      <alignment vertical="center" wrapText="1"/>
    </xf>
    <xf numFmtId="10" fontId="0" fillId="0" borderId="0" xfId="0" applyNumberFormat="1" applyAlignment="1">
      <alignment vertical="center" wrapText="1"/>
    </xf>
    <xf numFmtId="0" fontId="0" fillId="0" borderId="18" xfId="0" applyBorder="1" applyAlignment="1">
      <alignment vertical="center" wrapText="1"/>
    </xf>
    <xf numFmtId="0" fontId="0" fillId="0" borderId="18" xfId="0" applyBorder="1"/>
    <xf numFmtId="0" fontId="0" fillId="0" borderId="19" xfId="0" applyBorder="1"/>
    <xf numFmtId="0" fontId="0" fillId="0" borderId="20" xfId="0" applyBorder="1"/>
    <xf numFmtId="9" fontId="0" fillId="0" borderId="20" xfId="0" applyNumberFormat="1" applyBorder="1" applyAlignment="1">
      <alignment vertical="center" wrapText="1"/>
    </xf>
    <xf numFmtId="0" fontId="0" fillId="0" borderId="21" xfId="0" applyBorder="1" applyAlignment="1">
      <alignment vertical="center" wrapText="1"/>
    </xf>
    <xf numFmtId="0" fontId="0" fillId="0" borderId="21" xfId="0" applyBorder="1"/>
    <xf numFmtId="0" fontId="0" fillId="0" borderId="22" xfId="0" applyBorder="1"/>
    <xf numFmtId="0" fontId="25" fillId="6" borderId="2" xfId="0" applyFont="1" applyFill="1" applyBorder="1" applyAlignment="1">
      <alignment horizontal="center" vertical="center"/>
    </xf>
    <xf numFmtId="0" fontId="3" fillId="0" borderId="2" xfId="0" applyFont="1" applyBorder="1" applyAlignment="1">
      <alignment horizontal="left" vertical="center"/>
    </xf>
    <xf numFmtId="0" fontId="6" fillId="0" borderId="2" xfId="0" applyFont="1" applyBorder="1" applyAlignment="1">
      <alignment horizontal="left" vertical="center" wrapText="1"/>
    </xf>
    <xf numFmtId="0" fontId="3" fillId="0" borderId="2" xfId="0" applyFont="1" applyBorder="1" applyAlignment="1">
      <alignment horizontal="left"/>
    </xf>
    <xf numFmtId="0" fontId="29" fillId="0" borderId="3" xfId="0" applyFont="1" applyBorder="1"/>
    <xf numFmtId="0" fontId="29" fillId="0" borderId="11" xfId="0" applyFont="1" applyBorder="1"/>
    <xf numFmtId="9" fontId="0" fillId="12" borderId="3" xfId="3" applyFont="1" applyFill="1" applyBorder="1" applyAlignment="1">
      <alignment vertical="center" wrapText="1"/>
    </xf>
    <xf numFmtId="165" fontId="0" fillId="0" borderId="0" xfId="2" applyNumberFormat="1" applyFont="1" applyBorder="1"/>
    <xf numFmtId="165" fontId="0" fillId="0" borderId="0" xfId="0" applyNumberFormat="1" applyAlignment="1">
      <alignment vertical="center" wrapText="1"/>
    </xf>
    <xf numFmtId="0" fontId="0" fillId="0" borderId="7" xfId="0" applyBorder="1"/>
    <xf numFmtId="0" fontId="0" fillId="0" borderId="17" xfId="0" applyBorder="1"/>
    <xf numFmtId="0" fontId="0" fillId="0" borderId="8" xfId="0" applyBorder="1"/>
    <xf numFmtId="0" fontId="32" fillId="9" borderId="3" xfId="0" applyFont="1" applyFill="1" applyBorder="1" applyAlignment="1">
      <alignment vertical="center" wrapText="1"/>
    </xf>
    <xf numFmtId="0" fontId="0" fillId="0" borderId="0" xfId="0" applyAlignment="1">
      <alignment horizontal="left" indent="54"/>
    </xf>
    <xf numFmtId="0" fontId="28" fillId="0" borderId="0" xfId="1"/>
    <xf numFmtId="0" fontId="33" fillId="9" borderId="3" xfId="0" applyFont="1" applyFill="1" applyBorder="1" applyAlignment="1">
      <alignment vertical="center" wrapText="1"/>
    </xf>
    <xf numFmtId="0" fontId="28" fillId="9" borderId="3" xfId="1" applyFill="1" applyBorder="1" applyAlignment="1">
      <alignment vertical="center" wrapText="1"/>
    </xf>
    <xf numFmtId="0" fontId="35" fillId="9" borderId="3" xfId="0" applyFont="1" applyFill="1" applyBorder="1" applyAlignment="1">
      <alignment horizontal="center" wrapText="1"/>
    </xf>
    <xf numFmtId="0" fontId="0" fillId="0" borderId="10" xfId="0" applyBorder="1" applyAlignment="1">
      <alignment horizontal="center" vertical="center" wrapText="1"/>
    </xf>
    <xf numFmtId="0" fontId="0" fillId="0" borderId="0" xfId="0" applyAlignment="1">
      <alignment horizontal="center"/>
    </xf>
    <xf numFmtId="0" fontId="0" fillId="0" borderId="0" xfId="0" pivotButton="1"/>
    <xf numFmtId="0" fontId="0" fillId="0" borderId="0" xfId="0" applyAlignment="1">
      <alignment horizontal="left"/>
    </xf>
    <xf numFmtId="165" fontId="0" fillId="0" borderId="11" xfId="2" applyNumberFormat="1" applyFont="1" applyBorder="1" applyAlignment="1">
      <alignment vertical="center" wrapText="1"/>
    </xf>
    <xf numFmtId="0" fontId="0" fillId="10" borderId="0" xfId="0" applyFill="1"/>
    <xf numFmtId="165" fontId="0" fillId="0" borderId="3" xfId="0" applyNumberFormat="1" applyBorder="1" applyAlignment="1">
      <alignment vertical="center" wrapText="1"/>
    </xf>
    <xf numFmtId="165" fontId="0" fillId="0" borderId="3" xfId="0" applyNumberFormat="1" applyBorder="1"/>
    <xf numFmtId="165" fontId="0" fillId="0" borderId="7" xfId="2" applyNumberFormat="1" applyFont="1" applyBorder="1" applyAlignment="1">
      <alignment vertical="center" wrapText="1"/>
    </xf>
    <xf numFmtId="0" fontId="0" fillId="0" borderId="10" xfId="0" applyBorder="1" applyAlignment="1">
      <alignment vertical="center" wrapText="1"/>
    </xf>
    <xf numFmtId="0" fontId="3" fillId="0" borderId="9" xfId="0" applyFont="1" applyBorder="1" applyAlignment="1">
      <alignment horizontal="left" vertical="center"/>
    </xf>
    <xf numFmtId="0" fontId="0" fillId="2" borderId="3" xfId="0" applyFill="1" applyBorder="1"/>
    <xf numFmtId="0" fontId="29" fillId="2" borderId="3" xfId="0" applyFont="1" applyFill="1" applyBorder="1"/>
    <xf numFmtId="165" fontId="29" fillId="0" borderId="23" xfId="2" applyNumberFormat="1" applyFont="1" applyFill="1" applyBorder="1" applyAlignment="1">
      <alignment vertical="center" wrapText="1"/>
    </xf>
    <xf numFmtId="165" fontId="0" fillId="0" borderId="0" xfId="2" applyNumberFormat="1" applyFont="1" applyBorder="1" applyAlignment="1">
      <alignment vertical="center" wrapText="1"/>
    </xf>
    <xf numFmtId="0" fontId="1" fillId="3" borderId="28" xfId="0" applyFont="1" applyFill="1" applyBorder="1" applyAlignment="1">
      <alignment horizontal="left" vertical="center"/>
    </xf>
    <xf numFmtId="0" fontId="0" fillId="0" borderId="0" xfId="0" applyAlignment="1">
      <alignment wrapText="1"/>
    </xf>
    <xf numFmtId="0" fontId="25" fillId="6"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1" fillId="0" borderId="4" xfId="0" applyFont="1" applyBorder="1" applyAlignment="1">
      <alignment horizontal="left" vertical="center"/>
    </xf>
    <xf numFmtId="0" fontId="4" fillId="0" borderId="5" xfId="0" applyFont="1" applyBorder="1"/>
    <xf numFmtId="9" fontId="3" fillId="8" borderId="4" xfId="0" applyNumberFormat="1" applyFont="1" applyFill="1" applyBorder="1" applyAlignment="1">
      <alignment horizontal="right" vertical="center"/>
    </xf>
    <xf numFmtId="0" fontId="4" fillId="8" borderId="5" xfId="0" applyFont="1" applyFill="1" applyBorder="1"/>
    <xf numFmtId="0" fontId="8" fillId="0" borderId="4" xfId="0" applyFont="1" applyBorder="1" applyAlignment="1">
      <alignment horizontal="left" vertical="center" wrapText="1"/>
    </xf>
    <xf numFmtId="0" fontId="3" fillId="0" borderId="4" xfId="0" applyFont="1" applyBorder="1" applyAlignment="1">
      <alignment horizontal="left" vertical="center" wrapText="1"/>
    </xf>
    <xf numFmtId="0" fontId="17" fillId="0" borderId="4" xfId="0" applyFont="1" applyBorder="1" applyAlignment="1">
      <alignment horizontal="left" vertical="center"/>
    </xf>
    <xf numFmtId="0" fontId="13" fillId="0" borderId="4" xfId="0" applyFont="1" applyBorder="1" applyAlignment="1">
      <alignment horizontal="left" vertical="center" wrapText="1"/>
    </xf>
    <xf numFmtId="0" fontId="4" fillId="0" borderId="6" xfId="0" applyFont="1" applyBorder="1"/>
    <xf numFmtId="3" fontId="16" fillId="3" borderId="4" xfId="0" applyNumberFormat="1" applyFont="1" applyFill="1" applyBorder="1" applyAlignment="1">
      <alignment horizontal="right" vertical="center"/>
    </xf>
    <xf numFmtId="3" fontId="16" fillId="7" borderId="4" xfId="0" applyNumberFormat="1" applyFont="1" applyFill="1" applyBorder="1" applyAlignment="1">
      <alignment horizontal="right" vertical="center"/>
    </xf>
    <xf numFmtId="0" fontId="4" fillId="8" borderId="6" xfId="0" applyFont="1" applyFill="1" applyBorder="1"/>
    <xf numFmtId="0" fontId="14" fillId="0" borderId="4" xfId="0" applyFont="1" applyBorder="1" applyAlignment="1">
      <alignment horizontal="left" vertical="center" wrapText="1"/>
    </xf>
    <xf numFmtId="0" fontId="17" fillId="0" borderId="4" xfId="0" applyFont="1" applyBorder="1" applyAlignment="1">
      <alignment horizontal="left" vertical="center" wrapText="1"/>
    </xf>
    <xf numFmtId="0" fontId="3" fillId="0" borderId="4" xfId="0" applyFont="1" applyBorder="1" applyAlignment="1">
      <alignment horizontal="left" vertical="center"/>
    </xf>
    <xf numFmtId="0" fontId="3" fillId="0" borderId="4" xfId="0" applyFont="1" applyBorder="1" applyAlignment="1">
      <alignment horizontal="right" vertical="center"/>
    </xf>
    <xf numFmtId="0" fontId="1" fillId="3" borderId="4" xfId="0" applyFont="1" applyFill="1" applyBorder="1" applyAlignment="1">
      <alignment horizontal="left" vertical="center"/>
    </xf>
    <xf numFmtId="0" fontId="1" fillId="0" borderId="4" xfId="0" applyFont="1" applyBorder="1" applyAlignment="1">
      <alignment horizontal="left" vertical="center" wrapText="1"/>
    </xf>
    <xf numFmtId="0" fontId="2" fillId="0" borderId="4" xfId="0" applyFont="1" applyBorder="1" applyAlignment="1">
      <alignment horizontal="left" vertical="center"/>
    </xf>
    <xf numFmtId="0" fontId="8" fillId="0" borderId="4" xfId="0" applyFont="1" applyBorder="1" applyAlignment="1">
      <alignment horizontal="left" vertical="center"/>
    </xf>
    <xf numFmtId="3" fontId="3" fillId="8" borderId="4" xfId="0" applyNumberFormat="1" applyFont="1" applyFill="1" applyBorder="1" applyAlignment="1">
      <alignment horizontal="right" vertical="center"/>
    </xf>
    <xf numFmtId="0" fontId="19" fillId="4" borderId="4" xfId="0" applyFont="1" applyFill="1" applyBorder="1" applyAlignment="1">
      <alignment horizontal="left" vertical="center" wrapText="1"/>
    </xf>
    <xf numFmtId="0" fontId="3" fillId="8" borderId="4" xfId="0" applyFont="1" applyFill="1" applyBorder="1" applyAlignment="1">
      <alignment horizontal="right" vertical="center"/>
    </xf>
    <xf numFmtId="0" fontId="13" fillId="0" borderId="4" xfId="0" applyFont="1" applyBorder="1" applyAlignment="1">
      <alignment horizontal="left" vertical="center"/>
    </xf>
    <xf numFmtId="0" fontId="16" fillId="7" borderId="4" xfId="0" applyFont="1" applyFill="1" applyBorder="1" applyAlignment="1">
      <alignment horizontal="right" vertical="center"/>
    </xf>
    <xf numFmtId="0" fontId="5" fillId="0" borderId="4" xfId="0" applyFont="1" applyBorder="1" applyAlignment="1">
      <alignment horizontal="left" vertical="center" wrapText="1"/>
    </xf>
    <xf numFmtId="9" fontId="16" fillId="7" borderId="4" xfId="0" applyNumberFormat="1" applyFont="1" applyFill="1" applyBorder="1" applyAlignment="1">
      <alignment horizontal="right" vertical="center"/>
    </xf>
    <xf numFmtId="0" fontId="10" fillId="0" borderId="4" xfId="0" applyFont="1" applyBorder="1" applyAlignment="1">
      <alignment horizontal="left" vertical="center" wrapText="1"/>
    </xf>
    <xf numFmtId="0" fontId="3" fillId="3" borderId="4" xfId="0" applyFont="1" applyFill="1" applyBorder="1" applyAlignment="1">
      <alignment horizontal="left" vertical="center" wrapText="1"/>
    </xf>
    <xf numFmtId="0" fontId="3" fillId="0" borderId="6" xfId="0" applyFont="1" applyBorder="1" applyAlignment="1">
      <alignment horizontal="left" vertical="center" wrapText="1"/>
    </xf>
    <xf numFmtId="0" fontId="20" fillId="0" borderId="4" xfId="0" applyFont="1" applyBorder="1" applyAlignment="1">
      <alignment horizontal="left" vertical="center" wrapText="1"/>
    </xf>
    <xf numFmtId="0" fontId="1" fillId="3" borderId="4" xfId="0" applyFont="1" applyFill="1" applyBorder="1" applyAlignment="1">
      <alignment horizontal="left" vertical="center" wrapText="1"/>
    </xf>
    <xf numFmtId="0" fontId="25" fillId="5" borderId="4" xfId="0" applyFont="1" applyFill="1" applyBorder="1" applyAlignment="1">
      <alignment horizontal="center" vertical="center" wrapText="1"/>
    </xf>
    <xf numFmtId="0" fontId="26" fillId="5" borderId="5" xfId="0" applyFont="1" applyFill="1" applyBorder="1"/>
    <xf numFmtId="0" fontId="25" fillId="6" borderId="4" xfId="0" applyFont="1" applyFill="1" applyBorder="1" applyAlignment="1">
      <alignment horizontal="center" vertical="center" wrapText="1"/>
    </xf>
    <xf numFmtId="0" fontId="26" fillId="6" borderId="5" xfId="0" applyFont="1" applyFill="1" applyBorder="1"/>
    <xf numFmtId="0" fontId="25" fillId="6" borderId="4" xfId="0" applyFont="1" applyFill="1" applyBorder="1" applyAlignment="1">
      <alignment horizontal="center" vertical="center"/>
    </xf>
    <xf numFmtId="0" fontId="25" fillId="6" borderId="2" xfId="0" applyFont="1" applyFill="1" applyBorder="1" applyAlignment="1">
      <alignment horizontal="center" vertical="center" wrapText="1"/>
    </xf>
    <xf numFmtId="0" fontId="26" fillId="6" borderId="9" xfId="0" applyFont="1" applyFill="1" applyBorder="1"/>
    <xf numFmtId="0" fontId="29" fillId="2" borderId="24" xfId="0" applyFont="1" applyFill="1" applyBorder="1" applyAlignment="1">
      <alignment horizontal="center"/>
    </xf>
    <xf numFmtId="0" fontId="29" fillId="2" borderId="25"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11" xfId="0" applyBorder="1" applyAlignment="1">
      <alignment horizontal="center"/>
    </xf>
    <xf numFmtId="0" fontId="29" fillId="2" borderId="7" xfId="0" applyFont="1" applyFill="1" applyBorder="1" applyAlignment="1">
      <alignment horizontal="center"/>
    </xf>
    <xf numFmtId="0" fontId="0" fillId="2" borderId="8" xfId="0" applyFill="1" applyBorder="1" applyAlignment="1">
      <alignment horizontal="center"/>
    </xf>
    <xf numFmtId="0" fontId="0" fillId="0" borderId="3" xfId="0" applyBorder="1" applyAlignment="1">
      <alignment horizontal="center"/>
    </xf>
    <xf numFmtId="0" fontId="29" fillId="2" borderId="8" xfId="0" applyFont="1" applyFill="1" applyBorder="1" applyAlignment="1">
      <alignment horizontal="center"/>
    </xf>
    <xf numFmtId="0" fontId="0" fillId="0" borderId="3" xfId="0" applyBorder="1" applyAlignment="1">
      <alignment horizontal="center" vertical="center"/>
    </xf>
    <xf numFmtId="0" fontId="1" fillId="3" borderId="27" xfId="0" applyFont="1" applyFill="1" applyBorder="1" applyAlignment="1">
      <alignment horizontal="left" vertical="center" wrapText="1"/>
    </xf>
    <xf numFmtId="0" fontId="4" fillId="0" borderId="10" xfId="0" applyFont="1" applyBorder="1"/>
    <xf numFmtId="0" fontId="4" fillId="0" borderId="28" xfId="0" applyFont="1" applyBorder="1"/>
    <xf numFmtId="0" fontId="1" fillId="0" borderId="27" xfId="0" applyFont="1" applyBorder="1" applyAlignment="1">
      <alignment horizontal="left" vertical="center"/>
    </xf>
    <xf numFmtId="0" fontId="1" fillId="3" borderId="27" xfId="0" applyFont="1" applyFill="1" applyBorder="1" applyAlignment="1">
      <alignment horizontal="left" vertical="center"/>
    </xf>
    <xf numFmtId="0" fontId="0" fillId="0" borderId="3" xfId="0" applyBorder="1" applyAlignment="1">
      <alignment horizontal="center" vertical="center" wrapText="1"/>
    </xf>
    <xf numFmtId="0" fontId="1" fillId="3" borderId="31" xfId="0" applyFont="1" applyFill="1" applyBorder="1" applyAlignment="1">
      <alignment horizontal="left" vertical="center"/>
    </xf>
    <xf numFmtId="0" fontId="1" fillId="3" borderId="35" xfId="0" applyFont="1" applyFill="1" applyBorder="1" applyAlignment="1">
      <alignment horizontal="left" vertical="center"/>
    </xf>
    <xf numFmtId="3" fontId="16" fillId="3" borderId="5" xfId="0" applyNumberFormat="1" applyFont="1" applyFill="1" applyBorder="1" applyAlignment="1">
      <alignment horizontal="right" vertical="center"/>
    </xf>
    <xf numFmtId="3" fontId="16" fillId="7" borderId="5" xfId="0" applyNumberFormat="1" applyFont="1" applyFill="1" applyBorder="1" applyAlignment="1">
      <alignment horizontal="right" vertical="center"/>
    </xf>
    <xf numFmtId="9" fontId="16" fillId="7" borderId="5" xfId="0" applyNumberFormat="1" applyFont="1" applyFill="1" applyBorder="1" applyAlignment="1">
      <alignment horizontal="right" vertical="center"/>
    </xf>
    <xf numFmtId="0" fontId="3" fillId="0" borderId="33" xfId="0" applyFont="1" applyBorder="1" applyAlignment="1">
      <alignment horizontal="left" vertical="center" wrapText="1"/>
    </xf>
    <xf numFmtId="0" fontId="3" fillId="0" borderId="34" xfId="0" applyFont="1" applyBorder="1" applyAlignment="1">
      <alignment horizontal="left" vertical="center" wrapText="1"/>
    </xf>
    <xf numFmtId="0" fontId="1" fillId="0" borderId="24" xfId="0" applyFont="1" applyBorder="1" applyAlignment="1">
      <alignment horizontal="left" vertical="center"/>
    </xf>
    <xf numFmtId="0" fontId="1" fillId="0" borderId="23" xfId="0" applyFont="1" applyBorder="1" applyAlignment="1">
      <alignment horizontal="left" vertical="center"/>
    </xf>
    <xf numFmtId="3" fontId="16" fillId="3" borderId="6" xfId="0" applyNumberFormat="1" applyFont="1" applyFill="1" applyBorder="1" applyAlignment="1">
      <alignment horizontal="right" vertical="center"/>
    </xf>
    <xf numFmtId="3" fontId="16" fillId="7" borderId="6" xfId="0" applyNumberFormat="1" applyFont="1" applyFill="1" applyBorder="1" applyAlignment="1">
      <alignment horizontal="right" vertical="center"/>
    </xf>
    <xf numFmtId="9" fontId="16" fillId="7" borderId="6" xfId="0" applyNumberFormat="1" applyFont="1" applyFill="1" applyBorder="1" applyAlignment="1">
      <alignment horizontal="right"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2" fillId="0" borderId="27" xfId="0" applyFont="1" applyBorder="1" applyAlignment="1">
      <alignment horizontal="left"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3" fillId="0" borderId="27" xfId="0" applyFont="1" applyBorder="1" applyAlignment="1">
      <alignment horizontal="left" vertical="center"/>
    </xf>
    <xf numFmtId="0" fontId="0" fillId="0" borderId="24"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17" xfId="0" applyBorder="1" applyAlignment="1">
      <alignment horizontal="center" vertical="center" wrapText="1"/>
    </xf>
    <xf numFmtId="0" fontId="0" fillId="0" borderId="18" xfId="0" applyBorder="1" applyAlignment="1">
      <alignment vertical="center" wrapText="1"/>
    </xf>
    <xf numFmtId="0" fontId="0" fillId="0" borderId="0" xfId="0"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29" fillId="0" borderId="0" xfId="0" applyFont="1" applyAlignment="1">
      <alignment horizontal="center"/>
    </xf>
    <xf numFmtId="0" fontId="29" fillId="10" borderId="23" xfId="0" applyFont="1" applyFill="1" applyBorder="1" applyAlignment="1">
      <alignment horizontal="center"/>
    </xf>
    <xf numFmtId="0" fontId="29" fillId="10" borderId="0" xfId="0" applyFont="1" applyFill="1" applyAlignment="1">
      <alignment horizontal="center"/>
    </xf>
    <xf numFmtId="0" fontId="29" fillId="10" borderId="26" xfId="0" applyFont="1" applyFill="1" applyBorder="1" applyAlignment="1">
      <alignment horizontal="center"/>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2024</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7B-4D28-8C04-D7511CE71E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'2023-2024'!$M$4:$M$5</c:f>
              <c:strCache>
                <c:ptCount val="2"/>
                <c:pt idx="0">
                  <c:v>Mid drive</c:v>
                </c:pt>
                <c:pt idx="1">
                  <c:v>hub drive</c:v>
                </c:pt>
              </c:strCache>
            </c:strRef>
          </c:cat>
          <c:val>
            <c:numRef>
              <c:f>'2023-2024'!#REF!</c:f>
              <c:numCache>
                <c:formatCode>General</c:formatCode>
                <c:ptCount val="1"/>
                <c:pt idx="0">
                  <c:v>1</c:v>
                </c:pt>
              </c:numCache>
            </c:numRef>
          </c:val>
          <c:extLst>
            <c:ext xmlns:c16="http://schemas.microsoft.com/office/drawing/2014/chart" uri="{C3380CC4-5D6E-409C-BE32-E72D297353CC}">
              <c16:uniqueId val="{00000000-B321-4BFB-99F7-AEA7454B2E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[My_EV_Sheet.xlsx]C2 CX!PivotTable9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'C2 CX'!$B$3</c:f>
              <c:strCache>
                <c:ptCount val="1"/>
                <c:pt idx="0">
                  <c:v>Sum of 2022</c:v>
                </c:pt>
              </c:strCache>
            </c:strRef>
          </c:tx>
          <c:spPr>
            <a:solidFill>
              <a:schemeClr val="accent1"/>
            </a:solidFill>
            <a:ln>
              <a:noFill/>
            </a:ln>
            <a:effectLst/>
          </c:spPr>
          <c:invertIfNegative val="0"/>
          <c:cat>
            <c:strRef>
              <c:f>'C2 CX'!$A$4:$A$8</c:f>
              <c:strCache>
                <c:ptCount val="4"/>
                <c:pt idx="0">
                  <c:v>BATTRE ELECTRIC</c:v>
                </c:pt>
                <c:pt idx="1">
                  <c:v>KINETIC GREEN</c:v>
                </c:pt>
                <c:pt idx="2">
                  <c:v>OTHERS</c:v>
                </c:pt>
                <c:pt idx="3">
                  <c:v>REVOLT</c:v>
                </c:pt>
              </c:strCache>
            </c:strRef>
          </c:cat>
          <c:val>
            <c:numRef>
              <c:f>'C2 CX'!$B$4:$B$8</c:f>
              <c:numCache>
                <c:formatCode>General</c:formatCode>
                <c:ptCount val="4"/>
                <c:pt idx="0">
                  <c:v>0</c:v>
                </c:pt>
                <c:pt idx="1">
                  <c:v>0</c:v>
                </c:pt>
                <c:pt idx="2">
                  <c:v>51083</c:v>
                </c:pt>
                <c:pt idx="3">
                  <c:v>7641</c:v>
                </c:pt>
              </c:numCache>
            </c:numRef>
          </c:val>
          <c:extLst>
            <c:ext xmlns:c16="http://schemas.microsoft.com/office/drawing/2014/chart" uri="{C3380CC4-5D6E-409C-BE32-E72D297353CC}">
              <c16:uniqueId val="{00000000-BF6E-48E4-89EA-E9D02C18D829}"/>
            </c:ext>
          </c:extLst>
        </c:ser>
        <c:ser>
          <c:idx val="1"/>
          <c:order val="1"/>
          <c:tx>
            <c:strRef>
              <c:f>'C2 CX'!$C$3</c:f>
              <c:strCache>
                <c:ptCount val="1"/>
                <c:pt idx="0">
                  <c:v>Sum of 2023</c:v>
                </c:pt>
              </c:strCache>
            </c:strRef>
          </c:tx>
          <c:spPr>
            <a:solidFill>
              <a:schemeClr val="accent2"/>
            </a:solidFill>
            <a:ln>
              <a:noFill/>
            </a:ln>
            <a:effectLst/>
          </c:spPr>
          <c:invertIfNegative val="0"/>
          <c:cat>
            <c:strRef>
              <c:f>'C2 CX'!$A$4:$A$8</c:f>
              <c:strCache>
                <c:ptCount val="4"/>
                <c:pt idx="0">
                  <c:v>BATTRE ELECTRIC</c:v>
                </c:pt>
                <c:pt idx="1">
                  <c:v>KINETIC GREEN</c:v>
                </c:pt>
                <c:pt idx="2">
                  <c:v>OTHERS</c:v>
                </c:pt>
                <c:pt idx="3">
                  <c:v>REVOLT</c:v>
                </c:pt>
              </c:strCache>
            </c:strRef>
          </c:cat>
          <c:val>
            <c:numRef>
              <c:f>'C2 CX'!$C$4:$C$8</c:f>
              <c:numCache>
                <c:formatCode>General</c:formatCode>
                <c:ptCount val="4"/>
                <c:pt idx="0">
                  <c:v>896</c:v>
                </c:pt>
                <c:pt idx="1">
                  <c:v>5572</c:v>
                </c:pt>
                <c:pt idx="2">
                  <c:v>73495</c:v>
                </c:pt>
                <c:pt idx="3">
                  <c:v>12932</c:v>
                </c:pt>
              </c:numCache>
            </c:numRef>
          </c:val>
          <c:extLst>
            <c:ext xmlns:c16="http://schemas.microsoft.com/office/drawing/2014/chart" uri="{C3380CC4-5D6E-409C-BE32-E72D297353CC}">
              <c16:uniqueId val="{00000001-BF6E-48E4-89EA-E9D02C18D829}"/>
            </c:ext>
          </c:extLst>
        </c:ser>
        <c:ser>
          <c:idx val="2"/>
          <c:order val="2"/>
          <c:tx>
            <c:strRef>
              <c:f>'C2 CX'!$D$3</c:f>
              <c:strCache>
                <c:ptCount val="1"/>
                <c:pt idx="0">
                  <c:v>Sum of 2024</c:v>
                </c:pt>
              </c:strCache>
            </c:strRef>
          </c:tx>
          <c:spPr>
            <a:solidFill>
              <a:schemeClr val="accent3"/>
            </a:solidFill>
            <a:ln>
              <a:noFill/>
            </a:ln>
            <a:effectLst/>
          </c:spPr>
          <c:invertIfNegative val="0"/>
          <c:cat>
            <c:strRef>
              <c:f>'C2 CX'!$A$4:$A$8</c:f>
              <c:strCache>
                <c:ptCount val="4"/>
                <c:pt idx="0">
                  <c:v>BATTRE ELECTRIC</c:v>
                </c:pt>
                <c:pt idx="1">
                  <c:v>KINETIC GREEN</c:v>
                </c:pt>
                <c:pt idx="2">
                  <c:v>OTHERS</c:v>
                </c:pt>
                <c:pt idx="3">
                  <c:v>REVOLT</c:v>
                </c:pt>
              </c:strCache>
            </c:strRef>
          </c:cat>
          <c:val>
            <c:numRef>
              <c:f>'C2 CX'!$D$4:$D$8</c:f>
              <c:numCache>
                <c:formatCode>General</c:formatCode>
                <c:ptCount val="4"/>
                <c:pt idx="0">
                  <c:v>4901</c:v>
                </c:pt>
                <c:pt idx="1">
                  <c:v>9703</c:v>
                </c:pt>
                <c:pt idx="2">
                  <c:v>79622</c:v>
                </c:pt>
                <c:pt idx="3">
                  <c:v>7342</c:v>
                </c:pt>
              </c:numCache>
            </c:numRef>
          </c:val>
          <c:extLst>
            <c:ext xmlns:c16="http://schemas.microsoft.com/office/drawing/2014/chart" uri="{C3380CC4-5D6E-409C-BE32-E72D297353CC}">
              <c16:uniqueId val="{00000002-BF6E-48E4-89EA-E9D02C18D829}"/>
            </c:ext>
          </c:extLst>
        </c:ser>
        <c:ser>
          <c:idx val="3"/>
          <c:order val="3"/>
          <c:tx>
            <c:strRef>
              <c:f>'C2 CX'!$E$3</c:f>
              <c:strCache>
                <c:ptCount val="1"/>
                <c:pt idx="0">
                  <c:v>Sum of 2025</c:v>
                </c:pt>
              </c:strCache>
            </c:strRef>
          </c:tx>
          <c:spPr>
            <a:solidFill>
              <a:schemeClr val="accent4"/>
            </a:solidFill>
            <a:ln>
              <a:noFill/>
            </a:ln>
            <a:effectLst/>
          </c:spPr>
          <c:invertIfNegative val="0"/>
          <c:cat>
            <c:strRef>
              <c:f>'C2 CX'!$A$4:$A$8</c:f>
              <c:strCache>
                <c:ptCount val="4"/>
                <c:pt idx="0">
                  <c:v>BATTRE ELECTRIC</c:v>
                </c:pt>
                <c:pt idx="1">
                  <c:v>KINETIC GREEN</c:v>
                </c:pt>
                <c:pt idx="2">
                  <c:v>OTHERS</c:v>
                </c:pt>
                <c:pt idx="3">
                  <c:v>REVOLT</c:v>
                </c:pt>
              </c:strCache>
            </c:strRef>
          </c:cat>
          <c:val>
            <c:numRef>
              <c:f>'C2 CX'!$E$4:$E$8</c:f>
              <c:numCache>
                <c:formatCode>General</c:formatCode>
                <c:ptCount val="4"/>
                <c:pt idx="0">
                  <c:v>7106.45</c:v>
                </c:pt>
                <c:pt idx="1">
                  <c:v>14069.35</c:v>
                </c:pt>
                <c:pt idx="2">
                  <c:v>115451.9</c:v>
                </c:pt>
                <c:pt idx="3">
                  <c:v>10645.9</c:v>
                </c:pt>
              </c:numCache>
            </c:numRef>
          </c:val>
          <c:extLst>
            <c:ext xmlns:c16="http://schemas.microsoft.com/office/drawing/2014/chart" uri="{C3380CC4-5D6E-409C-BE32-E72D297353CC}">
              <c16:uniqueId val="{00000003-BF6E-48E4-89EA-E9D02C18D829}"/>
            </c:ext>
          </c:extLst>
        </c:ser>
        <c:ser>
          <c:idx val="4"/>
          <c:order val="4"/>
          <c:tx>
            <c:strRef>
              <c:f>'C2 CX'!$F$3</c:f>
              <c:strCache>
                <c:ptCount val="1"/>
                <c:pt idx="0">
                  <c:v>Sum of 2026</c:v>
                </c:pt>
              </c:strCache>
            </c:strRef>
          </c:tx>
          <c:spPr>
            <a:solidFill>
              <a:schemeClr val="accent5"/>
            </a:solidFill>
            <a:ln>
              <a:noFill/>
            </a:ln>
            <a:effectLst/>
          </c:spPr>
          <c:invertIfNegative val="0"/>
          <c:cat>
            <c:strRef>
              <c:f>'C2 CX'!$A$4:$A$8</c:f>
              <c:strCache>
                <c:ptCount val="4"/>
                <c:pt idx="0">
                  <c:v>BATTRE ELECTRIC</c:v>
                </c:pt>
                <c:pt idx="1">
                  <c:v>KINETIC GREEN</c:v>
                </c:pt>
                <c:pt idx="2">
                  <c:v>OTHERS</c:v>
                </c:pt>
                <c:pt idx="3">
                  <c:v>REVOLT</c:v>
                </c:pt>
              </c:strCache>
            </c:strRef>
          </c:cat>
          <c:val>
            <c:numRef>
              <c:f>'C2 CX'!$F$4:$F$8</c:f>
              <c:numCache>
                <c:formatCode>General</c:formatCode>
                <c:ptCount val="4"/>
                <c:pt idx="0">
                  <c:v>10304.352499999999</c:v>
                </c:pt>
                <c:pt idx="1">
                  <c:v>20400.557499999999</c:v>
                </c:pt>
                <c:pt idx="2">
                  <c:v>167405.25499999998</c:v>
                </c:pt>
                <c:pt idx="3">
                  <c:v>15436.554999999998</c:v>
                </c:pt>
              </c:numCache>
            </c:numRef>
          </c:val>
          <c:extLst>
            <c:ext xmlns:c16="http://schemas.microsoft.com/office/drawing/2014/chart" uri="{C3380CC4-5D6E-409C-BE32-E72D297353CC}">
              <c16:uniqueId val="{00000004-BF6E-48E4-89EA-E9D02C18D829}"/>
            </c:ext>
          </c:extLst>
        </c:ser>
        <c:dLbls>
          <c:showLegendKey val="0"/>
          <c:showVal val="0"/>
          <c:showCatName val="0"/>
          <c:showSerName val="0"/>
          <c:showPercent val="0"/>
          <c:showBubbleSize val="0"/>
        </c:dLbls>
        <c:gapWidth val="219"/>
        <c:overlap val="-27"/>
        <c:axId val="957807184"/>
        <c:axId val="957808016"/>
      </c:barChart>
      <c:catAx>
        <c:axId val="95780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08016"/>
        <c:crosses val="autoZero"/>
        <c:auto val="1"/>
        <c:lblAlgn val="ctr"/>
        <c:lblOffset val="100"/>
        <c:noMultiLvlLbl val="0"/>
      </c:catAx>
      <c:valAx>
        <c:axId val="9578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0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Market</a:t>
            </a:r>
            <a:r>
              <a:rPr lang="en-IN" baseline="0"/>
              <a:t> Growth Rate </a:t>
            </a:r>
          </a:p>
          <a:p>
            <a:pPr>
              <a:defRPr/>
            </a:pPr>
            <a:endParaRPr lang="en-IN"/>
          </a:p>
        </c:rich>
      </c:tx>
      <c:layout>
        <c:manualLayout>
          <c:xMode val="edge"/>
          <c:yMode val="edge"/>
          <c:x val="0.45802195155186809"/>
          <c:y val="4.04640647366214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369359880970293"/>
          <c:y val="0.1585942221139883"/>
          <c:w val="0.87267934158983895"/>
          <c:h val="0.58593359861176064"/>
        </c:manualLayout>
      </c:layout>
      <c:barChart>
        <c:barDir val="col"/>
        <c:grouping val="clustered"/>
        <c:varyColors val="0"/>
        <c:ser>
          <c:idx val="0"/>
          <c:order val="0"/>
          <c:tx>
            <c:v>Market Share 2024</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'Target customer data'!$Y$3:$Y$15</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data'!$Z$3:$Z$15</c:f>
              <c:numCache>
                <c:formatCode>0%</c:formatCode>
                <c:ptCount val="13"/>
                <c:pt idx="0">
                  <c:v>0.35</c:v>
                </c:pt>
                <c:pt idx="1">
                  <c:v>0.19</c:v>
                </c:pt>
                <c:pt idx="2">
                  <c:v>0</c:v>
                </c:pt>
                <c:pt idx="3">
                  <c:v>0.11</c:v>
                </c:pt>
                <c:pt idx="4">
                  <c:v>0.06</c:v>
                </c:pt>
                <c:pt idx="5">
                  <c:v>0.02</c:v>
                </c:pt>
                <c:pt idx="6">
                  <c:v>0.01</c:v>
                </c:pt>
                <c:pt idx="7">
                  <c:v>0.01</c:v>
                </c:pt>
                <c:pt idx="8">
                  <c:v>0.02</c:v>
                </c:pt>
                <c:pt idx="9">
                  <c:v>0.01</c:v>
                </c:pt>
                <c:pt idx="10">
                  <c:v>0.01</c:v>
                </c:pt>
                <c:pt idx="11">
                  <c:v>0.01</c:v>
                </c:pt>
                <c:pt idx="12">
                  <c:v>0.08</c:v>
                </c:pt>
              </c:numCache>
            </c:numRef>
          </c:val>
          <c:extLst>
            <c:ext xmlns:c16="http://schemas.microsoft.com/office/drawing/2014/chart" uri="{C3380CC4-5D6E-409C-BE32-E72D297353CC}">
              <c16:uniqueId val="{00000000-83DD-41E1-B2B8-57FE2115E801}"/>
            </c:ext>
          </c:extLst>
        </c:ser>
        <c:ser>
          <c:idx val="2"/>
          <c:order val="1"/>
          <c:tx>
            <c:v>Market Share 2023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'Target customer data'!$Y$3:$Y$15</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data'!$AF$3:$AF$15</c:f>
              <c:numCache>
                <c:formatCode>0%</c:formatCode>
                <c:ptCount val="13"/>
                <c:pt idx="0">
                  <c:v>0.21</c:v>
                </c:pt>
                <c:pt idx="1">
                  <c:v>0.11</c:v>
                </c:pt>
                <c:pt idx="2">
                  <c:v>0.11</c:v>
                </c:pt>
                <c:pt idx="3">
                  <c:v>0.05</c:v>
                </c:pt>
                <c:pt idx="4">
                  <c:v>0.12</c:v>
                </c:pt>
                <c:pt idx="5">
                  <c:v>0.13</c:v>
                </c:pt>
                <c:pt idx="6">
                  <c:v>0.12</c:v>
                </c:pt>
                <c:pt idx="7">
                  <c:v>0.02</c:v>
                </c:pt>
                <c:pt idx="8" formatCode="0.00%">
                  <c:v>6.0000000000000001E-3</c:v>
                </c:pt>
                <c:pt idx="9" formatCode="0.00%">
                  <c:v>1E-3</c:v>
                </c:pt>
                <c:pt idx="10" formatCode="0.00%">
                  <c:v>8.0000000000000002E-3</c:v>
                </c:pt>
                <c:pt idx="11">
                  <c:v>0.02</c:v>
                </c:pt>
                <c:pt idx="12">
                  <c:v>0.1</c:v>
                </c:pt>
              </c:numCache>
            </c:numRef>
          </c:val>
          <c:extLst>
            <c:ext xmlns:c16="http://schemas.microsoft.com/office/drawing/2014/chart" uri="{C3380CC4-5D6E-409C-BE32-E72D297353CC}">
              <c16:uniqueId val="{00000001-83DD-41E1-B2B8-57FE2115E801}"/>
            </c:ext>
          </c:extLst>
        </c:ser>
        <c:dLbls>
          <c:showLegendKey val="0"/>
          <c:showVal val="0"/>
          <c:showCatName val="0"/>
          <c:showSerName val="0"/>
          <c:showPercent val="0"/>
          <c:showBubbleSize val="0"/>
        </c:dLbls>
        <c:gapWidth val="219"/>
        <c:overlap val="-27"/>
        <c:axId val="1441972463"/>
        <c:axId val="1441956239"/>
      </c:barChart>
      <c:lineChart>
        <c:grouping val="standard"/>
        <c:varyColors val="0"/>
        <c:ser>
          <c:idx val="4"/>
          <c:order val="2"/>
          <c:tx>
            <c:v>Market Share 2022</c:v>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'Target customer data'!$Y$3:$Y$15</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data'!$AH$3:$AH$15</c:f>
              <c:numCache>
                <c:formatCode>0%</c:formatCode>
                <c:ptCount val="13"/>
                <c:pt idx="0">
                  <c:v>0.06</c:v>
                </c:pt>
                <c:pt idx="1">
                  <c:v>0.04</c:v>
                </c:pt>
                <c:pt idx="2">
                  <c:v>0.08</c:v>
                </c:pt>
                <c:pt idx="3">
                  <c:v>0.03</c:v>
                </c:pt>
                <c:pt idx="4">
                  <c:v>0.1</c:v>
                </c:pt>
                <c:pt idx="5">
                  <c:v>0.19</c:v>
                </c:pt>
                <c:pt idx="6">
                  <c:v>0.27</c:v>
                </c:pt>
                <c:pt idx="7">
                  <c:v>0</c:v>
                </c:pt>
                <c:pt idx="8">
                  <c:v>0</c:v>
                </c:pt>
                <c:pt idx="9">
                  <c:v>0</c:v>
                </c:pt>
                <c:pt idx="10">
                  <c:v>0</c:v>
                </c:pt>
                <c:pt idx="11">
                  <c:v>0.03</c:v>
                </c:pt>
                <c:pt idx="12">
                  <c:v>0.2</c:v>
                </c:pt>
              </c:numCache>
            </c:numRef>
          </c:val>
          <c:smooth val="0"/>
          <c:extLst>
            <c:ext xmlns:c16="http://schemas.microsoft.com/office/drawing/2014/chart" uri="{C3380CC4-5D6E-409C-BE32-E72D297353CC}">
              <c16:uniqueId val="{00000002-83DD-41E1-B2B8-57FE2115E801}"/>
            </c:ext>
          </c:extLst>
        </c:ser>
        <c:dLbls>
          <c:showLegendKey val="0"/>
          <c:showVal val="0"/>
          <c:showCatName val="0"/>
          <c:showSerName val="0"/>
          <c:showPercent val="0"/>
          <c:showBubbleSize val="0"/>
        </c:dLbls>
        <c:marker val="1"/>
        <c:smooth val="0"/>
        <c:axId val="1441949999"/>
        <c:axId val="1441947503"/>
      </c:lineChart>
      <c:catAx>
        <c:axId val="1441972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956239"/>
        <c:crosses val="autoZero"/>
        <c:auto val="1"/>
        <c:lblAlgn val="ctr"/>
        <c:lblOffset val="100"/>
        <c:noMultiLvlLbl val="0"/>
      </c:catAx>
      <c:valAx>
        <c:axId val="144195623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972463"/>
        <c:crosses val="autoZero"/>
        <c:crossBetween val="between"/>
      </c:valAx>
      <c:valAx>
        <c:axId val="144194750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949999"/>
        <c:crosses val="max"/>
        <c:crossBetween val="between"/>
      </c:valAx>
      <c:catAx>
        <c:axId val="1441949999"/>
        <c:scaling>
          <c:orientation val="minMax"/>
        </c:scaling>
        <c:delete val="1"/>
        <c:axPos val="b"/>
        <c:numFmt formatCode="General" sourceLinked="1"/>
        <c:majorTickMark val="none"/>
        <c:minorTickMark val="none"/>
        <c:tickLblPos val="nextTo"/>
        <c:crossAx val="1441947503"/>
        <c:crosses val="autoZero"/>
        <c:auto val="1"/>
        <c:lblAlgn val="ctr"/>
        <c:lblOffset val="100"/>
        <c:noMultiLvlLbl val="0"/>
      </c:catAx>
      <c:spPr>
        <a:noFill/>
        <a:ln>
          <a:noFill/>
        </a:ln>
        <a:effectLst/>
      </c:spPr>
    </c:plotArea>
    <c:legend>
      <c:legendPos val="b"/>
      <c:layout>
        <c:manualLayout>
          <c:xMode val="edge"/>
          <c:yMode val="edge"/>
          <c:x val="0.27480042465622029"/>
          <c:y val="0.71864053646331594"/>
          <c:w val="0.49806367754986042"/>
          <c:h val="0.2813594177016532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2023</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A06-48AD-AC70-2C596E5A84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'2023-2024'!$M$16:$M$17</c:f>
              <c:strCache>
                <c:ptCount val="2"/>
                <c:pt idx="0">
                  <c:v>Mid Drive</c:v>
                </c:pt>
                <c:pt idx="1">
                  <c:v>Hub Drive</c:v>
                </c:pt>
              </c:strCache>
            </c:strRef>
          </c:cat>
          <c:val>
            <c:numRef>
              <c:f>'2023-2024'!#REF!</c:f>
              <c:numCache>
                <c:formatCode>General</c:formatCode>
                <c:ptCount val="1"/>
                <c:pt idx="0">
                  <c:v>1</c:v>
                </c:pt>
              </c:numCache>
            </c:numRef>
          </c:val>
          <c:extLst>
            <c:ext xmlns:c16="http://schemas.microsoft.com/office/drawing/2014/chart" uri="{C3380CC4-5D6E-409C-BE32-E72D297353CC}">
              <c16:uniqueId val="{00000000-D2FC-4532-836F-3A553C108B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20647419072617"/>
          <c:y val="8.5787037037037051E-2"/>
          <c:w val="0.80812685914260718"/>
          <c:h val="0.70959135316418775"/>
        </c:manualLayout>
      </c:layout>
      <c:bar3DChart>
        <c:barDir val="bar"/>
        <c:grouping val="stacked"/>
        <c:varyColors val="0"/>
        <c:ser>
          <c:idx val="0"/>
          <c:order val="0"/>
          <c:tx>
            <c:strRef>
              <c:f>'2023-2024'!$N$28</c:f>
              <c:strCache>
                <c:ptCount val="1"/>
                <c:pt idx="0">
                  <c:v>Total Market (Cr)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'2023-2024'!$M$29:$M$30</c:f>
              <c:strCache>
                <c:ptCount val="2"/>
                <c:pt idx="0">
                  <c:v>Mid Drive</c:v>
                </c:pt>
                <c:pt idx="1">
                  <c:v>Hub Drive</c:v>
                </c:pt>
              </c:strCache>
            </c:strRef>
          </c:cat>
          <c:val>
            <c:numRef>
              <c:f>'2023-2024'!$N$29:$N$30</c:f>
              <c:numCache>
                <c:formatCode>General</c:formatCode>
                <c:ptCount val="2"/>
                <c:pt idx="0">
                  <c:v>590.49491999999998</c:v>
                </c:pt>
                <c:pt idx="1">
                  <c:v>289.70711999999997</c:v>
                </c:pt>
              </c:numCache>
            </c:numRef>
          </c:val>
          <c:extLst>
            <c:ext xmlns:c16="http://schemas.microsoft.com/office/drawing/2014/chart" uri="{C3380CC4-5D6E-409C-BE32-E72D297353CC}">
              <c16:uniqueId val="{00000000-10E8-4FED-BCE7-5714726223DA}"/>
            </c:ext>
          </c:extLst>
        </c:ser>
        <c:dLbls>
          <c:showLegendKey val="0"/>
          <c:showVal val="0"/>
          <c:showCatName val="0"/>
          <c:showSerName val="0"/>
          <c:showPercent val="0"/>
          <c:showBubbleSize val="0"/>
        </c:dLbls>
        <c:gapWidth val="150"/>
        <c:shape val="box"/>
        <c:axId val="1374337120"/>
        <c:axId val="1374332544"/>
        <c:axId val="0"/>
      </c:bar3DChart>
      <c:catAx>
        <c:axId val="137433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332544"/>
        <c:crosses val="autoZero"/>
        <c:auto val="1"/>
        <c:lblAlgn val="ctr"/>
        <c:lblOffset val="100"/>
        <c:noMultiLvlLbl val="0"/>
      </c:catAx>
      <c:valAx>
        <c:axId val="137433254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4337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Share</a:t>
            </a:r>
            <a:br>
              <a:rPr lang="en-US"/>
            </a:br>
            <a:r>
              <a:rPr lang="en-US"/>
              <a:t>2023</a:t>
            </a:r>
          </a:p>
        </c:rich>
      </c:tx>
      <c:layout>
        <c:manualLayout>
          <c:xMode val="edge"/>
          <c:yMode val="edge"/>
          <c:x val="0.350278101518898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
          <c:y val="1.2386197700242746E-3"/>
          <c:w val="0.94584837545126343"/>
          <c:h val="0.94509411726038717"/>
        </c:manualLayout>
      </c:layout>
      <c:ofPieChart>
        <c:ofPieType val="pie"/>
        <c:varyColors val="1"/>
        <c:ser>
          <c:idx val="0"/>
          <c:order val="0"/>
          <c:tx>
            <c:strRef>
              <c:f>'Target customer data'!$Z$1:$Z$2</c:f>
              <c:strCache>
                <c:ptCount val="2"/>
                <c:pt idx="0">
                  <c:v>Market</c:v>
                </c:pt>
                <c:pt idx="1">
                  <c:v>Share 2023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0A-4B8D-B43F-0782D300BF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0A-4B8D-B43F-0782D300BF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0A-4B8D-B43F-0782D300BF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0A-4B8D-B43F-0782D300BF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90A-4B8D-B43F-0782D300BF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90A-4B8D-B43F-0782D300BF3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90A-4B8D-B43F-0782D300BF3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90A-4B8D-B43F-0782D300BF3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90A-4B8D-B43F-0782D300BF3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90A-4B8D-B43F-0782D300BF3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90A-4B8D-B43F-0782D300BF3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90A-4B8D-B43F-0782D300BF3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90A-4B8D-B43F-0782D300BF3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90A-4B8D-B43F-0782D300B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'Target customer data'!$X$3:$Y$15</c:f>
              <c:multiLvlStrCache>
                <c:ptCount val="13"/>
                <c:lvl>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'Target customer data'!$Z$3:$Z$15</c:f>
              <c:numCache>
                <c:formatCode>0%</c:formatCode>
                <c:ptCount val="13"/>
                <c:pt idx="0">
                  <c:v>0.35</c:v>
                </c:pt>
                <c:pt idx="1">
                  <c:v>0.19</c:v>
                </c:pt>
                <c:pt idx="2">
                  <c:v>0</c:v>
                </c:pt>
                <c:pt idx="3">
                  <c:v>0.11</c:v>
                </c:pt>
                <c:pt idx="4">
                  <c:v>0.06</c:v>
                </c:pt>
                <c:pt idx="5">
                  <c:v>0.02</c:v>
                </c:pt>
                <c:pt idx="6">
                  <c:v>0.01</c:v>
                </c:pt>
                <c:pt idx="7">
                  <c:v>0.01</c:v>
                </c:pt>
                <c:pt idx="8">
                  <c:v>0.02</c:v>
                </c:pt>
                <c:pt idx="9">
                  <c:v>0.01</c:v>
                </c:pt>
                <c:pt idx="10">
                  <c:v>0.01</c:v>
                </c:pt>
                <c:pt idx="11">
                  <c:v>0.01</c:v>
                </c:pt>
                <c:pt idx="12">
                  <c:v>0.08</c:v>
                </c:pt>
              </c:numCache>
            </c:numRef>
          </c:val>
          <c:extLst>
            <c:ext xmlns:c16="http://schemas.microsoft.com/office/drawing/2014/chart" uri="{C3380CC4-5D6E-409C-BE32-E72D297353CC}">
              <c16:uniqueId val="{0000001C-390A-4B8D-B43F-0782D300BF32}"/>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Share</a:t>
            </a:r>
          </a:p>
          <a:p>
            <a:pPr>
              <a:defRPr/>
            </a:pPr>
            <a:r>
              <a:rPr lang="en-US"/>
              <a:t>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
          <c:y val="0.14303571428571429"/>
          <c:w val="1"/>
          <c:h val="0.59245359955005628"/>
        </c:manualLayout>
      </c:layout>
      <c:ofPieChart>
        <c:ofPieType val="pie"/>
        <c:varyColors val="1"/>
        <c:ser>
          <c:idx val="0"/>
          <c:order val="0"/>
          <c:tx>
            <c:strRef>
              <c:f>'Target customer data'!$AF$1:$AF$2</c:f>
              <c:strCache>
                <c:ptCount val="2"/>
                <c:pt idx="0">
                  <c:v>Market</c:v>
                </c:pt>
                <c:pt idx="1">
                  <c:v>Share 2022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22-4DBE-9F18-06FCA8930C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22-4DBE-9F18-06FCA8930C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22-4DBE-9F18-06FCA8930C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22-4DBE-9F18-06FCA8930C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22-4DBE-9F18-06FCA8930C9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22-4DBE-9F18-06FCA8930C9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22-4DBE-9F18-06FCA8930C9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22-4DBE-9F18-06FCA8930C9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B22-4DBE-9F18-06FCA8930C9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B22-4DBE-9F18-06FCA8930C9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B22-4DBE-9F18-06FCA8930C9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B22-4DBE-9F18-06FCA8930C9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B22-4DBE-9F18-06FCA8930C9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B22-4DBE-9F18-06FCA8930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'Target customer data'!$Y$3:$Y$15</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data'!$AF$3:$AF$15</c:f>
              <c:numCache>
                <c:formatCode>0%</c:formatCode>
                <c:ptCount val="13"/>
                <c:pt idx="0">
                  <c:v>0.21</c:v>
                </c:pt>
                <c:pt idx="1">
                  <c:v>0.11</c:v>
                </c:pt>
                <c:pt idx="2">
                  <c:v>0.11</c:v>
                </c:pt>
                <c:pt idx="3">
                  <c:v>0.05</c:v>
                </c:pt>
                <c:pt idx="4">
                  <c:v>0.12</c:v>
                </c:pt>
                <c:pt idx="5">
                  <c:v>0.13</c:v>
                </c:pt>
                <c:pt idx="6">
                  <c:v>0.12</c:v>
                </c:pt>
                <c:pt idx="7">
                  <c:v>0.02</c:v>
                </c:pt>
                <c:pt idx="8" formatCode="0.00%">
                  <c:v>6.0000000000000001E-3</c:v>
                </c:pt>
                <c:pt idx="9" formatCode="0.00%">
                  <c:v>1E-3</c:v>
                </c:pt>
                <c:pt idx="10" formatCode="0.00%">
                  <c:v>8.0000000000000002E-3</c:v>
                </c:pt>
                <c:pt idx="11">
                  <c:v>0.02</c:v>
                </c:pt>
                <c:pt idx="12">
                  <c:v>0.1</c:v>
                </c:pt>
              </c:numCache>
            </c:numRef>
          </c:val>
          <c:extLst>
            <c:ext xmlns:c16="http://schemas.microsoft.com/office/drawing/2014/chart" uri="{C3380CC4-5D6E-409C-BE32-E72D297353CC}">
              <c16:uniqueId val="{0000001C-5B22-4DBE-9F18-06FCA8930C92}"/>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Share</a:t>
            </a:r>
            <a:br>
              <a:rPr lang="en-US"/>
            </a:br>
            <a:r>
              <a:rPr lang="en-US"/>
              <a:t>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1.3397642015005359E-2"/>
          <c:y val="0.16804556354916067"/>
          <c:w val="0.95712754555198287"/>
          <c:h val="0.58315206102834283"/>
        </c:manualLayout>
      </c:layout>
      <c:ofPieChart>
        <c:ofPieType val="pie"/>
        <c:varyColors val="1"/>
        <c:ser>
          <c:idx val="0"/>
          <c:order val="0"/>
          <c:tx>
            <c:strRef>
              <c:f>'Target customer data'!$AH$1:$AH$2</c:f>
              <c:strCache>
                <c:ptCount val="2"/>
                <c:pt idx="0">
                  <c:v>Market</c:v>
                </c:pt>
                <c:pt idx="1">
                  <c:v>Share 2021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FC-4EAF-BC2E-5437084E29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FC-4EAF-BC2E-5437084E29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FC-4EAF-BC2E-5437084E29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FC-4EAF-BC2E-5437084E29D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0FC-4EAF-BC2E-5437084E29D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0FC-4EAF-BC2E-5437084E29D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0FC-4EAF-BC2E-5437084E29D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0FC-4EAF-BC2E-5437084E29D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0FC-4EAF-BC2E-5437084E29D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0FC-4EAF-BC2E-5437084E29D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0FC-4EAF-BC2E-5437084E29D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0FC-4EAF-BC2E-5437084E29D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0FC-4EAF-BC2E-5437084E29D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0FC-4EAF-BC2E-5437084E29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'Target customer data'!$Y$3:$Y$15</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data'!$AH$3:$AH$15</c:f>
              <c:numCache>
                <c:formatCode>0%</c:formatCode>
                <c:ptCount val="13"/>
                <c:pt idx="0">
                  <c:v>0.06</c:v>
                </c:pt>
                <c:pt idx="1">
                  <c:v>0.04</c:v>
                </c:pt>
                <c:pt idx="2">
                  <c:v>0.08</c:v>
                </c:pt>
                <c:pt idx="3">
                  <c:v>0.03</c:v>
                </c:pt>
                <c:pt idx="4">
                  <c:v>0.1</c:v>
                </c:pt>
                <c:pt idx="5">
                  <c:v>0.19</c:v>
                </c:pt>
                <c:pt idx="6">
                  <c:v>0.27</c:v>
                </c:pt>
                <c:pt idx="7">
                  <c:v>0</c:v>
                </c:pt>
                <c:pt idx="8">
                  <c:v>0</c:v>
                </c:pt>
                <c:pt idx="9">
                  <c:v>0</c:v>
                </c:pt>
                <c:pt idx="10">
                  <c:v>0</c:v>
                </c:pt>
                <c:pt idx="11">
                  <c:v>0.03</c:v>
                </c:pt>
                <c:pt idx="12">
                  <c:v>0.2</c:v>
                </c:pt>
              </c:numCache>
            </c:numRef>
          </c:val>
          <c:extLst>
            <c:ext xmlns:c16="http://schemas.microsoft.com/office/drawing/2014/chart" uri="{C3380CC4-5D6E-409C-BE32-E72D297353CC}">
              <c16:uniqueId val="{00000000-FDBE-40AE-A359-4C4F6DFCD38F}"/>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customer data'!$AE$25:$AE$37</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data'!$AF$25:$AF$37</c:f>
              <c:numCache>
                <c:formatCode>0%</c:formatCode>
                <c:ptCount val="13"/>
                <c:pt idx="0">
                  <c:v>0.35</c:v>
                </c:pt>
                <c:pt idx="1">
                  <c:v>0.19</c:v>
                </c:pt>
                <c:pt idx="2">
                  <c:v>0</c:v>
                </c:pt>
                <c:pt idx="3">
                  <c:v>0.11</c:v>
                </c:pt>
                <c:pt idx="4">
                  <c:v>0.06</c:v>
                </c:pt>
                <c:pt idx="5">
                  <c:v>0.02</c:v>
                </c:pt>
                <c:pt idx="6">
                  <c:v>0.01</c:v>
                </c:pt>
                <c:pt idx="7">
                  <c:v>0.01</c:v>
                </c:pt>
                <c:pt idx="8">
                  <c:v>0.02</c:v>
                </c:pt>
                <c:pt idx="9">
                  <c:v>0.01</c:v>
                </c:pt>
                <c:pt idx="10">
                  <c:v>0.01</c:v>
                </c:pt>
                <c:pt idx="11">
                  <c:v>0.01</c:v>
                </c:pt>
                <c:pt idx="12">
                  <c:v>0.08</c:v>
                </c:pt>
              </c:numCache>
            </c:numRef>
          </c:val>
          <c:extLst>
            <c:ext xmlns:c16="http://schemas.microsoft.com/office/drawing/2014/chart" uri="{C3380CC4-5D6E-409C-BE32-E72D297353CC}">
              <c16:uniqueId val="{00000000-D769-428D-937C-932583D1358C}"/>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'Target customer data'!$AE$25:$AE$37</c:f>
              <c:strCache>
                <c:ptCount val="13"/>
                <c:pt idx="0">
                  <c:v>OLA ELECTRIC</c:v>
                </c:pt>
                <c:pt idx="1">
                  <c:v>TVS</c:v>
                </c:pt>
                <c:pt idx="2">
                  <c:v>ATHER</c:v>
                </c:pt>
                <c:pt idx="3">
                  <c:v>BAJAJ</c:v>
                </c:pt>
                <c:pt idx="4">
                  <c:v>AMPERE</c:v>
                </c:pt>
                <c:pt idx="5">
                  <c:v>OKINAWA</c:v>
                </c:pt>
                <c:pt idx="6">
                  <c:v>HERO ELECTRIC</c:v>
                </c:pt>
                <c:pt idx="7">
                  <c:v>OKAYA EV</c:v>
                </c:pt>
                <c:pt idx="8">
                  <c:v>BGAUSS</c:v>
                </c:pt>
                <c:pt idx="9">
                  <c:v>BATTRE ELECTRIC</c:v>
                </c:pt>
                <c:pt idx="10">
                  <c:v>KINETIC GREEN</c:v>
                </c:pt>
                <c:pt idx="11">
                  <c:v>REVOLT</c:v>
                </c:pt>
                <c:pt idx="12">
                  <c:v>OTHERS</c:v>
                </c:pt>
              </c:strCache>
            </c:strRef>
          </c:cat>
          <c:val>
            <c:numRef>
              <c:f>'Target customer data'!$AG$25:$AG$37</c:f>
              <c:numCache>
                <c:formatCode>0%</c:formatCode>
                <c:ptCount val="13"/>
                <c:pt idx="0">
                  <c:v>0.21</c:v>
                </c:pt>
                <c:pt idx="1">
                  <c:v>0.11</c:v>
                </c:pt>
                <c:pt idx="2">
                  <c:v>0.11</c:v>
                </c:pt>
                <c:pt idx="3">
                  <c:v>0.05</c:v>
                </c:pt>
                <c:pt idx="4">
                  <c:v>0.12</c:v>
                </c:pt>
                <c:pt idx="5">
                  <c:v>0.13</c:v>
                </c:pt>
                <c:pt idx="6">
                  <c:v>0.12</c:v>
                </c:pt>
                <c:pt idx="7">
                  <c:v>0.02</c:v>
                </c:pt>
                <c:pt idx="8" formatCode="0.00%">
                  <c:v>6.0000000000000001E-3</c:v>
                </c:pt>
                <c:pt idx="9" formatCode="0.00%">
                  <c:v>1E-3</c:v>
                </c:pt>
                <c:pt idx="10" formatCode="0.00%">
                  <c:v>8.0000000000000002E-3</c:v>
                </c:pt>
                <c:pt idx="11">
                  <c:v>0.02</c:v>
                </c:pt>
                <c:pt idx="12">
                  <c:v>0.1</c:v>
                </c:pt>
              </c:numCache>
            </c:numRef>
          </c:val>
          <c:extLst>
            <c:ext xmlns:c16="http://schemas.microsoft.com/office/drawing/2014/chart" uri="{C3380CC4-5D6E-409C-BE32-E72D297353CC}">
              <c16:uniqueId val="{00000001-D769-428D-937C-932583D1358C}"/>
            </c:ext>
          </c:extLst>
        </c:ser>
        <c:dLbls>
          <c:dLblPos val="ctr"/>
          <c:showLegendKey val="0"/>
          <c:showVal val="1"/>
          <c:showCatName val="0"/>
          <c:showSerName val="0"/>
          <c:showPercent val="0"/>
          <c:showBubbleSize val="0"/>
        </c:dLbls>
        <c:gapWidth val="150"/>
        <c:overlap val="100"/>
        <c:axId val="797016032"/>
        <c:axId val="797024352"/>
      </c:barChart>
      <c:catAx>
        <c:axId val="7970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24352"/>
        <c:crosses val="autoZero"/>
        <c:auto val="1"/>
        <c:lblAlgn val="ctr"/>
        <c:lblOffset val="100"/>
        <c:noMultiLvlLbl val="0"/>
      </c:catAx>
      <c:valAx>
        <c:axId val="79702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1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[My_EV_Sheet.xlsx]C3 CX!PivotTable6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7392212916061"/>
          <c:y val="0.2572178477690289"/>
          <c:w val="0.67502424060049815"/>
          <c:h val="0.6076742490522018"/>
        </c:manualLayout>
      </c:layout>
      <c:barChart>
        <c:barDir val="col"/>
        <c:grouping val="clustered"/>
        <c:varyColors val="0"/>
        <c:ser>
          <c:idx val="0"/>
          <c:order val="0"/>
          <c:tx>
            <c:strRef>
              <c:f>'C3 CX'!$B$3</c:f>
              <c:strCache>
                <c:ptCount val="1"/>
                <c:pt idx="0">
                  <c:v>Sum of 2022</c:v>
                </c:pt>
              </c:strCache>
            </c:strRef>
          </c:tx>
          <c:spPr>
            <a:solidFill>
              <a:schemeClr val="accent1"/>
            </a:solidFill>
            <a:ln>
              <a:noFill/>
            </a:ln>
            <a:effectLst/>
          </c:spPr>
          <c:invertIfNegative val="0"/>
          <c:cat>
            <c:strRef>
              <c:f>'C3 CX'!$A$4:$A$9</c:f>
              <c:strCache>
                <c:ptCount val="5"/>
                <c:pt idx="0">
                  <c:v>TVS</c:v>
                </c:pt>
                <c:pt idx="1">
                  <c:v>OLA ELECTRIC</c:v>
                </c:pt>
                <c:pt idx="2">
                  <c:v>OKINAWA</c:v>
                </c:pt>
                <c:pt idx="3">
                  <c:v>BAJAJ</c:v>
                </c:pt>
                <c:pt idx="4">
                  <c:v>ATHER</c:v>
                </c:pt>
              </c:strCache>
            </c:strRef>
          </c:cat>
          <c:val>
            <c:numRef>
              <c:f>'C3 CX'!$B$4:$B$9</c:f>
              <c:numCache>
                <c:formatCode>General</c:formatCode>
                <c:ptCount val="5"/>
                <c:pt idx="0">
                  <c:v>9740</c:v>
                </c:pt>
                <c:pt idx="1">
                  <c:v>14405</c:v>
                </c:pt>
                <c:pt idx="2">
                  <c:v>47926</c:v>
                </c:pt>
                <c:pt idx="3">
                  <c:v>7114</c:v>
                </c:pt>
                <c:pt idx="4">
                  <c:v>19981</c:v>
                </c:pt>
              </c:numCache>
            </c:numRef>
          </c:val>
          <c:extLst>
            <c:ext xmlns:c16="http://schemas.microsoft.com/office/drawing/2014/chart" uri="{C3380CC4-5D6E-409C-BE32-E72D297353CC}">
              <c16:uniqueId val="{00000000-7A87-442E-956E-165D2CE34B83}"/>
            </c:ext>
          </c:extLst>
        </c:ser>
        <c:ser>
          <c:idx val="1"/>
          <c:order val="1"/>
          <c:tx>
            <c:strRef>
              <c:f>'C3 CX'!$C$3</c:f>
              <c:strCache>
                <c:ptCount val="1"/>
                <c:pt idx="0">
                  <c:v>Sum of 2023</c:v>
                </c:pt>
              </c:strCache>
            </c:strRef>
          </c:tx>
          <c:spPr>
            <a:solidFill>
              <a:schemeClr val="accent2"/>
            </a:solidFill>
            <a:ln>
              <a:noFill/>
            </a:ln>
            <a:effectLst/>
          </c:spPr>
          <c:invertIfNegative val="0"/>
          <c:cat>
            <c:strRef>
              <c:f>'C3 CX'!$A$4:$A$9</c:f>
              <c:strCache>
                <c:ptCount val="5"/>
                <c:pt idx="0">
                  <c:v>TVS</c:v>
                </c:pt>
                <c:pt idx="1">
                  <c:v>OLA ELECTRIC</c:v>
                </c:pt>
                <c:pt idx="2">
                  <c:v>OKINAWA</c:v>
                </c:pt>
                <c:pt idx="3">
                  <c:v>BAJAJ</c:v>
                </c:pt>
                <c:pt idx="4">
                  <c:v>ATHER</c:v>
                </c:pt>
              </c:strCache>
            </c:strRef>
          </c:cat>
          <c:val>
            <c:numRef>
              <c:f>'C3 CX'!$C$4:$C$9</c:f>
              <c:numCache>
                <c:formatCode>General</c:formatCode>
                <c:ptCount val="5"/>
                <c:pt idx="0">
                  <c:v>82109</c:v>
                </c:pt>
                <c:pt idx="1">
                  <c:v>152779</c:v>
                </c:pt>
                <c:pt idx="2">
                  <c:v>95939</c:v>
                </c:pt>
                <c:pt idx="3">
                  <c:v>32805</c:v>
                </c:pt>
                <c:pt idx="4">
                  <c:v>76939</c:v>
                </c:pt>
              </c:numCache>
            </c:numRef>
          </c:val>
          <c:extLst>
            <c:ext xmlns:c16="http://schemas.microsoft.com/office/drawing/2014/chart" uri="{C3380CC4-5D6E-409C-BE32-E72D297353CC}">
              <c16:uniqueId val="{00000001-7A87-442E-956E-165D2CE34B83}"/>
            </c:ext>
          </c:extLst>
        </c:ser>
        <c:ser>
          <c:idx val="2"/>
          <c:order val="2"/>
          <c:tx>
            <c:strRef>
              <c:f>'C3 CX'!$D$3</c:f>
              <c:strCache>
                <c:ptCount val="1"/>
                <c:pt idx="0">
                  <c:v>Sum of 2024</c:v>
                </c:pt>
              </c:strCache>
            </c:strRef>
          </c:tx>
          <c:spPr>
            <a:solidFill>
              <a:schemeClr val="accent3"/>
            </a:solidFill>
            <a:ln>
              <a:noFill/>
            </a:ln>
            <a:effectLst/>
          </c:spPr>
          <c:invertIfNegative val="0"/>
          <c:cat>
            <c:strRef>
              <c:f>'C3 CX'!$A$4:$A$9</c:f>
              <c:strCache>
                <c:ptCount val="5"/>
                <c:pt idx="0">
                  <c:v>TVS</c:v>
                </c:pt>
                <c:pt idx="1">
                  <c:v>OLA ELECTRIC</c:v>
                </c:pt>
                <c:pt idx="2">
                  <c:v>OKINAWA</c:v>
                </c:pt>
                <c:pt idx="3">
                  <c:v>BAJAJ</c:v>
                </c:pt>
                <c:pt idx="4">
                  <c:v>ATHER</c:v>
                </c:pt>
              </c:strCache>
            </c:strRef>
          </c:cat>
          <c:val>
            <c:numRef>
              <c:f>'C3 CX'!$D$4:$D$9</c:f>
              <c:numCache>
                <c:formatCode>General</c:formatCode>
                <c:ptCount val="5"/>
                <c:pt idx="0">
                  <c:v>182959</c:v>
                </c:pt>
                <c:pt idx="1">
                  <c:v>326443</c:v>
                </c:pt>
                <c:pt idx="2">
                  <c:v>20873</c:v>
                </c:pt>
                <c:pt idx="3">
                  <c:v>106990</c:v>
                </c:pt>
                <c:pt idx="4">
                  <c:v>108872</c:v>
                </c:pt>
              </c:numCache>
            </c:numRef>
          </c:val>
          <c:extLst>
            <c:ext xmlns:c16="http://schemas.microsoft.com/office/drawing/2014/chart" uri="{C3380CC4-5D6E-409C-BE32-E72D297353CC}">
              <c16:uniqueId val="{00000002-7A87-442E-956E-165D2CE34B83}"/>
            </c:ext>
          </c:extLst>
        </c:ser>
        <c:ser>
          <c:idx val="3"/>
          <c:order val="3"/>
          <c:tx>
            <c:strRef>
              <c:f>'C3 CX'!$E$3</c:f>
              <c:strCache>
                <c:ptCount val="1"/>
                <c:pt idx="0">
                  <c:v>Sum of 2025</c:v>
                </c:pt>
              </c:strCache>
            </c:strRef>
          </c:tx>
          <c:spPr>
            <a:solidFill>
              <a:schemeClr val="accent4"/>
            </a:solidFill>
            <a:ln>
              <a:noFill/>
            </a:ln>
            <a:effectLst/>
          </c:spPr>
          <c:invertIfNegative val="0"/>
          <c:cat>
            <c:strRef>
              <c:f>'C3 CX'!$A$4:$A$9</c:f>
              <c:strCache>
                <c:ptCount val="5"/>
                <c:pt idx="0">
                  <c:v>TVS</c:v>
                </c:pt>
                <c:pt idx="1">
                  <c:v>OLA ELECTRIC</c:v>
                </c:pt>
                <c:pt idx="2">
                  <c:v>OKINAWA</c:v>
                </c:pt>
                <c:pt idx="3">
                  <c:v>BAJAJ</c:v>
                </c:pt>
                <c:pt idx="4">
                  <c:v>ATHER</c:v>
                </c:pt>
              </c:strCache>
            </c:strRef>
          </c:cat>
          <c:val>
            <c:numRef>
              <c:f>'C3 CX'!$E$4:$E$9</c:f>
              <c:numCache>
                <c:formatCode>General</c:formatCode>
                <c:ptCount val="5"/>
                <c:pt idx="0">
                  <c:v>265290.55</c:v>
                </c:pt>
                <c:pt idx="1">
                  <c:v>473342.35</c:v>
                </c:pt>
                <c:pt idx="2">
                  <c:v>30265.85</c:v>
                </c:pt>
                <c:pt idx="3">
                  <c:v>155135.5</c:v>
                </c:pt>
                <c:pt idx="4">
                  <c:v>157864.4</c:v>
                </c:pt>
              </c:numCache>
            </c:numRef>
          </c:val>
          <c:extLst>
            <c:ext xmlns:c16="http://schemas.microsoft.com/office/drawing/2014/chart" uri="{C3380CC4-5D6E-409C-BE32-E72D297353CC}">
              <c16:uniqueId val="{00000003-7A87-442E-956E-165D2CE34B83}"/>
            </c:ext>
          </c:extLst>
        </c:ser>
        <c:ser>
          <c:idx val="4"/>
          <c:order val="4"/>
          <c:tx>
            <c:strRef>
              <c:f>'C3 CX'!$F$3</c:f>
              <c:strCache>
                <c:ptCount val="1"/>
                <c:pt idx="0">
                  <c:v>Sum of 2026</c:v>
                </c:pt>
              </c:strCache>
            </c:strRef>
          </c:tx>
          <c:spPr>
            <a:solidFill>
              <a:schemeClr val="accent5"/>
            </a:solidFill>
            <a:ln>
              <a:noFill/>
            </a:ln>
            <a:effectLst/>
          </c:spPr>
          <c:invertIfNegative val="0"/>
          <c:cat>
            <c:strRef>
              <c:f>'C3 CX'!$A$4:$A$9</c:f>
              <c:strCache>
                <c:ptCount val="5"/>
                <c:pt idx="0">
                  <c:v>TVS</c:v>
                </c:pt>
                <c:pt idx="1">
                  <c:v>OLA ELECTRIC</c:v>
                </c:pt>
                <c:pt idx="2">
                  <c:v>OKINAWA</c:v>
                </c:pt>
                <c:pt idx="3">
                  <c:v>BAJAJ</c:v>
                </c:pt>
                <c:pt idx="4">
                  <c:v>ATHER</c:v>
                </c:pt>
              </c:strCache>
            </c:strRef>
          </c:cat>
          <c:val>
            <c:numRef>
              <c:f>'C3 CX'!$F$4:$F$9</c:f>
              <c:numCache>
                <c:formatCode>General</c:formatCode>
                <c:ptCount val="5"/>
                <c:pt idx="0">
                  <c:v>384671.29749999999</c:v>
                </c:pt>
                <c:pt idx="1">
                  <c:v>686346.40749999997</c:v>
                </c:pt>
                <c:pt idx="2">
                  <c:v>43885.482499999998</c:v>
                </c:pt>
                <c:pt idx="3">
                  <c:v>224946.47500000001</c:v>
                </c:pt>
                <c:pt idx="4">
                  <c:v>228903.37999999998</c:v>
                </c:pt>
              </c:numCache>
            </c:numRef>
          </c:val>
          <c:extLst>
            <c:ext xmlns:c16="http://schemas.microsoft.com/office/drawing/2014/chart" uri="{C3380CC4-5D6E-409C-BE32-E72D297353CC}">
              <c16:uniqueId val="{00000004-7A87-442E-956E-165D2CE34B83}"/>
            </c:ext>
          </c:extLst>
        </c:ser>
        <c:dLbls>
          <c:showLegendKey val="0"/>
          <c:showVal val="0"/>
          <c:showCatName val="0"/>
          <c:showSerName val="0"/>
          <c:showPercent val="0"/>
          <c:showBubbleSize val="0"/>
        </c:dLbls>
        <c:gapWidth val="219"/>
        <c:overlap val="-27"/>
        <c:axId val="271326304"/>
        <c:axId val="271323808"/>
      </c:barChart>
      <c:catAx>
        <c:axId val="2713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23808"/>
        <c:crosses val="autoZero"/>
        <c:auto val="1"/>
        <c:lblAlgn val="ctr"/>
        <c:lblOffset val="100"/>
        <c:noMultiLvlLbl val="0"/>
      </c:catAx>
      <c:valAx>
        <c:axId val="27132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[My_EV_Sheet.xlsx]C1 CX!PivotTable8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'C1 CX'!$B$3</c:f>
              <c:strCache>
                <c:ptCount val="1"/>
                <c:pt idx="0">
                  <c:v>Sum of 2022</c:v>
                </c:pt>
              </c:strCache>
            </c:strRef>
          </c:tx>
          <c:spPr>
            <a:solidFill>
              <a:schemeClr val="accent1"/>
            </a:solidFill>
            <a:ln>
              <a:noFill/>
            </a:ln>
            <a:effectLst/>
          </c:spPr>
          <c:invertIfNegative val="0"/>
          <c:cat>
            <c:strRef>
              <c:f>'C1 CX'!$A$4:$A$8</c:f>
              <c:strCache>
                <c:ptCount val="4"/>
                <c:pt idx="0">
                  <c:v>AMPERE</c:v>
                </c:pt>
                <c:pt idx="1">
                  <c:v>BGAUSS</c:v>
                </c:pt>
                <c:pt idx="2">
                  <c:v>HERO ELECTRIC</c:v>
                </c:pt>
                <c:pt idx="3">
                  <c:v>OKAYA EV</c:v>
                </c:pt>
              </c:strCache>
            </c:strRef>
          </c:cat>
          <c:val>
            <c:numRef>
              <c:f>'C1 CX'!$B$4:$B$8</c:f>
              <c:numCache>
                <c:formatCode>General</c:formatCode>
                <c:ptCount val="4"/>
                <c:pt idx="0">
                  <c:v>25516</c:v>
                </c:pt>
                <c:pt idx="1">
                  <c:v>0</c:v>
                </c:pt>
                <c:pt idx="2">
                  <c:v>69235</c:v>
                </c:pt>
                <c:pt idx="3">
                  <c:v>0</c:v>
                </c:pt>
              </c:numCache>
            </c:numRef>
          </c:val>
          <c:extLst>
            <c:ext xmlns:c16="http://schemas.microsoft.com/office/drawing/2014/chart" uri="{C3380CC4-5D6E-409C-BE32-E72D297353CC}">
              <c16:uniqueId val="{00000000-458E-4874-8DE7-7B533F141DF1}"/>
            </c:ext>
          </c:extLst>
        </c:ser>
        <c:ser>
          <c:idx val="1"/>
          <c:order val="1"/>
          <c:tx>
            <c:strRef>
              <c:f>'C1 CX'!$C$3</c:f>
              <c:strCache>
                <c:ptCount val="1"/>
                <c:pt idx="0">
                  <c:v>Sum of 2023</c:v>
                </c:pt>
              </c:strCache>
            </c:strRef>
          </c:tx>
          <c:spPr>
            <a:solidFill>
              <a:schemeClr val="accent2"/>
            </a:solidFill>
            <a:ln>
              <a:noFill/>
            </a:ln>
            <a:effectLst/>
          </c:spPr>
          <c:invertIfNegative val="0"/>
          <c:cat>
            <c:strRef>
              <c:f>'C1 CX'!$A$4:$A$8</c:f>
              <c:strCache>
                <c:ptCount val="4"/>
                <c:pt idx="0">
                  <c:v>AMPERE</c:v>
                </c:pt>
                <c:pt idx="1">
                  <c:v>BGAUSS</c:v>
                </c:pt>
                <c:pt idx="2">
                  <c:v>HERO ELECTRIC</c:v>
                </c:pt>
                <c:pt idx="3">
                  <c:v>OKAYA EV</c:v>
                </c:pt>
              </c:strCache>
            </c:strRef>
          </c:cat>
          <c:val>
            <c:numRef>
              <c:f>'C1 CX'!$C$4:$C$8</c:f>
              <c:numCache>
                <c:formatCode>General</c:formatCode>
                <c:ptCount val="4"/>
                <c:pt idx="0">
                  <c:v>87392</c:v>
                </c:pt>
                <c:pt idx="1">
                  <c:v>4147</c:v>
                </c:pt>
                <c:pt idx="2">
                  <c:v>89874</c:v>
                </c:pt>
                <c:pt idx="3">
                  <c:v>13175</c:v>
                </c:pt>
              </c:numCache>
            </c:numRef>
          </c:val>
          <c:extLst>
            <c:ext xmlns:c16="http://schemas.microsoft.com/office/drawing/2014/chart" uri="{C3380CC4-5D6E-409C-BE32-E72D297353CC}">
              <c16:uniqueId val="{00000001-458E-4874-8DE7-7B533F141DF1}"/>
            </c:ext>
          </c:extLst>
        </c:ser>
        <c:ser>
          <c:idx val="2"/>
          <c:order val="2"/>
          <c:tx>
            <c:strRef>
              <c:f>'C1 CX'!$D$3</c:f>
              <c:strCache>
                <c:ptCount val="1"/>
                <c:pt idx="0">
                  <c:v>Sum of 2024</c:v>
                </c:pt>
              </c:strCache>
            </c:strRef>
          </c:tx>
          <c:spPr>
            <a:solidFill>
              <a:schemeClr val="accent3"/>
            </a:solidFill>
            <a:ln>
              <a:noFill/>
            </a:ln>
            <a:effectLst/>
          </c:spPr>
          <c:invertIfNegative val="0"/>
          <c:cat>
            <c:strRef>
              <c:f>'C1 CX'!$A$4:$A$8</c:f>
              <c:strCache>
                <c:ptCount val="4"/>
                <c:pt idx="0">
                  <c:v>AMPERE</c:v>
                </c:pt>
                <c:pt idx="1">
                  <c:v>BGAUSS</c:v>
                </c:pt>
                <c:pt idx="2">
                  <c:v>HERO ELECTRIC</c:v>
                </c:pt>
                <c:pt idx="3">
                  <c:v>OKAYA EV</c:v>
                </c:pt>
              </c:strCache>
            </c:strRef>
          </c:cat>
          <c:val>
            <c:numRef>
              <c:f>'C1 CX'!$D$4:$D$8</c:f>
              <c:numCache>
                <c:formatCode>General</c:formatCode>
                <c:ptCount val="4"/>
                <c:pt idx="0">
                  <c:v>55057</c:v>
                </c:pt>
                <c:pt idx="1">
                  <c:v>15235</c:v>
                </c:pt>
                <c:pt idx="2">
                  <c:v>12094</c:v>
                </c:pt>
                <c:pt idx="3">
                  <c:v>14035</c:v>
                </c:pt>
              </c:numCache>
            </c:numRef>
          </c:val>
          <c:extLst>
            <c:ext xmlns:c16="http://schemas.microsoft.com/office/drawing/2014/chart" uri="{C3380CC4-5D6E-409C-BE32-E72D297353CC}">
              <c16:uniqueId val="{00000002-458E-4874-8DE7-7B533F141DF1}"/>
            </c:ext>
          </c:extLst>
        </c:ser>
        <c:ser>
          <c:idx val="3"/>
          <c:order val="3"/>
          <c:tx>
            <c:strRef>
              <c:f>'C1 CX'!$E$3</c:f>
              <c:strCache>
                <c:ptCount val="1"/>
                <c:pt idx="0">
                  <c:v>Sum of 2025</c:v>
                </c:pt>
              </c:strCache>
            </c:strRef>
          </c:tx>
          <c:spPr>
            <a:solidFill>
              <a:schemeClr val="accent4"/>
            </a:solidFill>
            <a:ln>
              <a:noFill/>
            </a:ln>
            <a:effectLst/>
          </c:spPr>
          <c:invertIfNegative val="0"/>
          <c:cat>
            <c:strRef>
              <c:f>'C1 CX'!$A$4:$A$8</c:f>
              <c:strCache>
                <c:ptCount val="4"/>
                <c:pt idx="0">
                  <c:v>AMPERE</c:v>
                </c:pt>
                <c:pt idx="1">
                  <c:v>BGAUSS</c:v>
                </c:pt>
                <c:pt idx="2">
                  <c:v>HERO ELECTRIC</c:v>
                </c:pt>
                <c:pt idx="3">
                  <c:v>OKAYA EV</c:v>
                </c:pt>
              </c:strCache>
            </c:strRef>
          </c:cat>
          <c:val>
            <c:numRef>
              <c:f>'C1 CX'!$E$4:$E$8</c:f>
              <c:numCache>
                <c:formatCode>General</c:formatCode>
                <c:ptCount val="4"/>
                <c:pt idx="0">
                  <c:v>79832.649999999994</c:v>
                </c:pt>
                <c:pt idx="1">
                  <c:v>22090.75</c:v>
                </c:pt>
                <c:pt idx="2">
                  <c:v>17536.3</c:v>
                </c:pt>
                <c:pt idx="3">
                  <c:v>20350.75</c:v>
                </c:pt>
              </c:numCache>
            </c:numRef>
          </c:val>
          <c:extLst>
            <c:ext xmlns:c16="http://schemas.microsoft.com/office/drawing/2014/chart" uri="{C3380CC4-5D6E-409C-BE32-E72D297353CC}">
              <c16:uniqueId val="{00000003-458E-4874-8DE7-7B533F141DF1}"/>
            </c:ext>
          </c:extLst>
        </c:ser>
        <c:ser>
          <c:idx val="4"/>
          <c:order val="4"/>
          <c:tx>
            <c:strRef>
              <c:f>'C1 CX'!$F$3</c:f>
              <c:strCache>
                <c:ptCount val="1"/>
                <c:pt idx="0">
                  <c:v>Sum of 2026</c:v>
                </c:pt>
              </c:strCache>
            </c:strRef>
          </c:tx>
          <c:spPr>
            <a:solidFill>
              <a:schemeClr val="accent5"/>
            </a:solidFill>
            <a:ln>
              <a:noFill/>
            </a:ln>
            <a:effectLst/>
          </c:spPr>
          <c:invertIfNegative val="0"/>
          <c:cat>
            <c:strRef>
              <c:f>'C1 CX'!$A$4:$A$8</c:f>
              <c:strCache>
                <c:ptCount val="4"/>
                <c:pt idx="0">
                  <c:v>AMPERE</c:v>
                </c:pt>
                <c:pt idx="1">
                  <c:v>BGAUSS</c:v>
                </c:pt>
                <c:pt idx="2">
                  <c:v>HERO ELECTRIC</c:v>
                </c:pt>
                <c:pt idx="3">
                  <c:v>OKAYA EV</c:v>
                </c:pt>
              </c:strCache>
            </c:strRef>
          </c:cat>
          <c:val>
            <c:numRef>
              <c:f>'C1 CX'!$F$4:$F$8</c:f>
              <c:numCache>
                <c:formatCode>General</c:formatCode>
                <c:ptCount val="4"/>
                <c:pt idx="0">
                  <c:v>115757.34249999998</c:v>
                </c:pt>
                <c:pt idx="1">
                  <c:v>32031.587499999998</c:v>
                </c:pt>
                <c:pt idx="2">
                  <c:v>25427.634999999998</c:v>
                </c:pt>
                <c:pt idx="3">
                  <c:v>29508.587499999998</c:v>
                </c:pt>
              </c:numCache>
            </c:numRef>
          </c:val>
          <c:extLst>
            <c:ext xmlns:c16="http://schemas.microsoft.com/office/drawing/2014/chart" uri="{C3380CC4-5D6E-409C-BE32-E72D297353CC}">
              <c16:uniqueId val="{00000004-458E-4874-8DE7-7B533F141DF1}"/>
            </c:ext>
          </c:extLst>
        </c:ser>
        <c:dLbls>
          <c:showLegendKey val="0"/>
          <c:showVal val="0"/>
          <c:showCatName val="0"/>
          <c:showSerName val="0"/>
          <c:showPercent val="0"/>
          <c:showBubbleSize val="0"/>
        </c:dLbls>
        <c:gapWidth val="219"/>
        <c:overlap val="-27"/>
        <c:axId val="271332960"/>
        <c:axId val="271335872"/>
      </c:barChart>
      <c:catAx>
        <c:axId val="2713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35872"/>
        <c:crosses val="autoZero"/>
        <c:auto val="1"/>
        <c:lblAlgn val="ctr"/>
        <c:lblOffset val="100"/>
        <c:noMultiLvlLbl val="0"/>
      </c:catAx>
      <c:valAx>
        <c:axId val="2713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18</xdr:col>
      <xdr:colOff>320040</xdr:colOff>
      <xdr:row>30</xdr:row>
      <xdr:rowOff>83820</xdr:rowOff>
    </xdr:from>
    <xdr:ext cx="1289685" cy="901065"/>
    <xdr:pic>
      <xdr:nvPicPr>
        <xdr:cNvPr id="13" name="image7.jp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1" cstate="print"/>
        <a:stretch>
          <a:fillRect/>
        </a:stretch>
      </xdr:blipFill>
      <xdr:spPr>
        <a:xfrm>
          <a:off x="25580340" y="11689080"/>
          <a:ext cx="1289685" cy="90106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13</xdr:col>
      <xdr:colOff>563880</xdr:colOff>
      <xdr:row>0</xdr:row>
      <xdr:rowOff>137160</xdr:rowOff>
    </xdr:from>
    <xdr:to>
      <xdr:col>21</xdr:col>
      <xdr:colOff>259080</xdr:colOff>
      <xdr:row>10</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396240</xdr:colOff>
      <xdr:row>10</xdr:row>
      <xdr:rowOff>15240</xdr:rowOff>
    </xdr:from>
    <xdr:to>
      <xdr:col>21</xdr:col>
      <xdr:colOff>91440</xdr:colOff>
      <xdr:row>23</xdr:row>
      <xdr:rowOff>175260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565355</xdr:colOff>
      <xdr:row>32</xdr:row>
      <xdr:rowOff>35642</xdr:rowOff>
    </xdr:from>
    <xdr:to>
      <xdr:col>19</xdr:col>
      <xdr:colOff>540774</xdr:colOff>
      <xdr:row>47</xdr:row>
      <xdr:rowOff>13520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563880</xdr:colOff>
      <xdr:row>17</xdr:row>
      <xdr:rowOff>53340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0</xdr:row>
      <xdr:rowOff>0</xdr:rowOff>
    </xdr:from>
    <xdr:to>
      <xdr:col>14</xdr:col>
      <xdr:colOff>106680</xdr:colOff>
      <xdr:row>17</xdr:row>
      <xdr:rowOff>38100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121920</xdr:colOff>
      <xdr:row>0</xdr:row>
      <xdr:rowOff>15240</xdr:rowOff>
    </xdr:from>
    <xdr:to>
      <xdr:col>21</xdr:col>
      <xdr:colOff>594360</xdr:colOff>
      <xdr:row>17</xdr:row>
      <xdr:rowOff>45720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62697</xdr:colOff>
      <xdr:row>22</xdr:row>
      <xdr:rowOff>174103</xdr:rowOff>
    </xdr:from>
    <xdr:to>
      <xdr:col>40</xdr:col>
      <xdr:colOff>381001</xdr:colOff>
      <xdr:row>34</xdr:row>
      <xdr:rowOff>168315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281940</xdr:colOff>
      <xdr:row>2</xdr:row>
      <xdr:rowOff>137160</xdr:rowOff>
    </xdr:from>
    <xdr:to>
      <xdr:col>17</xdr:col>
      <xdr:colOff>91440</xdr:colOff>
      <xdr:row>24</xdr:row>
      <xdr:rowOff>30480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53340</xdr:colOff>
      <xdr:row>7</xdr:row>
      <xdr:rowOff>26670</xdr:rowOff>
    </xdr:from>
    <xdr:to>
      <xdr:col>15</xdr:col>
      <xdr:colOff>358140</xdr:colOff>
      <xdr:row>22</xdr:row>
      <xdr:rowOff>26670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53340</xdr:colOff>
      <xdr:row>7</xdr:row>
      <xdr:rowOff>26670</xdr:rowOff>
    </xdr:from>
    <xdr:to>
      <xdr:col>15</xdr:col>
      <xdr:colOff>358140</xdr:colOff>
      <xdr:row>22</xdr:row>
      <xdr:rowOff>26670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10299</xdr:colOff>
      <xdr:row>0</xdr:row>
      <xdr:rowOff>0</xdr:rowOff>
    </xdr:from>
    <xdr:to>
      <xdr:col>30</xdr:col>
      <xdr:colOff>221674</xdr:colOff>
      <xdr:row>33</xdr:row>
      <xdr:rowOff>152400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Nayak" refreshedDate="45434.740054050926" createdVersion="6" refreshedVersion="6" minRefreshableVersion="3" recordCount="6" xr:uid="{00000000-000A-0000-FFFF-FFFF00000000}">
  <cacheSource type="worksheet">
    <worksheetSource ref="N2:N8" sheet="Target customer data 2"/>
  </cacheSource>
  <cacheFields count="6">
    <cacheField name="OEM" numFmtId="0">
      <sharedItems count="6">
        <s v="OLA ELECTRIC"/>
        <s v="TVS"/>
        <s v="ATHER"/>
        <s v="BAJAJ"/>
        <s v="AMPERE"/>
        <s v="OKINAWA"/>
      </sharedItems>
    </cacheField>
    <cacheField name="2022" numFmtId="165">
      <sharedItems containsSemiMixedTypes="0" containsString="0" containsNumber="1" containsInteger="1" minValue="7114" maxValue="47926"/>
    </cacheField>
    <cacheField name="2023" numFmtId="165">
      <sharedItems containsSemiMixedTypes="0" containsString="0" containsNumber="1" containsInteger="1" minValue="32805" maxValue="152779"/>
    </cacheField>
    <cacheField name="2024" numFmtId="0">
      <sharedItems containsSemiMixedTypes="0" containsString="0" containsNumber="1" containsInteger="1" minValue="20873" maxValue="326443"/>
    </cacheField>
    <cacheField name="2025" numFmtId="0">
      <sharedItems containsSemiMixedTypes="0" containsString="0" containsNumber="1" minValue="30265.85" maxValue="473342.35"/>
    </cacheField>
    <cacheField name="2026" numFmtId="165">
      <sharedItems containsSemiMixedTypes="0" containsString="0" containsNumber="1" minValue="43885.482499999998" maxValue="686346.407499999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Nayak" refreshedDate="45434.754924884262" createdVersion="6" refreshedVersion="6" minRefreshableVersion="3" recordCount="13" xr:uid="{00000000-000A-0000-FFFF-FFFF01000000}">
  <cacheSource type="worksheet">
    <worksheetSource ref="N2:N15" sheet="Target customer data 2"/>
  </cacheSource>
  <cacheFields count="6">
    <cacheField name="OEM" numFmtId="0">
      <sharedItems count="13">
        <s v="OLA ELECTRIC"/>
        <s v="TVS"/>
        <s v="ATHER"/>
        <s v="BAJAJ"/>
        <s v="AMPERE"/>
        <s v="OKINAWA"/>
        <s v="HERO ELECTRIC"/>
        <s v="OKAYA EV"/>
        <s v="BGAUSS"/>
        <s v="BATTRE ELECTRIC"/>
        <s v="KINETIC GREEN"/>
        <s v="REVOLT"/>
        <s v="OTHERS"/>
      </sharedItems>
    </cacheField>
    <cacheField name="2022" numFmtId="165">
      <sharedItems containsSemiMixedTypes="0" containsString="0" containsNumber="1" containsInteger="1" minValue="0" maxValue="69235"/>
    </cacheField>
    <cacheField name="2023" numFmtId="165">
      <sharedItems containsSemiMixedTypes="0" containsString="0" containsNumber="1" containsInteger="1" minValue="896" maxValue="152779"/>
    </cacheField>
    <cacheField name="2024" numFmtId="0">
      <sharedItems containsSemiMixedTypes="0" containsString="0" containsNumber="1" containsInteger="1" minValue="4901" maxValue="326443"/>
    </cacheField>
    <cacheField name="2025" numFmtId="0">
      <sharedItems containsSemiMixedTypes="0" containsString="0" containsNumber="1" minValue="7106.45" maxValue="473342.35"/>
    </cacheField>
    <cacheField name="2026" numFmtId="165">
      <sharedItems containsSemiMixedTypes="0" containsString="0" containsNumber="1" minValue="10304.352499999999" maxValue="686346.4074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14405"/>
    <n v="152779"/>
    <n v="326443"/>
    <n v="473342.35"/>
    <n v="686346.40749999997"/>
  </r>
  <r>
    <x v="1"/>
    <n v="9740"/>
    <n v="82109"/>
    <n v="182959"/>
    <n v="265290.55"/>
    <n v="384671.29749999999"/>
  </r>
  <r>
    <x v="2"/>
    <n v="19981"/>
    <n v="76939"/>
    <n v="108872"/>
    <n v="157864.4"/>
    <n v="228903.37999999998"/>
  </r>
  <r>
    <x v="3"/>
    <n v="7114"/>
    <n v="32805"/>
    <n v="106990"/>
    <n v="155135.5"/>
    <n v="224946.47500000001"/>
  </r>
  <r>
    <x v="4"/>
    <n v="25516"/>
    <n v="87392"/>
    <n v="55057"/>
    <n v="79832.649999999994"/>
    <n v="115757.34249999998"/>
  </r>
  <r>
    <x v="5"/>
    <n v="47926"/>
    <n v="95939"/>
    <n v="20873"/>
    <n v="30265.85"/>
    <n v="43885.482499999998"/>
  </r>
</pivotCacheRecords>
</file>

<file path=xl/pivotCache/pivotCacheRecords2.xml><?xml version="1.0" encoding="utf-8"?>
<pivotCacheRecords xmlns="http://schemas.openxmlformats.org/spreadsheetml/2006/main" xmlns:r="http://schemas.openxmlformats.org/officeDocument/2006/relationships" count="13">
  <r>
    <x v="0"/>
    <n v="14405"/>
    <n v="152779"/>
    <n v="326443"/>
    <n v="473342.35"/>
    <n v="686346.40749999997"/>
  </r>
  <r>
    <x v="1"/>
    <n v="9740"/>
    <n v="82109"/>
    <n v="182959"/>
    <n v="265290.55"/>
    <n v="384671.29749999999"/>
  </r>
  <r>
    <x v="2"/>
    <n v="19981"/>
    <n v="76939"/>
    <n v="108872"/>
    <n v="157864.4"/>
    <n v="228903.37999999998"/>
  </r>
  <r>
    <x v="3"/>
    <n v="7114"/>
    <n v="32805"/>
    <n v="106990"/>
    <n v="155135.5"/>
    <n v="224946.47500000001"/>
  </r>
  <r>
    <x v="4"/>
    <n v="25516"/>
    <n v="87392"/>
    <n v="55057"/>
    <n v="79832.649999999994"/>
    <n v="115757.34249999998"/>
  </r>
  <r>
    <x v="5"/>
    <n v="47926"/>
    <n v="95939"/>
    <n v="20873"/>
    <n v="30265.85"/>
    <n v="43885.482499999998"/>
  </r>
  <r>
    <x v="6"/>
    <n v="69235"/>
    <n v="89874"/>
    <n v="12094"/>
    <n v="17536.3"/>
    <n v="25427.634999999998"/>
  </r>
  <r>
    <x v="7"/>
    <n v="0"/>
    <n v="13175"/>
    <n v="14035"/>
    <n v="20350.75"/>
    <n v="29508.587499999998"/>
  </r>
  <r>
    <x v="8"/>
    <n v="0"/>
    <n v="4147"/>
    <n v="15235"/>
    <n v="22090.75"/>
    <n v="32031.587499999998"/>
  </r>
  <r>
    <x v="9"/>
    <n v="0"/>
    <n v="896"/>
    <n v="4901"/>
    <n v="7106.45"/>
    <n v="10304.352499999999"/>
  </r>
  <r>
    <x v="10"/>
    <n v="0"/>
    <n v="5572"/>
    <n v="9703"/>
    <n v="14069.35"/>
    <n v="20400.557499999999"/>
  </r>
  <r>
    <x v="11"/>
    <n v="7641"/>
    <n v="12932"/>
    <n v="7342"/>
    <n v="10645.9"/>
    <n v="15436.554999999998"/>
  </r>
  <r>
    <x v="12"/>
    <n v="51083"/>
    <n v="73495"/>
    <n v="79622"/>
    <n v="115451.9"/>
    <n v="167405.254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F9" firstHeaderRow="0" firstDataRow="1" firstDataCol="1"/>
  <pivotFields count="6">
    <pivotField axis="axisRow" showAll="0" sortType="descending">
      <items count="7">
        <item x="1"/>
        <item x="0"/>
        <item x="5"/>
        <item x="3"/>
        <item x="2"/>
        <item h="1" x="4"/>
        <item t="default"/>
      </items>
    </pivotField>
    <pivotField dataField="1" numFmtId="165" showAll="0"/>
    <pivotField dataField="1" numFmtId="165" showAll="0"/>
    <pivotField dataField="1" showAll="0"/>
    <pivotField dataField="1" showAll="0"/>
    <pivotField dataField="1" numFmtId="165"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Sum of 2022" fld="1" baseField="0" baseItem="0"/>
    <dataField name="Sum of 2023" fld="2" baseField="0" baseItem="0"/>
    <dataField name="Sum of 2024" fld="3" baseField="0" baseItem="0"/>
    <dataField name="Sum of 2025" fld="4" baseField="0" baseItem="0"/>
    <dataField name="Sum of 2026"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8" firstHeaderRow="0" firstDataRow="1" firstDataCol="1"/>
  <pivotFields count="6">
    <pivotField axis="axisRow" showAll="0">
      <items count="14">
        <item x="4"/>
        <item h="1" x="2"/>
        <item h="1" x="3"/>
        <item h="1" x="9"/>
        <item x="8"/>
        <item x="6"/>
        <item h="1" x="10"/>
        <item x="7"/>
        <item h="1" x="5"/>
        <item h="1" x="0"/>
        <item h="1" x="12"/>
        <item h="1" x="11"/>
        <item h="1" x="1"/>
        <item t="default"/>
      </items>
    </pivotField>
    <pivotField dataField="1" numFmtId="165" showAll="0"/>
    <pivotField dataField="1" numFmtId="165" showAll="0"/>
    <pivotField dataField="1" showAll="0"/>
    <pivotField dataField="1" showAll="0"/>
    <pivotField dataField="1" numFmtId="165" showAll="0"/>
  </pivotFields>
  <rowFields count="1">
    <field x="0"/>
  </rowFields>
  <rowItems count="5">
    <i>
      <x/>
    </i>
    <i>
      <x v="4"/>
    </i>
    <i>
      <x v="5"/>
    </i>
    <i>
      <x v="7"/>
    </i>
    <i t="grand">
      <x/>
    </i>
  </rowItems>
  <colFields count="1">
    <field x="-2"/>
  </colFields>
  <colItems count="5">
    <i>
      <x/>
    </i>
    <i i="1">
      <x v="1"/>
    </i>
    <i i="2">
      <x v="2"/>
    </i>
    <i i="3">
      <x v="3"/>
    </i>
    <i i="4">
      <x v="4"/>
    </i>
  </colItems>
  <dataFields count="5">
    <dataField name="Sum of 2022" fld="1" baseField="0" baseItem="0"/>
    <dataField name="Sum of 2023" fld="2" baseField="0" baseItem="0"/>
    <dataField name="Sum of 2024" fld="3" baseField="0" baseItem="0"/>
    <dataField name="Sum of 2025" fld="4" baseField="0" baseItem="0"/>
    <dataField name="Sum of 2026"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8" firstHeaderRow="0" firstDataRow="1" firstDataCol="1"/>
  <pivotFields count="6">
    <pivotField axis="axisRow" showAll="0">
      <items count="14">
        <item h="1" x="4"/>
        <item h="1" x="2"/>
        <item h="1" x="3"/>
        <item x="9"/>
        <item h="1" x="8"/>
        <item h="1" x="6"/>
        <item x="10"/>
        <item h="1" x="7"/>
        <item h="1" x="5"/>
        <item h="1" x="0"/>
        <item x="12"/>
        <item x="11"/>
        <item h="1" x="1"/>
        <item t="default"/>
      </items>
    </pivotField>
    <pivotField dataField="1" numFmtId="165" showAll="0"/>
    <pivotField dataField="1" numFmtId="165" showAll="0"/>
    <pivotField dataField="1" showAll="0"/>
    <pivotField dataField="1" showAll="0"/>
    <pivotField dataField="1" numFmtId="165" showAll="0"/>
  </pivotFields>
  <rowFields count="1">
    <field x="0"/>
  </rowFields>
  <rowItems count="5">
    <i>
      <x v="3"/>
    </i>
    <i>
      <x v="6"/>
    </i>
    <i>
      <x v="10"/>
    </i>
    <i>
      <x v="11"/>
    </i>
    <i t="grand">
      <x/>
    </i>
  </rowItems>
  <colFields count="1">
    <field x="-2"/>
  </colFields>
  <colItems count="5">
    <i>
      <x/>
    </i>
    <i i="1">
      <x v="1"/>
    </i>
    <i i="2">
      <x v="2"/>
    </i>
    <i i="3">
      <x v="3"/>
    </i>
    <i i="4">
      <x v="4"/>
    </i>
  </colItems>
  <dataFields count="5">
    <dataField name="Sum of 2022" fld="1" baseField="0" baseItem="0"/>
    <dataField name="Sum of 2023" fld="2" baseField="0" baseItem="0"/>
    <dataField name="Sum of 2024" fld="3" baseField="0" baseItem="0"/>
    <dataField name="Sum of 2025" fld="4" baseField="0" baseItem="0"/>
    <dataField name="Sum of 2026"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048576" totalsRowShown="0">
  <tableColumns count="8">
    <tableColumn id="1" xr3:uid="{00000000-0010-0000-0000-000001000000}" name="Sr No."/>
    <tableColumn id="2" xr3:uid="{00000000-0010-0000-0000-000002000000}" name="Sr No.2"/>
    <tableColumn id="3" xr3:uid="{00000000-0010-0000-0000-000003000000}" name="Sr No.3"/>
    <tableColumn id="4" xr3:uid="{00000000-0010-0000-0000-000004000000}" name="Sr No.4"/>
    <tableColumn id="5" xr3:uid="{00000000-0010-0000-0000-000005000000}" name="Sr No.5"/>
    <tableColumn id="6" xr3:uid="{00000000-0010-0000-0000-000006000000}" name="Sr No.6"/>
    <tableColumn id="7" xr3:uid="{00000000-0010-0000-0000-000007000000}" name="Sr No.7"/>
    <tableColumn id="8" xr3:uid="{00000000-0010-0000-0000-000008000000}" name="Sr No.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hyperlink" Target="http://www.physicsmotors.com/" TargetMode="External"/><Relationship Id="rId13" Type="http://schemas.openxmlformats.org/officeDocument/2006/relationships/hyperlink" Target="http://www.napino.com/" TargetMode="External"/><Relationship Id="rId3" Type="http://schemas.openxmlformats.org/officeDocument/2006/relationships/hyperlink" Target="http://www.rotomotive.com/" TargetMode="External"/><Relationship Id="rId7" Type="http://schemas.openxmlformats.org/officeDocument/2006/relationships/hyperlink" Target="https://tsuyo.co.in/" TargetMode="External"/><Relationship Id="rId12" Type="http://schemas.openxmlformats.org/officeDocument/2006/relationships/hyperlink" Target="https://www.seg-automotive.com/" TargetMode="External"/><Relationship Id="rId2" Type="http://schemas.openxmlformats.org/officeDocument/2006/relationships/hyperlink" Target="https://www.emf-i.com/" TargetMode="External"/><Relationship Id="rId1" Type="http://schemas.openxmlformats.org/officeDocument/2006/relationships/hyperlink" Target="https://sonacomstar.com/" TargetMode="External"/><Relationship Id="rId6" Type="http://schemas.openxmlformats.org/officeDocument/2006/relationships/hyperlink" Target="https://varroc.com/" TargetMode="External"/><Relationship Id="rId11" Type="http://schemas.openxmlformats.org/officeDocument/2006/relationships/hyperlink" Target="http://www.sterlinggtake.com/" TargetMode="External"/><Relationship Id="rId5" Type="http://schemas.openxmlformats.org/officeDocument/2006/relationships/hyperlink" Target="https://entuplemobility.com/" TargetMode="External"/><Relationship Id="rId10" Type="http://schemas.openxmlformats.org/officeDocument/2006/relationships/hyperlink" Target="http://www.in.mahle.com/" TargetMode="External"/><Relationship Id="rId4" Type="http://schemas.openxmlformats.org/officeDocument/2006/relationships/hyperlink" Target="http://www.danatm4.com/" TargetMode="External"/><Relationship Id="rId9" Type="http://schemas.openxmlformats.org/officeDocument/2006/relationships/hyperlink" Target="http://www.konmos.in/" TargetMode="External"/><Relationship Id="rId1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linkedin.com/pulse/how-advanced-composites-can-help-electric-motors-lighten-/" TargetMode="External"/><Relationship Id="rId2" Type="http://schemas.openxmlformats.org/officeDocument/2006/relationships/hyperlink" Target="https://newsroom.mahle.com/press/en/press-releases/mahle-develops-highly-efficient-magnet-free-electric-motor--82368" TargetMode="External"/><Relationship Id="rId1" Type="http://schemas.openxmlformats.org/officeDocument/2006/relationships/hyperlink" Target="https://www.electricmotorengineering.com/from-nanomaterials-to-the-new-generation-of-electric-motors/" TargetMode="External"/><Relationship Id="rId5" Type="http://schemas.openxmlformats.org/officeDocument/2006/relationships/printerSettings" Target="../printerSettings/printerSettings7.bin"/><Relationship Id="rId4" Type="http://schemas.openxmlformats.org/officeDocument/2006/relationships/hyperlink" Target="https://www.linkedin.com/pulse/how-advanced-composites-can-help-electric-motors-lighte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onacomstar.com/" TargetMode="External"/><Relationship Id="rId18" Type="http://schemas.openxmlformats.org/officeDocument/2006/relationships/hyperlink" Target="https://www.bosch.in/" TargetMode="External"/><Relationship Id="rId26" Type="http://schemas.openxmlformats.org/officeDocument/2006/relationships/hyperlink" Target="https://varroc.com/evolution/" TargetMode="External"/><Relationship Id="rId39" Type="http://schemas.openxmlformats.org/officeDocument/2006/relationships/hyperlink" Target="https://sonacomstar.com/" TargetMode="External"/><Relationship Id="rId21" Type="http://schemas.openxmlformats.org/officeDocument/2006/relationships/hyperlink" Target="https://www.mahle.com/en/about-mahle/locations/india.jsp" TargetMode="External"/><Relationship Id="rId34" Type="http://schemas.openxmlformats.org/officeDocument/2006/relationships/hyperlink" Target="http://ym-motor.com/en/page.php?name=about" TargetMode="External"/><Relationship Id="rId42" Type="http://schemas.openxmlformats.org/officeDocument/2006/relationships/hyperlink" Target="https://www.qsmotor.com/" TargetMode="External"/><Relationship Id="rId47" Type="http://schemas.openxmlformats.org/officeDocument/2006/relationships/hyperlink" Target="http://alibaba.com/" TargetMode="External"/><Relationship Id="rId50" Type="http://schemas.openxmlformats.org/officeDocument/2006/relationships/hyperlink" Target="https://www.qsmotor.com/question-answer/" TargetMode="External"/><Relationship Id="rId55" Type="http://schemas.openxmlformats.org/officeDocument/2006/relationships/hyperlink" Target="https://www.nidec.com/en/" TargetMode="External"/><Relationship Id="rId7" Type="http://schemas.openxmlformats.org/officeDocument/2006/relationships/hyperlink" Target="http://www.cnqsmotor.com/en/article_list_94.html" TargetMode="External"/><Relationship Id="rId2" Type="http://schemas.openxmlformats.org/officeDocument/2006/relationships/hyperlink" Target="https://www.seg-automotive.com/" TargetMode="External"/><Relationship Id="rId16" Type="http://schemas.openxmlformats.org/officeDocument/2006/relationships/hyperlink" Target="https://www.lucas-tvs.com/about-the-company/" TargetMode="External"/><Relationship Id="rId29" Type="http://schemas.openxmlformats.org/officeDocument/2006/relationships/hyperlink" Target="https://www.bosch.in/" TargetMode="External"/><Relationship Id="rId11" Type="http://schemas.openxmlformats.org/officeDocument/2006/relationships/hyperlink" Target="https://transport.delhi.gov.in/sites/default/files/transport_data/Ms%20Ampere%20Vehicl%3Bes%20Limited%20Circular%2090217.pdf" TargetMode="External"/><Relationship Id="rId24" Type="http://schemas.openxmlformats.org/officeDocument/2006/relationships/hyperlink" Target="https://www.autocarpro.in/news-national/varroc-engineering-wins-orders-worth-rs-500-crore-in-ongoing-fiscal-77821" TargetMode="External"/><Relationship Id="rId32" Type="http://schemas.openxmlformats.org/officeDocument/2006/relationships/hyperlink" Target="https://www.qsmotor.com/question-answer/" TargetMode="External"/><Relationship Id="rId37" Type="http://schemas.openxmlformats.org/officeDocument/2006/relationships/hyperlink" Target="https://www.autocarpro.in/news-national/sona-comstar-to-supply-bldc-motor-and-controller-to-ebike-maker-revolt-motors-67071" TargetMode="External"/><Relationship Id="rId40" Type="http://schemas.openxmlformats.org/officeDocument/2006/relationships/hyperlink" Target="https://www.autocarpro.in/news-national/sona-comstar-bags-rs-913-crore%C2%A0order-for-traction-motors-from-2w%C2%A0oem-92777" TargetMode="External"/><Relationship Id="rId45" Type="http://schemas.openxmlformats.org/officeDocument/2006/relationships/hyperlink" Target="http://ym-motor.com/en/page.php?name=about" TargetMode="External"/><Relationship Id="rId53" Type="http://schemas.openxmlformats.org/officeDocument/2006/relationships/hyperlink" Target="https://booking.torkmotors.com/" TargetMode="External"/><Relationship Id="rId58" Type="http://schemas.openxmlformats.org/officeDocument/2006/relationships/hyperlink" Target="https://www.lucas-tvs.com/" TargetMode="External"/><Relationship Id="rId5" Type="http://schemas.openxmlformats.org/officeDocument/2006/relationships/hyperlink" Target="http://www.cnqsmotor.com/en/article_list_94.html" TargetMode="External"/><Relationship Id="rId19" Type="http://schemas.openxmlformats.org/officeDocument/2006/relationships/hyperlink" Target="https://www.bosch.in/" TargetMode="External"/><Relationship Id="rId4" Type="http://schemas.openxmlformats.org/officeDocument/2006/relationships/hyperlink" Target="https://www.financialexpress.com/auto/electric-vehicles/sgem-bags-order-for-rs-60cr-motor-controller-units-from-undisclosed-electric-bike-maker/2294732/" TargetMode="External"/><Relationship Id="rId9" Type="http://schemas.openxmlformats.org/officeDocument/2006/relationships/hyperlink" Target="https://www.lucas-tvs.com/about-the-company/" TargetMode="External"/><Relationship Id="rId14" Type="http://schemas.openxmlformats.org/officeDocument/2006/relationships/hyperlink" Target="https://www.autocarpro.in/news-national/sona-comstar-bags-rs-913-crore%C2%A0order-for-traction-motors-from-2w%C2%A0oem-92777" TargetMode="External"/><Relationship Id="rId22" Type="http://schemas.openxmlformats.org/officeDocument/2006/relationships/hyperlink" Target="https://www.mahle.com/en/about-mahle/group-organization/" TargetMode="External"/><Relationship Id="rId27" Type="http://schemas.openxmlformats.org/officeDocument/2006/relationships/hyperlink" Target="https://www.timesnownews.com/auto/bike-news/article/more-powerful-version-of-bajaj-chetak-electric-scooter-in-the-making/846891" TargetMode="External"/><Relationship Id="rId30" Type="http://schemas.openxmlformats.org/officeDocument/2006/relationships/hyperlink" Target="https://www.qsmotor.com/about-us/" TargetMode="External"/><Relationship Id="rId35" Type="http://schemas.openxmlformats.org/officeDocument/2006/relationships/hyperlink" Target="http://ym-motor.com/en/index.php" TargetMode="External"/><Relationship Id="rId43" Type="http://schemas.openxmlformats.org/officeDocument/2006/relationships/hyperlink" Target="https://www.qsmotor.com/question-answer/" TargetMode="External"/><Relationship Id="rId48" Type="http://schemas.openxmlformats.org/officeDocument/2006/relationships/hyperlink" Target="https://www.qsmotor.com/about-us/" TargetMode="External"/><Relationship Id="rId56" Type="http://schemas.openxmlformats.org/officeDocument/2006/relationships/hyperlink" Target="https://www.autocarpro.in/feature/amara-raja-charged-up-for-the-future-92238" TargetMode="External"/><Relationship Id="rId8" Type="http://schemas.openxmlformats.org/officeDocument/2006/relationships/hyperlink" Target="http://www.cnqsmotor.com/en/" TargetMode="External"/><Relationship Id="rId51" Type="http://schemas.openxmlformats.org/officeDocument/2006/relationships/hyperlink" Target="https://www.careratings.com/upload/CompanyFiles/PR/09022023065556_Anand_Mando_Emobility_Private_Limited.pdf" TargetMode="External"/><Relationship Id="rId3" Type="http://schemas.openxmlformats.org/officeDocument/2006/relationships/hyperlink" Target="https://www.anandgroupindia.com/anandmandoemobility/overview/" TargetMode="External"/><Relationship Id="rId12" Type="http://schemas.openxmlformats.org/officeDocument/2006/relationships/hyperlink" Target="https://sonacomstar.com/journey-timeline" TargetMode="External"/><Relationship Id="rId17" Type="http://schemas.openxmlformats.org/officeDocument/2006/relationships/hyperlink" Target="https://www.autocarpro.in/feature/tvs-motor-gears-up-for-an-electrified-future-with-iqube-56464" TargetMode="External"/><Relationship Id="rId25" Type="http://schemas.openxmlformats.org/officeDocument/2006/relationships/hyperlink" Target="https://varroc.com/about-us/" TargetMode="External"/><Relationship Id="rId33" Type="http://schemas.openxmlformats.org/officeDocument/2006/relationships/hyperlink" Target="http://ym-motor.com/en/product.php" TargetMode="External"/><Relationship Id="rId38" Type="http://schemas.openxmlformats.org/officeDocument/2006/relationships/hyperlink" Target="https://sonacomstar.com/journey-timeline" TargetMode="External"/><Relationship Id="rId46" Type="http://schemas.openxmlformats.org/officeDocument/2006/relationships/hyperlink" Target="http://ym-motor.com/en/index.php" TargetMode="External"/><Relationship Id="rId59" Type="http://schemas.openxmlformats.org/officeDocument/2006/relationships/drawing" Target="../drawings/drawing1.xml"/><Relationship Id="rId20" Type="http://schemas.openxmlformats.org/officeDocument/2006/relationships/hyperlink" Target="https://www.linkedin.com/posts/mahle_mahle-is-in-the-right-place-at-the-right-activity-6687069620555304960-Ijwc/?trk=public_profile_like_view&amp;originalSubdomain=in" TargetMode="External"/><Relationship Id="rId41" Type="http://schemas.openxmlformats.org/officeDocument/2006/relationships/hyperlink" Target="https://www.qsmotor.com/about-us/" TargetMode="External"/><Relationship Id="rId54" Type="http://schemas.openxmlformats.org/officeDocument/2006/relationships/hyperlink" Target="https://www.mobilityoutlook.com/features/the-story-of-tork-motors-beyond-electric-twowheelers/" TargetMode="External"/><Relationship Id="rId1" Type="http://schemas.openxmlformats.org/officeDocument/2006/relationships/hyperlink" Target="https://www.seg-automotive.com/about-us/" TargetMode="External"/><Relationship Id="rId6" Type="http://schemas.openxmlformats.org/officeDocument/2006/relationships/hyperlink" Target="http://www.cnqsmotor.com/en/" TargetMode="External"/><Relationship Id="rId15" Type="http://schemas.openxmlformats.org/officeDocument/2006/relationships/hyperlink" Target="https://www.lucas-tvs.com/about-the-company/" TargetMode="External"/><Relationship Id="rId23" Type="http://schemas.openxmlformats.org/officeDocument/2006/relationships/hyperlink" Target="https://www.mahle.com/en/about-mahle/group-organization/" TargetMode="External"/><Relationship Id="rId28" Type="http://schemas.openxmlformats.org/officeDocument/2006/relationships/hyperlink" Target="https://www.bosch.in/" TargetMode="External"/><Relationship Id="rId36" Type="http://schemas.openxmlformats.org/officeDocument/2006/relationships/hyperlink" Target="http://alibaba.com/" TargetMode="External"/><Relationship Id="rId49" Type="http://schemas.openxmlformats.org/officeDocument/2006/relationships/hyperlink" Target="https://www.qsmotor.com/" TargetMode="External"/><Relationship Id="rId57" Type="http://schemas.openxmlformats.org/officeDocument/2006/relationships/hyperlink" Target="https://www.lucas-tvs.com/about-the-company/" TargetMode="External"/><Relationship Id="rId10" Type="http://schemas.openxmlformats.org/officeDocument/2006/relationships/hyperlink" Target="https://www.lucas-tvs.com/about-the-company/" TargetMode="External"/><Relationship Id="rId31" Type="http://schemas.openxmlformats.org/officeDocument/2006/relationships/hyperlink" Target="https://www.qsmotor.com/" TargetMode="External"/><Relationship Id="rId44" Type="http://schemas.openxmlformats.org/officeDocument/2006/relationships/hyperlink" Target="http://ym-motor.com/en/product.php" TargetMode="External"/><Relationship Id="rId52" Type="http://schemas.openxmlformats.org/officeDocument/2006/relationships/hyperlink" Target="https://booking.torkmotor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F6" sqref="F6"/>
    </sheetView>
  </sheetViews>
  <sheetFormatPr defaultRowHeight="14.5" x14ac:dyDescent="0.35"/>
  <cols>
    <col min="1" max="1" width="19.54296875" customWidth="1"/>
    <col min="2" max="3" width="8.7265625" customWidth="1"/>
  </cols>
  <sheetData>
    <row r="1" spans="1:3" ht="29.5" thickBot="1" x14ac:dyDescent="0.4">
      <c r="A1" s="52" t="s">
        <v>209</v>
      </c>
      <c r="B1" s="53" t="s">
        <v>210</v>
      </c>
      <c r="C1" s="53" t="s">
        <v>211</v>
      </c>
    </row>
    <row r="2" spans="1:3" ht="29.5" thickBot="1" x14ac:dyDescent="0.4">
      <c r="A2" s="54" t="s">
        <v>212</v>
      </c>
      <c r="B2" s="55" t="s">
        <v>211</v>
      </c>
      <c r="C2" s="55" t="s">
        <v>210</v>
      </c>
    </row>
    <row r="3" spans="1:3" ht="44" thickBot="1" x14ac:dyDescent="0.4">
      <c r="A3" s="54" t="s">
        <v>213</v>
      </c>
      <c r="B3" s="55" t="s">
        <v>211</v>
      </c>
      <c r="C3" s="55" t="s">
        <v>214</v>
      </c>
    </row>
    <row r="4" spans="1:3" ht="44" thickBot="1" x14ac:dyDescent="0.4">
      <c r="A4" s="54" t="s">
        <v>215</v>
      </c>
      <c r="B4" s="55" t="s">
        <v>211</v>
      </c>
      <c r="C4" s="55" t="s">
        <v>210</v>
      </c>
    </row>
    <row r="5" spans="1:3" ht="160" thickBot="1" x14ac:dyDescent="0.4">
      <c r="A5" s="54" t="s">
        <v>216</v>
      </c>
      <c r="B5" s="55" t="s">
        <v>214</v>
      </c>
      <c r="C5" s="55" t="s">
        <v>217</v>
      </c>
    </row>
    <row r="6" spans="1:3" ht="58.5" thickBot="1" x14ac:dyDescent="0.4">
      <c r="A6" s="56" t="s">
        <v>218</v>
      </c>
      <c r="B6" s="55" t="s">
        <v>219</v>
      </c>
      <c r="C6" s="55" t="s">
        <v>220</v>
      </c>
    </row>
    <row r="7" spans="1:3" ht="29.5" thickBot="1" x14ac:dyDescent="0.4">
      <c r="A7" s="56" t="s">
        <v>221</v>
      </c>
      <c r="B7" s="55"/>
      <c r="C7" s="55"/>
    </row>
    <row r="8" spans="1:3" ht="15" thickBot="1" x14ac:dyDescent="0.4">
      <c r="A8" s="56"/>
      <c r="B8" s="55"/>
      <c r="C8" s="55"/>
    </row>
    <row r="9" spans="1:3" ht="58.5" thickBot="1" x14ac:dyDescent="0.4">
      <c r="A9" s="54" t="s">
        <v>222</v>
      </c>
      <c r="B9" s="55" t="s">
        <v>210</v>
      </c>
      <c r="C9" s="55" t="s">
        <v>223</v>
      </c>
    </row>
    <row r="10" spans="1:3" ht="44" thickBot="1" x14ac:dyDescent="0.4">
      <c r="A10" s="54" t="s">
        <v>224</v>
      </c>
      <c r="B10" s="55" t="s">
        <v>210</v>
      </c>
      <c r="C10" s="55" t="s">
        <v>223</v>
      </c>
    </row>
    <row r="11" spans="1:3" ht="116.5" thickBot="1" x14ac:dyDescent="0.4">
      <c r="A11" s="54" t="s">
        <v>225</v>
      </c>
      <c r="B11" s="55" t="s">
        <v>210</v>
      </c>
      <c r="C11" s="55" t="s">
        <v>223</v>
      </c>
    </row>
    <row r="12" spans="1:3" ht="44" thickBot="1" x14ac:dyDescent="0.4">
      <c r="A12" s="54" t="s">
        <v>226</v>
      </c>
      <c r="B12" s="55" t="s">
        <v>210</v>
      </c>
      <c r="C12" s="55" t="s">
        <v>223</v>
      </c>
    </row>
    <row r="13" spans="1:3" ht="58.5" thickBot="1" x14ac:dyDescent="0.4">
      <c r="A13" s="56" t="s">
        <v>227</v>
      </c>
      <c r="B13" s="55" t="s">
        <v>210</v>
      </c>
      <c r="C13" s="55"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
  <sheetViews>
    <sheetView zoomScale="73" workbookViewId="0">
      <selection activeCell="A2" sqref="A1:B6"/>
    </sheetView>
  </sheetViews>
  <sheetFormatPr defaultRowHeight="14.5" x14ac:dyDescent="0.35"/>
  <cols>
    <col min="1" max="1" width="40.54296875" bestFit="1" customWidth="1"/>
    <col min="2" max="2" width="42.90625" customWidth="1"/>
    <col min="3" max="3" width="5.81640625" customWidth="1"/>
  </cols>
  <sheetData>
    <row r="1" spans="1:4" ht="72.5" x14ac:dyDescent="0.35">
      <c r="A1" s="57" t="s">
        <v>229</v>
      </c>
      <c r="B1" s="148" t="s">
        <v>230</v>
      </c>
    </row>
    <row r="2" spans="1:4" ht="72.5" x14ac:dyDescent="0.35">
      <c r="A2" s="57" t="s">
        <v>232</v>
      </c>
      <c r="B2" s="148" t="s">
        <v>231</v>
      </c>
    </row>
    <row r="3" spans="1:4" x14ac:dyDescent="0.35">
      <c r="A3" s="57" t="s">
        <v>233</v>
      </c>
      <c r="B3" s="148" t="s">
        <v>305</v>
      </c>
    </row>
    <row r="4" spans="1:4" ht="43.5" x14ac:dyDescent="0.35">
      <c r="A4" s="57" t="s">
        <v>362</v>
      </c>
      <c r="B4" s="148" t="s">
        <v>393</v>
      </c>
    </row>
    <row r="5" spans="1:4" ht="58" x14ac:dyDescent="0.35">
      <c r="A5" s="57" t="s">
        <v>363</v>
      </c>
      <c r="B5" s="148" t="s">
        <v>394</v>
      </c>
    </row>
    <row r="6" spans="1:4" ht="58" x14ac:dyDescent="0.35">
      <c r="A6" s="57" t="s">
        <v>396</v>
      </c>
      <c r="B6" s="148" t="s">
        <v>395</v>
      </c>
      <c r="D6" t="s">
        <v>208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1"/>
  <sheetViews>
    <sheetView workbookViewId="0">
      <selection activeCell="A2" sqref="A2:H20"/>
    </sheetView>
  </sheetViews>
  <sheetFormatPr defaultRowHeight="14.5" x14ac:dyDescent="0.35"/>
  <cols>
    <col min="1" max="1" width="32.36328125" bestFit="1" customWidth="1"/>
    <col min="2" max="2" width="10.6328125" bestFit="1" customWidth="1"/>
    <col min="3" max="5" width="10.6328125" customWidth="1"/>
    <col min="6" max="6" width="15.54296875" bestFit="1" customWidth="1"/>
    <col min="7" max="7" width="10.6328125" customWidth="1"/>
    <col min="8" max="8" width="28.6328125" bestFit="1" customWidth="1"/>
  </cols>
  <sheetData>
    <row r="1" spans="1:9" x14ac:dyDescent="0.35">
      <c r="A1" s="127"/>
      <c r="I1" t="s">
        <v>245</v>
      </c>
    </row>
    <row r="2" spans="1:9" x14ac:dyDescent="0.35">
      <c r="A2" s="57" t="s">
        <v>317</v>
      </c>
      <c r="B2" s="57" t="s">
        <v>319</v>
      </c>
      <c r="C2" s="57" t="s">
        <v>364</v>
      </c>
      <c r="D2" s="57" t="s">
        <v>372</v>
      </c>
      <c r="E2" s="57" t="s">
        <v>373</v>
      </c>
      <c r="F2" s="57" t="s">
        <v>0</v>
      </c>
      <c r="G2" s="57" t="s">
        <v>367</v>
      </c>
      <c r="H2" s="57" t="s">
        <v>318</v>
      </c>
    </row>
    <row r="3" spans="1:9" x14ac:dyDescent="0.35">
      <c r="A3" t="s">
        <v>11</v>
      </c>
      <c r="B3" t="s">
        <v>320</v>
      </c>
      <c r="C3" t="s">
        <v>365</v>
      </c>
      <c r="D3" t="s">
        <v>374</v>
      </c>
      <c r="E3" t="s">
        <v>374</v>
      </c>
      <c r="F3" t="s">
        <v>390</v>
      </c>
      <c r="G3" t="s">
        <v>368</v>
      </c>
      <c r="H3" s="128" t="s">
        <v>119</v>
      </c>
    </row>
    <row r="4" spans="1:9" x14ac:dyDescent="0.35">
      <c r="A4" t="s">
        <v>27</v>
      </c>
      <c r="C4" t="s">
        <v>365</v>
      </c>
      <c r="E4" t="s">
        <v>374</v>
      </c>
      <c r="F4" t="s">
        <v>391</v>
      </c>
    </row>
    <row r="5" spans="1:9" x14ac:dyDescent="0.35">
      <c r="A5" t="s">
        <v>247</v>
      </c>
      <c r="B5" t="s">
        <v>354</v>
      </c>
      <c r="C5" t="s">
        <v>365</v>
      </c>
      <c r="E5" t="s">
        <v>374</v>
      </c>
      <c r="G5" t="s">
        <v>369</v>
      </c>
      <c r="H5" s="128" t="s">
        <v>76</v>
      </c>
    </row>
    <row r="6" spans="1:9" x14ac:dyDescent="0.35">
      <c r="A6" t="s">
        <v>366</v>
      </c>
      <c r="C6" t="s">
        <v>365</v>
      </c>
      <c r="E6" t="s">
        <v>374</v>
      </c>
      <c r="G6" t="s">
        <v>371</v>
      </c>
    </row>
    <row r="7" spans="1:9" x14ac:dyDescent="0.35">
      <c r="A7" t="s">
        <v>15</v>
      </c>
      <c r="B7" t="s">
        <v>325</v>
      </c>
      <c r="C7" t="s">
        <v>365</v>
      </c>
      <c r="D7" t="s">
        <v>374</v>
      </c>
      <c r="E7" t="s">
        <v>374</v>
      </c>
      <c r="F7" t="s">
        <v>387</v>
      </c>
      <c r="G7" t="s">
        <v>370</v>
      </c>
      <c r="H7" s="128" t="s">
        <v>351</v>
      </c>
    </row>
    <row r="8" spans="1:9" x14ac:dyDescent="0.35">
      <c r="A8" t="s">
        <v>338</v>
      </c>
      <c r="B8" t="s">
        <v>322</v>
      </c>
      <c r="C8" t="s">
        <v>365</v>
      </c>
      <c r="F8" t="s">
        <v>385</v>
      </c>
      <c r="G8" t="s">
        <v>392</v>
      </c>
      <c r="H8" s="128" t="s">
        <v>339</v>
      </c>
    </row>
    <row r="9" spans="1:9" x14ac:dyDescent="0.35">
      <c r="A9" t="s">
        <v>321</v>
      </c>
      <c r="B9" t="s">
        <v>322</v>
      </c>
      <c r="E9" t="s">
        <v>374</v>
      </c>
      <c r="H9" t="s">
        <v>323</v>
      </c>
    </row>
    <row r="10" spans="1:9" x14ac:dyDescent="0.35">
      <c r="A10" t="s">
        <v>324</v>
      </c>
      <c r="B10" t="s">
        <v>325</v>
      </c>
      <c r="C10" t="s">
        <v>365</v>
      </c>
      <c r="E10" t="s">
        <v>374</v>
      </c>
      <c r="H10" s="128" t="s">
        <v>326</v>
      </c>
    </row>
    <row r="11" spans="1:9" x14ac:dyDescent="0.35">
      <c r="A11" t="s">
        <v>327</v>
      </c>
      <c r="B11" t="s">
        <v>328</v>
      </c>
      <c r="C11" t="s">
        <v>365</v>
      </c>
      <c r="D11" t="s">
        <v>374</v>
      </c>
      <c r="E11" t="s">
        <v>374</v>
      </c>
      <c r="H11" s="128" t="s">
        <v>329</v>
      </c>
    </row>
    <row r="12" spans="1:9" x14ac:dyDescent="0.35">
      <c r="A12" t="s">
        <v>330</v>
      </c>
      <c r="B12" t="s">
        <v>332</v>
      </c>
      <c r="C12" t="s">
        <v>365</v>
      </c>
      <c r="H12" t="s">
        <v>331</v>
      </c>
    </row>
    <row r="13" spans="1:9" x14ac:dyDescent="0.35">
      <c r="A13" t="s">
        <v>333</v>
      </c>
      <c r="B13" t="s">
        <v>322</v>
      </c>
      <c r="H13" s="128" t="s">
        <v>334</v>
      </c>
    </row>
    <row r="14" spans="1:9" x14ac:dyDescent="0.35">
      <c r="A14" t="s">
        <v>335</v>
      </c>
      <c r="B14" t="s">
        <v>336</v>
      </c>
      <c r="C14" t="s">
        <v>365</v>
      </c>
      <c r="D14" t="s">
        <v>374</v>
      </c>
      <c r="F14" t="s">
        <v>389</v>
      </c>
      <c r="H14" s="128" t="s">
        <v>337</v>
      </c>
    </row>
    <row r="15" spans="1:9" x14ac:dyDescent="0.35">
      <c r="A15" t="s">
        <v>340</v>
      </c>
      <c r="B15" t="s">
        <v>341</v>
      </c>
      <c r="C15" t="s">
        <v>365</v>
      </c>
      <c r="E15" t="s">
        <v>374</v>
      </c>
      <c r="F15" t="s">
        <v>386</v>
      </c>
      <c r="H15" s="128" t="s">
        <v>342</v>
      </c>
    </row>
    <row r="16" spans="1:9" x14ac:dyDescent="0.35">
      <c r="A16" t="s">
        <v>343</v>
      </c>
      <c r="B16" t="s">
        <v>344</v>
      </c>
      <c r="C16" t="s">
        <v>365</v>
      </c>
      <c r="F16" t="s">
        <v>386</v>
      </c>
    </row>
    <row r="17" spans="1:8" x14ac:dyDescent="0.35">
      <c r="A17" t="s">
        <v>345</v>
      </c>
      <c r="B17" t="s">
        <v>347</v>
      </c>
      <c r="C17" t="s">
        <v>365</v>
      </c>
      <c r="D17" t="s">
        <v>374</v>
      </c>
      <c r="F17" t="s">
        <v>386</v>
      </c>
      <c r="H17" s="128" t="s">
        <v>346</v>
      </c>
    </row>
    <row r="18" spans="1:8" x14ac:dyDescent="0.35">
      <c r="A18" t="s">
        <v>350</v>
      </c>
      <c r="B18" t="s">
        <v>349</v>
      </c>
      <c r="C18" t="s">
        <v>365</v>
      </c>
      <c r="D18" t="s">
        <v>374</v>
      </c>
      <c r="E18" t="s">
        <v>374</v>
      </c>
      <c r="F18" t="s">
        <v>385</v>
      </c>
      <c r="H18" s="128" t="s">
        <v>348</v>
      </c>
    </row>
    <row r="19" spans="1:8" x14ac:dyDescent="0.35">
      <c r="A19" t="s">
        <v>352</v>
      </c>
      <c r="B19" t="s">
        <v>332</v>
      </c>
      <c r="C19" t="s">
        <v>365</v>
      </c>
      <c r="D19" t="s">
        <v>374</v>
      </c>
      <c r="F19" t="s">
        <v>385</v>
      </c>
      <c r="G19" t="s">
        <v>369</v>
      </c>
      <c r="H19" s="128" t="s">
        <v>353</v>
      </c>
    </row>
    <row r="20" spans="1:8" x14ac:dyDescent="0.35">
      <c r="A20" t="s">
        <v>355</v>
      </c>
      <c r="B20" t="s">
        <v>320</v>
      </c>
      <c r="C20" t="s">
        <v>365</v>
      </c>
      <c r="D20" t="s">
        <v>374</v>
      </c>
      <c r="E20" t="s">
        <v>374</v>
      </c>
      <c r="F20" t="s">
        <v>388</v>
      </c>
      <c r="H20" s="128" t="s">
        <v>356</v>
      </c>
    </row>
    <row r="21" spans="1:8" x14ac:dyDescent="0.35">
      <c r="A21" t="s">
        <v>375</v>
      </c>
      <c r="C21" t="s">
        <v>365</v>
      </c>
    </row>
  </sheetData>
  <hyperlinks>
    <hyperlink ref="H3" r:id="rId1" xr:uid="{00000000-0004-0000-0A00-000000000000}"/>
    <hyperlink ref="H10" r:id="rId2" xr:uid="{00000000-0004-0000-0A00-000001000000}"/>
    <hyperlink ref="H11" r:id="rId3" xr:uid="{00000000-0004-0000-0A00-000002000000}"/>
    <hyperlink ref="H13" r:id="rId4" xr:uid="{00000000-0004-0000-0A00-000003000000}"/>
    <hyperlink ref="H14" r:id="rId5" xr:uid="{00000000-0004-0000-0A00-000004000000}"/>
    <hyperlink ref="H8" r:id="rId6" xr:uid="{00000000-0004-0000-0A00-000005000000}"/>
    <hyperlink ref="H15" r:id="rId7" xr:uid="{00000000-0004-0000-0A00-000006000000}"/>
    <hyperlink ref="H17" r:id="rId8" xr:uid="{00000000-0004-0000-0A00-000007000000}"/>
    <hyperlink ref="H18" r:id="rId9" xr:uid="{00000000-0004-0000-0A00-000008000000}"/>
    <hyperlink ref="H7" r:id="rId10" xr:uid="{00000000-0004-0000-0A00-000009000000}"/>
    <hyperlink ref="H19" r:id="rId11" xr:uid="{00000000-0004-0000-0A00-00000A000000}"/>
    <hyperlink ref="H5" r:id="rId12" xr:uid="{00000000-0004-0000-0A00-00000B000000}"/>
    <hyperlink ref="H20" r:id="rId13" xr:uid="{00000000-0004-0000-0A00-00000C000000}"/>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tabSelected="1" workbookViewId="0">
      <selection activeCell="D4" sqref="D4"/>
    </sheetView>
  </sheetViews>
  <sheetFormatPr defaultRowHeight="14.5" x14ac:dyDescent="0.35"/>
  <cols>
    <col min="1" max="1" width="7.453125" bestFit="1" customWidth="1"/>
    <col min="2" max="2" width="39.54296875" customWidth="1"/>
    <col min="3" max="3" width="46" customWidth="1"/>
    <col min="4" max="4" width="37.453125" customWidth="1"/>
    <col min="5" max="5" width="35" customWidth="1"/>
    <col min="6" max="6" width="51.453125" customWidth="1"/>
  </cols>
  <sheetData>
    <row r="1" spans="1:6" x14ac:dyDescent="0.35">
      <c r="A1" s="131" t="s">
        <v>236</v>
      </c>
      <c r="B1" s="131" t="s">
        <v>234</v>
      </c>
      <c r="C1" s="131" t="s">
        <v>235</v>
      </c>
      <c r="D1" s="131" t="s">
        <v>283</v>
      </c>
      <c r="E1" s="131" t="s">
        <v>306</v>
      </c>
      <c r="F1" s="131" t="s">
        <v>307</v>
      </c>
    </row>
    <row r="2" spans="1:6" ht="94.5" x14ac:dyDescent="0.35">
      <c r="A2" s="129" t="s">
        <v>0</v>
      </c>
      <c r="B2" s="126" t="s">
        <v>237</v>
      </c>
      <c r="C2" s="126" t="s">
        <v>313</v>
      </c>
      <c r="D2" s="130" t="s">
        <v>284</v>
      </c>
      <c r="E2" s="126" t="s">
        <v>312</v>
      </c>
      <c r="F2" s="126" t="s">
        <v>357</v>
      </c>
    </row>
    <row r="3" spans="1:6" ht="81" x14ac:dyDescent="0.35">
      <c r="A3" s="129" t="s">
        <v>238</v>
      </c>
      <c r="B3" s="126" t="s">
        <v>239</v>
      </c>
      <c r="C3" s="126" t="s">
        <v>282</v>
      </c>
      <c r="D3" s="130" t="s">
        <v>285</v>
      </c>
      <c r="E3" s="2"/>
      <c r="F3" s="126" t="s">
        <v>358</v>
      </c>
    </row>
    <row r="4" spans="1:6" ht="67.5" x14ac:dyDescent="0.35">
      <c r="A4" s="129" t="s">
        <v>240</v>
      </c>
      <c r="B4" s="126" t="s">
        <v>241</v>
      </c>
      <c r="C4" s="126" t="s">
        <v>242</v>
      </c>
      <c r="D4" s="130" t="s">
        <v>316</v>
      </c>
      <c r="E4" s="126" t="s">
        <v>315</v>
      </c>
      <c r="F4" s="2"/>
    </row>
    <row r="5" spans="1:6" ht="81" x14ac:dyDescent="0.35">
      <c r="A5" s="129" t="s">
        <v>243</v>
      </c>
      <c r="B5" s="126" t="s">
        <v>244</v>
      </c>
      <c r="C5" s="126" t="s">
        <v>314</v>
      </c>
      <c r="D5" s="130" t="s">
        <v>316</v>
      </c>
      <c r="E5" s="2"/>
      <c r="F5" s="2"/>
    </row>
  </sheetData>
  <hyperlinks>
    <hyperlink ref="D2" r:id="rId1" xr:uid="{00000000-0004-0000-0B00-000000000000}"/>
    <hyperlink ref="D3" r:id="rId2" xr:uid="{00000000-0004-0000-0B00-000001000000}"/>
    <hyperlink ref="D4" r:id="rId3" xr:uid="{00000000-0004-0000-0B00-000002000000}"/>
    <hyperlink ref="D5" r:id="rId4" xr:uid="{00000000-0004-0000-0B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9"/>
  <sheetViews>
    <sheetView workbookViewId="0">
      <pane xSplit="2" ySplit="2" topLeftCell="C7" activePane="bottomRight" state="frozen"/>
      <selection pane="topRight" activeCell="B1" sqref="B1"/>
      <selection pane="bottomLeft" activeCell="A3" sqref="A3"/>
      <selection pane="bottomRight" sqref="A1:H2"/>
    </sheetView>
  </sheetViews>
  <sheetFormatPr defaultColWidth="12.6328125" defaultRowHeight="15.75" customHeight="1" x14ac:dyDescent="0.35"/>
  <cols>
    <col min="2" max="2" width="13" customWidth="1"/>
    <col min="3" max="3" width="11.6328125" customWidth="1"/>
    <col min="4" max="4" width="14.6328125" customWidth="1"/>
    <col min="5" max="6" width="19.36328125" customWidth="1"/>
    <col min="7" max="7" width="14.36328125" customWidth="1"/>
    <col min="8" max="8" width="16.08984375" customWidth="1"/>
    <col min="9" max="9" width="14.36328125" customWidth="1"/>
    <col min="10" max="10" width="17.6328125" customWidth="1"/>
    <col min="11" max="11" width="14.36328125" customWidth="1"/>
    <col min="13" max="13" width="18.08984375" customWidth="1"/>
    <col min="15" max="15" width="21.36328125" customWidth="1"/>
    <col min="16" max="16" width="27.6328125" customWidth="1"/>
    <col min="17" max="17" width="23.90625" customWidth="1"/>
    <col min="18" max="18" width="25.08984375" customWidth="1"/>
    <col min="19" max="19" width="27.90625" customWidth="1"/>
    <col min="20" max="20" width="17.54296875" bestFit="1" customWidth="1"/>
    <col min="21" max="21" width="10.36328125" customWidth="1"/>
  </cols>
  <sheetData>
    <row r="1" spans="1:21" s="34" customFormat="1" ht="39.75" customHeight="1" x14ac:dyDescent="0.3">
      <c r="A1" s="149" t="s">
        <v>201</v>
      </c>
      <c r="B1" s="188" t="s">
        <v>49</v>
      </c>
      <c r="C1" s="188" t="s">
        <v>50</v>
      </c>
      <c r="D1" s="35" t="s">
        <v>51</v>
      </c>
      <c r="E1" s="36" t="s">
        <v>52</v>
      </c>
      <c r="F1" s="47" t="s">
        <v>202</v>
      </c>
      <c r="G1" s="47" t="s">
        <v>203</v>
      </c>
      <c r="H1" s="35" t="s">
        <v>53</v>
      </c>
      <c r="I1" s="35" t="s">
        <v>54</v>
      </c>
      <c r="J1" s="35" t="s">
        <v>55</v>
      </c>
      <c r="K1" s="189" t="s">
        <v>56</v>
      </c>
      <c r="L1" s="190"/>
      <c r="M1" s="188" t="s">
        <v>29</v>
      </c>
      <c r="O1" s="186" t="s">
        <v>57</v>
      </c>
      <c r="P1" s="186" t="s">
        <v>58</v>
      </c>
      <c r="Q1" s="186" t="s">
        <v>59</v>
      </c>
      <c r="R1" s="186" t="s">
        <v>60</v>
      </c>
      <c r="S1" s="186" t="s">
        <v>61</v>
      </c>
      <c r="T1" s="49" t="s">
        <v>204</v>
      </c>
      <c r="U1" s="184" t="s">
        <v>246</v>
      </c>
    </row>
    <row r="2" spans="1:21" s="34" customFormat="1" ht="31.5" x14ac:dyDescent="0.3">
      <c r="A2" s="149"/>
      <c r="B2" s="187"/>
      <c r="C2" s="187"/>
      <c r="D2" s="36" t="s">
        <v>62</v>
      </c>
      <c r="E2" s="36" t="s">
        <v>63</v>
      </c>
      <c r="F2" s="47" t="s">
        <v>63</v>
      </c>
      <c r="G2" s="48" t="s">
        <v>64</v>
      </c>
      <c r="H2" s="36" t="s">
        <v>65</v>
      </c>
      <c r="I2" s="36" t="s">
        <v>65</v>
      </c>
      <c r="J2" s="36" t="s">
        <v>65</v>
      </c>
      <c r="K2" s="35" t="s">
        <v>66</v>
      </c>
      <c r="L2" s="35" t="s">
        <v>67</v>
      </c>
      <c r="M2" s="187"/>
      <c r="O2" s="187"/>
      <c r="P2" s="187"/>
      <c r="Q2" s="187"/>
      <c r="R2" s="187"/>
      <c r="S2" s="187"/>
      <c r="T2" s="49"/>
      <c r="U2" s="185"/>
    </row>
    <row r="3" spans="1:21" ht="30" customHeight="1" x14ac:dyDescent="0.35">
      <c r="A3" s="150">
        <v>1</v>
      </c>
      <c r="B3" s="183" t="s">
        <v>68</v>
      </c>
      <c r="C3" s="10" t="s">
        <v>69</v>
      </c>
      <c r="D3" s="10" t="s">
        <v>1</v>
      </c>
      <c r="E3" s="161">
        <v>152567</v>
      </c>
      <c r="F3" s="162">
        <v>326443</v>
      </c>
      <c r="G3" s="178">
        <v>0.35</v>
      </c>
      <c r="H3" s="11" t="s">
        <v>70</v>
      </c>
      <c r="I3" s="10" t="s">
        <v>71</v>
      </c>
      <c r="J3" s="10" t="s">
        <v>72</v>
      </c>
      <c r="K3" s="11">
        <v>5.5</v>
      </c>
      <c r="L3" s="11">
        <v>8.5</v>
      </c>
      <c r="M3" s="156" t="s">
        <v>2</v>
      </c>
      <c r="O3" s="157" t="s">
        <v>73</v>
      </c>
      <c r="P3" s="157" t="s">
        <v>74</v>
      </c>
      <c r="Q3" s="165" t="s">
        <v>75</v>
      </c>
      <c r="R3" s="158" t="s">
        <v>76</v>
      </c>
      <c r="S3" s="157" t="s">
        <v>77</v>
      </c>
      <c r="T3" s="51" t="s">
        <v>206</v>
      </c>
      <c r="U3" s="174"/>
    </row>
    <row r="4" spans="1:21" ht="50.25" customHeight="1" x14ac:dyDescent="0.35">
      <c r="A4" s="150"/>
      <c r="B4" s="160"/>
      <c r="C4" s="10" t="s">
        <v>3</v>
      </c>
      <c r="D4" s="10" t="s">
        <v>1</v>
      </c>
      <c r="E4" s="160"/>
      <c r="F4" s="163"/>
      <c r="G4" s="163"/>
      <c r="H4" s="11">
        <v>116</v>
      </c>
      <c r="I4" s="10" t="s">
        <v>71</v>
      </c>
      <c r="J4" s="10" t="s">
        <v>72</v>
      </c>
      <c r="K4" s="11">
        <v>5.5</v>
      </c>
      <c r="L4" s="11">
        <v>8.5</v>
      </c>
      <c r="M4" s="153"/>
      <c r="O4" s="153"/>
      <c r="P4" s="153"/>
      <c r="Q4" s="153"/>
      <c r="R4" s="153"/>
      <c r="S4" s="153"/>
      <c r="T4" s="51">
        <v>3</v>
      </c>
      <c r="U4" s="155"/>
    </row>
    <row r="5" spans="1:21" ht="45" customHeight="1" x14ac:dyDescent="0.35">
      <c r="A5" s="150"/>
      <c r="B5" s="153"/>
      <c r="C5" s="14" t="s">
        <v>78</v>
      </c>
      <c r="D5" s="10" t="s">
        <v>1</v>
      </c>
      <c r="E5" s="153"/>
      <c r="F5" s="155"/>
      <c r="G5" s="155"/>
      <c r="H5" s="11">
        <v>85</v>
      </c>
      <c r="I5" s="10" t="s">
        <v>71</v>
      </c>
      <c r="J5" s="10" t="s">
        <v>79</v>
      </c>
      <c r="K5" s="11">
        <v>2.7</v>
      </c>
      <c r="L5" s="11">
        <v>4.5</v>
      </c>
      <c r="M5" s="3" t="s">
        <v>30</v>
      </c>
      <c r="O5" s="16" t="s">
        <v>80</v>
      </c>
      <c r="P5" s="16" t="s">
        <v>81</v>
      </c>
      <c r="Q5" s="16" t="s">
        <v>82</v>
      </c>
      <c r="R5" s="17" t="s">
        <v>83</v>
      </c>
      <c r="S5" s="18" t="s">
        <v>84</v>
      </c>
      <c r="T5" s="51"/>
      <c r="U5" s="43" t="s">
        <v>28</v>
      </c>
    </row>
    <row r="6" spans="1:21" ht="14.4" customHeight="1" x14ac:dyDescent="0.35">
      <c r="A6" s="150">
        <v>2</v>
      </c>
      <c r="B6" s="152" t="s">
        <v>4</v>
      </c>
      <c r="C6" s="10" t="s">
        <v>85</v>
      </c>
      <c r="D6" s="10" t="s">
        <v>1</v>
      </c>
      <c r="E6" s="161">
        <v>94631</v>
      </c>
      <c r="F6" s="162">
        <v>20873</v>
      </c>
      <c r="G6" s="178">
        <v>0.02</v>
      </c>
      <c r="H6" s="11" t="s">
        <v>86</v>
      </c>
      <c r="I6" s="19" t="s">
        <v>87</v>
      </c>
      <c r="J6" s="10" t="s">
        <v>88</v>
      </c>
      <c r="K6" s="11" t="s">
        <v>28</v>
      </c>
      <c r="L6" s="11">
        <v>3.8</v>
      </c>
      <c r="M6" s="156" t="s">
        <v>31</v>
      </c>
      <c r="O6" s="157" t="s">
        <v>89</v>
      </c>
      <c r="P6" s="157" t="s">
        <v>90</v>
      </c>
      <c r="Q6" s="158" t="s">
        <v>91</v>
      </c>
      <c r="R6" s="158" t="s">
        <v>92</v>
      </c>
      <c r="S6" s="181" t="s">
        <v>248</v>
      </c>
      <c r="T6" s="51"/>
      <c r="U6" s="174" t="s">
        <v>28</v>
      </c>
    </row>
    <row r="7" spans="1:21" ht="14.5" x14ac:dyDescent="0.35">
      <c r="A7" s="150"/>
      <c r="B7" s="160"/>
      <c r="C7" s="10" t="s">
        <v>93</v>
      </c>
      <c r="D7" s="10" t="s">
        <v>1</v>
      </c>
      <c r="E7" s="160"/>
      <c r="F7" s="163"/>
      <c r="G7" s="163"/>
      <c r="H7" s="11">
        <v>56</v>
      </c>
      <c r="I7" s="19" t="s">
        <v>87</v>
      </c>
      <c r="J7" s="10" t="s">
        <v>79</v>
      </c>
      <c r="K7" s="11">
        <v>1</v>
      </c>
      <c r="L7" s="11">
        <v>2.7</v>
      </c>
      <c r="M7" s="160"/>
      <c r="O7" s="160"/>
      <c r="P7" s="160"/>
      <c r="Q7" s="160"/>
      <c r="R7" s="160"/>
      <c r="S7" s="160"/>
      <c r="T7" s="51"/>
      <c r="U7" s="163"/>
    </row>
    <row r="8" spans="1:21" ht="14.5" x14ac:dyDescent="0.35">
      <c r="A8" s="150"/>
      <c r="B8" s="160"/>
      <c r="C8" s="10" t="s">
        <v>9</v>
      </c>
      <c r="D8" s="10" t="s">
        <v>1</v>
      </c>
      <c r="E8" s="160"/>
      <c r="F8" s="163"/>
      <c r="G8" s="163"/>
      <c r="H8" s="11">
        <v>56</v>
      </c>
      <c r="I8" s="19" t="s">
        <v>87</v>
      </c>
      <c r="J8" s="10" t="s">
        <v>79</v>
      </c>
      <c r="K8" s="11">
        <v>1</v>
      </c>
      <c r="L8" s="11">
        <v>2.7</v>
      </c>
      <c r="M8" s="160"/>
      <c r="O8" s="160"/>
      <c r="P8" s="160"/>
      <c r="Q8" s="160"/>
      <c r="R8" s="160"/>
      <c r="S8" s="160"/>
      <c r="T8" s="51"/>
      <c r="U8" s="163"/>
    </row>
    <row r="9" spans="1:21" ht="14.5" x14ac:dyDescent="0.35">
      <c r="A9" s="150"/>
      <c r="B9" s="160"/>
      <c r="C9" s="10" t="s">
        <v>94</v>
      </c>
      <c r="D9" s="10" t="s">
        <v>1</v>
      </c>
      <c r="E9" s="160"/>
      <c r="F9" s="163"/>
      <c r="G9" s="163"/>
      <c r="H9" s="11">
        <v>60</v>
      </c>
      <c r="I9" s="10" t="s">
        <v>87</v>
      </c>
      <c r="J9" s="10" t="s">
        <v>79</v>
      </c>
      <c r="K9" s="11">
        <v>1</v>
      </c>
      <c r="L9" s="11">
        <v>3</v>
      </c>
      <c r="M9" s="160"/>
      <c r="O9" s="160"/>
      <c r="P9" s="160"/>
      <c r="Q9" s="160"/>
      <c r="R9" s="160"/>
      <c r="S9" s="160"/>
      <c r="T9" s="51"/>
      <c r="U9" s="163"/>
    </row>
    <row r="10" spans="1:21" ht="14.5" x14ac:dyDescent="0.35">
      <c r="A10" s="150"/>
      <c r="B10" s="160"/>
      <c r="C10" s="10" t="s">
        <v>5</v>
      </c>
      <c r="D10" s="10" t="s">
        <v>6</v>
      </c>
      <c r="E10" s="160"/>
      <c r="F10" s="163"/>
      <c r="G10" s="163"/>
      <c r="H10" s="11">
        <v>45</v>
      </c>
      <c r="I10" s="10" t="s">
        <v>87</v>
      </c>
      <c r="J10" s="10" t="s">
        <v>79</v>
      </c>
      <c r="K10" s="11">
        <v>0.8</v>
      </c>
      <c r="L10" s="11">
        <v>1.6</v>
      </c>
      <c r="M10" s="160"/>
      <c r="O10" s="160"/>
      <c r="P10" s="160"/>
      <c r="Q10" s="160"/>
      <c r="R10" s="160"/>
      <c r="S10" s="160"/>
      <c r="T10" s="51"/>
      <c r="U10" s="163"/>
    </row>
    <row r="11" spans="1:21" ht="14.5" x14ac:dyDescent="0.35">
      <c r="A11" s="150"/>
      <c r="B11" s="160"/>
      <c r="C11" s="10" t="s">
        <v>8</v>
      </c>
      <c r="D11" s="10" t="s">
        <v>6</v>
      </c>
      <c r="E11" s="160"/>
      <c r="F11" s="163"/>
      <c r="G11" s="163"/>
      <c r="H11" s="11">
        <v>45</v>
      </c>
      <c r="I11" s="19" t="s">
        <v>87</v>
      </c>
      <c r="J11" s="10" t="s">
        <v>79</v>
      </c>
      <c r="K11" s="11">
        <v>0.8</v>
      </c>
      <c r="L11" s="11">
        <v>1.6</v>
      </c>
      <c r="M11" s="160"/>
      <c r="O11" s="160"/>
      <c r="P11" s="160"/>
      <c r="Q11" s="160"/>
      <c r="R11" s="160"/>
      <c r="S11" s="160"/>
      <c r="T11" s="51"/>
      <c r="U11" s="163"/>
    </row>
    <row r="12" spans="1:21" ht="14.5" x14ac:dyDescent="0.35">
      <c r="A12" s="150"/>
      <c r="B12" s="160"/>
      <c r="C12" s="10" t="s">
        <v>95</v>
      </c>
      <c r="D12" s="10" t="s">
        <v>6</v>
      </c>
      <c r="E12" s="160"/>
      <c r="F12" s="163"/>
      <c r="G12" s="163"/>
      <c r="H12" s="11">
        <v>25</v>
      </c>
      <c r="I12" s="19" t="s">
        <v>87</v>
      </c>
      <c r="J12" s="10" t="s">
        <v>79</v>
      </c>
      <c r="K12" s="11">
        <v>0.25</v>
      </c>
      <c r="L12" s="11">
        <v>0.25</v>
      </c>
      <c r="M12" s="160"/>
      <c r="O12" s="160"/>
      <c r="P12" s="160"/>
      <c r="Q12" s="160"/>
      <c r="R12" s="160"/>
      <c r="S12" s="160"/>
      <c r="T12" s="51"/>
      <c r="U12" s="163"/>
    </row>
    <row r="13" spans="1:21" ht="14.5" x14ac:dyDescent="0.35">
      <c r="A13" s="150"/>
      <c r="B13" s="153"/>
      <c r="C13" s="10" t="s">
        <v>7</v>
      </c>
      <c r="D13" s="10" t="s">
        <v>6</v>
      </c>
      <c r="E13" s="153"/>
      <c r="F13" s="155"/>
      <c r="G13" s="155"/>
      <c r="H13" s="11">
        <v>25</v>
      </c>
      <c r="I13" s="10" t="s">
        <v>87</v>
      </c>
      <c r="J13" s="10" t="s">
        <v>79</v>
      </c>
      <c r="K13" s="11">
        <v>0.25</v>
      </c>
      <c r="L13" s="11">
        <v>0.25</v>
      </c>
      <c r="M13" s="153"/>
      <c r="O13" s="153"/>
      <c r="P13" s="153"/>
      <c r="Q13" s="153"/>
      <c r="R13" s="153"/>
      <c r="S13" s="153"/>
      <c r="T13" s="51"/>
      <c r="U13" s="155"/>
    </row>
    <row r="14" spans="1:21" ht="14.4" customHeight="1" x14ac:dyDescent="0.35">
      <c r="A14" s="151">
        <v>3</v>
      </c>
      <c r="B14" s="152" t="s">
        <v>96</v>
      </c>
      <c r="C14" s="10" t="s">
        <v>97</v>
      </c>
      <c r="D14" s="10" t="s">
        <v>6</v>
      </c>
      <c r="E14" s="161">
        <v>89862</v>
      </c>
      <c r="F14" s="162">
        <v>12094</v>
      </c>
      <c r="G14" s="178">
        <v>0.01</v>
      </c>
      <c r="H14" s="11">
        <v>42</v>
      </c>
      <c r="I14" s="10" t="s">
        <v>87</v>
      </c>
      <c r="J14" s="10" t="s">
        <v>79</v>
      </c>
      <c r="K14" s="11">
        <v>0.6</v>
      </c>
      <c r="L14" s="11">
        <v>1.3</v>
      </c>
      <c r="M14" s="156" t="s">
        <v>31</v>
      </c>
      <c r="O14" s="157" t="s">
        <v>89</v>
      </c>
      <c r="P14" s="157" t="s">
        <v>90</v>
      </c>
      <c r="Q14" s="165" t="s">
        <v>91</v>
      </c>
      <c r="R14" s="158" t="s">
        <v>98</v>
      </c>
      <c r="S14" s="181"/>
      <c r="T14" s="51"/>
      <c r="U14" s="174" t="s">
        <v>28</v>
      </c>
    </row>
    <row r="15" spans="1:21" ht="14.5" x14ac:dyDescent="0.35">
      <c r="A15" s="151"/>
      <c r="B15" s="160"/>
      <c r="C15" s="10" t="s">
        <v>99</v>
      </c>
      <c r="D15" s="10" t="s">
        <v>6</v>
      </c>
      <c r="E15" s="160"/>
      <c r="F15" s="163"/>
      <c r="G15" s="163"/>
      <c r="H15" s="11">
        <v>45</v>
      </c>
      <c r="I15" s="10" t="s">
        <v>87</v>
      </c>
      <c r="J15" s="10" t="s">
        <v>79</v>
      </c>
      <c r="K15" s="11">
        <v>0.55000000000000004</v>
      </c>
      <c r="L15" s="11">
        <v>1.2</v>
      </c>
      <c r="M15" s="160"/>
      <c r="O15" s="160"/>
      <c r="P15" s="160"/>
      <c r="Q15" s="160"/>
      <c r="R15" s="160"/>
      <c r="S15" s="160"/>
      <c r="T15" s="51"/>
      <c r="U15" s="163"/>
    </row>
    <row r="16" spans="1:21" ht="14.5" x14ac:dyDescent="0.35">
      <c r="A16" s="151"/>
      <c r="B16" s="160"/>
      <c r="C16" s="10" t="s">
        <v>100</v>
      </c>
      <c r="D16" s="10" t="s">
        <v>6</v>
      </c>
      <c r="E16" s="160"/>
      <c r="F16" s="163"/>
      <c r="G16" s="163"/>
      <c r="H16" s="11">
        <v>45</v>
      </c>
      <c r="I16" s="10" t="s">
        <v>87</v>
      </c>
      <c r="J16" s="10" t="s">
        <v>281</v>
      </c>
      <c r="K16" s="11">
        <v>0.55000000000000004</v>
      </c>
      <c r="L16" s="11">
        <v>1.2</v>
      </c>
      <c r="M16" s="160"/>
      <c r="O16" s="160"/>
      <c r="P16" s="160"/>
      <c r="Q16" s="160"/>
      <c r="R16" s="160"/>
      <c r="S16" s="160"/>
      <c r="T16" s="51"/>
      <c r="U16" s="163"/>
    </row>
    <row r="17" spans="1:21" ht="14.5" x14ac:dyDescent="0.35">
      <c r="A17" s="151"/>
      <c r="B17" s="160"/>
      <c r="C17" s="10" t="s">
        <v>101</v>
      </c>
      <c r="D17" s="10" t="s">
        <v>1</v>
      </c>
      <c r="E17" s="160"/>
      <c r="F17" s="163"/>
      <c r="G17" s="163"/>
      <c r="H17" s="11">
        <v>48</v>
      </c>
      <c r="I17" s="10" t="s">
        <v>87</v>
      </c>
      <c r="J17" s="10" t="s">
        <v>79</v>
      </c>
      <c r="K17" s="11">
        <v>1.2</v>
      </c>
      <c r="L17" s="11">
        <v>1.9</v>
      </c>
      <c r="M17" s="160"/>
      <c r="O17" s="160"/>
      <c r="P17" s="160"/>
      <c r="Q17" s="160"/>
      <c r="R17" s="160"/>
      <c r="S17" s="160"/>
      <c r="T17" s="51"/>
      <c r="U17" s="163"/>
    </row>
    <row r="18" spans="1:21" ht="21" x14ac:dyDescent="0.35">
      <c r="A18" s="151"/>
      <c r="B18" s="160"/>
      <c r="C18" s="14" t="s">
        <v>102</v>
      </c>
      <c r="D18" s="10" t="s">
        <v>1</v>
      </c>
      <c r="E18" s="160"/>
      <c r="F18" s="163"/>
      <c r="G18" s="163"/>
      <c r="H18" s="11" t="s">
        <v>103</v>
      </c>
      <c r="I18" s="10" t="s">
        <v>87</v>
      </c>
      <c r="J18" s="10" t="s">
        <v>79</v>
      </c>
      <c r="K18" s="11">
        <v>1.2</v>
      </c>
      <c r="L18" s="11">
        <v>1.9</v>
      </c>
      <c r="M18" s="160"/>
      <c r="O18" s="160"/>
      <c r="P18" s="160"/>
      <c r="Q18" s="160"/>
      <c r="R18" s="160"/>
      <c r="S18" s="160"/>
      <c r="T18" s="51"/>
      <c r="U18" s="163"/>
    </row>
    <row r="19" spans="1:21" ht="14.5" x14ac:dyDescent="0.35">
      <c r="A19" s="151"/>
      <c r="B19" s="160"/>
      <c r="C19" s="10" t="s">
        <v>104</v>
      </c>
      <c r="D19" s="10" t="s">
        <v>6</v>
      </c>
      <c r="E19" s="160"/>
      <c r="F19" s="163"/>
      <c r="G19" s="163"/>
      <c r="H19" s="11">
        <v>45</v>
      </c>
      <c r="I19" s="10" t="s">
        <v>87</v>
      </c>
      <c r="J19" s="10" t="s">
        <v>79</v>
      </c>
      <c r="K19" s="11">
        <v>1.2</v>
      </c>
      <c r="L19" s="11">
        <v>1.8</v>
      </c>
      <c r="M19" s="160"/>
      <c r="O19" s="160"/>
      <c r="P19" s="160"/>
      <c r="Q19" s="160"/>
      <c r="R19" s="160"/>
      <c r="S19" s="160"/>
      <c r="T19" s="51">
        <v>5</v>
      </c>
      <c r="U19" s="163"/>
    </row>
    <row r="20" spans="1:21" ht="14.5" x14ac:dyDescent="0.35">
      <c r="A20" s="151"/>
      <c r="B20" s="160"/>
      <c r="C20" s="10" t="s">
        <v>105</v>
      </c>
      <c r="D20" s="10" t="s">
        <v>6</v>
      </c>
      <c r="E20" s="160"/>
      <c r="F20" s="163"/>
      <c r="G20" s="163"/>
      <c r="H20" s="11">
        <v>25</v>
      </c>
      <c r="I20" s="10" t="s">
        <v>87</v>
      </c>
      <c r="J20" s="10" t="s">
        <v>79</v>
      </c>
      <c r="K20" s="11">
        <v>0.25</v>
      </c>
      <c r="L20" s="11">
        <v>0.35</v>
      </c>
      <c r="M20" s="160"/>
      <c r="O20" s="160"/>
      <c r="P20" s="160"/>
      <c r="Q20" s="160"/>
      <c r="R20" s="160"/>
      <c r="S20" s="160"/>
      <c r="T20" s="51">
        <v>5</v>
      </c>
      <c r="U20" s="163"/>
    </row>
    <row r="21" spans="1:21" ht="16.5" customHeight="1" x14ac:dyDescent="0.35">
      <c r="A21" s="151"/>
      <c r="B21" s="153"/>
      <c r="C21" s="10" t="s">
        <v>106</v>
      </c>
      <c r="D21" s="10" t="s">
        <v>6</v>
      </c>
      <c r="E21" s="153"/>
      <c r="F21" s="155"/>
      <c r="G21" s="155"/>
      <c r="H21" s="11">
        <v>25</v>
      </c>
      <c r="I21" s="10" t="s">
        <v>87</v>
      </c>
      <c r="J21" s="10" t="s">
        <v>79</v>
      </c>
      <c r="K21" s="11">
        <v>0.25</v>
      </c>
      <c r="L21" s="11" t="s">
        <v>28</v>
      </c>
      <c r="M21" s="153"/>
      <c r="O21" s="153"/>
      <c r="P21" s="153"/>
      <c r="Q21" s="153"/>
      <c r="R21" s="153"/>
      <c r="S21" s="153"/>
      <c r="T21" s="51"/>
      <c r="U21" s="155"/>
    </row>
    <row r="22" spans="1:21" ht="52.5" x14ac:dyDescent="0.35">
      <c r="B22" s="168" t="s">
        <v>107</v>
      </c>
      <c r="C22" s="10" t="s">
        <v>10</v>
      </c>
      <c r="D22" s="10" t="s">
        <v>1</v>
      </c>
      <c r="E22" s="161">
        <v>86351</v>
      </c>
      <c r="F22" s="162">
        <v>55057</v>
      </c>
      <c r="G22" s="178">
        <v>0.06</v>
      </c>
      <c r="H22" s="11">
        <v>77</v>
      </c>
      <c r="I22" s="10" t="s">
        <v>108</v>
      </c>
      <c r="J22" s="10" t="s">
        <v>109</v>
      </c>
      <c r="K22" s="11">
        <v>3.4</v>
      </c>
      <c r="L22" s="11">
        <v>4</v>
      </c>
      <c r="M22" s="4" t="s">
        <v>32</v>
      </c>
      <c r="O22" s="14" t="s">
        <v>110</v>
      </c>
      <c r="P22" s="20" t="s">
        <v>111</v>
      </c>
      <c r="Q22" s="21" t="s">
        <v>112</v>
      </c>
      <c r="R22" s="18" t="s">
        <v>113</v>
      </c>
      <c r="S22" s="7"/>
      <c r="T22" s="51"/>
      <c r="U22" s="38">
        <v>65.400000000000006</v>
      </c>
    </row>
    <row r="23" spans="1:21" ht="14.4" customHeight="1" x14ac:dyDescent="0.35">
      <c r="B23" s="160"/>
      <c r="C23" s="10" t="s">
        <v>114</v>
      </c>
      <c r="D23" s="10" t="s">
        <v>1</v>
      </c>
      <c r="E23" s="160"/>
      <c r="F23" s="163"/>
      <c r="G23" s="163"/>
      <c r="H23" s="11" t="s">
        <v>115</v>
      </c>
      <c r="I23" s="10" t="s">
        <v>71</v>
      </c>
      <c r="J23" s="10" t="s">
        <v>72</v>
      </c>
      <c r="K23" s="11">
        <v>1.2</v>
      </c>
      <c r="L23" s="11">
        <v>1.8</v>
      </c>
      <c r="M23" s="179" t="s">
        <v>33</v>
      </c>
      <c r="O23" s="157" t="s">
        <v>116</v>
      </c>
      <c r="P23" s="157" t="s">
        <v>117</v>
      </c>
      <c r="Q23" s="165" t="s">
        <v>118</v>
      </c>
      <c r="R23" s="158" t="s">
        <v>119</v>
      </c>
      <c r="S23" s="182" t="s">
        <v>249</v>
      </c>
      <c r="T23" s="51"/>
      <c r="U23" s="172">
        <v>21306</v>
      </c>
    </row>
    <row r="24" spans="1:21" ht="62.25" customHeight="1" x14ac:dyDescent="0.35">
      <c r="B24" s="153"/>
      <c r="C24" s="19" t="s">
        <v>12</v>
      </c>
      <c r="D24" s="10" t="s">
        <v>1</v>
      </c>
      <c r="E24" s="153"/>
      <c r="F24" s="155"/>
      <c r="G24" s="155"/>
      <c r="H24" s="11" t="s">
        <v>115</v>
      </c>
      <c r="I24" s="10" t="s">
        <v>87</v>
      </c>
      <c r="J24" s="10" t="s">
        <v>79</v>
      </c>
      <c r="K24" s="11">
        <v>1.2</v>
      </c>
      <c r="L24" s="11">
        <v>2.1</v>
      </c>
      <c r="M24" s="153"/>
      <c r="O24" s="153"/>
      <c r="P24" s="153"/>
      <c r="Q24" s="153"/>
      <c r="R24" s="153"/>
      <c r="S24" s="153"/>
      <c r="T24" s="51"/>
      <c r="U24" s="155"/>
    </row>
    <row r="25" spans="1:21" ht="88.5" customHeight="1" x14ac:dyDescent="0.35">
      <c r="B25" s="168" t="s">
        <v>13</v>
      </c>
      <c r="C25" s="10" t="s">
        <v>120</v>
      </c>
      <c r="D25" s="10" t="s">
        <v>1</v>
      </c>
      <c r="E25" s="161">
        <v>81900</v>
      </c>
      <c r="F25" s="162">
        <v>182959</v>
      </c>
      <c r="G25" s="178">
        <v>0.19</v>
      </c>
      <c r="H25" s="11">
        <v>78</v>
      </c>
      <c r="I25" s="10" t="s">
        <v>87</v>
      </c>
      <c r="J25" s="10" t="s">
        <v>79</v>
      </c>
      <c r="K25" s="11">
        <v>3</v>
      </c>
      <c r="L25" s="11">
        <v>4.4000000000000004</v>
      </c>
      <c r="M25" s="5" t="s">
        <v>27</v>
      </c>
      <c r="O25" s="14" t="s">
        <v>110</v>
      </c>
      <c r="P25" s="14" t="s">
        <v>111</v>
      </c>
      <c r="Q25" s="18" t="s">
        <v>113</v>
      </c>
      <c r="R25" s="18" t="s">
        <v>113</v>
      </c>
      <c r="S25" s="22" t="s">
        <v>121</v>
      </c>
      <c r="T25" s="51"/>
      <c r="U25" s="38">
        <v>65.400000000000006</v>
      </c>
    </row>
    <row r="26" spans="1:21" ht="48.75" customHeight="1" x14ac:dyDescent="0.35">
      <c r="B26" s="160"/>
      <c r="C26" s="10" t="s">
        <v>122</v>
      </c>
      <c r="D26" s="10" t="s">
        <v>1</v>
      </c>
      <c r="E26" s="160"/>
      <c r="F26" s="163"/>
      <c r="G26" s="163"/>
      <c r="H26" s="11">
        <v>78</v>
      </c>
      <c r="I26" s="10" t="s">
        <v>87</v>
      </c>
      <c r="J26" s="10" t="s">
        <v>79</v>
      </c>
      <c r="K26" s="11">
        <v>3</v>
      </c>
      <c r="L26" s="11">
        <v>4.4000000000000004</v>
      </c>
      <c r="M26" s="179" t="s">
        <v>34</v>
      </c>
      <c r="O26" s="157" t="s">
        <v>123</v>
      </c>
      <c r="P26" s="157" t="s">
        <v>124</v>
      </c>
      <c r="Q26" s="158" t="s">
        <v>125</v>
      </c>
      <c r="R26" s="158" t="s">
        <v>125</v>
      </c>
      <c r="S26" s="22" t="s">
        <v>126</v>
      </c>
      <c r="T26" s="51"/>
      <c r="U26" s="172">
        <v>88400</v>
      </c>
    </row>
    <row r="27" spans="1:21" ht="43.5" customHeight="1" x14ac:dyDescent="0.35">
      <c r="B27" s="153"/>
      <c r="C27" s="10" t="s">
        <v>14</v>
      </c>
      <c r="D27" s="10" t="s">
        <v>1</v>
      </c>
      <c r="E27" s="153"/>
      <c r="F27" s="155"/>
      <c r="G27" s="155"/>
      <c r="H27" s="11">
        <v>82</v>
      </c>
      <c r="I27" s="10" t="s">
        <v>87</v>
      </c>
      <c r="J27" s="10" t="s">
        <v>79</v>
      </c>
      <c r="K27" s="11">
        <v>3</v>
      </c>
      <c r="L27" s="11">
        <v>4.4000000000000004</v>
      </c>
      <c r="M27" s="153"/>
      <c r="O27" s="153"/>
      <c r="P27" s="153"/>
      <c r="Q27" s="153"/>
      <c r="R27" s="153"/>
      <c r="S27" s="22" t="s">
        <v>127</v>
      </c>
      <c r="T27" s="51"/>
      <c r="U27" s="155"/>
    </row>
    <row r="28" spans="1:21" ht="14.4" customHeight="1" x14ac:dyDescent="0.35">
      <c r="B28" s="168" t="s">
        <v>128</v>
      </c>
      <c r="C28" s="10" t="s">
        <v>129</v>
      </c>
      <c r="D28" s="10" t="s">
        <v>1</v>
      </c>
      <c r="E28" s="161">
        <v>76837</v>
      </c>
      <c r="F28" s="162">
        <v>108872</v>
      </c>
      <c r="G28" s="178">
        <v>0.12</v>
      </c>
      <c r="H28" s="11">
        <v>90</v>
      </c>
      <c r="I28" s="10" t="s">
        <v>108</v>
      </c>
      <c r="J28" s="10" t="s">
        <v>48</v>
      </c>
      <c r="K28" s="11">
        <v>3.3</v>
      </c>
      <c r="L28" s="11">
        <v>6.4</v>
      </c>
      <c r="M28" s="179" t="s">
        <v>35</v>
      </c>
      <c r="O28" s="157" t="s">
        <v>130</v>
      </c>
      <c r="P28" s="165" t="s">
        <v>131</v>
      </c>
      <c r="Q28" s="165" t="s">
        <v>132</v>
      </c>
      <c r="R28" s="165" t="s">
        <v>133</v>
      </c>
      <c r="S28" s="180"/>
      <c r="T28" s="51"/>
      <c r="U28" s="172">
        <v>10933</v>
      </c>
    </row>
    <row r="29" spans="1:21" ht="77.25" customHeight="1" x14ac:dyDescent="0.35">
      <c r="B29" s="153"/>
      <c r="C29" s="10" t="s">
        <v>134</v>
      </c>
      <c r="D29" s="10" t="s">
        <v>1</v>
      </c>
      <c r="E29" s="153"/>
      <c r="F29" s="155"/>
      <c r="G29" s="155"/>
      <c r="H29" s="11">
        <v>90</v>
      </c>
      <c r="I29" s="10" t="s">
        <v>108</v>
      </c>
      <c r="J29" s="10" t="s">
        <v>48</v>
      </c>
      <c r="K29" s="11">
        <v>3.3</v>
      </c>
      <c r="L29" s="11">
        <v>6.4</v>
      </c>
      <c r="M29" s="153"/>
      <c r="O29" s="153"/>
      <c r="P29" s="153"/>
      <c r="Q29" s="153"/>
      <c r="R29" s="153"/>
      <c r="S29" s="153"/>
      <c r="T29" s="51" t="s">
        <v>205</v>
      </c>
      <c r="U29" s="155"/>
    </row>
    <row r="30" spans="1:21" ht="82.5" customHeight="1" x14ac:dyDescent="0.35">
      <c r="B30" s="168" t="s">
        <v>135</v>
      </c>
      <c r="C30" s="166" t="s">
        <v>16</v>
      </c>
      <c r="D30" s="166" t="s">
        <v>1</v>
      </c>
      <c r="E30" s="161">
        <v>32559</v>
      </c>
      <c r="F30" s="162">
        <v>106990</v>
      </c>
      <c r="G30" s="178">
        <v>0.11</v>
      </c>
      <c r="H30" s="167">
        <v>63</v>
      </c>
      <c r="I30" s="166" t="s">
        <v>108</v>
      </c>
      <c r="J30" s="157" t="s">
        <v>136</v>
      </c>
      <c r="K30" s="167">
        <v>3.8</v>
      </c>
      <c r="L30" s="167">
        <v>4.08</v>
      </c>
      <c r="M30" s="6" t="s">
        <v>36</v>
      </c>
      <c r="O30" s="14" t="s">
        <v>137</v>
      </c>
      <c r="P30" s="14" t="s">
        <v>138</v>
      </c>
      <c r="Q30" s="23" t="s">
        <v>139</v>
      </c>
      <c r="R30" s="23" t="s">
        <v>140</v>
      </c>
      <c r="S30" s="24"/>
      <c r="T30" s="2">
        <v>5</v>
      </c>
      <c r="U30" s="44">
        <v>58000</v>
      </c>
    </row>
    <row r="31" spans="1:21" ht="84.75" customHeight="1" x14ac:dyDescent="0.35">
      <c r="B31" s="153"/>
      <c r="C31" s="153"/>
      <c r="D31" s="153"/>
      <c r="E31" s="153"/>
      <c r="F31" s="155"/>
      <c r="G31" s="155"/>
      <c r="H31" s="153"/>
      <c r="I31" s="153"/>
      <c r="J31" s="153"/>
      <c r="K31" s="153"/>
      <c r="L31" s="153"/>
      <c r="M31" s="6" t="s">
        <v>37</v>
      </c>
      <c r="O31" s="14" t="s">
        <v>123</v>
      </c>
      <c r="P31" s="14" t="s">
        <v>124</v>
      </c>
      <c r="Q31" s="23" t="s">
        <v>125</v>
      </c>
      <c r="R31" s="23" t="s">
        <v>125</v>
      </c>
      <c r="S31" s="25"/>
      <c r="T31" s="2">
        <v>5</v>
      </c>
      <c r="U31" s="44">
        <v>88400</v>
      </c>
    </row>
    <row r="32" spans="1:21" ht="60" x14ac:dyDescent="0.35">
      <c r="B32" s="152" t="s">
        <v>141</v>
      </c>
      <c r="C32" s="10" t="s">
        <v>142</v>
      </c>
      <c r="D32" s="10" t="s">
        <v>1</v>
      </c>
      <c r="E32" s="161">
        <v>13173</v>
      </c>
      <c r="F32" s="162">
        <v>14035</v>
      </c>
      <c r="G32" s="178">
        <v>0.01</v>
      </c>
      <c r="H32" s="11" t="s">
        <v>143</v>
      </c>
      <c r="I32" s="10" t="s">
        <v>87</v>
      </c>
      <c r="J32" s="10" t="s">
        <v>79</v>
      </c>
      <c r="K32" s="11">
        <v>1.2</v>
      </c>
      <c r="L32" s="11">
        <v>2.5</v>
      </c>
      <c r="M32" s="159" t="s">
        <v>38</v>
      </c>
      <c r="O32" s="14" t="s">
        <v>144</v>
      </c>
      <c r="P32" s="14" t="s">
        <v>145</v>
      </c>
      <c r="Q32" s="18" t="s">
        <v>146</v>
      </c>
      <c r="R32" s="18" t="s">
        <v>147</v>
      </c>
      <c r="S32" s="18" t="s">
        <v>148</v>
      </c>
      <c r="U32" s="38" t="s">
        <v>28</v>
      </c>
    </row>
    <row r="33" spans="2:21" ht="14.5" x14ac:dyDescent="0.35">
      <c r="B33" s="160"/>
      <c r="C33" s="10" t="s">
        <v>149</v>
      </c>
      <c r="D33" s="10" t="s">
        <v>1</v>
      </c>
      <c r="E33" s="160"/>
      <c r="F33" s="163"/>
      <c r="G33" s="163"/>
      <c r="H33" s="11">
        <v>70</v>
      </c>
      <c r="I33" s="10" t="s">
        <v>87</v>
      </c>
      <c r="J33" s="10" t="s">
        <v>79</v>
      </c>
      <c r="K33" s="11">
        <v>1.2</v>
      </c>
      <c r="L33" s="11">
        <v>2.5</v>
      </c>
      <c r="M33" s="160"/>
      <c r="O33" s="14"/>
      <c r="P33" s="14"/>
      <c r="Q33" s="14"/>
      <c r="R33" s="14"/>
      <c r="S33" s="14"/>
      <c r="U33" s="38"/>
    </row>
    <row r="34" spans="2:21" ht="14.5" x14ac:dyDescent="0.35">
      <c r="B34" s="160"/>
      <c r="C34" s="10" t="s">
        <v>150</v>
      </c>
      <c r="D34" s="10" t="s">
        <v>6</v>
      </c>
      <c r="E34" s="160"/>
      <c r="F34" s="163"/>
      <c r="G34" s="163"/>
      <c r="H34" s="11">
        <v>25</v>
      </c>
      <c r="I34" s="10" t="s">
        <v>87</v>
      </c>
      <c r="J34" s="10" t="s">
        <v>79</v>
      </c>
      <c r="K34" s="11">
        <v>0.25</v>
      </c>
      <c r="L34" s="11">
        <v>0.25</v>
      </c>
      <c r="M34" s="160"/>
      <c r="O34" s="14"/>
      <c r="P34" s="14"/>
      <c r="Q34" s="14"/>
      <c r="R34" s="14"/>
      <c r="S34" s="14"/>
      <c r="U34" s="38"/>
    </row>
    <row r="35" spans="2:21" ht="14.4" customHeight="1" x14ac:dyDescent="0.35">
      <c r="B35" s="160"/>
      <c r="C35" s="10" t="s">
        <v>151</v>
      </c>
      <c r="D35" s="10" t="s">
        <v>6</v>
      </c>
      <c r="E35" s="160"/>
      <c r="F35" s="163"/>
      <c r="G35" s="163"/>
      <c r="H35" s="11">
        <v>25</v>
      </c>
      <c r="I35" s="10" t="s">
        <v>87</v>
      </c>
      <c r="J35" s="10" t="s">
        <v>79</v>
      </c>
      <c r="K35" s="11">
        <v>0.25</v>
      </c>
      <c r="L35" s="11">
        <v>0.25</v>
      </c>
      <c r="M35" s="160"/>
      <c r="O35" s="165" t="s">
        <v>152</v>
      </c>
      <c r="P35" s="157" t="s">
        <v>153</v>
      </c>
      <c r="Q35" s="165" t="s">
        <v>154</v>
      </c>
      <c r="R35" s="165" t="s">
        <v>155</v>
      </c>
      <c r="S35" s="165" t="s">
        <v>156</v>
      </c>
      <c r="U35" s="174">
        <v>10</v>
      </c>
    </row>
    <row r="36" spans="2:21" ht="14.5" x14ac:dyDescent="0.35">
      <c r="B36" s="160"/>
      <c r="C36" s="10" t="s">
        <v>157</v>
      </c>
      <c r="D36" s="10" t="s">
        <v>1</v>
      </c>
      <c r="E36" s="160"/>
      <c r="F36" s="163"/>
      <c r="G36" s="163"/>
      <c r="H36" s="11" t="s">
        <v>143</v>
      </c>
      <c r="I36" s="10" t="s">
        <v>87</v>
      </c>
      <c r="J36" s="10" t="s">
        <v>79</v>
      </c>
      <c r="K36" s="11">
        <v>1.2</v>
      </c>
      <c r="L36" s="11">
        <v>2.5</v>
      </c>
      <c r="M36" s="160"/>
      <c r="O36" s="153"/>
      <c r="P36" s="153"/>
      <c r="Q36" s="153"/>
      <c r="R36" s="153"/>
      <c r="S36" s="153"/>
      <c r="U36" s="155"/>
    </row>
    <row r="37" spans="2:21" ht="14.5" x14ac:dyDescent="0.35">
      <c r="B37" s="153"/>
      <c r="C37" s="10" t="s">
        <v>158</v>
      </c>
      <c r="D37" s="10" t="s">
        <v>1</v>
      </c>
      <c r="E37" s="153"/>
      <c r="F37" s="155"/>
      <c r="G37" s="155"/>
      <c r="H37" s="11" t="s">
        <v>159</v>
      </c>
      <c r="I37" s="10" t="s">
        <v>87</v>
      </c>
      <c r="J37" s="10" t="s">
        <v>79</v>
      </c>
      <c r="K37" s="11">
        <v>0.8</v>
      </c>
      <c r="L37" s="11">
        <v>1.2</v>
      </c>
      <c r="M37" s="153"/>
      <c r="O37" s="15"/>
      <c r="P37" s="15"/>
      <c r="Q37" s="15"/>
      <c r="R37" s="15"/>
      <c r="S37" s="15"/>
      <c r="U37" s="43"/>
    </row>
    <row r="38" spans="2:21" ht="75.75" customHeight="1" x14ac:dyDescent="0.35">
      <c r="B38" s="26" t="s">
        <v>160</v>
      </c>
      <c r="C38" s="10" t="s">
        <v>161</v>
      </c>
      <c r="D38" s="10" t="s">
        <v>1</v>
      </c>
      <c r="E38" s="27">
        <v>12924</v>
      </c>
      <c r="F38" s="37">
        <v>7342</v>
      </c>
      <c r="G38" s="41">
        <v>7.0000000000000001E-3</v>
      </c>
      <c r="H38" s="11">
        <v>85</v>
      </c>
      <c r="I38" s="10" t="s">
        <v>108</v>
      </c>
      <c r="J38" s="10" t="s">
        <v>162</v>
      </c>
      <c r="K38" s="11" t="s">
        <v>28</v>
      </c>
      <c r="L38" s="11">
        <v>3</v>
      </c>
      <c r="M38" s="6" t="s">
        <v>39</v>
      </c>
      <c r="O38" s="14" t="s">
        <v>116</v>
      </c>
      <c r="P38" s="14" t="s">
        <v>117</v>
      </c>
      <c r="Q38" s="18" t="s">
        <v>118</v>
      </c>
      <c r="R38" s="23" t="s">
        <v>119</v>
      </c>
      <c r="S38" s="28" t="s">
        <v>163</v>
      </c>
      <c r="U38" s="45">
        <v>21306</v>
      </c>
    </row>
    <row r="39" spans="2:21" ht="91.5" customHeight="1" x14ac:dyDescent="0.35">
      <c r="B39" s="168" t="s">
        <v>164</v>
      </c>
      <c r="C39" s="10" t="s">
        <v>165</v>
      </c>
      <c r="D39" s="10" t="s">
        <v>1</v>
      </c>
      <c r="E39" s="161">
        <v>11555</v>
      </c>
      <c r="F39" s="162"/>
      <c r="G39" s="176">
        <v>3</v>
      </c>
      <c r="H39" s="11">
        <v>75</v>
      </c>
      <c r="I39" s="10" t="s">
        <v>87</v>
      </c>
      <c r="J39" s="10" t="s">
        <v>79</v>
      </c>
      <c r="K39" s="11">
        <v>2</v>
      </c>
      <c r="L39" s="11">
        <v>3</v>
      </c>
      <c r="M39" s="7" t="s">
        <v>40</v>
      </c>
      <c r="O39" s="14" t="s">
        <v>144</v>
      </c>
      <c r="P39" s="14" t="s">
        <v>145</v>
      </c>
      <c r="Q39" s="18" t="s">
        <v>146</v>
      </c>
      <c r="R39" s="18" t="s">
        <v>147</v>
      </c>
      <c r="S39" s="18" t="s">
        <v>148</v>
      </c>
      <c r="U39" s="38" t="s">
        <v>28</v>
      </c>
    </row>
    <row r="40" spans="2:21" ht="82.5" customHeight="1" x14ac:dyDescent="0.35">
      <c r="B40" s="160"/>
      <c r="C40" s="10" t="s">
        <v>166</v>
      </c>
      <c r="D40" s="10" t="s">
        <v>1</v>
      </c>
      <c r="E40" s="160"/>
      <c r="F40" s="163"/>
      <c r="G40" s="163"/>
      <c r="H40" s="11">
        <v>60</v>
      </c>
      <c r="I40" s="10" t="s">
        <v>87</v>
      </c>
      <c r="J40" s="10" t="s">
        <v>79</v>
      </c>
      <c r="K40" s="11">
        <v>1.5</v>
      </c>
      <c r="L40" s="11">
        <v>2.2000000000000002</v>
      </c>
      <c r="M40" s="156" t="s">
        <v>41</v>
      </c>
      <c r="O40" s="165" t="s">
        <v>152</v>
      </c>
      <c r="P40" s="157" t="s">
        <v>153</v>
      </c>
      <c r="Q40" s="165" t="s">
        <v>154</v>
      </c>
      <c r="R40" s="165" t="s">
        <v>155</v>
      </c>
      <c r="S40" s="177" t="s">
        <v>250</v>
      </c>
      <c r="U40" s="174">
        <v>10</v>
      </c>
    </row>
    <row r="41" spans="2:21" ht="45" customHeight="1" x14ac:dyDescent="0.35">
      <c r="B41" s="160"/>
      <c r="C41" s="10" t="s">
        <v>167</v>
      </c>
      <c r="D41" s="10" t="s">
        <v>1</v>
      </c>
      <c r="E41" s="160"/>
      <c r="F41" s="163"/>
      <c r="G41" s="163"/>
      <c r="H41" s="11">
        <v>60</v>
      </c>
      <c r="I41" s="10" t="s">
        <v>87</v>
      </c>
      <c r="J41" s="10" t="s">
        <v>79</v>
      </c>
      <c r="K41" s="11">
        <v>1.5</v>
      </c>
      <c r="L41" s="11">
        <v>2.2000000000000002</v>
      </c>
      <c r="M41" s="153"/>
      <c r="O41" s="153"/>
      <c r="P41" s="153"/>
      <c r="Q41" s="153"/>
      <c r="R41" s="153"/>
      <c r="S41" s="153"/>
      <c r="U41" s="155"/>
    </row>
    <row r="42" spans="2:21" ht="53.25" customHeight="1" x14ac:dyDescent="0.35">
      <c r="B42" s="153"/>
      <c r="C42" s="10" t="s">
        <v>168</v>
      </c>
      <c r="D42" s="10" t="s">
        <v>1</v>
      </c>
      <c r="E42" s="153"/>
      <c r="F42" s="155"/>
      <c r="G42" s="155"/>
      <c r="H42" s="11">
        <v>85</v>
      </c>
      <c r="I42" s="10" t="s">
        <v>87</v>
      </c>
      <c r="J42" s="10" t="s">
        <v>79</v>
      </c>
      <c r="K42" s="11">
        <v>3</v>
      </c>
      <c r="L42" s="11">
        <v>4</v>
      </c>
      <c r="M42" s="7" t="s">
        <v>40</v>
      </c>
      <c r="O42" s="14" t="s">
        <v>144</v>
      </c>
      <c r="P42" s="14" t="s">
        <v>145</v>
      </c>
      <c r="Q42" s="18" t="s">
        <v>146</v>
      </c>
      <c r="R42" s="18" t="s">
        <v>147</v>
      </c>
      <c r="S42" s="18" t="s">
        <v>148</v>
      </c>
      <c r="U42" s="38" t="s">
        <v>28</v>
      </c>
    </row>
    <row r="43" spans="2:21" ht="14.4" customHeight="1" x14ac:dyDescent="0.35">
      <c r="B43" s="159" t="s">
        <v>169</v>
      </c>
      <c r="C43" s="10" t="s">
        <v>170</v>
      </c>
      <c r="D43" s="10" t="s">
        <v>1</v>
      </c>
      <c r="E43" s="161">
        <v>10733</v>
      </c>
      <c r="F43" s="162"/>
      <c r="G43" s="41"/>
      <c r="H43" s="11">
        <v>65</v>
      </c>
      <c r="I43" s="10" t="s">
        <v>87</v>
      </c>
      <c r="J43" s="10" t="s">
        <v>79</v>
      </c>
      <c r="K43" s="11">
        <v>3</v>
      </c>
      <c r="L43" s="11">
        <v>3.2</v>
      </c>
      <c r="M43" s="164" t="s">
        <v>42</v>
      </c>
      <c r="O43" s="10"/>
      <c r="P43" s="10"/>
      <c r="Q43" s="10"/>
      <c r="R43" s="10"/>
      <c r="S43" s="12"/>
      <c r="U43" s="38"/>
    </row>
    <row r="44" spans="2:21" ht="14.5" x14ac:dyDescent="0.35">
      <c r="B44" s="160"/>
      <c r="C44" s="10" t="s">
        <v>171</v>
      </c>
      <c r="D44" s="10" t="s">
        <v>6</v>
      </c>
      <c r="E44" s="160"/>
      <c r="F44" s="163"/>
      <c r="G44" s="41"/>
      <c r="H44" s="11">
        <v>25</v>
      </c>
      <c r="I44" s="10" t="s">
        <v>87</v>
      </c>
      <c r="J44" s="10" t="s">
        <v>79</v>
      </c>
      <c r="K44" s="11">
        <v>0.25</v>
      </c>
      <c r="L44" s="11">
        <v>0.8</v>
      </c>
      <c r="M44" s="160"/>
      <c r="O44" s="10"/>
      <c r="P44" s="10"/>
      <c r="Q44" s="10"/>
      <c r="R44" s="10"/>
      <c r="S44" s="12"/>
      <c r="U44" s="38"/>
    </row>
    <row r="45" spans="2:21" ht="14.5" x14ac:dyDescent="0.35">
      <c r="B45" s="160"/>
      <c r="C45" s="10" t="s">
        <v>172</v>
      </c>
      <c r="D45" s="10" t="s">
        <v>1</v>
      </c>
      <c r="E45" s="160"/>
      <c r="F45" s="163"/>
      <c r="G45" s="41"/>
      <c r="H45" s="11">
        <v>70</v>
      </c>
      <c r="I45" s="10" t="s">
        <v>87</v>
      </c>
      <c r="J45" s="10" t="s">
        <v>79</v>
      </c>
      <c r="K45" s="11" t="s">
        <v>28</v>
      </c>
      <c r="L45" s="11">
        <v>3</v>
      </c>
      <c r="M45" s="160"/>
      <c r="O45" s="10"/>
      <c r="P45" s="10"/>
      <c r="Q45" s="10"/>
      <c r="R45" s="10"/>
      <c r="S45" s="12"/>
      <c r="U45" s="38"/>
    </row>
    <row r="46" spans="2:21" ht="39.75" customHeight="1" x14ac:dyDescent="0.35">
      <c r="B46" s="153"/>
      <c r="C46" s="10" t="s">
        <v>173</v>
      </c>
      <c r="D46" s="10" t="s">
        <v>6</v>
      </c>
      <c r="E46" s="153"/>
      <c r="F46" s="155"/>
      <c r="G46" s="41"/>
      <c r="H46" s="11">
        <v>25</v>
      </c>
      <c r="I46" s="10" t="s">
        <v>87</v>
      </c>
      <c r="J46" s="10" t="s">
        <v>79</v>
      </c>
      <c r="K46" s="11">
        <v>0.25</v>
      </c>
      <c r="L46" s="11">
        <v>0.8</v>
      </c>
      <c r="M46" s="153"/>
      <c r="O46" s="10"/>
      <c r="P46" s="10"/>
      <c r="Q46" s="10"/>
      <c r="R46" s="10"/>
      <c r="S46" s="12"/>
      <c r="U46" s="38"/>
    </row>
    <row r="47" spans="2:21" ht="14.5" x14ac:dyDescent="0.35">
      <c r="B47" s="175" t="s">
        <v>174</v>
      </c>
      <c r="C47" s="10" t="s">
        <v>17</v>
      </c>
      <c r="D47" s="10" t="s">
        <v>6</v>
      </c>
      <c r="E47" s="161">
        <v>8459</v>
      </c>
      <c r="F47" s="162"/>
      <c r="G47" s="41"/>
      <c r="H47" s="11">
        <v>25</v>
      </c>
      <c r="I47" s="10" t="s">
        <v>87</v>
      </c>
      <c r="J47" s="10" t="s">
        <v>79</v>
      </c>
      <c r="K47" s="11" t="s">
        <v>28</v>
      </c>
      <c r="L47" s="11" t="s">
        <v>28</v>
      </c>
      <c r="M47" s="159" t="s">
        <v>43</v>
      </c>
      <c r="O47" s="10"/>
      <c r="P47" s="10"/>
      <c r="Q47" s="10"/>
      <c r="R47" s="10"/>
      <c r="S47" s="12"/>
      <c r="U47" s="38"/>
    </row>
    <row r="48" spans="2:21" ht="14.5" x14ac:dyDescent="0.35">
      <c r="B48" s="160"/>
      <c r="C48" s="10" t="s">
        <v>175</v>
      </c>
      <c r="D48" s="10" t="s">
        <v>6</v>
      </c>
      <c r="E48" s="160"/>
      <c r="F48" s="163"/>
      <c r="G48" s="41"/>
      <c r="H48" s="11">
        <v>25</v>
      </c>
      <c r="I48" s="10" t="s">
        <v>87</v>
      </c>
      <c r="J48" s="10" t="s">
        <v>79</v>
      </c>
      <c r="K48" s="11" t="s">
        <v>28</v>
      </c>
      <c r="L48" s="11" t="s">
        <v>28</v>
      </c>
      <c r="M48" s="160"/>
      <c r="O48" s="10"/>
      <c r="P48" s="10"/>
      <c r="Q48" s="10"/>
      <c r="R48" s="10"/>
      <c r="S48" s="12"/>
      <c r="U48" s="38"/>
    </row>
    <row r="49" spans="2:21" ht="14.5" x14ac:dyDescent="0.35">
      <c r="B49" s="160"/>
      <c r="C49" s="10" t="s">
        <v>18</v>
      </c>
      <c r="D49" s="10" t="s">
        <v>6</v>
      </c>
      <c r="E49" s="160"/>
      <c r="F49" s="163"/>
      <c r="G49" s="41"/>
      <c r="H49" s="11">
        <v>25</v>
      </c>
      <c r="I49" s="10" t="s">
        <v>87</v>
      </c>
      <c r="J49" s="10" t="s">
        <v>79</v>
      </c>
      <c r="K49" s="11">
        <v>0.25</v>
      </c>
      <c r="L49" s="11" t="s">
        <v>28</v>
      </c>
      <c r="M49" s="160"/>
      <c r="O49" s="10"/>
      <c r="P49" s="10"/>
      <c r="Q49" s="10"/>
      <c r="R49" s="10"/>
      <c r="S49" s="12"/>
      <c r="U49" s="38"/>
    </row>
    <row r="50" spans="2:21" ht="14.5" x14ac:dyDescent="0.35">
      <c r="B50" s="153"/>
      <c r="C50" s="10" t="s">
        <v>19</v>
      </c>
      <c r="D50" s="10" t="s">
        <v>6</v>
      </c>
      <c r="E50" s="153"/>
      <c r="F50" s="155"/>
      <c r="G50" s="41"/>
      <c r="H50" s="11">
        <v>55</v>
      </c>
      <c r="I50" s="10" t="s">
        <v>87</v>
      </c>
      <c r="J50" s="10" t="s">
        <v>79</v>
      </c>
      <c r="K50" s="11">
        <v>1</v>
      </c>
      <c r="L50" s="11" t="s">
        <v>28</v>
      </c>
      <c r="M50" s="153"/>
      <c r="O50" s="10"/>
      <c r="P50" s="10"/>
      <c r="Q50" s="10"/>
      <c r="R50" s="10"/>
      <c r="S50" s="12"/>
      <c r="U50" s="38"/>
    </row>
    <row r="51" spans="2:21" ht="14.4" customHeight="1" x14ac:dyDescent="0.35">
      <c r="B51" s="168" t="s">
        <v>20</v>
      </c>
      <c r="C51" s="10" t="s">
        <v>176</v>
      </c>
      <c r="D51" s="10" t="s">
        <v>1</v>
      </c>
      <c r="E51" s="167" t="s">
        <v>177</v>
      </c>
      <c r="F51" s="174"/>
      <c r="G51" s="38"/>
      <c r="H51" s="11">
        <v>100</v>
      </c>
      <c r="I51" s="10" t="s">
        <v>178</v>
      </c>
      <c r="J51" s="10" t="s">
        <v>179</v>
      </c>
      <c r="K51" s="11">
        <v>4</v>
      </c>
      <c r="L51" s="11">
        <v>7.5</v>
      </c>
      <c r="M51" s="171" t="s">
        <v>22</v>
      </c>
      <c r="O51" s="157" t="s">
        <v>180</v>
      </c>
      <c r="P51" s="166" t="s">
        <v>181</v>
      </c>
      <c r="Q51" s="158" t="s">
        <v>182</v>
      </c>
      <c r="R51" s="158" t="s">
        <v>182</v>
      </c>
      <c r="S51" s="173" t="s">
        <v>183</v>
      </c>
      <c r="U51" s="174">
        <v>3</v>
      </c>
    </row>
    <row r="52" spans="2:21" ht="94.5" customHeight="1" x14ac:dyDescent="0.35">
      <c r="B52" s="153"/>
      <c r="C52" s="10" t="s">
        <v>21</v>
      </c>
      <c r="D52" s="10" t="s">
        <v>1</v>
      </c>
      <c r="E52" s="153"/>
      <c r="F52" s="155"/>
      <c r="G52" s="38" t="s">
        <v>28</v>
      </c>
      <c r="H52" s="11">
        <v>105</v>
      </c>
      <c r="I52" s="10" t="s">
        <v>178</v>
      </c>
      <c r="J52" s="10" t="s">
        <v>179</v>
      </c>
      <c r="K52" s="11">
        <v>4.5</v>
      </c>
      <c r="L52" s="11">
        <v>9</v>
      </c>
      <c r="M52" s="153"/>
      <c r="O52" s="153"/>
      <c r="P52" s="153"/>
      <c r="Q52" s="153"/>
      <c r="R52" s="153"/>
      <c r="S52" s="153"/>
      <c r="T52" t="s">
        <v>207</v>
      </c>
      <c r="U52" s="155"/>
    </row>
    <row r="53" spans="2:21" ht="20.399999999999999" customHeight="1" x14ac:dyDescent="0.35">
      <c r="B53" s="170" t="s">
        <v>184</v>
      </c>
      <c r="C53" s="10" t="s">
        <v>185</v>
      </c>
      <c r="D53" s="10" t="s">
        <v>1</v>
      </c>
      <c r="E53" s="11" t="s">
        <v>177</v>
      </c>
      <c r="F53" s="38"/>
      <c r="G53" s="38"/>
      <c r="H53" s="11">
        <v>80</v>
      </c>
      <c r="I53" s="14" t="s">
        <v>186</v>
      </c>
      <c r="J53" s="29" t="s">
        <v>72</v>
      </c>
      <c r="K53" s="11">
        <v>3.9</v>
      </c>
      <c r="L53" s="11">
        <v>6</v>
      </c>
      <c r="M53" s="171" t="s">
        <v>44</v>
      </c>
      <c r="O53" s="157" t="s">
        <v>187</v>
      </c>
      <c r="P53" s="166" t="s">
        <v>188</v>
      </c>
      <c r="Q53" s="157" t="s">
        <v>189</v>
      </c>
      <c r="R53" s="158" t="s">
        <v>190</v>
      </c>
      <c r="S53" s="169" t="s">
        <v>191</v>
      </c>
      <c r="U53" s="172">
        <v>1918174</v>
      </c>
    </row>
    <row r="54" spans="2:21" ht="93.75" customHeight="1" x14ac:dyDescent="0.35">
      <c r="B54" s="153"/>
      <c r="C54" s="10" t="s">
        <v>192</v>
      </c>
      <c r="D54" s="10" t="s">
        <v>1</v>
      </c>
      <c r="E54" s="11" t="s">
        <v>177</v>
      </c>
      <c r="F54" s="38"/>
      <c r="G54" s="38"/>
      <c r="H54" s="11">
        <v>80</v>
      </c>
      <c r="I54" s="14" t="s">
        <v>186</v>
      </c>
      <c r="J54" s="29" t="s">
        <v>72</v>
      </c>
      <c r="K54" s="11">
        <v>3.9</v>
      </c>
      <c r="L54" s="11">
        <v>6</v>
      </c>
      <c r="M54" s="153"/>
      <c r="O54" s="153"/>
      <c r="P54" s="153"/>
      <c r="Q54" s="153"/>
      <c r="R54" s="153"/>
      <c r="S54" s="153"/>
      <c r="U54" s="155"/>
    </row>
    <row r="55" spans="2:21" ht="82.5" customHeight="1" x14ac:dyDescent="0.35">
      <c r="B55" s="30" t="s">
        <v>193</v>
      </c>
      <c r="C55" s="10" t="s">
        <v>26</v>
      </c>
      <c r="D55" s="10" t="s">
        <v>1</v>
      </c>
      <c r="E55" s="11" t="s">
        <v>177</v>
      </c>
      <c r="F55" s="38"/>
      <c r="G55" s="42">
        <v>8.0000000000000002E-3</v>
      </c>
      <c r="H55" s="11">
        <v>65</v>
      </c>
      <c r="I55" s="10" t="s">
        <v>87</v>
      </c>
      <c r="J55" s="10" t="s">
        <v>79</v>
      </c>
      <c r="K55" s="31" t="s">
        <v>28</v>
      </c>
      <c r="L55" s="11">
        <v>2</v>
      </c>
      <c r="M55" s="6" t="s">
        <v>45</v>
      </c>
      <c r="O55" s="14" t="s">
        <v>194</v>
      </c>
      <c r="P55" s="14" t="s">
        <v>195</v>
      </c>
      <c r="Q55" s="18" t="s">
        <v>113</v>
      </c>
      <c r="R55" s="18" t="s">
        <v>196</v>
      </c>
      <c r="S55" s="14" t="s">
        <v>197</v>
      </c>
      <c r="U55" s="46"/>
    </row>
    <row r="56" spans="2:21" ht="14.5" x14ac:dyDescent="0.35">
      <c r="B56" s="152" t="s">
        <v>198</v>
      </c>
      <c r="C56" s="1" t="s">
        <v>199</v>
      </c>
      <c r="D56" s="1" t="s">
        <v>1</v>
      </c>
      <c r="E56" s="32" t="s">
        <v>177</v>
      </c>
      <c r="F56" s="39"/>
      <c r="G56" s="39" t="s">
        <v>28</v>
      </c>
      <c r="H56" s="32">
        <v>90</v>
      </c>
      <c r="I56" s="1" t="s">
        <v>87</v>
      </c>
      <c r="J56" s="1" t="s">
        <v>79</v>
      </c>
      <c r="K56" s="32">
        <v>3</v>
      </c>
      <c r="L56" s="32">
        <v>5.2</v>
      </c>
      <c r="M56" s="156" t="s">
        <v>46</v>
      </c>
      <c r="O56" s="13"/>
      <c r="P56" s="13"/>
      <c r="Q56" s="13"/>
      <c r="R56" s="13"/>
      <c r="S56" s="13"/>
      <c r="U56" s="40"/>
    </row>
    <row r="57" spans="2:21" ht="63.75" customHeight="1" x14ac:dyDescent="0.35">
      <c r="B57" s="153"/>
      <c r="C57" s="14" t="s">
        <v>200</v>
      </c>
      <c r="D57" s="1" t="s">
        <v>1</v>
      </c>
      <c r="E57" s="32" t="s">
        <v>177</v>
      </c>
      <c r="F57" s="39"/>
      <c r="G57" s="39" t="s">
        <v>28</v>
      </c>
      <c r="H57" s="32">
        <v>95</v>
      </c>
      <c r="I57" s="1" t="s">
        <v>87</v>
      </c>
      <c r="J57" s="1" t="s">
        <v>79</v>
      </c>
      <c r="K57" s="32">
        <v>3</v>
      </c>
      <c r="L57" s="32">
        <v>6.2</v>
      </c>
      <c r="M57" s="153"/>
      <c r="O57" s="13"/>
      <c r="P57" s="13"/>
      <c r="Q57" s="13"/>
      <c r="R57" s="13"/>
      <c r="S57" s="13"/>
      <c r="U57" s="40"/>
    </row>
    <row r="58" spans="2:21" ht="14.5" x14ac:dyDescent="0.35">
      <c r="B58" s="152" t="s">
        <v>23</v>
      </c>
      <c r="C58" s="1" t="s">
        <v>24</v>
      </c>
      <c r="D58" s="1" t="s">
        <v>1</v>
      </c>
      <c r="E58" s="33" t="s">
        <v>28</v>
      </c>
      <c r="F58" s="50" t="s">
        <v>208</v>
      </c>
      <c r="G58" s="154" t="s">
        <v>208</v>
      </c>
      <c r="H58" s="32">
        <v>62</v>
      </c>
      <c r="I58" s="1" t="s">
        <v>87</v>
      </c>
      <c r="J58" s="1" t="s">
        <v>79</v>
      </c>
      <c r="K58" s="32">
        <v>1.2</v>
      </c>
      <c r="L58" s="32">
        <v>2.2000000000000002</v>
      </c>
      <c r="M58" s="156" t="s">
        <v>47</v>
      </c>
      <c r="O58" s="13"/>
      <c r="P58" s="13"/>
      <c r="Q58" s="13"/>
      <c r="R58" s="13"/>
      <c r="S58" s="13"/>
      <c r="U58" s="40"/>
    </row>
    <row r="59" spans="2:21" ht="14.5" x14ac:dyDescent="0.35">
      <c r="B59" s="153"/>
      <c r="C59" s="1" t="s">
        <v>25</v>
      </c>
      <c r="D59" s="1" t="s">
        <v>1</v>
      </c>
      <c r="E59" s="33" t="s">
        <v>28</v>
      </c>
      <c r="F59" s="50"/>
      <c r="G59" s="155"/>
      <c r="H59" s="32">
        <v>72</v>
      </c>
      <c r="I59" s="1" t="s">
        <v>87</v>
      </c>
      <c r="J59" s="1" t="s">
        <v>79</v>
      </c>
      <c r="K59" s="33" t="s">
        <v>28</v>
      </c>
      <c r="L59" s="32">
        <v>3</v>
      </c>
      <c r="M59" s="153"/>
      <c r="O59" s="13"/>
      <c r="P59" s="13"/>
      <c r="Q59" s="13"/>
      <c r="R59" s="13"/>
      <c r="S59" s="13"/>
      <c r="U59" s="40"/>
    </row>
  </sheetData>
  <autoFilter ref="A1:U59" xr:uid="{00000000-0009-0000-0000-000001000000}">
    <filterColumn colId="10" showButton="0"/>
  </autoFilter>
  <mergeCells count="143">
    <mergeCell ref="U1:U2"/>
    <mergeCell ref="Q1:Q2"/>
    <mergeCell ref="R1:R2"/>
    <mergeCell ref="S1:S2"/>
    <mergeCell ref="O1:O2"/>
    <mergeCell ref="P1:P2"/>
    <mergeCell ref="B1:B2"/>
    <mergeCell ref="C1:C2"/>
    <mergeCell ref="K1:L1"/>
    <mergeCell ref="M1:M2"/>
    <mergeCell ref="U6:U13"/>
    <mergeCell ref="P3:P4"/>
    <mergeCell ref="Q3:Q4"/>
    <mergeCell ref="R3:R4"/>
    <mergeCell ref="S3:S4"/>
    <mergeCell ref="M3:M4"/>
    <mergeCell ref="U3:U4"/>
    <mergeCell ref="O3:O4"/>
    <mergeCell ref="B3:B5"/>
    <mergeCell ref="E3:E5"/>
    <mergeCell ref="F3:F5"/>
    <mergeCell ref="G3:G5"/>
    <mergeCell ref="Q6:Q13"/>
    <mergeCell ref="R6:R13"/>
    <mergeCell ref="S6:S13"/>
    <mergeCell ref="O6:O13"/>
    <mergeCell ref="P6:P13"/>
    <mergeCell ref="B6:B13"/>
    <mergeCell ref="E6:E13"/>
    <mergeCell ref="F6:F13"/>
    <mergeCell ref="G6:G13"/>
    <mergeCell ref="M6:M13"/>
    <mergeCell ref="M28:M29"/>
    <mergeCell ref="U28:U29"/>
    <mergeCell ref="B22:B24"/>
    <mergeCell ref="E22:E24"/>
    <mergeCell ref="F22:F24"/>
    <mergeCell ref="G22:G24"/>
    <mergeCell ref="Q14:Q21"/>
    <mergeCell ref="R14:R21"/>
    <mergeCell ref="S14:S21"/>
    <mergeCell ref="U14:U21"/>
    <mergeCell ref="O14:O21"/>
    <mergeCell ref="P14:P21"/>
    <mergeCell ref="B14:B21"/>
    <mergeCell ref="E14:E21"/>
    <mergeCell ref="F14:F21"/>
    <mergeCell ref="G14:G21"/>
    <mergeCell ref="M14:M21"/>
    <mergeCell ref="P23:P24"/>
    <mergeCell ref="Q23:Q24"/>
    <mergeCell ref="R23:R24"/>
    <mergeCell ref="S23:S24"/>
    <mergeCell ref="M23:M24"/>
    <mergeCell ref="U23:U24"/>
    <mergeCell ref="O23:O24"/>
    <mergeCell ref="U40:U41"/>
    <mergeCell ref="O40:O41"/>
    <mergeCell ref="P40:P41"/>
    <mergeCell ref="G30:G31"/>
    <mergeCell ref="H30:H31"/>
    <mergeCell ref="B25:B27"/>
    <mergeCell ref="E25:E27"/>
    <mergeCell ref="F25:F27"/>
    <mergeCell ref="G25:G27"/>
    <mergeCell ref="P26:P27"/>
    <mergeCell ref="Q28:Q29"/>
    <mergeCell ref="R28:R29"/>
    <mergeCell ref="Q26:Q27"/>
    <mergeCell ref="R26:R27"/>
    <mergeCell ref="M26:M27"/>
    <mergeCell ref="U26:U27"/>
    <mergeCell ref="O26:O27"/>
    <mergeCell ref="S28:S29"/>
    <mergeCell ref="O28:O29"/>
    <mergeCell ref="P28:P29"/>
    <mergeCell ref="B28:B29"/>
    <mergeCell ref="E28:E29"/>
    <mergeCell ref="F28:F29"/>
    <mergeCell ref="G28:G29"/>
    <mergeCell ref="U35:U36"/>
    <mergeCell ref="O35:O36"/>
    <mergeCell ref="P35:P36"/>
    <mergeCell ref="Q35:Q36"/>
    <mergeCell ref="B32:B37"/>
    <mergeCell ref="E32:E37"/>
    <mergeCell ref="F32:F37"/>
    <mergeCell ref="G32:G37"/>
    <mergeCell ref="M32:M37"/>
    <mergeCell ref="B47:B50"/>
    <mergeCell ref="E47:E50"/>
    <mergeCell ref="F47:F50"/>
    <mergeCell ref="M47:M50"/>
    <mergeCell ref="B51:B52"/>
    <mergeCell ref="E51:E52"/>
    <mergeCell ref="F51:F52"/>
    <mergeCell ref="M51:M52"/>
    <mergeCell ref="S35:S36"/>
    <mergeCell ref="B39:B42"/>
    <mergeCell ref="E39:E42"/>
    <mergeCell ref="F39:F42"/>
    <mergeCell ref="G39:G42"/>
    <mergeCell ref="Q40:Q41"/>
    <mergeCell ref="R40:R41"/>
    <mergeCell ref="S40:S41"/>
    <mergeCell ref="S53:S54"/>
    <mergeCell ref="B56:B57"/>
    <mergeCell ref="M56:M57"/>
    <mergeCell ref="B53:B54"/>
    <mergeCell ref="M53:M54"/>
    <mergeCell ref="U53:U54"/>
    <mergeCell ref="O53:O54"/>
    <mergeCell ref="P53:P54"/>
    <mergeCell ref="Q51:Q52"/>
    <mergeCell ref="R51:R52"/>
    <mergeCell ref="S51:S52"/>
    <mergeCell ref="U51:U52"/>
    <mergeCell ref="O51:O52"/>
    <mergeCell ref="P51:P52"/>
    <mergeCell ref="A1:A2"/>
    <mergeCell ref="A3:A5"/>
    <mergeCell ref="A6:A13"/>
    <mergeCell ref="A14:A21"/>
    <mergeCell ref="B58:B59"/>
    <mergeCell ref="G58:G59"/>
    <mergeCell ref="M58:M59"/>
    <mergeCell ref="Q53:Q54"/>
    <mergeCell ref="R53:R54"/>
    <mergeCell ref="B43:B46"/>
    <mergeCell ref="E43:E46"/>
    <mergeCell ref="F43:F46"/>
    <mergeCell ref="M43:M46"/>
    <mergeCell ref="M40:M41"/>
    <mergeCell ref="R35:R36"/>
    <mergeCell ref="I30:I31"/>
    <mergeCell ref="J30:J31"/>
    <mergeCell ref="K30:K31"/>
    <mergeCell ref="L30:L31"/>
    <mergeCell ref="B30:B31"/>
    <mergeCell ref="C30:C31"/>
    <mergeCell ref="D30:D31"/>
    <mergeCell ref="E30:E31"/>
    <mergeCell ref="F30:F31"/>
  </mergeCells>
  <hyperlinks>
    <hyperlink ref="Q3" r:id="rId1" xr:uid="{00000000-0004-0000-0100-000000000000}"/>
    <hyperlink ref="R3" r:id="rId2" xr:uid="{00000000-0004-0000-0100-000001000000}"/>
    <hyperlink ref="R5" r:id="rId3" xr:uid="{00000000-0004-0000-0100-000002000000}"/>
    <hyperlink ref="S5" r:id="rId4" xr:uid="{00000000-0004-0000-0100-000003000000}"/>
    <hyperlink ref="Q6" r:id="rId5" xr:uid="{00000000-0004-0000-0100-000004000000}"/>
    <hyperlink ref="R6" r:id="rId6" xr:uid="{00000000-0004-0000-0100-000005000000}"/>
    <hyperlink ref="Q14" r:id="rId7" xr:uid="{00000000-0004-0000-0100-000006000000}"/>
    <hyperlink ref="R14" r:id="rId8" xr:uid="{00000000-0004-0000-0100-000007000000}"/>
    <hyperlink ref="Q22" r:id="rId9" xr:uid="{00000000-0004-0000-0100-000008000000}"/>
    <hyperlink ref="R22" r:id="rId10" xr:uid="{00000000-0004-0000-0100-000009000000}"/>
    <hyperlink ref="M23" r:id="rId11" xr:uid="{00000000-0004-0000-0100-00000A000000}"/>
    <hyperlink ref="Q23" r:id="rId12" xr:uid="{00000000-0004-0000-0100-00000B000000}"/>
    <hyperlink ref="R23" r:id="rId13" xr:uid="{00000000-0004-0000-0100-00000C000000}"/>
    <hyperlink ref="S23" r:id="rId14" display="Est: Rs.10k to 11k_x000a__x000a_https://www.autocarpro.in/news-national/sona-comstar-bags-rs-913-crore%C2%A0order-for-traction-motors-from-2w%C2%A0oem-92777" xr:uid="{00000000-0004-0000-0100-00000D000000}"/>
    <hyperlink ref="Q25" r:id="rId15" xr:uid="{00000000-0004-0000-0100-00000E000000}"/>
    <hyperlink ref="R25" r:id="rId16" xr:uid="{00000000-0004-0000-0100-00000F000000}"/>
    <hyperlink ref="M26" r:id="rId17" xr:uid="{00000000-0004-0000-0100-000010000000}"/>
    <hyperlink ref="Q26" r:id="rId18" xr:uid="{00000000-0004-0000-0100-000011000000}"/>
    <hyperlink ref="R26" r:id="rId19" xr:uid="{00000000-0004-0000-0100-000012000000}"/>
    <hyperlink ref="M28" r:id="rId20" xr:uid="{00000000-0004-0000-0100-000013000000}"/>
    <hyperlink ref="P28" r:id="rId21" xr:uid="{00000000-0004-0000-0100-000014000000}"/>
    <hyperlink ref="Q28" r:id="rId22" xr:uid="{00000000-0004-0000-0100-000015000000}"/>
    <hyperlink ref="R28" r:id="rId23" xr:uid="{00000000-0004-0000-0100-000016000000}"/>
    <hyperlink ref="M30" r:id="rId24" xr:uid="{00000000-0004-0000-0100-000017000000}"/>
    <hyperlink ref="Q30" r:id="rId25" xr:uid="{00000000-0004-0000-0100-000018000000}"/>
    <hyperlink ref="R30" r:id="rId26" xr:uid="{00000000-0004-0000-0100-000019000000}"/>
    <hyperlink ref="M31" r:id="rId27" xr:uid="{00000000-0004-0000-0100-00001A000000}"/>
    <hyperlink ref="Q31" r:id="rId28" xr:uid="{00000000-0004-0000-0100-00001B000000}"/>
    <hyperlink ref="R31" r:id="rId29" xr:uid="{00000000-0004-0000-0100-00001C000000}"/>
    <hyperlink ref="Q32" r:id="rId30" xr:uid="{00000000-0004-0000-0100-00001D000000}"/>
    <hyperlink ref="R32" r:id="rId31" xr:uid="{00000000-0004-0000-0100-00001E000000}"/>
    <hyperlink ref="S32" r:id="rId32" xr:uid="{00000000-0004-0000-0100-00001F000000}"/>
    <hyperlink ref="O35" r:id="rId33" xr:uid="{00000000-0004-0000-0100-000020000000}"/>
    <hyperlink ref="Q35" r:id="rId34" xr:uid="{00000000-0004-0000-0100-000021000000}"/>
    <hyperlink ref="R35" r:id="rId35" xr:uid="{00000000-0004-0000-0100-000022000000}"/>
    <hyperlink ref="S35" r:id="rId36" xr:uid="{00000000-0004-0000-0100-000023000000}"/>
    <hyperlink ref="M38" r:id="rId37" xr:uid="{00000000-0004-0000-0100-000024000000}"/>
    <hyperlink ref="Q38" r:id="rId38" xr:uid="{00000000-0004-0000-0100-000025000000}"/>
    <hyperlink ref="R38" r:id="rId39" xr:uid="{00000000-0004-0000-0100-000026000000}"/>
    <hyperlink ref="S38" r:id="rId40" xr:uid="{00000000-0004-0000-0100-000027000000}"/>
    <hyperlink ref="Q39" r:id="rId41" xr:uid="{00000000-0004-0000-0100-000028000000}"/>
    <hyperlink ref="R39" r:id="rId42" xr:uid="{00000000-0004-0000-0100-000029000000}"/>
    <hyperlink ref="S39" r:id="rId43" xr:uid="{00000000-0004-0000-0100-00002A000000}"/>
    <hyperlink ref="O40" r:id="rId44" xr:uid="{00000000-0004-0000-0100-00002B000000}"/>
    <hyperlink ref="Q40" r:id="rId45" xr:uid="{00000000-0004-0000-0100-00002C000000}"/>
    <hyperlink ref="R40" r:id="rId46" xr:uid="{00000000-0004-0000-0100-00002D000000}"/>
    <hyperlink ref="S40" r:id="rId47" display="Referred Alibaba.com and got the details about motor manufacturer" xr:uid="{00000000-0004-0000-0100-00002E000000}"/>
    <hyperlink ref="Q42" r:id="rId48" xr:uid="{00000000-0004-0000-0100-00002F000000}"/>
    <hyperlink ref="R42" r:id="rId49" xr:uid="{00000000-0004-0000-0100-000030000000}"/>
    <hyperlink ref="S42" r:id="rId50" xr:uid="{00000000-0004-0000-0100-000031000000}"/>
    <hyperlink ref="M43" r:id="rId51" xr:uid="{00000000-0004-0000-0100-000032000000}"/>
    <hyperlink ref="Q51" r:id="rId52" xr:uid="{00000000-0004-0000-0100-000033000000}"/>
    <hyperlink ref="R51" r:id="rId53" xr:uid="{00000000-0004-0000-0100-000034000000}"/>
    <hyperlink ref="S51" r:id="rId54" xr:uid="{00000000-0004-0000-0100-000035000000}"/>
    <hyperlink ref="R53" r:id="rId55" xr:uid="{00000000-0004-0000-0100-000036000000}"/>
    <hyperlink ref="M55" r:id="rId56" xr:uid="{00000000-0004-0000-0100-000037000000}"/>
    <hyperlink ref="Q55" r:id="rId57" xr:uid="{00000000-0004-0000-0100-000038000000}"/>
    <hyperlink ref="R55" r:id="rId58" xr:uid="{00000000-0004-0000-0100-000039000000}"/>
  </hyperlinks>
  <pageMargins left="0.7" right="0.7" top="0.75" bottom="0.75" header="0.3" footer="0.3"/>
  <drawing r:id="rId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2"/>
  <sheetViews>
    <sheetView zoomScale="62" workbookViewId="0">
      <selection activeCell="H39" activeCellId="1" sqref="N56 H39:H42"/>
    </sheetView>
  </sheetViews>
  <sheetFormatPr defaultRowHeight="14.5" x14ac:dyDescent="0.35"/>
  <cols>
    <col min="2" max="2" width="20.36328125" bestFit="1" customWidth="1"/>
    <col min="3" max="3" width="18" bestFit="1" customWidth="1"/>
    <col min="7" max="7" width="18" bestFit="1" customWidth="1"/>
    <col min="8" max="8" width="21.08984375" bestFit="1" customWidth="1"/>
    <col min="9" max="9" width="17.08984375" bestFit="1" customWidth="1"/>
    <col min="10" max="10" width="22.90625" bestFit="1" customWidth="1"/>
    <col min="11" max="11" width="19.36328125" bestFit="1" customWidth="1"/>
    <col min="12" max="12" width="21.6328125" bestFit="1" customWidth="1"/>
    <col min="14" max="14" width="13.36328125" bestFit="1" customWidth="1"/>
  </cols>
  <sheetData>
    <row r="1" spans="1:13" ht="52.5" x14ac:dyDescent="0.35">
      <c r="A1" s="149" t="s">
        <v>201</v>
      </c>
      <c r="B1" s="188" t="s">
        <v>49</v>
      </c>
      <c r="C1" s="188" t="s">
        <v>50</v>
      </c>
      <c r="D1" s="36" t="s">
        <v>52</v>
      </c>
      <c r="E1" s="47" t="s">
        <v>202</v>
      </c>
      <c r="F1" s="47" t="s">
        <v>203</v>
      </c>
      <c r="G1" s="114" t="s">
        <v>55</v>
      </c>
      <c r="H1" s="197" t="s">
        <v>297</v>
      </c>
      <c r="I1" s="197" t="s">
        <v>298</v>
      </c>
      <c r="J1" s="197" t="s">
        <v>359</v>
      </c>
      <c r="K1" s="191" t="s">
        <v>384</v>
      </c>
      <c r="L1" s="143"/>
    </row>
    <row r="2" spans="1:13" ht="42" x14ac:dyDescent="0.35">
      <c r="A2" s="149"/>
      <c r="B2" s="187"/>
      <c r="C2" s="187"/>
      <c r="D2" s="36" t="s">
        <v>63</v>
      </c>
      <c r="E2" s="47" t="s">
        <v>63</v>
      </c>
      <c r="F2" s="48" t="s">
        <v>64</v>
      </c>
      <c r="G2" s="86" t="s">
        <v>65</v>
      </c>
      <c r="H2" s="200"/>
      <c r="I2" s="198"/>
      <c r="J2" s="198"/>
      <c r="K2" s="192"/>
      <c r="L2" s="144" t="s">
        <v>360</v>
      </c>
    </row>
    <row r="3" spans="1:13" x14ac:dyDescent="0.35">
      <c r="A3" s="201">
        <v>1</v>
      </c>
      <c r="B3" s="202" t="s">
        <v>68</v>
      </c>
      <c r="C3" s="10" t="s">
        <v>69</v>
      </c>
      <c r="D3" s="161">
        <v>152567</v>
      </c>
      <c r="E3" s="162">
        <v>326443</v>
      </c>
      <c r="F3" s="178">
        <v>0.35</v>
      </c>
      <c r="G3" s="115" t="s">
        <v>72</v>
      </c>
      <c r="H3" s="193">
        <v>326443</v>
      </c>
      <c r="I3" s="199">
        <v>12000</v>
      </c>
      <c r="J3" s="199">
        <f>0.7*H3</f>
        <v>228510.09999999998</v>
      </c>
      <c r="K3" s="196">
        <f>I3*J3/10000000</f>
        <v>274.21211999999997</v>
      </c>
      <c r="L3" s="193">
        <f>0.5*D3</f>
        <v>76283.5</v>
      </c>
    </row>
    <row r="4" spans="1:13" x14ac:dyDescent="0.35">
      <c r="A4" s="201"/>
      <c r="B4" s="203"/>
      <c r="C4" s="10" t="s">
        <v>3</v>
      </c>
      <c r="D4" s="160"/>
      <c r="E4" s="163"/>
      <c r="F4" s="163"/>
      <c r="G4" s="115" t="s">
        <v>72</v>
      </c>
      <c r="H4" s="195"/>
      <c r="I4" s="199"/>
      <c r="J4" s="199"/>
      <c r="K4" s="196"/>
      <c r="L4" s="194"/>
      <c r="M4" t="s">
        <v>310</v>
      </c>
    </row>
    <row r="5" spans="1:13" x14ac:dyDescent="0.35">
      <c r="A5" s="201"/>
      <c r="B5" s="204"/>
      <c r="C5" s="14" t="s">
        <v>78</v>
      </c>
      <c r="D5" s="153"/>
      <c r="E5" s="155"/>
      <c r="F5" s="155"/>
      <c r="G5" s="115" t="s">
        <v>79</v>
      </c>
      <c r="H5" s="194"/>
      <c r="I5" s="2">
        <v>8000</v>
      </c>
      <c r="J5" s="2">
        <f>0.3*H3</f>
        <v>97932.9</v>
      </c>
      <c r="K5" s="51">
        <f>(I5*J5)/10000000</f>
        <v>78.346320000000006</v>
      </c>
      <c r="L5" s="2">
        <v>76283.5</v>
      </c>
      <c r="M5" t="s">
        <v>311</v>
      </c>
    </row>
    <row r="6" spans="1:13" x14ac:dyDescent="0.35">
      <c r="A6" s="201">
        <v>2</v>
      </c>
      <c r="B6" s="205" t="s">
        <v>4</v>
      </c>
      <c r="C6" s="10" t="s">
        <v>85</v>
      </c>
      <c r="D6" s="161">
        <v>94631</v>
      </c>
      <c r="E6" s="162">
        <v>20873</v>
      </c>
      <c r="F6" s="178">
        <v>0.02</v>
      </c>
      <c r="G6" s="115" t="s">
        <v>88</v>
      </c>
      <c r="H6" s="193">
        <v>20873</v>
      </c>
      <c r="I6" s="2">
        <v>12000</v>
      </c>
      <c r="J6" s="2">
        <f>0.5*H6</f>
        <v>10436.5</v>
      </c>
      <c r="K6" s="51">
        <f>(I6*J6)/10000000</f>
        <v>12.5238</v>
      </c>
      <c r="L6" s="2">
        <f>0.5*94631</f>
        <v>47315.5</v>
      </c>
    </row>
    <row r="7" spans="1:13" x14ac:dyDescent="0.35">
      <c r="A7" s="201"/>
      <c r="B7" s="203"/>
      <c r="C7" s="10" t="s">
        <v>93</v>
      </c>
      <c r="D7" s="160"/>
      <c r="E7" s="163"/>
      <c r="F7" s="163"/>
      <c r="G7" s="115" t="s">
        <v>79</v>
      </c>
      <c r="H7" s="195"/>
      <c r="I7" s="199">
        <v>8000</v>
      </c>
      <c r="J7" s="199">
        <f>0.5*20873</f>
        <v>10436.5</v>
      </c>
      <c r="K7" s="196">
        <f>(I7*J7)/10000000</f>
        <v>8.3491999999999997</v>
      </c>
      <c r="L7" s="193">
        <v>47315.5</v>
      </c>
    </row>
    <row r="8" spans="1:13" x14ac:dyDescent="0.35">
      <c r="A8" s="201"/>
      <c r="B8" s="203"/>
      <c r="C8" s="10" t="s">
        <v>9</v>
      </c>
      <c r="D8" s="160"/>
      <c r="E8" s="163"/>
      <c r="F8" s="163"/>
      <c r="G8" s="115" t="s">
        <v>79</v>
      </c>
      <c r="H8" s="195"/>
      <c r="I8" s="199"/>
      <c r="J8" s="199"/>
      <c r="K8" s="196"/>
      <c r="L8" s="195"/>
    </row>
    <row r="9" spans="1:13" x14ac:dyDescent="0.35">
      <c r="A9" s="201"/>
      <c r="B9" s="203"/>
      <c r="C9" s="10" t="s">
        <v>94</v>
      </c>
      <c r="D9" s="160"/>
      <c r="E9" s="163"/>
      <c r="F9" s="163"/>
      <c r="G9" s="115" t="s">
        <v>79</v>
      </c>
      <c r="H9" s="195"/>
      <c r="I9" s="199"/>
      <c r="J9" s="199"/>
      <c r="K9" s="196"/>
      <c r="L9" s="195"/>
    </row>
    <row r="10" spans="1:13" x14ac:dyDescent="0.35">
      <c r="A10" s="201"/>
      <c r="B10" s="203"/>
      <c r="C10" s="10" t="s">
        <v>5</v>
      </c>
      <c r="D10" s="160"/>
      <c r="E10" s="163"/>
      <c r="F10" s="163"/>
      <c r="G10" s="115" t="s">
        <v>79</v>
      </c>
      <c r="H10" s="195"/>
      <c r="I10" s="199"/>
      <c r="J10" s="199"/>
      <c r="K10" s="196"/>
      <c r="L10" s="195"/>
    </row>
    <row r="11" spans="1:13" x14ac:dyDescent="0.35">
      <c r="A11" s="201"/>
      <c r="B11" s="203"/>
      <c r="C11" s="10" t="s">
        <v>8</v>
      </c>
      <c r="D11" s="160"/>
      <c r="E11" s="163"/>
      <c r="F11" s="163"/>
      <c r="G11" s="115" t="s">
        <v>79</v>
      </c>
      <c r="H11" s="195"/>
      <c r="I11" s="199"/>
      <c r="J11" s="199"/>
      <c r="K11" s="196"/>
      <c r="L11" s="195"/>
    </row>
    <row r="12" spans="1:13" x14ac:dyDescent="0.35">
      <c r="A12" s="201"/>
      <c r="B12" s="203"/>
      <c r="C12" s="10" t="s">
        <v>95</v>
      </c>
      <c r="D12" s="160"/>
      <c r="E12" s="163"/>
      <c r="F12" s="163"/>
      <c r="G12" s="115" t="s">
        <v>79</v>
      </c>
      <c r="H12" s="195"/>
      <c r="I12" s="199"/>
      <c r="J12" s="199"/>
      <c r="K12" s="196"/>
      <c r="L12" s="195"/>
    </row>
    <row r="13" spans="1:13" x14ac:dyDescent="0.35">
      <c r="A13" s="201"/>
      <c r="B13" s="204"/>
      <c r="C13" s="10" t="s">
        <v>7</v>
      </c>
      <c r="D13" s="153"/>
      <c r="E13" s="155"/>
      <c r="F13" s="155"/>
      <c r="G13" s="115" t="s">
        <v>79</v>
      </c>
      <c r="H13" s="194"/>
      <c r="I13" s="199"/>
      <c r="J13" s="199"/>
      <c r="K13" s="196"/>
      <c r="L13" s="194"/>
    </row>
    <row r="14" spans="1:13" x14ac:dyDescent="0.35">
      <c r="A14" s="207">
        <v>3</v>
      </c>
      <c r="B14" s="205" t="s">
        <v>96</v>
      </c>
      <c r="C14" s="10" t="s">
        <v>97</v>
      </c>
      <c r="D14" s="161">
        <v>89862</v>
      </c>
      <c r="E14" s="162">
        <v>12094</v>
      </c>
      <c r="F14" s="178">
        <v>0.01</v>
      </c>
      <c r="G14" s="115" t="s">
        <v>79</v>
      </c>
      <c r="H14" s="193">
        <v>12094</v>
      </c>
      <c r="I14" s="199">
        <v>8000</v>
      </c>
      <c r="J14" s="199">
        <v>12094</v>
      </c>
      <c r="K14" s="196">
        <f>(I14*J14)/10000000</f>
        <v>9.6752000000000002</v>
      </c>
      <c r="L14" s="193">
        <v>89862</v>
      </c>
    </row>
    <row r="15" spans="1:13" x14ac:dyDescent="0.35">
      <c r="A15" s="207"/>
      <c r="B15" s="203"/>
      <c r="C15" s="10" t="s">
        <v>99</v>
      </c>
      <c r="D15" s="160"/>
      <c r="E15" s="163"/>
      <c r="F15" s="163"/>
      <c r="G15" s="115" t="s">
        <v>79</v>
      </c>
      <c r="H15" s="195"/>
      <c r="I15" s="199"/>
      <c r="J15" s="199"/>
      <c r="K15" s="196"/>
      <c r="L15" s="195"/>
    </row>
    <row r="16" spans="1:13" x14ac:dyDescent="0.35">
      <c r="A16" s="207"/>
      <c r="B16" s="203"/>
      <c r="C16" s="10" t="s">
        <v>100</v>
      </c>
      <c r="D16" s="160"/>
      <c r="E16" s="163"/>
      <c r="F16" s="163"/>
      <c r="G16" s="115" t="s">
        <v>299</v>
      </c>
      <c r="H16" s="195"/>
      <c r="I16" s="199"/>
      <c r="J16" s="199"/>
      <c r="K16" s="196"/>
      <c r="L16" s="195"/>
      <c r="M16" t="s">
        <v>72</v>
      </c>
    </row>
    <row r="17" spans="1:14" x14ac:dyDescent="0.35">
      <c r="A17" s="207"/>
      <c r="B17" s="203"/>
      <c r="C17" s="10" t="s">
        <v>101</v>
      </c>
      <c r="D17" s="160"/>
      <c r="E17" s="163"/>
      <c r="F17" s="163"/>
      <c r="G17" s="115" t="s">
        <v>79</v>
      </c>
      <c r="H17" s="195"/>
      <c r="I17" s="199"/>
      <c r="J17" s="199"/>
      <c r="K17" s="196"/>
      <c r="L17" s="195"/>
      <c r="M17" t="s">
        <v>79</v>
      </c>
    </row>
    <row r="18" spans="1:14" x14ac:dyDescent="0.35">
      <c r="A18" s="207"/>
      <c r="B18" s="203"/>
      <c r="C18" s="14" t="s">
        <v>102</v>
      </c>
      <c r="D18" s="160"/>
      <c r="E18" s="163"/>
      <c r="F18" s="163"/>
      <c r="G18" s="115" t="s">
        <v>79</v>
      </c>
      <c r="H18" s="195"/>
      <c r="I18" s="199"/>
      <c r="J18" s="199"/>
      <c r="K18" s="196"/>
      <c r="L18" s="195"/>
    </row>
    <row r="19" spans="1:14" x14ac:dyDescent="0.35">
      <c r="A19" s="207"/>
      <c r="B19" s="203"/>
      <c r="C19" s="10" t="s">
        <v>104</v>
      </c>
      <c r="D19" s="160"/>
      <c r="E19" s="163"/>
      <c r="F19" s="163"/>
      <c r="G19" s="115" t="s">
        <v>79</v>
      </c>
      <c r="H19" s="195"/>
      <c r="I19" s="199"/>
      <c r="J19" s="199"/>
      <c r="K19" s="196"/>
      <c r="L19" s="195"/>
    </row>
    <row r="20" spans="1:14" x14ac:dyDescent="0.35">
      <c r="A20" s="207"/>
      <c r="B20" s="203"/>
      <c r="C20" s="10" t="s">
        <v>105</v>
      </c>
      <c r="D20" s="160"/>
      <c r="E20" s="163"/>
      <c r="F20" s="163"/>
      <c r="G20" s="115" t="s">
        <v>79</v>
      </c>
      <c r="H20" s="195"/>
      <c r="I20" s="199"/>
      <c r="J20" s="199"/>
      <c r="K20" s="196"/>
      <c r="L20" s="195"/>
    </row>
    <row r="21" spans="1:14" x14ac:dyDescent="0.35">
      <c r="A21" s="207"/>
      <c r="B21" s="204"/>
      <c r="C21" s="10" t="s">
        <v>106</v>
      </c>
      <c r="D21" s="153"/>
      <c r="E21" s="155"/>
      <c r="F21" s="155"/>
      <c r="G21" s="115" t="s">
        <v>79</v>
      </c>
      <c r="H21" s="194"/>
      <c r="I21" s="199"/>
      <c r="J21" s="199"/>
      <c r="K21" s="196"/>
      <c r="L21" s="194"/>
    </row>
    <row r="22" spans="1:14" x14ac:dyDescent="0.35">
      <c r="A22" s="207">
        <v>4</v>
      </c>
      <c r="B22" s="206" t="s">
        <v>107</v>
      </c>
      <c r="C22" s="10" t="s">
        <v>10</v>
      </c>
      <c r="D22" s="161">
        <v>86351</v>
      </c>
      <c r="E22" s="162">
        <v>55057</v>
      </c>
      <c r="F22" s="178">
        <v>0.06</v>
      </c>
      <c r="G22" s="115" t="s">
        <v>109</v>
      </c>
      <c r="H22" s="193">
        <v>55057</v>
      </c>
      <c r="I22" s="199">
        <v>12000</v>
      </c>
      <c r="J22" s="199">
        <f>0.5*H22</f>
        <v>27528.5</v>
      </c>
      <c r="K22" s="196">
        <f>(I22*J22)/10000000</f>
        <v>33.034199999999998</v>
      </c>
      <c r="L22" s="193">
        <f>0.5*D22</f>
        <v>43175.5</v>
      </c>
    </row>
    <row r="23" spans="1:14" x14ac:dyDescent="0.35">
      <c r="A23" s="207"/>
      <c r="B23" s="203"/>
      <c r="C23" s="10" t="s">
        <v>114</v>
      </c>
      <c r="D23" s="160"/>
      <c r="E23" s="163"/>
      <c r="F23" s="163"/>
      <c r="G23" s="115" t="s">
        <v>72</v>
      </c>
      <c r="H23" s="195"/>
      <c r="I23" s="199"/>
      <c r="J23" s="199"/>
      <c r="K23" s="196"/>
      <c r="L23" s="194"/>
    </row>
    <row r="24" spans="1:14" x14ac:dyDescent="0.35">
      <c r="A24" s="207"/>
      <c r="B24" s="204"/>
      <c r="C24" s="19" t="s">
        <v>12</v>
      </c>
      <c r="D24" s="153"/>
      <c r="E24" s="155"/>
      <c r="F24" s="155"/>
      <c r="G24" s="115" t="s">
        <v>79</v>
      </c>
      <c r="H24" s="194"/>
      <c r="I24" s="2">
        <v>8000</v>
      </c>
      <c r="J24" s="2">
        <v>27528.5</v>
      </c>
      <c r="K24" s="51">
        <f>(I24*J24)/10000000</f>
        <v>22.0228</v>
      </c>
      <c r="L24" s="2">
        <v>43175.5</v>
      </c>
    </row>
    <row r="25" spans="1:14" x14ac:dyDescent="0.35">
      <c r="A25" s="151">
        <v>5</v>
      </c>
      <c r="B25" s="168" t="s">
        <v>13</v>
      </c>
      <c r="C25" s="10" t="s">
        <v>120</v>
      </c>
      <c r="D25" s="161">
        <v>81900</v>
      </c>
      <c r="E25" s="162">
        <v>182959</v>
      </c>
      <c r="F25" s="178">
        <v>0.19</v>
      </c>
      <c r="G25" s="115" t="s">
        <v>79</v>
      </c>
      <c r="H25" s="193">
        <v>182959</v>
      </c>
      <c r="I25" s="199">
        <v>8000</v>
      </c>
      <c r="J25" s="199">
        <v>182959</v>
      </c>
      <c r="K25" s="196">
        <f>(I25*J25)/10000000</f>
        <v>146.3672</v>
      </c>
      <c r="L25" s="193">
        <v>81900</v>
      </c>
    </row>
    <row r="26" spans="1:14" x14ac:dyDescent="0.35">
      <c r="A26" s="151"/>
      <c r="B26" s="160"/>
      <c r="C26" s="10" t="s">
        <v>122</v>
      </c>
      <c r="D26" s="160"/>
      <c r="E26" s="163"/>
      <c r="F26" s="163"/>
      <c r="G26" s="115" t="s">
        <v>79</v>
      </c>
      <c r="H26" s="195"/>
      <c r="I26" s="199"/>
      <c r="J26" s="199"/>
      <c r="K26" s="196"/>
      <c r="L26" s="195"/>
    </row>
    <row r="27" spans="1:14" x14ac:dyDescent="0.35">
      <c r="A27" s="151"/>
      <c r="B27" s="153"/>
      <c r="C27" s="10" t="s">
        <v>14</v>
      </c>
      <c r="D27" s="153"/>
      <c r="E27" s="155"/>
      <c r="F27" s="155"/>
      <c r="G27" s="115" t="s">
        <v>79</v>
      </c>
      <c r="H27" s="194"/>
      <c r="I27" s="199"/>
      <c r="J27" s="199"/>
      <c r="K27" s="196"/>
      <c r="L27" s="194"/>
    </row>
    <row r="28" spans="1:14" x14ac:dyDescent="0.35">
      <c r="A28" s="207">
        <v>6</v>
      </c>
      <c r="B28" s="208" t="s">
        <v>128</v>
      </c>
      <c r="C28" s="10" t="s">
        <v>129</v>
      </c>
      <c r="D28" s="161">
        <v>76837</v>
      </c>
      <c r="E28" s="162">
        <v>108872</v>
      </c>
      <c r="F28" s="178">
        <v>0.12</v>
      </c>
      <c r="G28" s="115" t="s">
        <v>48</v>
      </c>
      <c r="H28" s="193">
        <v>108872</v>
      </c>
      <c r="I28" s="193">
        <v>12000</v>
      </c>
      <c r="J28" s="193">
        <v>108872</v>
      </c>
      <c r="K28" s="193">
        <f>(I28*J28)/10000000</f>
        <v>130.6464</v>
      </c>
      <c r="L28" s="193">
        <v>76837</v>
      </c>
      <c r="M28" t="s">
        <v>0</v>
      </c>
      <c r="N28" t="s">
        <v>405</v>
      </c>
    </row>
    <row r="29" spans="1:14" x14ac:dyDescent="0.35">
      <c r="A29" s="207"/>
      <c r="B29" s="209"/>
      <c r="C29" s="10" t="s">
        <v>134</v>
      </c>
      <c r="D29" s="210"/>
      <c r="E29" s="211"/>
      <c r="F29" s="212"/>
      <c r="G29" s="115" t="s">
        <v>48</v>
      </c>
      <c r="H29" s="194"/>
      <c r="I29" s="194"/>
      <c r="J29" s="194"/>
      <c r="K29" s="194"/>
      <c r="L29" s="194"/>
      <c r="M29" t="s">
        <v>72</v>
      </c>
      <c r="N29">
        <f>SUM(K3,K6,K22,K28,K38,K51,K30)</f>
        <v>590.49491999999998</v>
      </c>
    </row>
    <row r="30" spans="1:14" x14ac:dyDescent="0.35">
      <c r="A30" s="207">
        <v>7</v>
      </c>
      <c r="B30" s="220" t="s">
        <v>135</v>
      </c>
      <c r="C30" s="222" t="s">
        <v>16</v>
      </c>
      <c r="D30" s="161">
        <v>32559</v>
      </c>
      <c r="E30" s="162">
        <v>106990</v>
      </c>
      <c r="F30" s="178">
        <v>0.11</v>
      </c>
      <c r="G30" s="213" t="s">
        <v>136</v>
      </c>
      <c r="H30" s="193">
        <v>106990</v>
      </c>
      <c r="I30" s="193">
        <v>12000</v>
      </c>
      <c r="J30" s="193">
        <v>106990</v>
      </c>
      <c r="K30" s="193">
        <f>(I30*J30)/10000000</f>
        <v>128.38800000000001</v>
      </c>
      <c r="L30" s="193">
        <v>32559</v>
      </c>
      <c r="M30" t="s">
        <v>79</v>
      </c>
      <c r="N30">
        <f>SUM(K5,K7,K14,K24,K25,K32,K39,K47,K55,K55)</f>
        <v>289.70711999999997</v>
      </c>
    </row>
    <row r="31" spans="1:14" x14ac:dyDescent="0.35">
      <c r="A31" s="207"/>
      <c r="B31" s="221"/>
      <c r="C31" s="223"/>
      <c r="D31" s="210"/>
      <c r="E31" s="211"/>
      <c r="F31" s="212"/>
      <c r="G31" s="214"/>
      <c r="H31" s="194"/>
      <c r="I31" s="194"/>
      <c r="J31" s="194"/>
      <c r="K31" s="194"/>
      <c r="L31" s="194"/>
    </row>
    <row r="32" spans="1:14" x14ac:dyDescent="0.35">
      <c r="A32" s="225">
        <v>8</v>
      </c>
      <c r="B32" s="215" t="s">
        <v>141</v>
      </c>
      <c r="C32" s="142" t="s">
        <v>142</v>
      </c>
      <c r="D32" s="161">
        <v>13173</v>
      </c>
      <c r="E32" s="162">
        <v>14035</v>
      </c>
      <c r="F32" s="178">
        <v>0.01</v>
      </c>
      <c r="G32" s="115" t="s">
        <v>79</v>
      </c>
      <c r="H32" s="193">
        <v>14035</v>
      </c>
      <c r="I32" s="193">
        <v>8000</v>
      </c>
      <c r="J32" s="193">
        <v>14035</v>
      </c>
      <c r="K32" s="193">
        <f>(I32*J32)/10000000</f>
        <v>11.228</v>
      </c>
      <c r="L32" s="193">
        <v>13173</v>
      </c>
    </row>
    <row r="33" spans="1:12" x14ac:dyDescent="0.35">
      <c r="A33" s="231"/>
      <c r="B33" s="216"/>
      <c r="C33" s="142" t="s">
        <v>149</v>
      </c>
      <c r="D33" s="217"/>
      <c r="E33" s="218"/>
      <c r="F33" s="219"/>
      <c r="G33" s="115" t="s">
        <v>79</v>
      </c>
      <c r="H33" s="195"/>
      <c r="I33" s="195"/>
      <c r="J33" s="195"/>
      <c r="K33" s="195"/>
      <c r="L33" s="195"/>
    </row>
    <row r="34" spans="1:12" x14ac:dyDescent="0.35">
      <c r="A34" s="231"/>
      <c r="B34" s="216"/>
      <c r="C34" s="142" t="s">
        <v>150</v>
      </c>
      <c r="D34" s="217"/>
      <c r="E34" s="218"/>
      <c r="F34" s="219"/>
      <c r="G34" s="115" t="s">
        <v>79</v>
      </c>
      <c r="H34" s="195"/>
      <c r="I34" s="195"/>
      <c r="J34" s="195"/>
      <c r="K34" s="195"/>
      <c r="L34" s="195"/>
    </row>
    <row r="35" spans="1:12" x14ac:dyDescent="0.35">
      <c r="A35" s="231"/>
      <c r="B35" s="216"/>
      <c r="C35" s="142" t="s">
        <v>151</v>
      </c>
      <c r="D35" s="217"/>
      <c r="E35" s="218"/>
      <c r="F35" s="219"/>
      <c r="G35" s="115" t="s">
        <v>79</v>
      </c>
      <c r="H35" s="195"/>
      <c r="I35" s="195"/>
      <c r="J35" s="195"/>
      <c r="K35" s="195"/>
      <c r="L35" s="195"/>
    </row>
    <row r="36" spans="1:12" x14ac:dyDescent="0.35">
      <c r="A36" s="231"/>
      <c r="B36" s="216"/>
      <c r="C36" s="142" t="s">
        <v>157</v>
      </c>
      <c r="D36" s="217"/>
      <c r="E36" s="218"/>
      <c r="F36" s="219"/>
      <c r="G36" s="115" t="s">
        <v>79</v>
      </c>
      <c r="H36" s="195"/>
      <c r="I36" s="195"/>
      <c r="J36" s="195"/>
      <c r="K36" s="195"/>
      <c r="L36" s="195"/>
    </row>
    <row r="37" spans="1:12" x14ac:dyDescent="0.35">
      <c r="A37" s="226"/>
      <c r="B37" s="216"/>
      <c r="C37" s="142" t="s">
        <v>158</v>
      </c>
      <c r="D37" s="210"/>
      <c r="E37" s="211"/>
      <c r="F37" s="212"/>
      <c r="G37" s="115" t="s">
        <v>79</v>
      </c>
      <c r="H37" s="194"/>
      <c r="I37" s="194"/>
      <c r="J37" s="194"/>
      <c r="K37" s="194"/>
      <c r="L37" s="194"/>
    </row>
    <row r="38" spans="1:12" x14ac:dyDescent="0.35">
      <c r="A38" s="67">
        <v>9</v>
      </c>
      <c r="B38" s="147" t="s">
        <v>160</v>
      </c>
      <c r="C38" s="10" t="s">
        <v>161</v>
      </c>
      <c r="D38" s="27">
        <v>12924</v>
      </c>
      <c r="E38" s="37">
        <v>7342</v>
      </c>
      <c r="F38" s="41">
        <v>7.0000000000000001E-3</v>
      </c>
      <c r="G38" s="115" t="s">
        <v>162</v>
      </c>
      <c r="H38" s="2">
        <v>7342</v>
      </c>
      <c r="I38" s="2">
        <v>12000</v>
      </c>
      <c r="J38" s="2">
        <v>7342</v>
      </c>
      <c r="K38" s="51">
        <f>(I38*J38)/10000000</f>
        <v>8.8103999999999996</v>
      </c>
      <c r="L38" s="2">
        <v>12924</v>
      </c>
    </row>
    <row r="39" spans="1:12" x14ac:dyDescent="0.35">
      <c r="A39" s="207">
        <v>10</v>
      </c>
      <c r="B39" s="206" t="s">
        <v>164</v>
      </c>
      <c r="C39" s="10" t="s">
        <v>165</v>
      </c>
      <c r="D39" s="161"/>
      <c r="E39" s="162"/>
      <c r="F39" s="176"/>
      <c r="G39" s="115" t="s">
        <v>79</v>
      </c>
      <c r="H39" s="193">
        <v>5400</v>
      </c>
      <c r="I39" s="199">
        <v>8000</v>
      </c>
      <c r="J39" s="199">
        <v>5400</v>
      </c>
      <c r="K39" s="196">
        <f>(I39*J39)/10000000</f>
        <v>4.32</v>
      </c>
      <c r="L39" s="2"/>
    </row>
    <row r="40" spans="1:12" x14ac:dyDescent="0.35">
      <c r="A40" s="207"/>
      <c r="B40" s="203"/>
      <c r="C40" s="10" t="s">
        <v>166</v>
      </c>
      <c r="D40" s="160"/>
      <c r="E40" s="163"/>
      <c r="F40" s="163"/>
      <c r="G40" s="115" t="s">
        <v>79</v>
      </c>
      <c r="H40" s="195"/>
      <c r="I40" s="199"/>
      <c r="J40" s="199"/>
      <c r="K40" s="196"/>
      <c r="L40" s="2"/>
    </row>
    <row r="41" spans="1:12" x14ac:dyDescent="0.35">
      <c r="A41" s="207"/>
      <c r="B41" s="203"/>
      <c r="C41" s="10" t="s">
        <v>167</v>
      </c>
      <c r="D41" s="160"/>
      <c r="E41" s="163"/>
      <c r="F41" s="163"/>
      <c r="G41" s="115" t="s">
        <v>79</v>
      </c>
      <c r="H41" s="195"/>
      <c r="I41" s="199"/>
      <c r="J41" s="199"/>
      <c r="K41" s="196"/>
      <c r="L41" s="2"/>
    </row>
    <row r="42" spans="1:12" x14ac:dyDescent="0.35">
      <c r="A42" s="207"/>
      <c r="B42" s="204"/>
      <c r="C42" s="10" t="s">
        <v>168</v>
      </c>
      <c r="D42" s="153"/>
      <c r="E42" s="155"/>
      <c r="F42" s="155"/>
      <c r="G42" s="115" t="s">
        <v>79</v>
      </c>
      <c r="H42" s="194"/>
      <c r="I42" s="199"/>
      <c r="J42" s="199"/>
      <c r="K42" s="196"/>
      <c r="L42" s="2"/>
    </row>
    <row r="43" spans="1:12" x14ac:dyDescent="0.35">
      <c r="A43" s="151">
        <v>11</v>
      </c>
      <c r="B43" s="159" t="s">
        <v>169</v>
      </c>
      <c r="C43" s="10" t="s">
        <v>170</v>
      </c>
      <c r="D43" s="161">
        <v>10733</v>
      </c>
      <c r="E43" s="162"/>
      <c r="F43" s="41"/>
      <c r="G43" s="115" t="s">
        <v>79</v>
      </c>
      <c r="H43" s="193">
        <v>0</v>
      </c>
      <c r="I43" s="199">
        <v>8000</v>
      </c>
      <c r="J43" s="199">
        <v>0</v>
      </c>
      <c r="K43" s="228">
        <v>0</v>
      </c>
      <c r="L43" s="123"/>
    </row>
    <row r="44" spans="1:12" x14ac:dyDescent="0.35">
      <c r="A44" s="151"/>
      <c r="B44" s="160"/>
      <c r="C44" s="10" t="s">
        <v>171</v>
      </c>
      <c r="D44" s="160"/>
      <c r="E44" s="163"/>
      <c r="F44" s="41"/>
      <c r="G44" s="115" t="s">
        <v>79</v>
      </c>
      <c r="H44" s="195"/>
      <c r="I44" s="199"/>
      <c r="J44" s="199"/>
      <c r="K44" s="229"/>
      <c r="L44" s="124"/>
    </row>
    <row r="45" spans="1:12" x14ac:dyDescent="0.35">
      <c r="A45" s="151"/>
      <c r="B45" s="160"/>
      <c r="C45" s="10" t="s">
        <v>172</v>
      </c>
      <c r="D45" s="160"/>
      <c r="E45" s="163"/>
      <c r="F45" s="41"/>
      <c r="G45" s="115" t="s">
        <v>79</v>
      </c>
      <c r="H45" s="195"/>
      <c r="I45" s="199"/>
      <c r="J45" s="199"/>
      <c r="K45" s="229"/>
      <c r="L45" s="124">
        <v>10733</v>
      </c>
    </row>
    <row r="46" spans="1:12" x14ac:dyDescent="0.35">
      <c r="A46" s="132"/>
      <c r="B46" s="153"/>
      <c r="C46" s="10" t="s">
        <v>173</v>
      </c>
      <c r="D46" s="153"/>
      <c r="E46" s="155"/>
      <c r="F46" s="41"/>
      <c r="G46" s="115" t="s">
        <v>79</v>
      </c>
      <c r="H46" s="194"/>
      <c r="I46" s="199"/>
      <c r="J46" s="199"/>
      <c r="K46" s="230"/>
      <c r="L46" s="125"/>
    </row>
    <row r="47" spans="1:12" x14ac:dyDescent="0.35">
      <c r="A47" s="207">
        <v>12</v>
      </c>
      <c r="B47" s="227" t="s">
        <v>174</v>
      </c>
      <c r="C47" s="10" t="s">
        <v>17</v>
      </c>
      <c r="D47" s="161">
        <v>8459</v>
      </c>
      <c r="E47" s="162"/>
      <c r="F47" s="41"/>
      <c r="G47" s="115" t="s">
        <v>79</v>
      </c>
      <c r="H47" s="193">
        <v>1946</v>
      </c>
      <c r="I47" s="199">
        <v>8000</v>
      </c>
      <c r="J47" s="193">
        <v>1946</v>
      </c>
      <c r="K47" s="228">
        <f>PRODUCT(I47,J47)/10000000</f>
        <v>1.5568</v>
      </c>
      <c r="L47" s="193">
        <v>8459</v>
      </c>
    </row>
    <row r="48" spans="1:12" x14ac:dyDescent="0.35">
      <c r="A48" s="207"/>
      <c r="B48" s="203"/>
      <c r="C48" s="10" t="s">
        <v>175</v>
      </c>
      <c r="D48" s="160"/>
      <c r="E48" s="163"/>
      <c r="F48" s="41"/>
      <c r="G48" s="115" t="s">
        <v>79</v>
      </c>
      <c r="H48" s="195"/>
      <c r="I48" s="199"/>
      <c r="J48" s="195"/>
      <c r="K48" s="229"/>
      <c r="L48" s="195"/>
    </row>
    <row r="49" spans="1:12" x14ac:dyDescent="0.35">
      <c r="A49" s="207"/>
      <c r="B49" s="203"/>
      <c r="C49" s="10" t="s">
        <v>18</v>
      </c>
      <c r="D49" s="160"/>
      <c r="E49" s="163"/>
      <c r="F49" s="41"/>
      <c r="G49" s="115" t="s">
        <v>79</v>
      </c>
      <c r="H49" s="195"/>
      <c r="I49" s="199"/>
      <c r="J49" s="195"/>
      <c r="K49" s="229"/>
      <c r="L49" s="195"/>
    </row>
    <row r="50" spans="1:12" x14ac:dyDescent="0.35">
      <c r="A50" s="207"/>
      <c r="B50" s="204"/>
      <c r="C50" s="10" t="s">
        <v>19</v>
      </c>
      <c r="D50" s="153"/>
      <c r="E50" s="155"/>
      <c r="F50" s="41"/>
      <c r="G50" s="115" t="s">
        <v>79</v>
      </c>
      <c r="H50" s="194"/>
      <c r="I50" s="199"/>
      <c r="J50" s="194"/>
      <c r="K50" s="230"/>
      <c r="L50" s="195"/>
    </row>
    <row r="51" spans="1:12" x14ac:dyDescent="0.35">
      <c r="A51" s="207">
        <v>13</v>
      </c>
      <c r="B51" s="206" t="s">
        <v>20</v>
      </c>
      <c r="C51" s="10" t="s">
        <v>176</v>
      </c>
      <c r="D51" s="167" t="s">
        <v>177</v>
      </c>
      <c r="E51" s="174"/>
      <c r="F51" s="38"/>
      <c r="G51" s="115" t="s">
        <v>179</v>
      </c>
      <c r="H51" s="193">
        <v>2400</v>
      </c>
      <c r="I51" s="199">
        <v>12000</v>
      </c>
      <c r="J51" s="199">
        <v>2400</v>
      </c>
      <c r="K51" s="196">
        <f>(I51*J51)/10000000</f>
        <v>2.88</v>
      </c>
      <c r="L51" s="2"/>
    </row>
    <row r="52" spans="1:12" x14ac:dyDescent="0.35">
      <c r="A52" s="207"/>
      <c r="B52" s="204"/>
      <c r="C52" s="10" t="s">
        <v>21</v>
      </c>
      <c r="D52" s="153"/>
      <c r="E52" s="155"/>
      <c r="F52" s="38" t="s">
        <v>28</v>
      </c>
      <c r="G52" s="115" t="s">
        <v>179</v>
      </c>
      <c r="H52" s="194"/>
      <c r="I52" s="199"/>
      <c r="J52" s="199"/>
      <c r="K52" s="196"/>
      <c r="L52" s="2"/>
    </row>
    <row r="53" spans="1:12" x14ac:dyDescent="0.35">
      <c r="A53" s="225">
        <v>14</v>
      </c>
      <c r="B53" s="224" t="s">
        <v>184</v>
      </c>
      <c r="C53" s="10" t="s">
        <v>185</v>
      </c>
      <c r="D53" s="11" t="s">
        <v>177</v>
      </c>
      <c r="E53" s="38"/>
      <c r="F53" s="38"/>
      <c r="G53" s="116" t="s">
        <v>72</v>
      </c>
      <c r="H53" s="193"/>
      <c r="I53" s="199">
        <v>12000</v>
      </c>
      <c r="J53" s="2"/>
      <c r="K53" s="51"/>
      <c r="L53" s="2"/>
    </row>
    <row r="54" spans="1:12" x14ac:dyDescent="0.35">
      <c r="A54" s="226"/>
      <c r="B54" s="204"/>
      <c r="C54" s="10" t="s">
        <v>192</v>
      </c>
      <c r="D54" s="11" t="s">
        <v>177</v>
      </c>
      <c r="E54" s="38"/>
      <c r="F54" s="38"/>
      <c r="G54" s="116" t="s">
        <v>72</v>
      </c>
      <c r="H54" s="194"/>
      <c r="I54" s="199"/>
      <c r="J54" s="2"/>
      <c r="K54" s="51"/>
      <c r="L54" s="2"/>
    </row>
    <row r="55" spans="1:12" x14ac:dyDescent="0.35">
      <c r="A55" s="141">
        <v>15</v>
      </c>
      <c r="B55" s="30" t="s">
        <v>193</v>
      </c>
      <c r="C55" s="10" t="s">
        <v>26</v>
      </c>
      <c r="D55" s="11" t="s">
        <v>177</v>
      </c>
      <c r="E55" s="38"/>
      <c r="F55" s="42">
        <v>8.0000000000000002E-3</v>
      </c>
      <c r="G55" s="115" t="s">
        <v>79</v>
      </c>
      <c r="H55" s="2">
        <v>4901</v>
      </c>
      <c r="I55" s="2">
        <v>8000</v>
      </c>
      <c r="J55" s="2">
        <v>4901</v>
      </c>
      <c r="K55" s="51">
        <f>(I55*J55)/10000000</f>
        <v>3.9207999999999998</v>
      </c>
      <c r="L55" s="2"/>
    </row>
    <row r="56" spans="1:12" x14ac:dyDescent="0.35">
      <c r="A56" s="207">
        <v>16</v>
      </c>
      <c r="B56" s="205" t="s">
        <v>198</v>
      </c>
      <c r="C56" s="1" t="s">
        <v>199</v>
      </c>
      <c r="D56" s="32" t="s">
        <v>177</v>
      </c>
      <c r="E56" s="39"/>
      <c r="F56" s="39" t="s">
        <v>28</v>
      </c>
      <c r="G56" s="117" t="s">
        <v>79</v>
      </c>
      <c r="H56" s="193"/>
      <c r="I56" s="199">
        <v>8000</v>
      </c>
      <c r="J56" s="2"/>
      <c r="K56" s="51"/>
      <c r="L56" s="2"/>
    </row>
    <row r="57" spans="1:12" x14ac:dyDescent="0.35">
      <c r="A57" s="207"/>
      <c r="B57" s="204"/>
      <c r="C57" s="14" t="s">
        <v>200</v>
      </c>
      <c r="D57" s="32" t="s">
        <v>177</v>
      </c>
      <c r="E57" s="39"/>
      <c r="F57" s="39" t="s">
        <v>28</v>
      </c>
      <c r="G57" s="117" t="s">
        <v>79</v>
      </c>
      <c r="H57" s="194"/>
      <c r="I57" s="199"/>
      <c r="J57" s="2"/>
      <c r="K57" s="51"/>
      <c r="L57" s="2"/>
    </row>
    <row r="58" spans="1:12" x14ac:dyDescent="0.35">
      <c r="A58" s="207">
        <v>17</v>
      </c>
      <c r="B58" s="205" t="s">
        <v>23</v>
      </c>
      <c r="C58" s="1" t="s">
        <v>24</v>
      </c>
      <c r="D58" s="33" t="s">
        <v>28</v>
      </c>
      <c r="E58" s="50" t="s">
        <v>208</v>
      </c>
      <c r="F58" s="154" t="s">
        <v>208</v>
      </c>
      <c r="G58" s="117" t="s">
        <v>79</v>
      </c>
      <c r="H58" s="193">
        <v>9703</v>
      </c>
      <c r="I58" s="199">
        <v>8000</v>
      </c>
      <c r="J58" s="199">
        <v>9703</v>
      </c>
      <c r="K58" s="196">
        <f>(I58*J58)/10000000</f>
        <v>7.7624000000000004</v>
      </c>
      <c r="L58" s="2"/>
    </row>
    <row r="59" spans="1:12" x14ac:dyDescent="0.35">
      <c r="A59" s="207"/>
      <c r="B59" s="204"/>
      <c r="C59" s="1" t="s">
        <v>25</v>
      </c>
      <c r="D59" s="33" t="s">
        <v>28</v>
      </c>
      <c r="E59" s="50"/>
      <c r="F59" s="155"/>
      <c r="G59" s="117" t="s">
        <v>79</v>
      </c>
      <c r="H59" s="194"/>
      <c r="I59" s="199"/>
      <c r="J59" s="199"/>
      <c r="K59" s="196"/>
      <c r="L59" s="2"/>
    </row>
    <row r="60" spans="1:12" x14ac:dyDescent="0.35">
      <c r="A60" s="141"/>
      <c r="J60" s="118" t="s">
        <v>300</v>
      </c>
      <c r="K60" s="119">
        <f>SUM(K3, K5:K59)</f>
        <v>884.04363999999987</v>
      </c>
      <c r="L60" s="2"/>
    </row>
    <row r="61" spans="1:12" x14ac:dyDescent="0.35">
      <c r="A61" s="141"/>
    </row>
    <row r="62" spans="1:12" x14ac:dyDescent="0.35">
      <c r="H62" t="s">
        <v>208</v>
      </c>
    </row>
  </sheetData>
  <mergeCells count="138">
    <mergeCell ref="A28:A29"/>
    <mergeCell ref="A30:A31"/>
    <mergeCell ref="A32:A37"/>
    <mergeCell ref="A39:A42"/>
    <mergeCell ref="A43:A45"/>
    <mergeCell ref="A47:A50"/>
    <mergeCell ref="A51:A52"/>
    <mergeCell ref="A56:A57"/>
    <mergeCell ref="A58:A59"/>
    <mergeCell ref="A53:A54"/>
    <mergeCell ref="L30:L31"/>
    <mergeCell ref="L32:L37"/>
    <mergeCell ref="L47:L50"/>
    <mergeCell ref="L3:L4"/>
    <mergeCell ref="L7:L13"/>
    <mergeCell ref="L14:L21"/>
    <mergeCell ref="L22:L23"/>
    <mergeCell ref="L25:L27"/>
    <mergeCell ref="L28:L29"/>
    <mergeCell ref="B58:B59"/>
    <mergeCell ref="F58:F59"/>
    <mergeCell ref="B47:B50"/>
    <mergeCell ref="D47:D50"/>
    <mergeCell ref="E47:E50"/>
    <mergeCell ref="B51:B52"/>
    <mergeCell ref="D51:D52"/>
    <mergeCell ref="E51:E52"/>
    <mergeCell ref="K43:K46"/>
    <mergeCell ref="H47:H50"/>
    <mergeCell ref="J47:J50"/>
    <mergeCell ref="K47:K50"/>
    <mergeCell ref="K58:K59"/>
    <mergeCell ref="J58:J59"/>
    <mergeCell ref="I53:I54"/>
    <mergeCell ref="I56:I57"/>
    <mergeCell ref="I58:I59"/>
    <mergeCell ref="B39:B42"/>
    <mergeCell ref="D39:D42"/>
    <mergeCell ref="E39:E42"/>
    <mergeCell ref="F39:F42"/>
    <mergeCell ref="B43:B46"/>
    <mergeCell ref="D43:D46"/>
    <mergeCell ref="E43:E46"/>
    <mergeCell ref="B53:B54"/>
    <mergeCell ref="B56:B57"/>
    <mergeCell ref="H39:H42"/>
    <mergeCell ref="H58:H59"/>
    <mergeCell ref="H56:H57"/>
    <mergeCell ref="H53:H54"/>
    <mergeCell ref="H51:H52"/>
    <mergeCell ref="H43:H46"/>
    <mergeCell ref="I51:I52"/>
    <mergeCell ref="J51:J52"/>
    <mergeCell ref="B28:B29"/>
    <mergeCell ref="D28:D29"/>
    <mergeCell ref="E28:E29"/>
    <mergeCell ref="F28:F29"/>
    <mergeCell ref="G30:G31"/>
    <mergeCell ref="B32:B37"/>
    <mergeCell ref="D32:D37"/>
    <mergeCell ref="E32:E37"/>
    <mergeCell ref="F32:F37"/>
    <mergeCell ref="B30:B31"/>
    <mergeCell ref="C30:C31"/>
    <mergeCell ref="D30:D31"/>
    <mergeCell ref="E30:E31"/>
    <mergeCell ref="F30:F31"/>
    <mergeCell ref="D3:D5"/>
    <mergeCell ref="A14:A21"/>
    <mergeCell ref="B14:B21"/>
    <mergeCell ref="D14:D21"/>
    <mergeCell ref="E14:E21"/>
    <mergeCell ref="F14:F21"/>
    <mergeCell ref="B25:B27"/>
    <mergeCell ref="D25:D27"/>
    <mergeCell ref="E25:E27"/>
    <mergeCell ref="F25:F27"/>
    <mergeCell ref="A22:A24"/>
    <mergeCell ref="A25:A27"/>
    <mergeCell ref="H22:H24"/>
    <mergeCell ref="H25:H27"/>
    <mergeCell ref="H1:H2"/>
    <mergeCell ref="J3:J4"/>
    <mergeCell ref="I7:I13"/>
    <mergeCell ref="J7:J13"/>
    <mergeCell ref="I14:I21"/>
    <mergeCell ref="J14:J21"/>
    <mergeCell ref="A1:A2"/>
    <mergeCell ref="B1:B2"/>
    <mergeCell ref="C1:C2"/>
    <mergeCell ref="A3:A5"/>
    <mergeCell ref="B3:B5"/>
    <mergeCell ref="A6:A13"/>
    <mergeCell ref="B6:B13"/>
    <mergeCell ref="D6:D13"/>
    <mergeCell ref="E6:E13"/>
    <mergeCell ref="F6:F13"/>
    <mergeCell ref="B22:B24"/>
    <mergeCell ref="D22:D24"/>
    <mergeCell ref="E22:E24"/>
    <mergeCell ref="F22:F24"/>
    <mergeCell ref="E3:E5"/>
    <mergeCell ref="F3:F5"/>
    <mergeCell ref="H28:H29"/>
    <mergeCell ref="H30:H31"/>
    <mergeCell ref="H32:H37"/>
    <mergeCell ref="I1:I2"/>
    <mergeCell ref="J1:J2"/>
    <mergeCell ref="I3:I4"/>
    <mergeCell ref="I39:I42"/>
    <mergeCell ref="I43:I46"/>
    <mergeCell ref="I47:I50"/>
    <mergeCell ref="I22:I23"/>
    <mergeCell ref="J22:J23"/>
    <mergeCell ref="I25:I27"/>
    <mergeCell ref="I28:I29"/>
    <mergeCell ref="I30:I31"/>
    <mergeCell ref="J25:J27"/>
    <mergeCell ref="J28:J29"/>
    <mergeCell ref="J30:J31"/>
    <mergeCell ref="J32:J37"/>
    <mergeCell ref="J39:J42"/>
    <mergeCell ref="J43:J46"/>
    <mergeCell ref="I32:I37"/>
    <mergeCell ref="H3:H5"/>
    <mergeCell ref="H6:H13"/>
    <mergeCell ref="H14:H21"/>
    <mergeCell ref="K1:K2"/>
    <mergeCell ref="K28:K29"/>
    <mergeCell ref="K30:K31"/>
    <mergeCell ref="K32:K37"/>
    <mergeCell ref="K39:K42"/>
    <mergeCell ref="K51:K52"/>
    <mergeCell ref="K3:K4"/>
    <mergeCell ref="K7:K13"/>
    <mergeCell ref="K14:K21"/>
    <mergeCell ref="K22:K23"/>
    <mergeCell ref="K25:K2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
  <sheetViews>
    <sheetView workbookViewId="0">
      <selection activeCell="A51" sqref="A51:G61"/>
    </sheetView>
  </sheetViews>
  <sheetFormatPr defaultRowHeight="14.5" x14ac:dyDescent="0.35"/>
  <cols>
    <col min="2" max="2" width="19.36328125" bestFit="1" customWidth="1"/>
    <col min="3" max="3" width="11.6328125" bestFit="1" customWidth="1"/>
    <col min="4" max="4" width="13.453125" customWidth="1"/>
    <col min="5" max="5" width="10.6328125" customWidth="1"/>
    <col min="6" max="6" width="16.36328125" bestFit="1" customWidth="1"/>
    <col min="7" max="7" width="13.81640625" bestFit="1" customWidth="1"/>
  </cols>
  <sheetData>
    <row r="1" spans="1:8" x14ac:dyDescent="0.35">
      <c r="A1" s="58" t="s">
        <v>201</v>
      </c>
      <c r="B1" s="58" t="s">
        <v>398</v>
      </c>
      <c r="C1" s="58" t="s">
        <v>399</v>
      </c>
      <c r="D1" s="58" t="s">
        <v>400</v>
      </c>
      <c r="E1" s="58" t="s">
        <v>401</v>
      </c>
      <c r="F1" s="58" t="s">
        <v>402</v>
      </c>
      <c r="G1" s="58" t="s">
        <v>403</v>
      </c>
      <c r="H1" s="58" t="s">
        <v>404</v>
      </c>
    </row>
    <row r="2" spans="1:8" ht="31.5" x14ac:dyDescent="0.35">
      <c r="A2" s="58"/>
      <c r="B2" s="83"/>
      <c r="C2" s="83"/>
      <c r="D2" s="59" t="s">
        <v>62</v>
      </c>
      <c r="E2" s="82"/>
      <c r="F2" s="82"/>
      <c r="G2" s="82"/>
    </row>
    <row r="3" spans="1:8" x14ac:dyDescent="0.35">
      <c r="A3" s="96">
        <v>1</v>
      </c>
      <c r="B3" s="88" t="s">
        <v>68</v>
      </c>
      <c r="C3" s="60" t="s">
        <v>69</v>
      </c>
      <c r="D3" s="60" t="s">
        <v>1</v>
      </c>
      <c r="E3" s="61">
        <v>69999</v>
      </c>
      <c r="F3" s="2">
        <f t="shared" ref="F3:F8" si="0">PRODUCT(0.08,E3)</f>
        <v>5599.92</v>
      </c>
      <c r="G3" s="2">
        <f t="shared" ref="G3:G8" si="1">PRODUCT(0.12,E3)</f>
        <v>8399.8799999999992</v>
      </c>
      <c r="H3" t="s">
        <v>361</v>
      </c>
    </row>
    <row r="4" spans="1:8" x14ac:dyDescent="0.35">
      <c r="A4" s="8"/>
      <c r="B4" s="64"/>
      <c r="C4" s="60" t="s">
        <v>3</v>
      </c>
      <c r="D4" s="60" t="s">
        <v>1</v>
      </c>
      <c r="E4" s="61">
        <v>99999</v>
      </c>
      <c r="F4" s="2">
        <f t="shared" si="0"/>
        <v>7999.92</v>
      </c>
      <c r="G4" s="2">
        <f t="shared" si="1"/>
        <v>11999.88</v>
      </c>
      <c r="H4" t="s">
        <v>397</v>
      </c>
    </row>
    <row r="5" spans="1:8" ht="31.5" x14ac:dyDescent="0.35">
      <c r="A5" s="8"/>
      <c r="B5" s="64"/>
      <c r="C5" s="62" t="s">
        <v>78</v>
      </c>
      <c r="D5" s="60" t="s">
        <v>1</v>
      </c>
      <c r="E5" s="61">
        <v>89999</v>
      </c>
      <c r="F5" s="2">
        <f t="shared" si="0"/>
        <v>7199.92</v>
      </c>
      <c r="G5" s="2">
        <f t="shared" si="1"/>
        <v>10799.88</v>
      </c>
    </row>
    <row r="6" spans="1:8" ht="14.4" customHeight="1" x14ac:dyDescent="0.35">
      <c r="A6" s="87">
        <v>2</v>
      </c>
      <c r="B6" s="89" t="s">
        <v>4</v>
      </c>
      <c r="C6" s="60" t="s">
        <v>85</v>
      </c>
      <c r="D6" s="60" t="s">
        <v>1</v>
      </c>
      <c r="E6" s="2" t="s">
        <v>251</v>
      </c>
      <c r="F6" s="2">
        <f t="shared" si="0"/>
        <v>0.08</v>
      </c>
      <c r="G6" s="2">
        <f t="shared" si="1"/>
        <v>0.12</v>
      </c>
    </row>
    <row r="7" spans="1:8" x14ac:dyDescent="0.35">
      <c r="A7" s="8"/>
      <c r="B7" s="64"/>
      <c r="C7" s="60" t="s">
        <v>93</v>
      </c>
      <c r="D7" s="60" t="s">
        <v>1</v>
      </c>
      <c r="E7" s="2" t="s">
        <v>252</v>
      </c>
      <c r="F7" s="2">
        <f t="shared" si="0"/>
        <v>0.08</v>
      </c>
      <c r="G7" s="2">
        <f t="shared" si="1"/>
        <v>0.12</v>
      </c>
    </row>
    <row r="8" spans="1:8" x14ac:dyDescent="0.35">
      <c r="A8" s="8"/>
      <c r="B8" s="64"/>
      <c r="C8" s="60" t="s">
        <v>9</v>
      </c>
      <c r="D8" s="60" t="s">
        <v>1</v>
      </c>
      <c r="E8" s="61">
        <v>84443</v>
      </c>
      <c r="F8" s="2">
        <f t="shared" si="0"/>
        <v>6755.4400000000005</v>
      </c>
      <c r="G8" s="2">
        <f t="shared" si="1"/>
        <v>10133.16</v>
      </c>
    </row>
    <row r="9" spans="1:8" x14ac:dyDescent="0.35">
      <c r="A9" s="8"/>
      <c r="B9" s="64"/>
      <c r="C9" s="60" t="s">
        <v>94</v>
      </c>
      <c r="D9" s="60" t="s">
        <v>1</v>
      </c>
      <c r="E9" s="2" t="s">
        <v>253</v>
      </c>
      <c r="F9" s="2">
        <f>PRODUCT(0.08,119085)</f>
        <v>9526.8000000000011</v>
      </c>
      <c r="G9" s="2">
        <f>PRODUCT(0.12,119085)</f>
        <v>14290.199999999999</v>
      </c>
    </row>
    <row r="10" spans="1:8" x14ac:dyDescent="0.35">
      <c r="A10" s="8"/>
      <c r="B10" s="64"/>
      <c r="C10" s="60" t="s">
        <v>5</v>
      </c>
      <c r="D10" s="60" t="s">
        <v>6</v>
      </c>
      <c r="E10" s="2" t="s">
        <v>254</v>
      </c>
      <c r="F10" s="2">
        <f>PRODUCT(0.08,115311)</f>
        <v>9224.880000000001</v>
      </c>
      <c r="G10" s="2">
        <f>PRODUCT(0.12,115311)</f>
        <v>13837.32</v>
      </c>
    </row>
    <row r="11" spans="1:8" x14ac:dyDescent="0.35">
      <c r="A11" s="8"/>
      <c r="B11" s="64"/>
      <c r="C11" s="60" t="s">
        <v>8</v>
      </c>
      <c r="D11" s="60" t="s">
        <v>6</v>
      </c>
      <c r="E11" s="61">
        <v>84606</v>
      </c>
      <c r="F11" s="2">
        <f>PRODUCT(0.08,E11)</f>
        <v>6768.4800000000005</v>
      </c>
      <c r="G11" s="2">
        <f>PRODUCT(0.12,E11)</f>
        <v>10152.719999999999</v>
      </c>
    </row>
    <row r="12" spans="1:8" x14ac:dyDescent="0.35">
      <c r="A12" s="8"/>
      <c r="B12" s="64"/>
      <c r="C12" s="60" t="s">
        <v>95</v>
      </c>
      <c r="D12" s="60" t="s">
        <v>6</v>
      </c>
      <c r="E12" s="61">
        <v>61998</v>
      </c>
      <c r="F12" s="2">
        <f>PRODUCT(0.08,E12)</f>
        <v>4959.84</v>
      </c>
      <c r="G12" s="2">
        <f>PRODUCT(0.12,E12)</f>
        <v>7439.7599999999993</v>
      </c>
    </row>
    <row r="13" spans="1:8" x14ac:dyDescent="0.35">
      <c r="A13" s="8"/>
      <c r="B13" s="64"/>
      <c r="C13" s="60" t="s">
        <v>7</v>
      </c>
      <c r="D13" s="60" t="s">
        <v>6</v>
      </c>
      <c r="E13" s="61">
        <v>69093</v>
      </c>
      <c r="F13" s="2">
        <f>PRODUCT(0.08,E13)</f>
        <v>5527.4400000000005</v>
      </c>
      <c r="G13" s="2">
        <f>PRODUCT(0.12,E13)</f>
        <v>8291.16</v>
      </c>
    </row>
    <row r="14" spans="1:8" x14ac:dyDescent="0.35">
      <c r="A14" s="84">
        <v>3</v>
      </c>
      <c r="B14" s="90" t="s">
        <v>96</v>
      </c>
      <c r="C14" s="60" t="s">
        <v>101</v>
      </c>
      <c r="D14" s="60" t="s">
        <v>1</v>
      </c>
      <c r="E14" s="61">
        <v>98300</v>
      </c>
      <c r="F14" s="2">
        <f>PRODUCT(0.08,E14)</f>
        <v>7864</v>
      </c>
      <c r="G14" s="2">
        <f>PRODUCT(0.12,E14)</f>
        <v>11796</v>
      </c>
    </row>
    <row r="15" spans="1:8" ht="21" x14ac:dyDescent="0.35">
      <c r="A15" s="84"/>
      <c r="B15" s="64"/>
      <c r="C15" s="62" t="s">
        <v>102</v>
      </c>
      <c r="D15" s="60" t="s">
        <v>1</v>
      </c>
      <c r="E15" s="61" t="s">
        <v>255</v>
      </c>
      <c r="F15" s="2">
        <f>PRODUCT(0.08,124360)</f>
        <v>9948.8000000000011</v>
      </c>
      <c r="G15" s="2">
        <f>PRODUCT(0.12,124360)</f>
        <v>14923.199999999999</v>
      </c>
    </row>
    <row r="16" spans="1:8" x14ac:dyDescent="0.35">
      <c r="A16" s="84"/>
      <c r="B16" s="64"/>
      <c r="C16" s="60" t="s">
        <v>104</v>
      </c>
      <c r="D16" s="60" t="s">
        <v>6</v>
      </c>
      <c r="E16" s="61">
        <v>110891</v>
      </c>
      <c r="F16" s="2">
        <f t="shared" ref="F16:F27" si="2">PRODUCT(0.08,E16)</f>
        <v>8871.2800000000007</v>
      </c>
      <c r="G16" s="2">
        <f t="shared" ref="G16:G27" si="3">PRODUCT(0.12,E16)</f>
        <v>13306.92</v>
      </c>
    </row>
    <row r="17" spans="1:7" x14ac:dyDescent="0.35">
      <c r="A17" s="84"/>
      <c r="B17" s="64"/>
      <c r="C17" s="60" t="s">
        <v>105</v>
      </c>
      <c r="D17" s="60" t="s">
        <v>6</v>
      </c>
      <c r="E17" s="2">
        <v>77690</v>
      </c>
      <c r="F17" s="2">
        <f t="shared" si="2"/>
        <v>6215.2</v>
      </c>
      <c r="G17" s="2">
        <f t="shared" si="3"/>
        <v>9322.7999999999993</v>
      </c>
    </row>
    <row r="18" spans="1:7" x14ac:dyDescent="0.35">
      <c r="A18" s="84"/>
      <c r="B18" s="64"/>
      <c r="C18" s="60" t="s">
        <v>264</v>
      </c>
      <c r="D18" s="60" t="s">
        <v>6</v>
      </c>
      <c r="E18" s="61">
        <v>59640</v>
      </c>
      <c r="F18" s="2">
        <f t="shared" si="2"/>
        <v>4771.2</v>
      </c>
      <c r="G18" s="2">
        <f t="shared" si="3"/>
        <v>7156.8</v>
      </c>
    </row>
    <row r="19" spans="1:7" x14ac:dyDescent="0.35">
      <c r="A19" s="2">
        <v>4</v>
      </c>
      <c r="B19" s="91" t="s">
        <v>107</v>
      </c>
      <c r="C19" s="60" t="s">
        <v>10</v>
      </c>
      <c r="D19" s="60" t="s">
        <v>1</v>
      </c>
      <c r="E19" s="2">
        <v>154000</v>
      </c>
      <c r="F19" s="2">
        <f t="shared" si="2"/>
        <v>12320</v>
      </c>
      <c r="G19" s="2">
        <f t="shared" si="3"/>
        <v>18480</v>
      </c>
    </row>
    <row r="20" spans="1:7" x14ac:dyDescent="0.35">
      <c r="A20" s="2"/>
      <c r="B20" s="64"/>
      <c r="C20" s="60" t="s">
        <v>114</v>
      </c>
      <c r="D20" s="60" t="s">
        <v>1</v>
      </c>
      <c r="E20" s="2">
        <v>101999</v>
      </c>
      <c r="F20" s="2">
        <f t="shared" si="2"/>
        <v>8159.92</v>
      </c>
      <c r="G20" s="2">
        <f t="shared" si="3"/>
        <v>12239.88</v>
      </c>
    </row>
    <row r="21" spans="1:7" x14ac:dyDescent="0.35">
      <c r="A21" s="2"/>
      <c r="B21" s="64"/>
      <c r="C21" s="63" t="s">
        <v>12</v>
      </c>
      <c r="D21" s="60" t="s">
        <v>1</v>
      </c>
      <c r="E21" s="2">
        <v>84900</v>
      </c>
      <c r="F21" s="2">
        <f t="shared" si="2"/>
        <v>6792</v>
      </c>
      <c r="G21" s="2">
        <f t="shared" si="3"/>
        <v>10188</v>
      </c>
    </row>
    <row r="22" spans="1:7" x14ac:dyDescent="0.35">
      <c r="A22" s="2">
        <v>5</v>
      </c>
      <c r="B22" s="91" t="s">
        <v>13</v>
      </c>
      <c r="C22" s="60" t="s">
        <v>120</v>
      </c>
      <c r="D22" s="60" t="s">
        <v>1</v>
      </c>
      <c r="E22" s="2">
        <v>126007</v>
      </c>
      <c r="F22" s="2">
        <f t="shared" si="2"/>
        <v>10080.56</v>
      </c>
      <c r="G22" s="2">
        <f t="shared" si="3"/>
        <v>15120.84</v>
      </c>
    </row>
    <row r="23" spans="1:7" x14ac:dyDescent="0.35">
      <c r="A23" s="2"/>
      <c r="B23" s="64"/>
      <c r="C23" s="60" t="s">
        <v>256</v>
      </c>
      <c r="D23" s="60" t="s">
        <v>1</v>
      </c>
      <c r="E23" s="2">
        <v>249990</v>
      </c>
      <c r="F23" s="2">
        <f t="shared" si="2"/>
        <v>19999.2</v>
      </c>
      <c r="G23" s="2">
        <f t="shared" si="3"/>
        <v>29998.799999999999</v>
      </c>
    </row>
    <row r="24" spans="1:7" x14ac:dyDescent="0.35">
      <c r="A24" s="2"/>
      <c r="B24" s="64"/>
      <c r="C24" s="60" t="s">
        <v>14</v>
      </c>
      <c r="D24" s="60" t="s">
        <v>1</v>
      </c>
      <c r="E24" s="2">
        <v>125000</v>
      </c>
      <c r="F24" s="2">
        <f t="shared" si="2"/>
        <v>10000</v>
      </c>
      <c r="G24" s="2">
        <f t="shared" si="3"/>
        <v>15000</v>
      </c>
    </row>
    <row r="25" spans="1:7" x14ac:dyDescent="0.35">
      <c r="A25" s="2">
        <v>6</v>
      </c>
      <c r="B25" s="91" t="s">
        <v>128</v>
      </c>
      <c r="C25" s="60" t="s">
        <v>129</v>
      </c>
      <c r="D25" s="60" t="s">
        <v>1</v>
      </c>
      <c r="E25" s="2">
        <v>140599</v>
      </c>
      <c r="F25" s="2">
        <f t="shared" si="2"/>
        <v>11247.92</v>
      </c>
      <c r="G25" s="2">
        <f t="shared" si="3"/>
        <v>16871.88</v>
      </c>
    </row>
    <row r="26" spans="1:7" x14ac:dyDescent="0.35">
      <c r="A26" s="2"/>
      <c r="B26" s="64"/>
      <c r="C26" s="60" t="s">
        <v>134</v>
      </c>
      <c r="D26" s="60" t="s">
        <v>1</v>
      </c>
      <c r="E26" s="2">
        <v>194999</v>
      </c>
      <c r="F26" s="2">
        <f t="shared" si="2"/>
        <v>15599.92</v>
      </c>
      <c r="G26" s="2">
        <f t="shared" si="3"/>
        <v>23399.879999999997</v>
      </c>
    </row>
    <row r="27" spans="1:7" x14ac:dyDescent="0.35">
      <c r="A27" s="2">
        <v>7</v>
      </c>
      <c r="B27" s="92" t="s">
        <v>135</v>
      </c>
      <c r="C27" s="60" t="s">
        <v>257</v>
      </c>
      <c r="D27" s="60" t="s">
        <v>1</v>
      </c>
      <c r="E27" s="66">
        <v>123319</v>
      </c>
      <c r="F27" s="2">
        <f t="shared" si="2"/>
        <v>9865.52</v>
      </c>
      <c r="G27" s="2">
        <f t="shared" si="3"/>
        <v>14798.279999999999</v>
      </c>
    </row>
    <row r="28" spans="1:7" x14ac:dyDescent="0.35">
      <c r="A28" s="2"/>
      <c r="B28" s="85"/>
      <c r="C28" s="64"/>
      <c r="D28" s="64"/>
      <c r="E28" s="66"/>
      <c r="F28" s="2">
        <f>PRODUCT(0.08,123319)</f>
        <v>9865.52</v>
      </c>
      <c r="G28" s="2">
        <f>PRODUCT(0.12,123319)</f>
        <v>14798.279999999999</v>
      </c>
    </row>
    <row r="29" spans="1:7" x14ac:dyDescent="0.35">
      <c r="A29" s="2"/>
      <c r="B29" s="85"/>
      <c r="C29" s="9" t="s">
        <v>258</v>
      </c>
      <c r="D29" s="66"/>
      <c r="E29" s="66">
        <v>147243</v>
      </c>
      <c r="F29" s="2">
        <f>PRODUCT(0.08,E29)</f>
        <v>11779.44</v>
      </c>
      <c r="G29" s="2">
        <f>PRODUCT(0.12,E29)</f>
        <v>17669.16</v>
      </c>
    </row>
    <row r="30" spans="1:7" x14ac:dyDescent="0.35">
      <c r="A30" s="2"/>
      <c r="B30" s="85"/>
      <c r="C30" s="9"/>
      <c r="D30" s="66"/>
      <c r="E30" s="66"/>
      <c r="F30" s="2">
        <f>PRODUCT(0.08,147243)</f>
        <v>11779.44</v>
      </c>
      <c r="G30" s="2">
        <f>PRODUCT(0.12,147243)</f>
        <v>17669.16</v>
      </c>
    </row>
    <row r="31" spans="1:7" x14ac:dyDescent="0.35">
      <c r="A31" s="2">
        <v>8</v>
      </c>
      <c r="B31" s="89" t="s">
        <v>141</v>
      </c>
      <c r="C31" s="60" t="s">
        <v>142</v>
      </c>
      <c r="D31" s="60" t="s">
        <v>1</v>
      </c>
      <c r="E31" s="2">
        <v>119989</v>
      </c>
      <c r="F31" s="2">
        <f t="shared" ref="F31:F57" si="4">PRODUCT(0.08,E31)</f>
        <v>9599.1200000000008</v>
      </c>
      <c r="G31" s="2">
        <f t="shared" ref="G31:G57" si="5">PRODUCT(0.12,E31)</f>
        <v>14398.68</v>
      </c>
    </row>
    <row r="32" spans="1:7" x14ac:dyDescent="0.35">
      <c r="A32" s="2"/>
      <c r="B32" s="64"/>
      <c r="C32" s="60" t="s">
        <v>149</v>
      </c>
      <c r="D32" s="60" t="s">
        <v>1</v>
      </c>
      <c r="E32" s="2">
        <v>89950</v>
      </c>
      <c r="F32" s="2">
        <f t="shared" si="4"/>
        <v>7196</v>
      </c>
      <c r="G32" s="2">
        <f t="shared" si="5"/>
        <v>10794</v>
      </c>
    </row>
    <row r="33" spans="1:7" x14ac:dyDescent="0.35">
      <c r="A33" s="2"/>
      <c r="B33" s="64"/>
      <c r="C33" s="60" t="s">
        <v>150</v>
      </c>
      <c r="D33" s="60" t="s">
        <v>6</v>
      </c>
      <c r="E33" s="2">
        <v>69950</v>
      </c>
      <c r="F33" s="2">
        <f t="shared" si="4"/>
        <v>5596</v>
      </c>
      <c r="G33" s="2">
        <f t="shared" si="5"/>
        <v>8394</v>
      </c>
    </row>
    <row r="34" spans="1:7" x14ac:dyDescent="0.35">
      <c r="A34" s="2"/>
      <c r="B34" s="64"/>
      <c r="C34" s="60" t="s">
        <v>151</v>
      </c>
      <c r="D34" s="60" t="s">
        <v>6</v>
      </c>
      <c r="E34" s="2">
        <v>74499</v>
      </c>
      <c r="F34" s="2">
        <f t="shared" si="4"/>
        <v>5959.92</v>
      </c>
      <c r="G34" s="2">
        <f t="shared" si="5"/>
        <v>8939.8799999999992</v>
      </c>
    </row>
    <row r="35" spans="1:7" x14ac:dyDescent="0.35">
      <c r="A35" s="2"/>
      <c r="B35" s="64"/>
      <c r="C35" s="60" t="s">
        <v>157</v>
      </c>
      <c r="D35" s="60" t="s">
        <v>1</v>
      </c>
      <c r="E35" s="97">
        <v>109990</v>
      </c>
      <c r="F35" s="97">
        <f t="shared" si="4"/>
        <v>8799.2000000000007</v>
      </c>
      <c r="G35" s="97">
        <f t="shared" si="5"/>
        <v>13198.8</v>
      </c>
    </row>
    <row r="36" spans="1:7" x14ac:dyDescent="0.35">
      <c r="A36" s="2"/>
      <c r="B36" s="64"/>
      <c r="C36" s="60" t="s">
        <v>158</v>
      </c>
      <c r="D36" s="60" t="s">
        <v>1</v>
      </c>
      <c r="E36" s="97">
        <v>79950</v>
      </c>
      <c r="F36" s="97">
        <f t="shared" si="4"/>
        <v>6396</v>
      </c>
      <c r="G36" s="97">
        <f t="shared" si="5"/>
        <v>9594</v>
      </c>
    </row>
    <row r="37" spans="1:7" x14ac:dyDescent="0.35">
      <c r="A37" s="2">
        <v>9</v>
      </c>
      <c r="B37" s="91" t="s">
        <v>160</v>
      </c>
      <c r="C37" s="60" t="s">
        <v>161</v>
      </c>
      <c r="D37" s="60" t="s">
        <v>1</v>
      </c>
      <c r="E37" s="97">
        <v>143000</v>
      </c>
      <c r="F37" s="97">
        <f t="shared" si="4"/>
        <v>11440</v>
      </c>
      <c r="G37" s="97">
        <f t="shared" si="5"/>
        <v>17160</v>
      </c>
    </row>
    <row r="38" spans="1:7" x14ac:dyDescent="0.35">
      <c r="A38" s="2">
        <v>10</v>
      </c>
      <c r="B38" s="91" t="s">
        <v>164</v>
      </c>
      <c r="C38" s="60" t="s">
        <v>165</v>
      </c>
      <c r="D38" s="60" t="s">
        <v>1</v>
      </c>
      <c r="E38" s="97">
        <v>129999</v>
      </c>
      <c r="F38" s="97">
        <f t="shared" si="4"/>
        <v>10399.92</v>
      </c>
      <c r="G38" s="97">
        <f t="shared" si="5"/>
        <v>15599.88</v>
      </c>
    </row>
    <row r="39" spans="1:7" x14ac:dyDescent="0.35">
      <c r="A39" s="2"/>
      <c r="B39" s="64"/>
      <c r="C39" s="60" t="s">
        <v>166</v>
      </c>
      <c r="D39" s="60" t="s">
        <v>1</v>
      </c>
      <c r="E39" s="97">
        <v>92999</v>
      </c>
      <c r="F39" s="97">
        <f t="shared" si="4"/>
        <v>7439.92</v>
      </c>
      <c r="G39" s="97">
        <f t="shared" si="5"/>
        <v>11159.88</v>
      </c>
    </row>
    <row r="40" spans="1:7" x14ac:dyDescent="0.35">
      <c r="A40" s="2"/>
      <c r="B40" s="64"/>
      <c r="C40" s="60" t="s">
        <v>167</v>
      </c>
      <c r="D40" s="60" t="s">
        <v>1</v>
      </c>
      <c r="E40" s="97">
        <v>86999</v>
      </c>
      <c r="F40" s="97">
        <f t="shared" si="4"/>
        <v>6959.92</v>
      </c>
      <c r="G40" s="97">
        <f t="shared" si="5"/>
        <v>10439.879999999999</v>
      </c>
    </row>
    <row r="41" spans="1:7" x14ac:dyDescent="0.35">
      <c r="A41" s="2"/>
      <c r="B41" s="64"/>
      <c r="C41" s="60" t="s">
        <v>168</v>
      </c>
      <c r="D41" s="60" t="s">
        <v>1</v>
      </c>
      <c r="E41" s="97">
        <v>149999</v>
      </c>
      <c r="F41" s="97">
        <f t="shared" si="4"/>
        <v>11999.92</v>
      </c>
      <c r="G41" s="97">
        <f t="shared" si="5"/>
        <v>17999.88</v>
      </c>
    </row>
    <row r="42" spans="1:7" ht="14.4" customHeight="1" x14ac:dyDescent="0.35">
      <c r="A42" s="2">
        <v>11</v>
      </c>
      <c r="B42" s="93" t="s">
        <v>169</v>
      </c>
      <c r="C42" s="60" t="s">
        <v>170</v>
      </c>
      <c r="D42" s="60" t="s">
        <v>1</v>
      </c>
      <c r="E42" s="97">
        <v>121999</v>
      </c>
      <c r="F42" s="97">
        <f t="shared" si="4"/>
        <v>9759.92</v>
      </c>
      <c r="G42" s="97">
        <f t="shared" si="5"/>
        <v>14639.88</v>
      </c>
    </row>
    <row r="43" spans="1:7" x14ac:dyDescent="0.35">
      <c r="A43" s="2"/>
      <c r="B43" s="64"/>
      <c r="C43" s="60" t="s">
        <v>171</v>
      </c>
      <c r="D43" s="60" t="s">
        <v>6</v>
      </c>
      <c r="E43" s="97">
        <v>60923</v>
      </c>
      <c r="F43" s="97">
        <f t="shared" si="4"/>
        <v>4873.84</v>
      </c>
      <c r="G43" s="97">
        <f t="shared" si="5"/>
        <v>7310.7599999999993</v>
      </c>
    </row>
    <row r="44" spans="1:7" x14ac:dyDescent="0.35">
      <c r="A44" s="2"/>
      <c r="B44" s="64"/>
      <c r="C44" s="60" t="s">
        <v>172</v>
      </c>
      <c r="D44" s="60" t="s">
        <v>1</v>
      </c>
      <c r="E44" s="97">
        <v>125239</v>
      </c>
      <c r="F44" s="97">
        <f t="shared" si="4"/>
        <v>10019.120000000001</v>
      </c>
      <c r="G44" s="97">
        <f t="shared" si="5"/>
        <v>15028.68</v>
      </c>
    </row>
    <row r="45" spans="1:7" x14ac:dyDescent="0.35">
      <c r="A45" s="2"/>
      <c r="B45" s="64"/>
      <c r="C45" s="60" t="s">
        <v>173</v>
      </c>
      <c r="D45" s="60" t="s">
        <v>6</v>
      </c>
      <c r="E45" s="97">
        <v>56781</v>
      </c>
      <c r="F45" s="97">
        <f t="shared" si="4"/>
        <v>4542.4800000000005</v>
      </c>
      <c r="G45" s="97">
        <f t="shared" si="5"/>
        <v>6813.7199999999993</v>
      </c>
    </row>
    <row r="46" spans="1:7" x14ac:dyDescent="0.35">
      <c r="A46" s="2">
        <v>12</v>
      </c>
      <c r="B46" s="94" t="s">
        <v>174</v>
      </c>
      <c r="C46" s="60" t="s">
        <v>260</v>
      </c>
      <c r="D46" s="60" t="s">
        <v>6</v>
      </c>
      <c r="E46" s="97">
        <v>79999</v>
      </c>
      <c r="F46" s="97">
        <f t="shared" si="4"/>
        <v>6399.92</v>
      </c>
      <c r="G46" s="97">
        <f t="shared" si="5"/>
        <v>9599.8799999999992</v>
      </c>
    </row>
    <row r="47" spans="1:7" x14ac:dyDescent="0.35">
      <c r="A47" s="2"/>
      <c r="B47" s="64"/>
      <c r="C47" s="60" t="s">
        <v>263</v>
      </c>
      <c r="D47" s="60" t="s">
        <v>6</v>
      </c>
      <c r="E47" s="97">
        <v>89000</v>
      </c>
      <c r="F47" s="97">
        <f t="shared" si="4"/>
        <v>7120</v>
      </c>
      <c r="G47" s="97">
        <f t="shared" si="5"/>
        <v>10680</v>
      </c>
    </row>
    <row r="48" spans="1:7" x14ac:dyDescent="0.35">
      <c r="A48" s="2"/>
      <c r="B48" s="64"/>
      <c r="C48" s="60" t="s">
        <v>262</v>
      </c>
      <c r="D48" s="60" t="s">
        <v>6</v>
      </c>
      <c r="E48" s="97">
        <v>97224</v>
      </c>
      <c r="F48" s="97">
        <f t="shared" si="4"/>
        <v>7777.92</v>
      </c>
      <c r="G48" s="97">
        <f t="shared" si="5"/>
        <v>11666.88</v>
      </c>
    </row>
    <row r="49" spans="1:7" x14ac:dyDescent="0.35">
      <c r="A49" s="2"/>
      <c r="B49" s="64"/>
      <c r="C49" s="60" t="s">
        <v>261</v>
      </c>
      <c r="D49" s="60" t="s">
        <v>6</v>
      </c>
      <c r="E49" s="97">
        <v>127874</v>
      </c>
      <c r="F49" s="97">
        <f t="shared" si="4"/>
        <v>10229.92</v>
      </c>
      <c r="G49" s="97">
        <f t="shared" si="5"/>
        <v>15344.88</v>
      </c>
    </row>
    <row r="50" spans="1:7" x14ac:dyDescent="0.35">
      <c r="A50" s="2">
        <v>13</v>
      </c>
      <c r="B50" s="90" t="s">
        <v>20</v>
      </c>
      <c r="C50" s="60" t="s">
        <v>21</v>
      </c>
      <c r="D50" s="60" t="s">
        <v>1</v>
      </c>
      <c r="E50" s="97">
        <v>149983</v>
      </c>
      <c r="F50" s="97">
        <f t="shared" si="4"/>
        <v>11998.64</v>
      </c>
      <c r="G50" s="97">
        <f t="shared" si="5"/>
        <v>17997.96</v>
      </c>
    </row>
    <row r="51" spans="1:7" x14ac:dyDescent="0.35">
      <c r="A51" s="2">
        <v>14</v>
      </c>
      <c r="B51" s="95" t="s">
        <v>184</v>
      </c>
      <c r="C51" s="60" t="s">
        <v>185</v>
      </c>
      <c r="D51" s="60" t="s">
        <v>1</v>
      </c>
      <c r="E51" s="97">
        <v>102700</v>
      </c>
      <c r="F51" s="97">
        <f t="shared" si="4"/>
        <v>8216</v>
      </c>
      <c r="G51" s="97">
        <f t="shared" si="5"/>
        <v>12324</v>
      </c>
    </row>
    <row r="52" spans="1:7" x14ac:dyDescent="0.35">
      <c r="A52" s="2"/>
      <c r="B52" s="64"/>
      <c r="C52" s="60" t="s">
        <v>192</v>
      </c>
      <c r="D52" s="60" t="s">
        <v>1</v>
      </c>
      <c r="E52" s="97">
        <v>130200</v>
      </c>
      <c r="F52" s="97">
        <f t="shared" si="4"/>
        <v>10416</v>
      </c>
      <c r="G52" s="97">
        <f t="shared" si="5"/>
        <v>15624</v>
      </c>
    </row>
    <row r="53" spans="1:7" x14ac:dyDescent="0.35">
      <c r="A53" s="2">
        <v>15</v>
      </c>
      <c r="B53" s="89" t="s">
        <v>193</v>
      </c>
      <c r="C53" s="60" t="s">
        <v>26</v>
      </c>
      <c r="D53" s="60" t="s">
        <v>1</v>
      </c>
      <c r="E53" s="97">
        <v>94999</v>
      </c>
      <c r="F53" s="97">
        <f t="shared" si="4"/>
        <v>7599.92</v>
      </c>
      <c r="G53" s="97">
        <f t="shared" si="5"/>
        <v>11399.88</v>
      </c>
    </row>
    <row r="54" spans="1:7" x14ac:dyDescent="0.35">
      <c r="A54" s="2">
        <v>16</v>
      </c>
      <c r="B54" s="89" t="s">
        <v>198</v>
      </c>
      <c r="C54" s="65" t="s">
        <v>199</v>
      </c>
      <c r="D54" s="65" t="s">
        <v>1</v>
      </c>
      <c r="E54" s="97">
        <v>133999</v>
      </c>
      <c r="F54" s="97">
        <f t="shared" si="4"/>
        <v>10719.92</v>
      </c>
      <c r="G54" s="97">
        <f t="shared" si="5"/>
        <v>16079.88</v>
      </c>
    </row>
    <row r="55" spans="1:7" x14ac:dyDescent="0.35">
      <c r="A55" s="2"/>
      <c r="B55" s="64"/>
      <c r="C55" s="62" t="s">
        <v>200</v>
      </c>
      <c r="D55" s="65" t="s">
        <v>1</v>
      </c>
      <c r="E55" s="97">
        <v>159999</v>
      </c>
      <c r="F55" s="97">
        <f t="shared" si="4"/>
        <v>12799.92</v>
      </c>
      <c r="G55" s="97">
        <f t="shared" si="5"/>
        <v>19199.88</v>
      </c>
    </row>
    <row r="56" spans="1:7" x14ac:dyDescent="0.35">
      <c r="A56" s="2">
        <v>17</v>
      </c>
      <c r="B56" s="89" t="s">
        <v>23</v>
      </c>
      <c r="C56" s="65" t="s">
        <v>259</v>
      </c>
      <c r="D56" s="65" t="s">
        <v>1</v>
      </c>
      <c r="E56" s="97">
        <v>79990</v>
      </c>
      <c r="F56" s="97">
        <f t="shared" si="4"/>
        <v>6399.2</v>
      </c>
      <c r="G56" s="97">
        <f t="shared" si="5"/>
        <v>9598.7999999999993</v>
      </c>
    </row>
    <row r="57" spans="1:7" x14ac:dyDescent="0.35">
      <c r="A57" s="2"/>
      <c r="B57" s="64"/>
      <c r="C57" s="65" t="s">
        <v>25</v>
      </c>
      <c r="D57" s="65" t="s">
        <v>1</v>
      </c>
      <c r="E57" s="97">
        <v>94874</v>
      </c>
      <c r="F57" s="97">
        <f t="shared" si="4"/>
        <v>7589.92</v>
      </c>
      <c r="G57" s="97">
        <f t="shared" si="5"/>
        <v>11384.88</v>
      </c>
    </row>
    <row r="58" spans="1:7" x14ac:dyDescent="0.35">
      <c r="B58" s="57" t="s">
        <v>288</v>
      </c>
      <c r="E58" s="98"/>
      <c r="F58" s="98">
        <f>SUM(F3:F57)</f>
        <v>466971.27999999985</v>
      </c>
      <c r="G58" s="98">
        <f>SUM(G3,G4:G57)</f>
        <v>700456.92</v>
      </c>
    </row>
    <row r="59" spans="1:7" x14ac:dyDescent="0.35">
      <c r="B59" s="57" t="s">
        <v>287</v>
      </c>
      <c r="E59" s="98"/>
      <c r="F59" s="98">
        <f>AVERAGE(F3:F57)</f>
        <v>8490.3869090909066</v>
      </c>
      <c r="G59" s="98">
        <f>AVERAGE(G3:G57)</f>
        <v>12735.580363636365</v>
      </c>
    </row>
    <row r="60" spans="1:7" x14ac:dyDescent="0.35">
      <c r="E60" s="98"/>
      <c r="F60" s="98"/>
      <c r="G60" s="98"/>
    </row>
    <row r="61" spans="1:7" x14ac:dyDescent="0.35">
      <c r="B61" s="57" t="s">
        <v>286</v>
      </c>
      <c r="E61" s="98"/>
      <c r="F61" s="98">
        <f>PRODUCT(F59,728054)</f>
        <v>6181460150.7112713</v>
      </c>
      <c r="G61" s="98">
        <f>PRODUCT(G59,728054)</f>
        <v>9272190226.0669098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F1:BC61"/>
  <sheetViews>
    <sheetView zoomScale="64" workbookViewId="0">
      <selection activeCell="X11" sqref="X11:AH18"/>
    </sheetView>
  </sheetViews>
  <sheetFormatPr defaultRowHeight="14.5" x14ac:dyDescent="0.35"/>
  <cols>
    <col min="26" max="26" width="15.54296875" bestFit="1" customWidth="1"/>
    <col min="27" max="27" width="15.54296875" customWidth="1"/>
    <col min="28" max="28" width="16.36328125" bestFit="1" customWidth="1"/>
    <col min="29" max="29" width="16.36328125" customWidth="1"/>
    <col min="30" max="30" width="13.36328125" bestFit="1" customWidth="1"/>
    <col min="31" max="31" width="13.90625" bestFit="1" customWidth="1"/>
    <col min="32" max="32" width="10.1796875" bestFit="1" customWidth="1"/>
  </cols>
  <sheetData>
    <row r="1" spans="24:55" x14ac:dyDescent="0.35">
      <c r="X1" s="70" t="s">
        <v>265</v>
      </c>
      <c r="Y1" s="70" t="s">
        <v>266</v>
      </c>
      <c r="Z1" s="70" t="s">
        <v>267</v>
      </c>
      <c r="AA1" s="74" t="s">
        <v>295</v>
      </c>
      <c r="AB1" s="74" t="s">
        <v>268</v>
      </c>
      <c r="AC1" s="74" t="s">
        <v>269</v>
      </c>
      <c r="AD1" s="74" t="s">
        <v>267</v>
      </c>
      <c r="AE1" s="74" t="s">
        <v>294</v>
      </c>
      <c r="AF1" s="70" t="s">
        <v>267</v>
      </c>
      <c r="AG1" s="234" t="s">
        <v>269</v>
      </c>
      <c r="AH1" s="70" t="s">
        <v>267</v>
      </c>
      <c r="AJ1" s="106"/>
      <c r="AK1" s="232"/>
      <c r="AL1" s="232"/>
      <c r="AM1" s="106"/>
      <c r="AN1" s="232"/>
      <c r="AO1" s="106"/>
      <c r="AP1" s="107"/>
      <c r="AQ1" s="107"/>
      <c r="AR1" s="107"/>
      <c r="AS1" s="107"/>
      <c r="AT1" s="107"/>
      <c r="AU1" s="107"/>
      <c r="AV1" s="107"/>
      <c r="AW1" s="107"/>
      <c r="AX1" s="107"/>
      <c r="AY1" s="107"/>
      <c r="AZ1" s="107"/>
      <c r="BA1" s="107"/>
      <c r="BB1" s="107"/>
      <c r="BC1" s="108"/>
    </row>
    <row r="2" spans="24:55" ht="29" x14ac:dyDescent="0.35">
      <c r="X2" s="70"/>
      <c r="Y2" s="70"/>
      <c r="Z2" s="70" t="s">
        <v>278</v>
      </c>
      <c r="AA2" s="75"/>
      <c r="AB2" s="75"/>
      <c r="AC2" s="75"/>
      <c r="AD2" s="75" t="s">
        <v>292</v>
      </c>
      <c r="AE2" s="75" t="s">
        <v>293</v>
      </c>
      <c r="AF2" s="70" t="s">
        <v>279</v>
      </c>
      <c r="AG2" s="235"/>
      <c r="AH2" s="70" t="s">
        <v>280</v>
      </c>
      <c r="AJ2" s="103"/>
      <c r="AK2" s="233"/>
      <c r="AL2" s="233"/>
      <c r="AM2" s="103"/>
      <c r="AN2" s="233"/>
      <c r="AO2" s="103"/>
      <c r="BC2" s="109"/>
    </row>
    <row r="3" spans="24:55" ht="29" x14ac:dyDescent="0.35">
      <c r="X3" s="67">
        <v>1</v>
      </c>
      <c r="Y3" s="72" t="s">
        <v>270</v>
      </c>
      <c r="Z3" s="73">
        <v>0.35</v>
      </c>
      <c r="AA3" s="103">
        <v>326443</v>
      </c>
      <c r="AB3" s="100">
        <v>152779</v>
      </c>
      <c r="AC3" s="100">
        <v>14405</v>
      </c>
      <c r="AD3" s="100">
        <f>PRODUCT(Z3,AB17)</f>
        <v>2163511052.8499999</v>
      </c>
      <c r="AE3" s="100">
        <f>$Z$3*$AB$18</f>
        <v>3245266579.0999999</v>
      </c>
      <c r="AF3" s="68">
        <v>0.21</v>
      </c>
      <c r="AG3" s="67">
        <v>14405</v>
      </c>
      <c r="AH3" s="68">
        <v>0.06</v>
      </c>
      <c r="AJ3" s="103"/>
      <c r="AK3" s="103"/>
      <c r="AL3" s="103"/>
      <c r="AM3" s="103"/>
      <c r="AN3" s="103"/>
      <c r="AO3" s="103"/>
      <c r="AP3" s="103"/>
      <c r="AQ3" s="103"/>
      <c r="AR3" s="103"/>
      <c r="AS3" s="103"/>
      <c r="AT3" s="103"/>
      <c r="AU3" s="103"/>
      <c r="AV3" s="103"/>
      <c r="AX3" s="104"/>
      <c r="AY3" s="103"/>
      <c r="AZ3" s="103"/>
      <c r="BA3" s="104"/>
      <c r="BB3" s="103"/>
      <c r="BC3" s="110"/>
    </row>
    <row r="4" spans="24:55" x14ac:dyDescent="0.35">
      <c r="X4" s="67">
        <v>2</v>
      </c>
      <c r="Y4" s="72" t="s">
        <v>13</v>
      </c>
      <c r="Z4" s="73">
        <v>0.19</v>
      </c>
      <c r="AA4" s="103">
        <v>182959</v>
      </c>
      <c r="AB4" s="100">
        <v>82109</v>
      </c>
      <c r="AC4" s="100">
        <v>9740</v>
      </c>
      <c r="AD4" s="100">
        <f>PRODUCT(Z4,AB17)</f>
        <v>1174477428.6900001</v>
      </c>
      <c r="AE4" s="100">
        <f>AB18*Z4</f>
        <v>1761716142.9400001</v>
      </c>
      <c r="AF4" s="68">
        <v>0.11</v>
      </c>
      <c r="AG4" s="67">
        <v>9740</v>
      </c>
      <c r="AH4" s="68">
        <v>0.04</v>
      </c>
      <c r="AJ4" s="103"/>
      <c r="AK4" s="103"/>
      <c r="AL4" s="103"/>
      <c r="AM4" s="103"/>
      <c r="AN4" s="103"/>
      <c r="AO4" s="103"/>
      <c r="AP4" s="103"/>
      <c r="AQ4" s="103"/>
      <c r="AR4" s="103"/>
      <c r="AS4" s="103"/>
      <c r="AT4" s="103"/>
      <c r="AU4" s="103"/>
      <c r="AV4" s="103"/>
      <c r="AX4" s="104"/>
      <c r="AY4" s="103"/>
      <c r="AZ4" s="103"/>
      <c r="BA4" s="104"/>
      <c r="BB4" s="103"/>
      <c r="BC4" s="110"/>
    </row>
    <row r="5" spans="24:55" x14ac:dyDescent="0.35">
      <c r="X5" s="67">
        <v>3</v>
      </c>
      <c r="Y5" s="72" t="s">
        <v>128</v>
      </c>
      <c r="Z5" s="73" t="s">
        <v>296</v>
      </c>
      <c r="AA5" s="103">
        <v>108872</v>
      </c>
      <c r="AB5" s="100">
        <v>76939</v>
      </c>
      <c r="AC5" s="100">
        <v>19981</v>
      </c>
      <c r="AD5" s="100">
        <f>PRODUCT(Z5,AB17)</f>
        <v>6181460151</v>
      </c>
      <c r="AE5" s="100" t="e">
        <f>AB18*Z5</f>
        <v>#VALUE!</v>
      </c>
      <c r="AF5" s="68">
        <v>0.11</v>
      </c>
      <c r="AG5" s="67">
        <v>19981</v>
      </c>
      <c r="AH5" s="68">
        <v>0.08</v>
      </c>
      <c r="AJ5" s="103"/>
      <c r="AK5" s="103"/>
      <c r="AL5" s="103"/>
      <c r="AM5" s="103"/>
      <c r="AN5" s="103"/>
      <c r="AO5" s="103"/>
      <c r="AP5" s="103"/>
      <c r="AQ5" s="103"/>
      <c r="AR5" s="103"/>
      <c r="AS5" s="103"/>
      <c r="AT5" s="103"/>
      <c r="AU5" s="103"/>
      <c r="AV5" s="103"/>
      <c r="AX5" s="104"/>
      <c r="AY5" s="103"/>
      <c r="AZ5" s="103"/>
      <c r="BA5" s="104"/>
      <c r="BB5" s="103"/>
      <c r="BC5" s="110"/>
    </row>
    <row r="6" spans="24:55" x14ac:dyDescent="0.35">
      <c r="X6" s="67">
        <v>4</v>
      </c>
      <c r="Y6" s="72" t="s">
        <v>135</v>
      </c>
      <c r="Z6" s="73">
        <v>0.11</v>
      </c>
      <c r="AA6" s="103">
        <v>106990</v>
      </c>
      <c r="AB6" s="100">
        <v>32805</v>
      </c>
      <c r="AC6" s="100">
        <v>7114</v>
      </c>
      <c r="AD6" s="100">
        <f>PRODUCT(Z6,AB17)</f>
        <v>679960616.61000001</v>
      </c>
      <c r="AE6" s="100">
        <f>AB18*Z6</f>
        <v>1019940924.86</v>
      </c>
      <c r="AF6" s="68">
        <v>0.05</v>
      </c>
      <c r="AG6" s="67">
        <v>7114</v>
      </c>
      <c r="AH6" s="68">
        <v>0.03</v>
      </c>
      <c r="AJ6" s="103"/>
      <c r="AK6" s="103"/>
      <c r="AL6" s="103"/>
      <c r="AM6" s="103"/>
      <c r="AN6" s="103"/>
      <c r="AO6" s="103"/>
      <c r="AP6" s="103"/>
      <c r="AQ6" s="103"/>
      <c r="AR6" s="103"/>
      <c r="AS6" s="103"/>
      <c r="AT6" s="103"/>
      <c r="AU6" s="103"/>
      <c r="AV6" s="103"/>
      <c r="AX6" s="104"/>
      <c r="AY6" s="103"/>
      <c r="AZ6" s="103"/>
      <c r="BA6" s="104"/>
      <c r="BB6" s="103"/>
      <c r="BC6" s="110"/>
    </row>
    <row r="7" spans="24:55" x14ac:dyDescent="0.35">
      <c r="X7" s="67">
        <v>5</v>
      </c>
      <c r="Y7" s="77" t="s">
        <v>107</v>
      </c>
      <c r="Z7" s="78">
        <v>0.06</v>
      </c>
      <c r="AA7" s="103">
        <v>55057</v>
      </c>
      <c r="AB7" s="100">
        <v>87392</v>
      </c>
      <c r="AC7" s="100">
        <v>25516</v>
      </c>
      <c r="AD7" s="100">
        <f>(Z7*AB17)</f>
        <v>370887609.06</v>
      </c>
      <c r="AE7" s="100">
        <f>AB18*Z7</f>
        <v>556331413.55999994</v>
      </c>
      <c r="AF7" s="68">
        <v>0.12</v>
      </c>
      <c r="AG7" s="67">
        <v>25516</v>
      </c>
      <c r="AH7" s="68">
        <v>0.1</v>
      </c>
      <c r="AJ7" s="103"/>
      <c r="AK7" s="103"/>
      <c r="AL7" s="103"/>
      <c r="AM7" s="103"/>
      <c r="AN7" s="103"/>
      <c r="AO7" s="103"/>
      <c r="AP7" s="103"/>
      <c r="AQ7" s="103"/>
      <c r="AR7" s="103"/>
      <c r="AS7" s="103"/>
      <c r="AT7" s="103"/>
      <c r="AU7" s="103"/>
      <c r="AV7" s="103"/>
      <c r="AX7" s="104"/>
      <c r="AY7" s="103"/>
      <c r="AZ7" s="103"/>
      <c r="BA7" s="104"/>
      <c r="BB7" s="103"/>
      <c r="BC7" s="110"/>
    </row>
    <row r="8" spans="24:55" ht="29" x14ac:dyDescent="0.35">
      <c r="X8" s="67">
        <v>6</v>
      </c>
      <c r="Y8" s="77" t="s">
        <v>271</v>
      </c>
      <c r="Z8" s="78">
        <v>0.02</v>
      </c>
      <c r="AA8" s="103">
        <v>20873</v>
      </c>
      <c r="AB8" s="100">
        <v>95939</v>
      </c>
      <c r="AC8" s="100">
        <v>47926</v>
      </c>
      <c r="AD8" s="100">
        <f>(Z8*AB17)</f>
        <v>123629203.02</v>
      </c>
      <c r="AE8" s="100">
        <f>AB18*Z8</f>
        <v>185443804.52000001</v>
      </c>
      <c r="AF8" s="68">
        <v>0.13</v>
      </c>
      <c r="AG8" s="67">
        <v>47926</v>
      </c>
      <c r="AH8" s="68">
        <v>0.19</v>
      </c>
      <c r="AJ8" s="103"/>
      <c r="AK8" s="103"/>
      <c r="AL8" s="103"/>
      <c r="AM8" s="103"/>
      <c r="AN8" s="103"/>
      <c r="AO8" s="103"/>
      <c r="AP8" s="103"/>
      <c r="AQ8" s="103"/>
      <c r="AR8" s="103"/>
      <c r="AS8" s="103"/>
      <c r="AT8" s="103"/>
      <c r="AU8" s="103"/>
      <c r="AV8" s="103"/>
      <c r="AX8" s="104"/>
      <c r="AY8" s="103"/>
      <c r="AZ8" s="103"/>
      <c r="BA8" s="104"/>
      <c r="BB8" s="103"/>
      <c r="BC8" s="110"/>
    </row>
    <row r="9" spans="24:55" ht="29" x14ac:dyDescent="0.35">
      <c r="X9" s="67">
        <v>7</v>
      </c>
      <c r="Y9" s="71" t="s">
        <v>272</v>
      </c>
      <c r="Z9" s="81">
        <v>0.01</v>
      </c>
      <c r="AA9" s="103">
        <v>12094</v>
      </c>
      <c r="AB9" s="100">
        <v>89874</v>
      </c>
      <c r="AC9" s="100">
        <v>69235</v>
      </c>
      <c r="AD9" s="100">
        <f>(Z9*AB17)</f>
        <v>61814601.509999998</v>
      </c>
      <c r="AE9" s="100">
        <f>AB18*Z9</f>
        <v>92721902.260000005</v>
      </c>
      <c r="AF9" s="68">
        <v>0.12</v>
      </c>
      <c r="AG9" s="67">
        <v>69235</v>
      </c>
      <c r="AH9" s="68">
        <v>0.27</v>
      </c>
      <c r="AJ9" s="103"/>
      <c r="AK9" s="103"/>
      <c r="AL9" s="103"/>
      <c r="AM9" s="103"/>
      <c r="AN9" s="103"/>
      <c r="AO9" s="103"/>
      <c r="AP9" s="103"/>
      <c r="AQ9" s="103"/>
      <c r="AR9" s="103"/>
      <c r="AS9" s="103"/>
      <c r="AT9" s="103"/>
      <c r="AU9" s="103"/>
      <c r="AV9" s="103"/>
      <c r="AX9" s="104"/>
      <c r="AY9" s="103"/>
      <c r="AZ9" s="103"/>
      <c r="BA9" s="104"/>
      <c r="BB9" s="103"/>
      <c r="BC9" s="110"/>
    </row>
    <row r="10" spans="24:55" ht="29" x14ac:dyDescent="0.35">
      <c r="X10" s="67">
        <v>8</v>
      </c>
      <c r="Y10" s="71" t="s">
        <v>273</v>
      </c>
      <c r="Z10" s="81">
        <v>0.01</v>
      </c>
      <c r="AA10" s="103">
        <v>14035</v>
      </c>
      <c r="AB10" s="100">
        <v>13175</v>
      </c>
      <c r="AC10" s="100">
        <v>0</v>
      </c>
      <c r="AD10" s="100">
        <f>(Z10*AB17)</f>
        <v>61814601.509999998</v>
      </c>
      <c r="AE10" s="100">
        <f>AB18*Z10</f>
        <v>92721902.260000005</v>
      </c>
      <c r="AF10" s="68">
        <v>0.02</v>
      </c>
      <c r="AG10" s="67">
        <v>0</v>
      </c>
      <c r="AH10" s="68">
        <v>0</v>
      </c>
      <c r="AJ10" s="103"/>
      <c r="AK10" s="103"/>
      <c r="AL10" s="103"/>
      <c r="AM10" s="103"/>
      <c r="AN10" s="103"/>
      <c r="AO10" s="103"/>
      <c r="AP10" s="103"/>
      <c r="AQ10" s="103"/>
      <c r="AR10" s="103"/>
      <c r="AS10" s="103"/>
      <c r="AT10" s="103"/>
      <c r="AU10" s="103"/>
      <c r="AV10" s="103"/>
      <c r="AX10" s="104"/>
      <c r="AY10" s="103"/>
      <c r="AZ10" s="103"/>
      <c r="BA10" s="104"/>
      <c r="BB10" s="103"/>
      <c r="BC10" s="110"/>
    </row>
    <row r="11" spans="24:55" x14ac:dyDescent="0.35">
      <c r="X11" s="67">
        <v>9</v>
      </c>
      <c r="Y11" s="77" t="s">
        <v>274</v>
      </c>
      <c r="Z11" s="78">
        <v>0.02</v>
      </c>
      <c r="AA11" s="103">
        <v>15235</v>
      </c>
      <c r="AB11" s="100">
        <v>4147</v>
      </c>
      <c r="AC11" s="100">
        <v>0</v>
      </c>
      <c r="AD11" s="100">
        <f>(Z11*AB17)</f>
        <v>123629203.02</v>
      </c>
      <c r="AE11" s="100">
        <f>AB18*Z11</f>
        <v>185443804.52000001</v>
      </c>
      <c r="AF11" s="69">
        <v>6.0000000000000001E-3</v>
      </c>
      <c r="AG11" s="67">
        <v>0</v>
      </c>
      <c r="AH11" s="68">
        <v>0</v>
      </c>
      <c r="AJ11" s="103"/>
      <c r="AK11" s="103"/>
      <c r="AL11" s="103"/>
      <c r="AM11" s="103"/>
      <c r="AN11" s="103"/>
      <c r="AO11" s="103"/>
      <c r="AP11" s="103"/>
      <c r="AQ11" s="103"/>
      <c r="AR11" s="103"/>
      <c r="AS11" s="103"/>
      <c r="AT11" s="103"/>
      <c r="AU11" s="103"/>
      <c r="AV11" s="103"/>
      <c r="AX11" s="104"/>
      <c r="AY11" s="103"/>
      <c r="AZ11" s="103"/>
      <c r="BA11" s="105"/>
      <c r="BB11" s="103"/>
      <c r="BC11" s="110"/>
    </row>
    <row r="12" spans="24:55" ht="29" x14ac:dyDescent="0.35">
      <c r="X12" s="67">
        <v>10</v>
      </c>
      <c r="Y12" s="71" t="s">
        <v>275</v>
      </c>
      <c r="Z12" s="81">
        <v>0.01</v>
      </c>
      <c r="AA12" s="103">
        <v>4901</v>
      </c>
      <c r="AB12" s="100">
        <v>896</v>
      </c>
      <c r="AC12" s="100">
        <v>0</v>
      </c>
      <c r="AD12" s="100">
        <f>(Z12*AB17)</f>
        <v>61814601.509999998</v>
      </c>
      <c r="AE12" s="100">
        <f>AB18*Z12</f>
        <v>92721902.260000005</v>
      </c>
      <c r="AF12" s="69">
        <v>1E-3</v>
      </c>
      <c r="AG12" s="67">
        <v>0</v>
      </c>
      <c r="AH12" s="68">
        <v>0</v>
      </c>
      <c r="AJ12" s="103"/>
      <c r="AK12" s="103"/>
      <c r="AL12" s="103"/>
      <c r="AM12" s="103"/>
      <c r="AN12" s="103"/>
      <c r="AO12" s="103"/>
      <c r="AP12" s="103"/>
      <c r="AQ12" s="103"/>
      <c r="AR12" s="103"/>
      <c r="AS12" s="103"/>
      <c r="AT12" s="103"/>
      <c r="AU12" s="103"/>
      <c r="AV12" s="103"/>
      <c r="AX12" s="104"/>
      <c r="AY12" s="103"/>
      <c r="AZ12" s="103"/>
      <c r="BA12" s="105"/>
      <c r="BB12" s="103"/>
      <c r="BC12" s="110"/>
    </row>
    <row r="13" spans="24:55" ht="29" x14ac:dyDescent="0.35">
      <c r="X13" s="67">
        <v>11</v>
      </c>
      <c r="Y13" s="71" t="s">
        <v>276</v>
      </c>
      <c r="Z13" s="81">
        <v>0.01</v>
      </c>
      <c r="AA13" s="103">
        <v>9703</v>
      </c>
      <c r="AB13" s="100">
        <v>5572</v>
      </c>
      <c r="AC13" s="100">
        <v>0</v>
      </c>
      <c r="AD13" s="100">
        <f>(Z13*AB17)</f>
        <v>61814601.509999998</v>
      </c>
      <c r="AE13" s="100">
        <f>AB18*Z13</f>
        <v>92721902.260000005</v>
      </c>
      <c r="AF13" s="69">
        <v>8.0000000000000002E-3</v>
      </c>
      <c r="AG13" s="67">
        <v>0</v>
      </c>
      <c r="AH13" s="68">
        <v>0</v>
      </c>
      <c r="AJ13" s="103"/>
      <c r="AK13" s="103"/>
      <c r="AL13" s="103"/>
      <c r="AM13" s="103"/>
      <c r="AN13" s="103"/>
      <c r="AO13" s="103"/>
      <c r="AP13" s="103"/>
      <c r="AQ13" s="103"/>
      <c r="AR13" s="103"/>
      <c r="AS13" s="103"/>
      <c r="AT13" s="103"/>
      <c r="AU13" s="103"/>
      <c r="AV13" s="103"/>
      <c r="AX13" s="104"/>
      <c r="AY13" s="103"/>
      <c r="AZ13" s="103"/>
      <c r="BA13" s="105"/>
      <c r="BB13" s="103"/>
      <c r="BC13" s="110"/>
    </row>
    <row r="14" spans="24:55" x14ac:dyDescent="0.35">
      <c r="X14" s="67">
        <v>12</v>
      </c>
      <c r="Y14" s="71" t="s">
        <v>160</v>
      </c>
      <c r="Z14" s="81">
        <v>0.01</v>
      </c>
      <c r="AA14" s="103">
        <v>7342</v>
      </c>
      <c r="AB14" s="100">
        <v>12932</v>
      </c>
      <c r="AC14" s="100">
        <v>7641</v>
      </c>
      <c r="AD14" s="100">
        <f>(Z14*AB17)</f>
        <v>61814601.509999998</v>
      </c>
      <c r="AE14" s="100">
        <f>AB18*Z14</f>
        <v>92721902.260000005</v>
      </c>
      <c r="AF14" s="68">
        <v>0.02</v>
      </c>
      <c r="AG14" s="67">
        <v>7641</v>
      </c>
      <c r="AH14" s="68">
        <v>0.03</v>
      </c>
      <c r="AJ14" s="103"/>
      <c r="AK14" s="103"/>
      <c r="AL14" s="103"/>
      <c r="AM14" s="103"/>
      <c r="AN14" s="103"/>
      <c r="AO14" s="103"/>
      <c r="AP14" s="103"/>
      <c r="AQ14" s="103"/>
      <c r="AR14" s="103"/>
      <c r="AS14" s="103"/>
      <c r="AT14" s="103"/>
      <c r="AU14" s="103"/>
      <c r="AV14" s="103"/>
      <c r="AX14" s="104"/>
      <c r="AY14" s="103"/>
      <c r="AZ14" s="103"/>
      <c r="BA14" s="104"/>
      <c r="BB14" s="103"/>
      <c r="BC14" s="110"/>
    </row>
    <row r="15" spans="24:55" ht="15" thickBot="1" x14ac:dyDescent="0.4">
      <c r="X15" s="67">
        <v>13</v>
      </c>
      <c r="Y15" s="79" t="s">
        <v>277</v>
      </c>
      <c r="Z15" s="80">
        <v>0.08</v>
      </c>
      <c r="AA15" s="111">
        <v>79622</v>
      </c>
      <c r="AB15" s="100">
        <v>73495</v>
      </c>
      <c r="AC15" s="100">
        <v>51083</v>
      </c>
      <c r="AD15" s="140">
        <f>(Z15*AB17)</f>
        <v>494516812.07999998</v>
      </c>
      <c r="AE15" s="140">
        <f>AB18*Z15</f>
        <v>741775218.08000004</v>
      </c>
      <c r="AF15" s="68">
        <v>0.1</v>
      </c>
      <c r="AG15" s="67">
        <v>51083</v>
      </c>
      <c r="AH15" s="68">
        <v>0.2</v>
      </c>
      <c r="AJ15" s="111"/>
      <c r="AK15" s="111"/>
      <c r="AL15" s="111"/>
      <c r="AM15" s="111"/>
      <c r="AN15" s="111"/>
      <c r="AO15" s="111"/>
      <c r="AP15" s="111"/>
      <c r="AQ15" s="111"/>
      <c r="AR15" s="111"/>
      <c r="AS15" s="111"/>
      <c r="AT15" s="111"/>
      <c r="AU15" s="111"/>
      <c r="AV15" s="111"/>
      <c r="AX15" s="112"/>
      <c r="AY15" s="112"/>
      <c r="AZ15" s="112"/>
      <c r="BA15" s="112"/>
      <c r="BB15" s="112"/>
      <c r="BC15" s="113"/>
    </row>
    <row r="16" spans="24:55" x14ac:dyDescent="0.35">
      <c r="Z16" s="57" t="s">
        <v>289</v>
      </c>
      <c r="AA16" s="57">
        <f>SUM(AA3,AA4:AA15)</f>
        <v>944126</v>
      </c>
      <c r="AB16" s="101">
        <v>728054</v>
      </c>
      <c r="AC16" s="145">
        <f>SUM(AC3,AC4:AC15)</f>
        <v>252641</v>
      </c>
      <c r="AD16" s="146"/>
      <c r="AE16" s="146"/>
    </row>
    <row r="17" spans="12:33" x14ac:dyDescent="0.35">
      <c r="L17" s="76"/>
      <c r="Z17" s="57" t="s">
        <v>290</v>
      </c>
      <c r="AA17" s="57"/>
      <c r="AB17" s="99">
        <v>6181460151</v>
      </c>
      <c r="AC17" s="121"/>
      <c r="AD17" s="146"/>
      <c r="AE17" s="146"/>
    </row>
    <row r="18" spans="12:33" x14ac:dyDescent="0.35">
      <c r="Z18" s="57" t="s">
        <v>291</v>
      </c>
      <c r="AA18" s="57"/>
      <c r="AB18" s="102">
        <v>9272190226</v>
      </c>
      <c r="AC18" s="102"/>
      <c r="AD18" s="146"/>
      <c r="AE18" s="146"/>
    </row>
    <row r="24" spans="12:33" x14ac:dyDescent="0.35">
      <c r="AF24" s="137">
        <v>2024</v>
      </c>
      <c r="AG24" s="70">
        <v>2023</v>
      </c>
    </row>
    <row r="25" spans="12:33" x14ac:dyDescent="0.35">
      <c r="AE25" s="72" t="s">
        <v>270</v>
      </c>
      <c r="AF25" s="73">
        <v>0.35</v>
      </c>
      <c r="AG25" s="68">
        <v>0.21</v>
      </c>
    </row>
    <row r="26" spans="12:33" x14ac:dyDescent="0.35">
      <c r="AE26" s="72" t="s">
        <v>13</v>
      </c>
      <c r="AF26" s="73">
        <v>0.19</v>
      </c>
      <c r="AG26" s="68">
        <v>0.11</v>
      </c>
    </row>
    <row r="27" spans="12:33" x14ac:dyDescent="0.35">
      <c r="AE27" s="72" t="s">
        <v>128</v>
      </c>
      <c r="AF27" s="73" t="s">
        <v>296</v>
      </c>
      <c r="AG27" s="68">
        <v>0.11</v>
      </c>
    </row>
    <row r="28" spans="12:33" x14ac:dyDescent="0.35">
      <c r="AE28" s="72" t="s">
        <v>135</v>
      </c>
      <c r="AF28" s="73">
        <v>0.11</v>
      </c>
      <c r="AG28" s="68">
        <v>0.05</v>
      </c>
    </row>
    <row r="29" spans="12:33" x14ac:dyDescent="0.35">
      <c r="AE29" s="77" t="s">
        <v>107</v>
      </c>
      <c r="AF29" s="78">
        <v>0.06</v>
      </c>
      <c r="AG29" s="68">
        <v>0.12</v>
      </c>
    </row>
    <row r="30" spans="12:33" x14ac:dyDescent="0.35">
      <c r="AE30" s="77" t="s">
        <v>271</v>
      </c>
      <c r="AF30" s="78">
        <v>0.02</v>
      </c>
      <c r="AG30" s="68">
        <v>0.13</v>
      </c>
    </row>
    <row r="31" spans="12:33" x14ac:dyDescent="0.35">
      <c r="AE31" s="71" t="s">
        <v>272</v>
      </c>
      <c r="AF31" s="81">
        <v>0.01</v>
      </c>
      <c r="AG31" s="68">
        <v>0.12</v>
      </c>
    </row>
    <row r="32" spans="12:33" x14ac:dyDescent="0.35">
      <c r="AE32" s="71" t="s">
        <v>273</v>
      </c>
      <c r="AF32" s="81">
        <v>0.01</v>
      </c>
      <c r="AG32" s="68">
        <v>0.02</v>
      </c>
    </row>
    <row r="33" spans="31:33" x14ac:dyDescent="0.35">
      <c r="AE33" s="77" t="s">
        <v>274</v>
      </c>
      <c r="AF33" s="78">
        <v>0.02</v>
      </c>
      <c r="AG33" s="69">
        <v>6.0000000000000001E-3</v>
      </c>
    </row>
    <row r="34" spans="31:33" ht="29" x14ac:dyDescent="0.35">
      <c r="AE34" s="71" t="s">
        <v>275</v>
      </c>
      <c r="AF34" s="81">
        <v>0.01</v>
      </c>
      <c r="AG34" s="69">
        <v>1E-3</v>
      </c>
    </row>
    <row r="35" spans="31:33" x14ac:dyDescent="0.35">
      <c r="AE35" s="71" t="s">
        <v>276</v>
      </c>
      <c r="AF35" s="81">
        <v>0.01</v>
      </c>
      <c r="AG35" s="69">
        <v>8.0000000000000002E-3</v>
      </c>
    </row>
    <row r="36" spans="31:33" x14ac:dyDescent="0.35">
      <c r="AE36" s="71" t="s">
        <v>160</v>
      </c>
      <c r="AF36" s="81">
        <v>0.01</v>
      </c>
      <c r="AG36" s="68">
        <v>0.02</v>
      </c>
    </row>
    <row r="37" spans="31:33" x14ac:dyDescent="0.35">
      <c r="AE37" s="79" t="s">
        <v>277</v>
      </c>
      <c r="AF37" s="80">
        <v>0.08</v>
      </c>
      <c r="AG37" s="68">
        <v>0.1</v>
      </c>
    </row>
    <row r="61" spans="6:6" x14ac:dyDescent="0.35">
      <c r="F61" t="e">
        <f>PRODUCT('Target customer data'!AA17F59,728054)</f>
        <v>#NAME?</v>
      </c>
    </row>
  </sheetData>
  <mergeCells count="4">
    <mergeCell ref="AN1:AN2"/>
    <mergeCell ref="AG1:AG2"/>
    <mergeCell ref="AK1:AK2"/>
    <mergeCell ref="AL1:AL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Q24"/>
  <sheetViews>
    <sheetView workbookViewId="0">
      <selection activeCell="A13" sqref="A13"/>
    </sheetView>
  </sheetViews>
  <sheetFormatPr defaultRowHeight="14.5" x14ac:dyDescent="0.35"/>
  <cols>
    <col min="1" max="1" width="12.54296875" bestFit="1" customWidth="1"/>
    <col min="2" max="2" width="11.453125" bestFit="1" customWidth="1"/>
    <col min="3" max="4" width="11.453125" customWidth="1"/>
    <col min="5" max="5" width="11.453125" bestFit="1" customWidth="1"/>
    <col min="6" max="6" width="12" bestFit="1" customWidth="1"/>
  </cols>
  <sheetData>
    <row r="3" spans="1:6" x14ac:dyDescent="0.35">
      <c r="A3" s="134" t="s">
        <v>376</v>
      </c>
      <c r="B3" t="s">
        <v>378</v>
      </c>
      <c r="C3" t="s">
        <v>379</v>
      </c>
      <c r="D3" t="s">
        <v>380</v>
      </c>
      <c r="E3" t="s">
        <v>381</v>
      </c>
      <c r="F3" t="s">
        <v>382</v>
      </c>
    </row>
    <row r="4" spans="1:6" x14ac:dyDescent="0.35">
      <c r="A4" s="135" t="s">
        <v>13</v>
      </c>
      <c r="B4">
        <v>9740</v>
      </c>
      <c r="C4">
        <v>82109</v>
      </c>
      <c r="D4">
        <v>182959</v>
      </c>
      <c r="E4">
        <v>265290.55</v>
      </c>
      <c r="F4">
        <v>384671.29749999999</v>
      </c>
    </row>
    <row r="5" spans="1:6" x14ac:dyDescent="0.35">
      <c r="A5" s="135" t="s">
        <v>270</v>
      </c>
      <c r="B5">
        <v>14405</v>
      </c>
      <c r="C5">
        <v>152779</v>
      </c>
      <c r="D5">
        <v>326443</v>
      </c>
      <c r="E5">
        <v>473342.35</v>
      </c>
      <c r="F5">
        <v>686346.40749999997</v>
      </c>
    </row>
    <row r="6" spans="1:6" x14ac:dyDescent="0.35">
      <c r="A6" s="135" t="s">
        <v>271</v>
      </c>
      <c r="B6">
        <v>47926</v>
      </c>
      <c r="C6">
        <v>95939</v>
      </c>
      <c r="D6">
        <v>20873</v>
      </c>
      <c r="E6">
        <v>30265.85</v>
      </c>
      <c r="F6">
        <v>43885.482499999998</v>
      </c>
    </row>
    <row r="7" spans="1:6" x14ac:dyDescent="0.35">
      <c r="A7" s="135" t="s">
        <v>135</v>
      </c>
      <c r="B7">
        <v>7114</v>
      </c>
      <c r="C7">
        <v>32805</v>
      </c>
      <c r="D7">
        <v>106990</v>
      </c>
      <c r="E7">
        <v>155135.5</v>
      </c>
      <c r="F7">
        <v>224946.47500000001</v>
      </c>
    </row>
    <row r="8" spans="1:6" x14ac:dyDescent="0.35">
      <c r="A8" s="135" t="s">
        <v>128</v>
      </c>
      <c r="B8">
        <v>19981</v>
      </c>
      <c r="C8">
        <v>76939</v>
      </c>
      <c r="D8">
        <v>108872</v>
      </c>
      <c r="E8">
        <v>157864.4</v>
      </c>
      <c r="F8">
        <v>228903.37999999998</v>
      </c>
    </row>
    <row r="9" spans="1:6" x14ac:dyDescent="0.35">
      <c r="A9" s="135" t="s">
        <v>377</v>
      </c>
      <c r="B9">
        <v>99166</v>
      </c>
      <c r="C9">
        <v>440571</v>
      </c>
      <c r="D9">
        <v>746137</v>
      </c>
      <c r="E9">
        <v>1081898.6499999999</v>
      </c>
      <c r="F9">
        <v>1568753.0425</v>
      </c>
    </row>
    <row r="24" spans="10:17" x14ac:dyDescent="0.35">
      <c r="J24" s="236" t="s">
        <v>383</v>
      </c>
      <c r="K24" s="236"/>
      <c r="L24" s="236"/>
      <c r="M24" s="236"/>
      <c r="N24" s="236"/>
      <c r="O24" s="236"/>
      <c r="P24" s="236"/>
      <c r="Q24" s="133"/>
    </row>
  </sheetData>
  <mergeCells count="1">
    <mergeCell ref="J24:P2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F8"/>
  <sheetViews>
    <sheetView topLeftCell="C1" workbookViewId="0">
      <selection activeCell="A3" sqref="A3"/>
    </sheetView>
  </sheetViews>
  <sheetFormatPr defaultRowHeight="14.5" x14ac:dyDescent="0.35"/>
  <cols>
    <col min="1" max="1" width="14" customWidth="1"/>
    <col min="2" max="5" width="11.453125" bestFit="1" customWidth="1"/>
    <col min="6" max="6" width="12" bestFit="1" customWidth="1"/>
  </cols>
  <sheetData>
    <row r="3" spans="1:6" x14ac:dyDescent="0.35">
      <c r="A3" s="134" t="s">
        <v>376</v>
      </c>
      <c r="B3" t="s">
        <v>378</v>
      </c>
      <c r="C3" t="s">
        <v>379</v>
      </c>
      <c r="D3" t="s">
        <v>380</v>
      </c>
      <c r="E3" t="s">
        <v>381</v>
      </c>
      <c r="F3" t="s">
        <v>382</v>
      </c>
    </row>
    <row r="4" spans="1:6" x14ac:dyDescent="0.35">
      <c r="A4" s="135" t="s">
        <v>107</v>
      </c>
      <c r="B4">
        <v>25516</v>
      </c>
      <c r="C4">
        <v>87392</v>
      </c>
      <c r="D4">
        <v>55057</v>
      </c>
      <c r="E4">
        <v>79832.649999999994</v>
      </c>
      <c r="F4">
        <v>115757.34249999998</v>
      </c>
    </row>
    <row r="5" spans="1:6" x14ac:dyDescent="0.35">
      <c r="A5" s="135" t="s">
        <v>274</v>
      </c>
      <c r="B5">
        <v>0</v>
      </c>
      <c r="C5">
        <v>4147</v>
      </c>
      <c r="D5">
        <v>15235</v>
      </c>
      <c r="E5">
        <v>22090.75</v>
      </c>
      <c r="F5">
        <v>32031.587499999998</v>
      </c>
    </row>
    <row r="6" spans="1:6" x14ac:dyDescent="0.35">
      <c r="A6" s="135" t="s">
        <v>272</v>
      </c>
      <c r="B6">
        <v>69235</v>
      </c>
      <c r="C6">
        <v>89874</v>
      </c>
      <c r="D6">
        <v>12094</v>
      </c>
      <c r="E6">
        <v>17536.3</v>
      </c>
      <c r="F6">
        <v>25427.634999999998</v>
      </c>
    </row>
    <row r="7" spans="1:6" x14ac:dyDescent="0.35">
      <c r="A7" s="135" t="s">
        <v>273</v>
      </c>
      <c r="B7">
        <v>0</v>
      </c>
      <c r="C7">
        <v>13175</v>
      </c>
      <c r="D7">
        <v>14035</v>
      </c>
      <c r="E7">
        <v>20350.75</v>
      </c>
      <c r="F7">
        <v>29508.587499999998</v>
      </c>
    </row>
    <row r="8" spans="1:6" x14ac:dyDescent="0.35">
      <c r="A8" s="135" t="s">
        <v>377</v>
      </c>
      <c r="B8">
        <v>94751</v>
      </c>
      <c r="C8">
        <v>194588</v>
      </c>
      <c r="D8">
        <v>96421</v>
      </c>
      <c r="E8">
        <v>139810.45000000001</v>
      </c>
      <c r="F8">
        <v>202725.1525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F8"/>
  <sheetViews>
    <sheetView workbookViewId="0">
      <selection activeCell="H8" sqref="H8:K11"/>
    </sheetView>
  </sheetViews>
  <sheetFormatPr defaultRowHeight="14.5" x14ac:dyDescent="0.35"/>
  <cols>
    <col min="1" max="1" width="15.6328125" bestFit="1" customWidth="1"/>
    <col min="2" max="5" width="11.453125" bestFit="1" customWidth="1"/>
    <col min="6" max="6" width="11.453125" customWidth="1"/>
  </cols>
  <sheetData>
    <row r="3" spans="1:6" x14ac:dyDescent="0.35">
      <c r="A3" s="134" t="s">
        <v>376</v>
      </c>
      <c r="B3" t="s">
        <v>378</v>
      </c>
      <c r="C3" t="s">
        <v>379</v>
      </c>
      <c r="D3" t="s">
        <v>380</v>
      </c>
      <c r="E3" t="s">
        <v>381</v>
      </c>
      <c r="F3" t="s">
        <v>382</v>
      </c>
    </row>
    <row r="4" spans="1:6" x14ac:dyDescent="0.35">
      <c r="A4" s="135" t="s">
        <v>275</v>
      </c>
      <c r="B4">
        <v>0</v>
      </c>
      <c r="C4">
        <v>896</v>
      </c>
      <c r="D4">
        <v>4901</v>
      </c>
      <c r="E4">
        <v>7106.45</v>
      </c>
      <c r="F4">
        <v>10304.352499999999</v>
      </c>
    </row>
    <row r="5" spans="1:6" x14ac:dyDescent="0.35">
      <c r="A5" s="135" t="s">
        <v>276</v>
      </c>
      <c r="B5">
        <v>0</v>
      </c>
      <c r="C5">
        <v>5572</v>
      </c>
      <c r="D5">
        <v>9703</v>
      </c>
      <c r="E5">
        <v>14069.35</v>
      </c>
      <c r="F5">
        <v>20400.557499999999</v>
      </c>
    </row>
    <row r="6" spans="1:6" x14ac:dyDescent="0.35">
      <c r="A6" s="135" t="s">
        <v>277</v>
      </c>
      <c r="B6">
        <v>51083</v>
      </c>
      <c r="C6">
        <v>73495</v>
      </c>
      <c r="D6">
        <v>79622</v>
      </c>
      <c r="E6">
        <v>115451.9</v>
      </c>
      <c r="F6">
        <v>167405.25499999998</v>
      </c>
    </row>
    <row r="7" spans="1:6" x14ac:dyDescent="0.35">
      <c r="A7" s="135" t="s">
        <v>160</v>
      </c>
      <c r="B7">
        <v>7641</v>
      </c>
      <c r="C7">
        <v>12932</v>
      </c>
      <c r="D7">
        <v>7342</v>
      </c>
      <c r="E7">
        <v>10645.9</v>
      </c>
      <c r="F7">
        <v>15436.554999999998</v>
      </c>
    </row>
    <row r="8" spans="1:6" x14ac:dyDescent="0.35">
      <c r="A8" s="135" t="s">
        <v>377</v>
      </c>
      <c r="B8">
        <v>58724</v>
      </c>
      <c r="C8">
        <v>92895</v>
      </c>
      <c r="D8">
        <v>101568</v>
      </c>
      <c r="E8">
        <v>147273.59999999998</v>
      </c>
      <c r="F8">
        <v>213546.71999999997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3"/>
  <sheetViews>
    <sheetView zoomScale="74" workbookViewId="0">
      <selection activeCell="F21" sqref="F21"/>
    </sheetView>
  </sheetViews>
  <sheetFormatPr defaultRowHeight="14.5" x14ac:dyDescent="0.35"/>
  <cols>
    <col min="3" max="3" width="11.54296875" bestFit="1" customWidth="1"/>
    <col min="4" max="4" width="11.54296875" customWidth="1"/>
    <col min="9" max="10" width="10.81640625" bestFit="1" customWidth="1"/>
  </cols>
  <sheetData>
    <row r="1" spans="1:25" ht="29" x14ac:dyDescent="0.35">
      <c r="A1" s="70" t="s">
        <v>265</v>
      </c>
      <c r="B1" s="70" t="s">
        <v>266</v>
      </c>
      <c r="C1" s="70" t="s">
        <v>267</v>
      </c>
      <c r="D1" s="237">
        <v>2024</v>
      </c>
      <c r="E1" s="70" t="s">
        <v>267</v>
      </c>
      <c r="F1" s="238">
        <v>2023</v>
      </c>
      <c r="G1" s="70" t="s">
        <v>267</v>
      </c>
      <c r="H1" s="238">
        <v>2022</v>
      </c>
      <c r="I1" s="70" t="s">
        <v>309</v>
      </c>
      <c r="J1" s="70" t="s">
        <v>308</v>
      </c>
      <c r="L1" s="70" t="s">
        <v>267</v>
      </c>
      <c r="R1" s="70" t="s">
        <v>267</v>
      </c>
      <c r="S1" s="70" t="s">
        <v>267</v>
      </c>
    </row>
    <row r="2" spans="1:25" ht="29" x14ac:dyDescent="0.35">
      <c r="A2" s="70"/>
      <c r="B2" s="70"/>
      <c r="C2" s="70" t="s">
        <v>302</v>
      </c>
      <c r="D2" s="237"/>
      <c r="E2" s="70" t="s">
        <v>303</v>
      </c>
      <c r="F2" s="239"/>
      <c r="G2" s="70" t="s">
        <v>304</v>
      </c>
      <c r="H2" s="239"/>
      <c r="I2" s="70"/>
      <c r="J2" s="70"/>
      <c r="L2" s="70" t="s">
        <v>304</v>
      </c>
      <c r="N2" s="57"/>
      <c r="R2" s="70" t="s">
        <v>301</v>
      </c>
      <c r="S2" s="70" t="s">
        <v>302</v>
      </c>
    </row>
    <row r="3" spans="1:25" ht="29" x14ac:dyDescent="0.35">
      <c r="A3" s="67">
        <v>1</v>
      </c>
      <c r="B3" s="72" t="s">
        <v>270</v>
      </c>
      <c r="C3" s="120">
        <f>(D3/D16)</f>
        <v>0.34576211226043979</v>
      </c>
      <c r="D3" s="103">
        <v>326443</v>
      </c>
      <c r="E3" s="73">
        <f>(F3/$F$16)</f>
        <v>0.20984569825864566</v>
      </c>
      <c r="F3" s="100">
        <v>152779</v>
      </c>
      <c r="G3" s="68">
        <f>(H3/$H$16)</f>
        <v>5.70176653828951E-2</v>
      </c>
      <c r="H3" s="136">
        <v>14405</v>
      </c>
      <c r="I3" s="138">
        <f>(J3*1.45)</f>
        <v>686346.40749999997</v>
      </c>
      <c r="J3" s="138">
        <f t="shared" ref="J3:J15" si="0">(D3*1.45)</f>
        <v>473342.35</v>
      </c>
      <c r="L3" s="68">
        <f>(M3/$H$16)</f>
        <v>0</v>
      </c>
      <c r="R3" s="72">
        <v>326443</v>
      </c>
      <c r="S3" s="72" t="e">
        <f>(AI3/AJ16)*100</f>
        <v>#DIV/0!</v>
      </c>
    </row>
    <row r="4" spans="1:25" x14ac:dyDescent="0.35">
      <c r="A4" s="67">
        <v>2</v>
      </c>
      <c r="B4" s="72" t="s">
        <v>13</v>
      </c>
      <c r="C4" s="120">
        <f>(D4/$D$16)</f>
        <v>0.19378663441108496</v>
      </c>
      <c r="D4" s="103">
        <v>182959</v>
      </c>
      <c r="E4" s="73">
        <f t="shared" ref="E4:E15" si="1">(F4/$F$16)</f>
        <v>0.11277872245740014</v>
      </c>
      <c r="F4" s="100">
        <v>82109</v>
      </c>
      <c r="G4" s="68">
        <f t="shared" ref="G4:G15" si="2">(H4/$H$16)</f>
        <v>3.8552728971148781E-2</v>
      </c>
      <c r="H4" s="136">
        <v>9740</v>
      </c>
      <c r="I4" s="138">
        <f t="shared" ref="I4:I15" si="3">(J4*1.45)</f>
        <v>384671.29749999999</v>
      </c>
      <c r="J4" s="138">
        <f t="shared" si="0"/>
        <v>265290.55</v>
      </c>
      <c r="L4" s="68">
        <f t="shared" ref="L4:L15" si="4">(M4/$H$16)</f>
        <v>0</v>
      </c>
      <c r="R4" s="72">
        <v>182959</v>
      </c>
      <c r="S4" s="72" t="e">
        <f>(AI4/AJ16)*100</f>
        <v>#DIV/0!</v>
      </c>
    </row>
    <row r="5" spans="1:25" x14ac:dyDescent="0.35">
      <c r="A5" s="67">
        <v>3</v>
      </c>
      <c r="B5" s="72" t="s">
        <v>128</v>
      </c>
      <c r="C5" s="120">
        <f t="shared" ref="C5:C15" si="5">(D5/$D$16)</f>
        <v>0.11531511683821863</v>
      </c>
      <c r="D5" s="103">
        <v>108872</v>
      </c>
      <c r="E5" s="73">
        <f t="shared" si="1"/>
        <v>0.10567760083730053</v>
      </c>
      <c r="F5" s="100">
        <v>76939</v>
      </c>
      <c r="G5" s="68">
        <f t="shared" si="2"/>
        <v>7.908850899101888E-2</v>
      </c>
      <c r="H5" s="136">
        <v>19981</v>
      </c>
      <c r="I5" s="138">
        <f t="shared" si="3"/>
        <v>228903.37999999998</v>
      </c>
      <c r="J5" s="138">
        <f t="shared" si="0"/>
        <v>157864.4</v>
      </c>
      <c r="L5" s="68">
        <f t="shared" si="4"/>
        <v>0</v>
      </c>
      <c r="R5" s="72">
        <v>108872</v>
      </c>
      <c r="S5" s="72" t="e">
        <f t="shared" ref="S5:S14" ca="1" si="6">(AI5/$S$16)*100</f>
        <v>#REF!</v>
      </c>
    </row>
    <row r="6" spans="1:25" x14ac:dyDescent="0.35">
      <c r="A6" s="67">
        <v>4</v>
      </c>
      <c r="B6" s="72" t="s">
        <v>135</v>
      </c>
      <c r="C6" s="120">
        <f t="shared" si="5"/>
        <v>0.11332173883570625</v>
      </c>
      <c r="D6" s="103">
        <v>106990</v>
      </c>
      <c r="E6" s="73">
        <f t="shared" si="1"/>
        <v>4.5058470937595289E-2</v>
      </c>
      <c r="F6" s="100">
        <v>32805</v>
      </c>
      <c r="G6" s="68">
        <f t="shared" si="2"/>
        <v>2.8158533254697377E-2</v>
      </c>
      <c r="H6" s="136">
        <v>7114</v>
      </c>
      <c r="I6" s="138">
        <f t="shared" si="3"/>
        <v>224946.47500000001</v>
      </c>
      <c r="J6" s="138">
        <f t="shared" si="0"/>
        <v>155135.5</v>
      </c>
      <c r="L6" s="68">
        <f t="shared" si="4"/>
        <v>0</v>
      </c>
      <c r="R6" s="72">
        <v>106990</v>
      </c>
      <c r="S6" s="72" t="e">
        <f t="shared" ca="1" si="6"/>
        <v>#REF!</v>
      </c>
    </row>
    <row r="7" spans="1:25" x14ac:dyDescent="0.35">
      <c r="A7" s="67">
        <v>5</v>
      </c>
      <c r="B7" s="77" t="s">
        <v>107</v>
      </c>
      <c r="C7" s="120">
        <f t="shared" si="5"/>
        <v>5.8315309609098788E-2</v>
      </c>
      <c r="D7" s="103">
        <v>55057</v>
      </c>
      <c r="E7" s="73">
        <f t="shared" si="1"/>
        <v>0.12003505234501836</v>
      </c>
      <c r="F7" s="100">
        <v>87392</v>
      </c>
      <c r="G7" s="68">
        <f t="shared" si="2"/>
        <v>0.10099706698437703</v>
      </c>
      <c r="H7" s="136">
        <v>25516</v>
      </c>
      <c r="I7" s="138">
        <f t="shared" si="3"/>
        <v>115757.34249999998</v>
      </c>
      <c r="J7" s="138">
        <f t="shared" si="0"/>
        <v>79832.649999999994</v>
      </c>
      <c r="L7" s="68">
        <f t="shared" si="4"/>
        <v>0</v>
      </c>
      <c r="R7" s="77">
        <v>55057</v>
      </c>
      <c r="S7" s="72" t="e">
        <f t="shared" ca="1" si="6"/>
        <v>#REF!</v>
      </c>
    </row>
    <row r="8" spans="1:25" ht="29" x14ac:dyDescent="0.35">
      <c r="A8" s="67">
        <v>6</v>
      </c>
      <c r="B8" s="77" t="s">
        <v>271</v>
      </c>
      <c r="C8" s="120">
        <f t="shared" si="5"/>
        <v>2.2108277920531792E-2</v>
      </c>
      <c r="D8" s="103">
        <v>20873</v>
      </c>
      <c r="E8" s="73">
        <f t="shared" si="1"/>
        <v>0.13177456617228941</v>
      </c>
      <c r="F8" s="100">
        <v>95939</v>
      </c>
      <c r="G8" s="68">
        <f t="shared" si="2"/>
        <v>0.18970000910382717</v>
      </c>
      <c r="H8" s="136">
        <v>47926</v>
      </c>
      <c r="I8" s="138">
        <f t="shared" si="3"/>
        <v>43885.482499999998</v>
      </c>
      <c r="J8" s="138">
        <f t="shared" si="0"/>
        <v>30265.85</v>
      </c>
      <c r="L8" s="68">
        <f t="shared" si="4"/>
        <v>0</v>
      </c>
      <c r="R8" s="77">
        <v>20873</v>
      </c>
      <c r="S8" s="72" t="e">
        <f t="shared" ca="1" si="6"/>
        <v>#REF!</v>
      </c>
    </row>
    <row r="9" spans="1:25" ht="29" x14ac:dyDescent="0.35">
      <c r="A9" s="67">
        <v>7</v>
      </c>
      <c r="B9" s="71" t="s">
        <v>272</v>
      </c>
      <c r="C9" s="120">
        <f t="shared" si="5"/>
        <v>1.2809730904561467E-2</v>
      </c>
      <c r="D9" s="103">
        <v>12094</v>
      </c>
      <c r="E9" s="73">
        <f t="shared" si="1"/>
        <v>0.1234441401324627</v>
      </c>
      <c r="F9" s="100">
        <v>89874</v>
      </c>
      <c r="G9" s="68">
        <f t="shared" si="2"/>
        <v>0.2740449887389616</v>
      </c>
      <c r="H9" s="136">
        <v>69235</v>
      </c>
      <c r="I9" s="138">
        <f>(J9*1.45)</f>
        <v>25427.634999999998</v>
      </c>
      <c r="J9" s="138">
        <f t="shared" si="0"/>
        <v>17536.3</v>
      </c>
      <c r="L9" s="68">
        <f t="shared" si="4"/>
        <v>0</v>
      </c>
      <c r="N9" s="122"/>
      <c r="R9" s="71">
        <v>12094</v>
      </c>
      <c r="S9" s="72" t="e">
        <f t="shared" ca="1" si="6"/>
        <v>#REF!</v>
      </c>
    </row>
    <row r="10" spans="1:25" ht="29" x14ac:dyDescent="0.35">
      <c r="A10" s="67">
        <v>8</v>
      </c>
      <c r="B10" s="71" t="s">
        <v>273</v>
      </c>
      <c r="C10" s="120">
        <f t="shared" si="5"/>
        <v>1.4865600566026144E-2</v>
      </c>
      <c r="D10" s="103">
        <v>14035</v>
      </c>
      <c r="E10" s="73">
        <f t="shared" si="1"/>
        <v>1.809618517307782E-2</v>
      </c>
      <c r="F10" s="100">
        <v>13175</v>
      </c>
      <c r="G10" s="68">
        <f t="shared" si="2"/>
        <v>0</v>
      </c>
      <c r="H10" s="136">
        <v>0</v>
      </c>
      <c r="I10" s="138">
        <f t="shared" si="3"/>
        <v>29508.587499999998</v>
      </c>
      <c r="J10" s="138">
        <f t="shared" si="0"/>
        <v>20350.75</v>
      </c>
      <c r="L10" s="68">
        <f t="shared" si="4"/>
        <v>0</v>
      </c>
      <c r="N10" s="122"/>
      <c r="R10" s="71">
        <v>14035</v>
      </c>
      <c r="S10" s="72" t="e">
        <f t="shared" ca="1" si="6"/>
        <v>#REF!</v>
      </c>
    </row>
    <row r="11" spans="1:25" x14ac:dyDescent="0.35">
      <c r="A11" s="67">
        <v>9</v>
      </c>
      <c r="B11" s="77" t="s">
        <v>274</v>
      </c>
      <c r="C11" s="120">
        <f t="shared" si="5"/>
        <v>1.6136617358276331E-2</v>
      </c>
      <c r="D11" s="103">
        <v>15235</v>
      </c>
      <c r="E11" s="73">
        <f t="shared" si="1"/>
        <v>5.6960060654841537E-3</v>
      </c>
      <c r="F11" s="100">
        <v>4147</v>
      </c>
      <c r="G11" s="68">
        <f t="shared" si="2"/>
        <v>0</v>
      </c>
      <c r="H11" s="136">
        <v>0</v>
      </c>
      <c r="I11" s="138">
        <f t="shared" si="3"/>
        <v>32031.587499999998</v>
      </c>
      <c r="J11" s="138">
        <f t="shared" si="0"/>
        <v>22090.75</v>
      </c>
      <c r="L11" s="68">
        <f t="shared" si="4"/>
        <v>0</v>
      </c>
      <c r="N11" s="122"/>
      <c r="R11" s="77">
        <v>15235</v>
      </c>
      <c r="S11" s="72" t="e">
        <f t="shared" ca="1" si="6"/>
        <v>#REF!</v>
      </c>
    </row>
    <row r="12" spans="1:25" ht="29" x14ac:dyDescent="0.35">
      <c r="A12" s="67">
        <v>10</v>
      </c>
      <c r="B12" s="72" t="s">
        <v>275</v>
      </c>
      <c r="C12" s="120">
        <f t="shared" si="5"/>
        <v>5.1910444156818055E-3</v>
      </c>
      <c r="D12" s="103">
        <v>4901</v>
      </c>
      <c r="E12" s="73">
        <f t="shared" si="1"/>
        <v>1.2306779442184234E-3</v>
      </c>
      <c r="F12" s="100">
        <v>896</v>
      </c>
      <c r="G12" s="68">
        <f t="shared" si="2"/>
        <v>0</v>
      </c>
      <c r="H12" s="136">
        <v>0</v>
      </c>
      <c r="I12" s="138">
        <f t="shared" si="3"/>
        <v>10304.352499999999</v>
      </c>
      <c r="J12" s="138">
        <f t="shared" si="0"/>
        <v>7106.45</v>
      </c>
      <c r="L12" s="68">
        <f t="shared" si="4"/>
        <v>0</v>
      </c>
      <c r="N12" s="122"/>
      <c r="R12" s="72">
        <v>4901</v>
      </c>
      <c r="S12" s="72" t="e">
        <f t="shared" ca="1" si="6"/>
        <v>#REF!</v>
      </c>
    </row>
    <row r="13" spans="1:25" ht="29" x14ac:dyDescent="0.35">
      <c r="A13" s="67">
        <v>11</v>
      </c>
      <c r="B13" s="71" t="s">
        <v>276</v>
      </c>
      <c r="C13" s="120">
        <f t="shared" si="5"/>
        <v>1.0277229946002969E-2</v>
      </c>
      <c r="D13" s="103">
        <v>9703</v>
      </c>
      <c r="E13" s="73">
        <f t="shared" si="1"/>
        <v>7.6532784656083205E-3</v>
      </c>
      <c r="F13" s="100">
        <v>5572</v>
      </c>
      <c r="G13" s="68">
        <f t="shared" si="2"/>
        <v>0</v>
      </c>
      <c r="H13" s="136">
        <v>0</v>
      </c>
      <c r="I13" s="138">
        <f t="shared" si="3"/>
        <v>20400.557499999999</v>
      </c>
      <c r="J13" s="138">
        <f t="shared" si="0"/>
        <v>14069.35</v>
      </c>
      <c r="L13" s="68">
        <f t="shared" si="4"/>
        <v>0</v>
      </c>
      <c r="N13" s="122"/>
      <c r="R13" s="71">
        <v>9703</v>
      </c>
      <c r="S13" s="72" t="e">
        <f t="shared" ca="1" si="6"/>
        <v>#REF!</v>
      </c>
    </row>
    <row r="14" spans="1:25" x14ac:dyDescent="0.35">
      <c r="A14" s="67">
        <v>12</v>
      </c>
      <c r="B14" s="71" t="s">
        <v>160</v>
      </c>
      <c r="C14" s="120">
        <f t="shared" si="5"/>
        <v>7.7765044072507271E-3</v>
      </c>
      <c r="D14" s="103">
        <v>7342</v>
      </c>
      <c r="E14" s="73">
        <f t="shared" si="1"/>
        <v>1.7762418721688225E-2</v>
      </c>
      <c r="F14" s="100">
        <v>12932</v>
      </c>
      <c r="G14" s="68">
        <f t="shared" si="2"/>
        <v>3.0244497132294441E-2</v>
      </c>
      <c r="H14" s="136">
        <v>7641</v>
      </c>
      <c r="I14" s="138">
        <f t="shared" si="3"/>
        <v>15436.554999999998</v>
      </c>
      <c r="J14" s="138">
        <f t="shared" si="0"/>
        <v>10645.9</v>
      </c>
      <c r="L14" s="68">
        <f t="shared" si="4"/>
        <v>0</v>
      </c>
      <c r="N14" s="122"/>
      <c r="R14" s="71">
        <v>7342</v>
      </c>
      <c r="S14" s="72" t="e">
        <f t="shared" ca="1" si="6"/>
        <v>#REF!</v>
      </c>
    </row>
    <row r="15" spans="1:25" x14ac:dyDescent="0.35">
      <c r="A15" s="67">
        <v>13</v>
      </c>
      <c r="B15" s="79" t="s">
        <v>277</v>
      </c>
      <c r="C15" s="120">
        <f t="shared" si="5"/>
        <v>8.4334082527120324E-2</v>
      </c>
      <c r="D15" s="103">
        <v>79622</v>
      </c>
      <c r="E15" s="73">
        <f t="shared" si="1"/>
        <v>0.10094718248921096</v>
      </c>
      <c r="F15" s="140">
        <v>73495</v>
      </c>
      <c r="G15" s="68">
        <f t="shared" si="2"/>
        <v>0.20219600144077959</v>
      </c>
      <c r="H15" s="136">
        <v>51083</v>
      </c>
      <c r="I15" s="138">
        <f t="shared" si="3"/>
        <v>167405.25499999998</v>
      </c>
      <c r="J15" s="138">
        <f t="shared" si="0"/>
        <v>115451.9</v>
      </c>
      <c r="L15" s="68">
        <f t="shared" si="4"/>
        <v>0</v>
      </c>
      <c r="N15" s="122"/>
      <c r="Q15" s="79">
        <v>79622</v>
      </c>
      <c r="R15" s="72">
        <f t="shared" ref="R15" ca="1" si="7">(AH15/$S$16)*100</f>
        <v>0</v>
      </c>
    </row>
    <row r="16" spans="1:25" x14ac:dyDescent="0.35">
      <c r="D16" s="2">
        <f>SUM(D3,D4:D15)</f>
        <v>944126</v>
      </c>
      <c r="F16" s="139">
        <f>SUM(F3,F4:F15)</f>
        <v>728054</v>
      </c>
      <c r="H16" s="139">
        <f>SUM(H3,H4:H15)</f>
        <v>252641</v>
      </c>
      <c r="I16" s="139">
        <f>SUM(I3,I4:I15)</f>
        <v>1985024.9149999998</v>
      </c>
      <c r="J16" s="139">
        <f>SUM(J3,J4:J15)</f>
        <v>1368982.6999999997</v>
      </c>
      <c r="S16" t="e">
        <f ca="1">SUM(R3,R4:R15)</f>
        <v>#REF!</v>
      </c>
      <c r="Y16" t="e">
        <f>'Target customer data 2'!#REF!</f>
        <v>#REF!</v>
      </c>
    </row>
    <row r="43" ht="14.4" customHeight="1" x14ac:dyDescent="0.35"/>
  </sheetData>
  <mergeCells count="3">
    <mergeCell ref="D1:D2"/>
    <mergeCell ref="F1:F2"/>
    <mergeCell ref="H1:H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Sheet3</vt:lpstr>
      <vt:lpstr>Market Sizing</vt:lpstr>
      <vt:lpstr>2023-2024</vt:lpstr>
      <vt:lpstr>Retail prices</vt:lpstr>
      <vt:lpstr>Target customer data</vt:lpstr>
      <vt:lpstr>C3 CX</vt:lpstr>
      <vt:lpstr>C1 CX</vt:lpstr>
      <vt:lpstr>C2 CX</vt:lpstr>
      <vt:lpstr>Target customer data 2</vt:lpstr>
      <vt:lpstr>Voice of customers</vt:lpstr>
      <vt:lpstr>Competitors</vt:lpstr>
      <vt:lpstr>Technology trends and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Nayak</dc:creator>
  <cp:lastModifiedBy>Simarjeet Singh</cp:lastModifiedBy>
  <dcterms:created xsi:type="dcterms:W3CDTF">2024-04-25T04:57:17Z</dcterms:created>
  <dcterms:modified xsi:type="dcterms:W3CDTF">2025-07-16T05:32:12Z</dcterms:modified>
</cp:coreProperties>
</file>