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syddanskuni-my.sharepoint.com/personal/stg_igt_sdu_dk/Documents/PHD Styrmir/C1-Simons historical/"/>
    </mc:Choice>
  </mc:AlternateContent>
  <xr:revisionPtr revIDLastSave="1" documentId="13_ncr:1_{2A23C7A9-A45F-464B-8740-2AAC58EDD433}" xr6:coauthVersionLast="47" xr6:coauthVersionMax="47" xr10:uidLastSave="{21B2CD81-EACE-4369-A31E-BF4D2B51AEB9}"/>
  <bookViews>
    <workbookView xWindow="-120" yWindow="-120" windowWidth="29040" windowHeight="15840" xr2:uid="{00000000-000D-0000-FFFF-FFFF00000000}"/>
  </bookViews>
  <sheets>
    <sheet name="Ark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4" i="1" l="1"/>
  <c r="H31" i="1"/>
  <c r="J31" i="1" s="1"/>
  <c r="H32" i="1"/>
  <c r="J32" i="1" s="1"/>
  <c r="H26" i="1"/>
  <c r="H20" i="1"/>
  <c r="J20" i="1" s="1"/>
  <c r="H14" i="1"/>
  <c r="K14" i="1" s="1"/>
  <c r="H8" i="1"/>
  <c r="J8" i="1" s="1"/>
  <c r="H25" i="1"/>
  <c r="J25" i="1" s="1"/>
  <c r="H19" i="1"/>
  <c r="L19" i="1" s="1"/>
  <c r="H7" i="1"/>
  <c r="J7" i="1" s="1"/>
  <c r="H13" i="1"/>
  <c r="K13" i="1" s="1"/>
  <c r="K26" i="1"/>
  <c r="K9" i="1"/>
  <c r="J9" i="1" s="1"/>
  <c r="AA2" i="1"/>
  <c r="AA3" i="1"/>
  <c r="AA5" i="1"/>
  <c r="AA6" i="1"/>
  <c r="S13" i="1"/>
  <c r="S14" i="1"/>
  <c r="R14" i="1"/>
  <c r="T12" i="1"/>
  <c r="R18" i="1"/>
  <c r="R19" i="1" s="1"/>
  <c r="R13" i="1"/>
  <c r="I28" i="1"/>
  <c r="O28" i="1" s="1"/>
  <c r="J28" i="1"/>
  <c r="J14" i="1"/>
  <c r="L14" i="1"/>
  <c r="K20" i="1"/>
  <c r="L20" i="1"/>
  <c r="J26" i="1"/>
  <c r="L26" i="1"/>
  <c r="K32" i="1"/>
  <c r="H24" i="1"/>
  <c r="G24" i="1"/>
  <c r="F24" i="1"/>
  <c r="E24" i="1"/>
  <c r="H22" i="1"/>
  <c r="G22" i="1"/>
  <c r="F22" i="1"/>
  <c r="E22" i="1" s="1"/>
  <c r="D22" i="1" s="1"/>
  <c r="H18" i="1"/>
  <c r="G18" i="1"/>
  <c r="F18" i="1"/>
  <c r="E18" i="1"/>
  <c r="H16" i="1"/>
  <c r="G16" i="1"/>
  <c r="F16" i="1"/>
  <c r="E16" i="1" s="1"/>
  <c r="D16" i="1" s="1"/>
  <c r="H12" i="1"/>
  <c r="G12" i="1"/>
  <c r="F12" i="1"/>
  <c r="E12" i="1"/>
  <c r="H10" i="1"/>
  <c r="G10" i="1"/>
  <c r="F10" i="1"/>
  <c r="E10" i="1" s="1"/>
  <c r="D10" i="1" s="1"/>
  <c r="G6" i="1"/>
  <c r="F6" i="1"/>
  <c r="E6" i="1"/>
  <c r="H4" i="1"/>
  <c r="G4" i="1"/>
  <c r="F4" i="1"/>
  <c r="E4" i="1" s="1"/>
  <c r="D4" i="1" s="1"/>
  <c r="J13" i="1" l="1"/>
  <c r="L25" i="1"/>
  <c r="L7" i="1"/>
  <c r="L32" i="1"/>
  <c r="L8" i="1"/>
  <c r="K8" i="1"/>
  <c r="K25" i="1"/>
  <c r="L13" i="1"/>
  <c r="K19" i="1"/>
  <c r="M19" i="1" s="1"/>
  <c r="J19" i="1"/>
  <c r="K7" i="1"/>
  <c r="M7" i="1" s="1"/>
  <c r="L31" i="1"/>
  <c r="K31" i="1"/>
  <c r="M31" i="1" s="1"/>
  <c r="S17" i="1"/>
  <c r="M20" i="1"/>
  <c r="M32" i="1"/>
  <c r="M8" i="1"/>
  <c r="M26" i="1"/>
  <c r="R17" i="1"/>
  <c r="T17" i="1" s="1"/>
  <c r="U17" i="1" s="1"/>
  <c r="M14" i="1"/>
  <c r="K28" i="1"/>
  <c r="M13" i="1"/>
  <c r="M25" i="1" l="1"/>
</calcChain>
</file>

<file path=xl/sharedStrings.xml><?xml version="1.0" encoding="utf-8"?>
<sst xmlns="http://schemas.openxmlformats.org/spreadsheetml/2006/main" count="69" uniqueCount="31">
  <si>
    <t>unit</t>
  </si>
  <si>
    <t>Crops (for all)</t>
  </si>
  <si>
    <t>Potato</t>
  </si>
  <si>
    <t>yield</t>
  </si>
  <si>
    <t>ton/Ha</t>
  </si>
  <si>
    <t>Total consumed</t>
  </si>
  <si>
    <t>ton</t>
  </si>
  <si>
    <t>Total Produced</t>
  </si>
  <si>
    <t>Fertilizer used</t>
  </si>
  <si>
    <t>Manure used</t>
  </si>
  <si>
    <t>oat</t>
  </si>
  <si>
    <t>rye</t>
  </si>
  <si>
    <t>wheat</t>
  </si>
  <si>
    <t>Barley</t>
  </si>
  <si>
    <t>Total consumed barley (minus pig feed and exported beer)</t>
  </si>
  <si>
    <t>fracgasf</t>
  </si>
  <si>
    <t>fracgasm</t>
  </si>
  <si>
    <t>EF4</t>
  </si>
  <si>
    <t>EF5</t>
  </si>
  <si>
    <t>fracleach</t>
  </si>
  <si>
    <t xml:space="preserve"> </t>
  </si>
  <si>
    <t>Direct N2O</t>
  </si>
  <si>
    <t>Indirect N2O</t>
  </si>
  <si>
    <t>Crop application</t>
  </si>
  <si>
    <t>crop application</t>
  </si>
  <si>
    <t>ag</t>
  </si>
  <si>
    <t>bg</t>
  </si>
  <si>
    <t>r</t>
  </si>
  <si>
    <t>potato</t>
  </si>
  <si>
    <t>barley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</si>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</sst>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2" xfId="0" applyBorder="1"/>
    <xf numFmtId="2" fontId="0" fillId="0" borderId="2" xfId="0" applyNumberFormat="1" applyBorder="1"/>
    <xf numFmtId="2" fontId="0" fillId="0" borderId="3" xfId="0" applyNumberFormat="1" applyBorder="1"/>
    <xf numFmtId="2" fontId="0" fillId="2" borderId="0" xfId="0" applyNumberFormat="1" applyFill="1"/>
    <xf numFmtId="0" fontId="0" fillId="2" borderId="0" xfId="0" applyFill="1"/>
    <xf numFmtId="1" fontId="0" fillId="0" borderId="0" xfId="0" applyNumberFormat="1"/>
    <xf numFmtId="1" fontId="0" fillId="2" borderId="5" xfId="0" applyNumberFormat="1" applyFill="1" applyBorder="1"/>
    <xf numFmtId="0" fontId="0" fillId="3" borderId="0" xfId="0" applyFill="1"/>
    <xf numFmtId="2" fontId="1" fillId="3" borderId="0" xfId="0" applyNumberFormat="1" applyFont="1" applyFill="1"/>
    <xf numFmtId="2" fontId="0" fillId="3" borderId="0" xfId="0" applyNumberFormat="1" applyFill="1"/>
    <xf numFmtId="2" fontId="0" fillId="3" borderId="5" xfId="0" applyNumberFormat="1" applyFill="1" applyBorder="1"/>
    <xf numFmtId="0" fontId="0" fillId="3" borderId="7" xfId="0" applyFill="1" applyBorder="1"/>
    <xf numFmtId="2" fontId="1" fillId="3" borderId="7" xfId="0" applyNumberFormat="1" applyFont="1" applyFill="1" applyBorder="1"/>
    <xf numFmtId="2" fontId="0" fillId="3" borderId="7" xfId="0" applyNumberFormat="1" applyFill="1" applyBorder="1"/>
    <xf numFmtId="2" fontId="0" fillId="3" borderId="8" xfId="0" applyNumberFormat="1" applyFill="1" applyBorder="1"/>
    <xf numFmtId="1" fontId="0" fillId="0" borderId="5" xfId="0" applyNumberFormat="1" applyBorder="1"/>
    <xf numFmtId="0" fontId="0" fillId="3" borderId="5" xfId="0" applyFill="1" applyBorder="1"/>
    <xf numFmtId="0" fontId="0" fillId="3" borderId="8" xfId="0" applyFill="1" applyBorder="1"/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CF211F1-B85D-4E9C-B9AB-4FF076794E4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oryquestionma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rk1"/>
      <sheetName val="Sheet3"/>
      <sheetName val="Sheet1"/>
    </sheetNames>
    <sheetDataSet>
      <sheetData sheetId="0"/>
      <sheetData sheetId="1"/>
      <sheetData sheetId="2">
        <row r="4">
          <cell r="D4">
            <v>2.5583780000000842</v>
          </cell>
          <cell r="E4">
            <v>2.0474324999998545</v>
          </cell>
          <cell r="F4">
            <v>1.8085860000000011</v>
          </cell>
          <cell r="G4">
            <v>13.565165499999898</v>
          </cell>
        </row>
        <row r="5">
          <cell r="D5">
            <v>5.1247780000000827</v>
          </cell>
          <cell r="E5">
            <v>4.1334824999998316</v>
          </cell>
          <cell r="F5">
            <v>3.540686</v>
          </cell>
          <cell r="G5">
            <v>25.319415499999888</v>
          </cell>
        </row>
        <row r="6">
          <cell r="D6">
            <v>7.7142980000000652</v>
          </cell>
          <cell r="E6">
            <v>6.7923224999998641</v>
          </cell>
          <cell r="F6">
            <v>4.9767659999999996</v>
          </cell>
          <cell r="G6">
            <v>35.536415499999904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tabSelected="1" workbookViewId="0">
      <selection activeCell="M8" sqref="M8"/>
    </sheetView>
  </sheetViews>
  <sheetFormatPr defaultRowHeight="15" x14ac:dyDescent="0.25"/>
  <cols>
    <col min="1" max="1" width="16.42578125" customWidth="1"/>
    <col min="2" max="2" width="12" customWidth="1"/>
    <col min="3" max="3" width="16.42578125" customWidth="1"/>
    <col min="4" max="4" width="15.7109375" customWidth="1"/>
    <col min="5" max="5" width="11.28515625" customWidth="1"/>
    <col min="6" max="6" width="11.7109375" customWidth="1"/>
    <col min="10" max="10" width="13.85546875" customWidth="1"/>
    <col min="13" max="13" width="13.85546875" customWidth="1"/>
    <col min="15" max="15" width="12" bestFit="1" customWidth="1"/>
  </cols>
  <sheetData>
    <row r="1" spans="1:27" x14ac:dyDescent="0.25">
      <c r="C1" t="s">
        <v>0</v>
      </c>
      <c r="D1" s="1">
        <v>1860</v>
      </c>
      <c r="E1" s="1">
        <v>1890</v>
      </c>
      <c r="F1" s="1">
        <v>1920</v>
      </c>
      <c r="G1" s="1">
        <v>1970</v>
      </c>
      <c r="H1" s="1">
        <v>2010</v>
      </c>
      <c r="L1">
        <v>0</v>
      </c>
      <c r="M1">
        <v>0.8</v>
      </c>
      <c r="Q1" t="s">
        <v>15</v>
      </c>
      <c r="R1">
        <v>0.1</v>
      </c>
      <c r="U1" t="s">
        <v>25</v>
      </c>
      <c r="V1" t="s">
        <v>26</v>
      </c>
      <c r="W1" t="s">
        <v>27</v>
      </c>
    </row>
    <row r="2" spans="1:27" x14ac:dyDescent="0.25">
      <c r="B2" s="1" t="s">
        <v>1</v>
      </c>
      <c r="C2" s="1"/>
      <c r="Q2" t="s">
        <v>16</v>
      </c>
      <c r="R2">
        <v>0.2</v>
      </c>
      <c r="T2" t="s">
        <v>28</v>
      </c>
      <c r="U2">
        <v>1.9E-2</v>
      </c>
      <c r="V2">
        <v>1.4E-2</v>
      </c>
      <c r="W2">
        <v>0.2</v>
      </c>
      <c r="AA2">
        <f t="shared" ref="AA2:AA5" si="0">(O2*W2*V2)+((1-W2)*O2*U2)</f>
        <v>0</v>
      </c>
    </row>
    <row r="3" spans="1:27" x14ac:dyDescent="0.25">
      <c r="B3" s="1"/>
      <c r="C3" s="1"/>
      <c r="J3" t="s">
        <v>21</v>
      </c>
      <c r="M3" t="s">
        <v>22</v>
      </c>
      <c r="Q3" t="s">
        <v>17</v>
      </c>
      <c r="R3">
        <v>0.01</v>
      </c>
      <c r="T3" t="s">
        <v>10</v>
      </c>
      <c r="U3">
        <v>7.0000000000000001E-3</v>
      </c>
      <c r="V3">
        <v>8.0000000000000002E-3</v>
      </c>
      <c r="W3">
        <v>0.25</v>
      </c>
      <c r="AA3">
        <f t="shared" si="0"/>
        <v>0</v>
      </c>
    </row>
    <row r="4" spans="1:27" x14ac:dyDescent="0.25">
      <c r="A4" s="22" t="s">
        <v>2</v>
      </c>
      <c r="B4" s="2" t="s">
        <v>3</v>
      </c>
      <c r="C4" s="2" t="s">
        <v>4</v>
      </c>
      <c r="D4" s="3">
        <f t="shared" ref="D4" si="1">E4</f>
        <v>13.565165499999898</v>
      </c>
      <c r="E4" s="3">
        <f>F4</f>
        <v>13.565165499999898</v>
      </c>
      <c r="F4" s="3">
        <f>[1]Sheet1!G4</f>
        <v>13.565165499999898</v>
      </c>
      <c r="G4" s="3">
        <f>[1]Sheet1!G5</f>
        <v>25.319415499999888</v>
      </c>
      <c r="H4" s="4">
        <f>[1]Sheet1!G6</f>
        <v>35.536415499999904</v>
      </c>
      <c r="O4">
        <v>2.2361259565028799</v>
      </c>
      <c r="Q4" t="s">
        <v>18</v>
      </c>
      <c r="R4">
        <v>7.4999999999999997E-3</v>
      </c>
      <c r="T4" t="s">
        <v>11</v>
      </c>
      <c r="U4">
        <v>5.0000000000000001E-3</v>
      </c>
      <c r="V4">
        <v>1.0999999999999999E-2</v>
      </c>
      <c r="W4" t="s">
        <v>30</v>
      </c>
      <c r="AA4" t="e">
        <f t="shared" si="0"/>
        <v>#VALUE!</v>
      </c>
    </row>
    <row r="5" spans="1:27" x14ac:dyDescent="0.25">
      <c r="A5" s="23"/>
      <c r="B5" t="s">
        <v>5</v>
      </c>
      <c r="C5" t="s">
        <v>6</v>
      </c>
      <c r="D5" s="5"/>
      <c r="E5" s="5"/>
      <c r="F5" s="5"/>
      <c r="G5" s="5"/>
      <c r="H5" s="5"/>
      <c r="Q5" t="s">
        <v>19</v>
      </c>
      <c r="R5">
        <v>0.3</v>
      </c>
      <c r="T5" t="s">
        <v>12</v>
      </c>
      <c r="U5">
        <v>6.0000000000000001E-3</v>
      </c>
      <c r="V5">
        <v>8.9999999999999993E-3</v>
      </c>
      <c r="W5">
        <v>0.24</v>
      </c>
      <c r="AA5">
        <f t="shared" si="0"/>
        <v>0</v>
      </c>
    </row>
    <row r="6" spans="1:27" x14ac:dyDescent="0.25">
      <c r="A6" s="23"/>
      <c r="B6" t="s">
        <v>7</v>
      </c>
      <c r="C6" t="s">
        <v>6</v>
      </c>
      <c r="D6" s="6"/>
      <c r="E6" s="7">
        <f>4491498*126.98/1000</f>
        <v>570330.41603999992</v>
      </c>
      <c r="F6" s="7">
        <f>1085.3*1000</f>
        <v>1085300</v>
      </c>
      <c r="G6" s="7">
        <f>811*1000</f>
        <v>811000</v>
      </c>
      <c r="H6" s="8"/>
      <c r="O6" t="s">
        <v>20</v>
      </c>
      <c r="T6" t="s">
        <v>29</v>
      </c>
      <c r="U6">
        <v>7.0000000000000001E-3</v>
      </c>
      <c r="V6">
        <v>1.4E-2</v>
      </c>
      <c r="W6">
        <v>0.22</v>
      </c>
      <c r="AA6" t="e">
        <f>(O6*W6*V6)+((1-W6)*O6*U6)</f>
        <v>#VALUE!</v>
      </c>
    </row>
    <row r="7" spans="1:27" x14ac:dyDescent="0.25">
      <c r="A7" s="23"/>
      <c r="B7" s="9" t="s">
        <v>8</v>
      </c>
      <c r="C7" s="10"/>
      <c r="D7" s="11"/>
      <c r="E7" s="11"/>
      <c r="F7" s="11"/>
      <c r="G7" s="11"/>
      <c r="H7" s="12">
        <f>140*L1</f>
        <v>0</v>
      </c>
      <c r="J7">
        <f t="shared" ref="J7:J20" si="2">H7*0.01*(44/28)</f>
        <v>0</v>
      </c>
      <c r="K7">
        <f>(H7*$R$1)*$R$3</f>
        <v>0</v>
      </c>
      <c r="L7">
        <f>H7*$R$4*$R$5</f>
        <v>0</v>
      </c>
      <c r="M7">
        <f t="shared" ref="M7:M20" si="3">SUM(K7:L7)*44/28</f>
        <v>0</v>
      </c>
    </row>
    <row r="8" spans="1:27" x14ac:dyDescent="0.25">
      <c r="A8" s="24"/>
      <c r="B8" s="13" t="s">
        <v>9</v>
      </c>
      <c r="C8" s="14"/>
      <c r="D8" s="13">
        <v>20</v>
      </c>
      <c r="E8" s="13">
        <v>20</v>
      </c>
      <c r="F8" s="13">
        <v>20</v>
      </c>
      <c r="G8" s="15"/>
      <c r="H8" s="16">
        <f>61.51*M1</f>
        <v>49.207999999999998</v>
      </c>
      <c r="J8">
        <f t="shared" si="2"/>
        <v>0.77326857142857142</v>
      </c>
      <c r="K8">
        <f>(H8*$R$2)*$R$3</f>
        <v>9.8416000000000003E-2</v>
      </c>
      <c r="L8">
        <f>H8*$R$4*$R$5</f>
        <v>0.110718</v>
      </c>
      <c r="M8">
        <f t="shared" si="3"/>
        <v>0.32863914285714285</v>
      </c>
    </row>
    <row r="9" spans="1:27" x14ac:dyDescent="0.25">
      <c r="A9" s="20"/>
      <c r="B9" s="9" t="s">
        <v>24</v>
      </c>
      <c r="C9" s="10"/>
      <c r="D9" s="9"/>
      <c r="E9" s="9"/>
      <c r="F9" s="9"/>
      <c r="G9" s="11"/>
      <c r="H9" s="12">
        <v>50</v>
      </c>
      <c r="J9">
        <f>K9*0.01*(44/28)</f>
        <v>14.142857142857142</v>
      </c>
      <c r="K9">
        <f>(1000*H9*W2*V2)+((1-W2)*H9*U2*1000)</f>
        <v>900</v>
      </c>
    </row>
    <row r="10" spans="1:27" x14ac:dyDescent="0.25">
      <c r="A10" s="22" t="s">
        <v>10</v>
      </c>
      <c r="B10" s="2" t="s">
        <v>3</v>
      </c>
      <c r="C10" s="2" t="s">
        <v>4</v>
      </c>
      <c r="D10" s="3">
        <f t="shared" ref="D10" si="4">E10</f>
        <v>1.8085860000000011</v>
      </c>
      <c r="E10" s="3">
        <f>F10</f>
        <v>1.8085860000000011</v>
      </c>
      <c r="F10" s="3">
        <f>[1]Sheet1!F4</f>
        <v>1.8085860000000011</v>
      </c>
      <c r="G10" s="3">
        <f>[1]Sheet1!F5</f>
        <v>3.540686</v>
      </c>
      <c r="H10" s="4">
        <f>[1]Sheet1!F6</f>
        <v>4.9767659999999996</v>
      </c>
    </row>
    <row r="11" spans="1:27" x14ac:dyDescent="0.25">
      <c r="A11" s="23"/>
      <c r="B11" t="s">
        <v>5</v>
      </c>
      <c r="C11" t="s">
        <v>6</v>
      </c>
      <c r="D11" s="5"/>
      <c r="E11" s="5"/>
      <c r="F11" s="5"/>
      <c r="G11" s="5"/>
      <c r="H11" s="5"/>
      <c r="R11">
        <v>0.88</v>
      </c>
      <c r="S11">
        <v>0.85</v>
      </c>
    </row>
    <row r="12" spans="1:27" x14ac:dyDescent="0.25">
      <c r="A12" s="23"/>
      <c r="B12" t="s">
        <v>7</v>
      </c>
      <c r="C12" t="s">
        <v>6</v>
      </c>
      <c r="D12" s="5"/>
      <c r="E12" s="7">
        <f>9338429.6*126.98/1000</f>
        <v>1185793.790608</v>
      </c>
      <c r="F12" s="7">
        <f>898.4*1000</f>
        <v>898400</v>
      </c>
      <c r="G12" s="7">
        <f>1000*415.5</f>
        <v>415500</v>
      </c>
      <c r="H12" s="17">
        <f>280.35*1000</f>
        <v>280350</v>
      </c>
      <c r="R12">
        <v>5059</v>
      </c>
      <c r="S12">
        <v>1939</v>
      </c>
      <c r="T12">
        <f>R12*0.25</f>
        <v>1264.75</v>
      </c>
    </row>
    <row r="13" spans="1:27" x14ac:dyDescent="0.25">
      <c r="A13" s="23"/>
      <c r="B13" s="9" t="s">
        <v>8</v>
      </c>
      <c r="C13" s="10"/>
      <c r="D13" s="11"/>
      <c r="E13" s="11"/>
      <c r="F13" s="11"/>
      <c r="G13" s="11"/>
      <c r="H13" s="12">
        <f>58*L1</f>
        <v>0</v>
      </c>
      <c r="J13">
        <f t="shared" si="2"/>
        <v>0</v>
      </c>
      <c r="K13">
        <f>(H13*$R$1)*$R$3</f>
        <v>0</v>
      </c>
      <c r="L13">
        <f>H13*$R$4*$R$5</f>
        <v>0</v>
      </c>
      <c r="M13">
        <f t="shared" si="3"/>
        <v>0</v>
      </c>
      <c r="R13">
        <f>R12*0.88</f>
        <v>4451.92</v>
      </c>
      <c r="S13">
        <f>S12*0.85</f>
        <v>1648.1499999999999</v>
      </c>
    </row>
    <row r="14" spans="1:27" x14ac:dyDescent="0.25">
      <c r="A14" s="24"/>
      <c r="B14" s="13" t="s">
        <v>9</v>
      </c>
      <c r="C14" s="14"/>
      <c r="D14" s="13">
        <v>20</v>
      </c>
      <c r="E14" s="13">
        <v>20</v>
      </c>
      <c r="F14" s="13">
        <v>20</v>
      </c>
      <c r="G14" s="15"/>
      <c r="H14" s="16">
        <f>61.51*M1</f>
        <v>49.207999999999998</v>
      </c>
      <c r="J14">
        <f t="shared" si="2"/>
        <v>0.77326857142857142</v>
      </c>
      <c r="K14">
        <f>(H14*$R$2)*$R$3</f>
        <v>9.8416000000000003E-2</v>
      </c>
      <c r="L14">
        <f>H14*$R$4*$R$5</f>
        <v>0.110718</v>
      </c>
      <c r="M14">
        <f t="shared" si="3"/>
        <v>0.32863914285714285</v>
      </c>
      <c r="R14">
        <f>0.75*0.007</f>
        <v>5.2500000000000003E-3</v>
      </c>
      <c r="S14">
        <f>0.25*0.008</f>
        <v>2E-3</v>
      </c>
    </row>
    <row r="15" spans="1:27" x14ac:dyDescent="0.25">
      <c r="A15" s="20"/>
      <c r="B15" s="9" t="s">
        <v>24</v>
      </c>
      <c r="C15" s="10"/>
      <c r="D15" s="9"/>
      <c r="E15" s="9"/>
      <c r="F15" s="9"/>
      <c r="G15" s="11"/>
      <c r="H15" s="12"/>
    </row>
    <row r="16" spans="1:27" x14ac:dyDescent="0.25">
      <c r="A16" s="22" t="s">
        <v>11</v>
      </c>
      <c r="B16" s="2" t="s">
        <v>3</v>
      </c>
      <c r="C16" s="2" t="s">
        <v>4</v>
      </c>
      <c r="D16" s="3">
        <f t="shared" ref="D16" si="5">E16</f>
        <v>2.0474324999998545</v>
      </c>
      <c r="E16" s="3">
        <f>F16</f>
        <v>2.0474324999998545</v>
      </c>
      <c r="F16" s="3">
        <f>[1]Sheet1!E4</f>
        <v>2.0474324999998545</v>
      </c>
      <c r="G16" s="3">
        <f>[1]Sheet1!E5</f>
        <v>4.1334824999998316</v>
      </c>
      <c r="H16" s="4">
        <f>[1]Sheet1!E6</f>
        <v>6.7923224999998641</v>
      </c>
    </row>
    <row r="17" spans="1:21" x14ac:dyDescent="0.25">
      <c r="A17" s="23"/>
      <c r="B17" t="s">
        <v>5</v>
      </c>
      <c r="C17" t="s">
        <v>6</v>
      </c>
      <c r="D17" s="5"/>
      <c r="E17" s="5"/>
      <c r="F17" s="5"/>
      <c r="G17" s="5"/>
      <c r="H17" s="5"/>
      <c r="R17">
        <f>R13*R14+R13*S14</f>
        <v>32.276420000000002</v>
      </c>
      <c r="S17">
        <f>S13*R14+S13*S14</f>
        <v>11.949087500000001</v>
      </c>
      <c r="T17">
        <f>SUM(R17:S17)*0.01</f>
        <v>0.44225507500000005</v>
      </c>
      <c r="U17">
        <f>T17*(44/28)</f>
        <v>0.69497226071428575</v>
      </c>
    </row>
    <row r="18" spans="1:21" x14ac:dyDescent="0.25">
      <c r="A18" s="23"/>
      <c r="B18" t="s">
        <v>7</v>
      </c>
      <c r="C18" t="s">
        <v>6</v>
      </c>
      <c r="D18" s="6"/>
      <c r="E18" s="7">
        <f>4627083.1*126.98/1000</f>
        <v>587547.01203800004</v>
      </c>
      <c r="F18" s="7">
        <f>309.9*1000</f>
        <v>309900</v>
      </c>
      <c r="G18" s="7">
        <f>201.8*1000</f>
        <v>201800</v>
      </c>
      <c r="H18" s="17">
        <f>558.62*1000</f>
        <v>558620</v>
      </c>
      <c r="R18">
        <f>(R16+S16)*0.01</f>
        <v>0</v>
      </c>
    </row>
    <row r="19" spans="1:21" x14ac:dyDescent="0.25">
      <c r="A19" s="23"/>
      <c r="B19" s="9" t="s">
        <v>8</v>
      </c>
      <c r="C19" s="10"/>
      <c r="D19" s="11"/>
      <c r="E19" s="11"/>
      <c r="F19" s="11"/>
      <c r="G19" s="11"/>
      <c r="H19" s="12">
        <f>58*L1</f>
        <v>0</v>
      </c>
      <c r="J19">
        <f t="shared" si="2"/>
        <v>0</v>
      </c>
      <c r="K19">
        <f>(H19*$R$1)*$R$3</f>
        <v>0</v>
      </c>
      <c r="L19">
        <f>H19*$R$4*$R$5</f>
        <v>0</v>
      </c>
      <c r="M19">
        <f t="shared" si="3"/>
        <v>0</v>
      </c>
      <c r="R19">
        <f>R18*(44/28)</f>
        <v>0</v>
      </c>
    </row>
    <row r="20" spans="1:21" x14ac:dyDescent="0.25">
      <c r="A20" s="24"/>
      <c r="B20" s="13" t="s">
        <v>9</v>
      </c>
      <c r="C20" s="14"/>
      <c r="D20" s="13">
        <v>20</v>
      </c>
      <c r="E20" s="13">
        <v>20</v>
      </c>
      <c r="F20" s="13">
        <v>20</v>
      </c>
      <c r="G20" s="15"/>
      <c r="H20" s="16">
        <f>61.51*M1</f>
        <v>49.207999999999998</v>
      </c>
      <c r="J20">
        <f t="shared" si="2"/>
        <v>0.77326857142857142</v>
      </c>
      <c r="K20">
        <f>(H20*$R$2)*$R$3</f>
        <v>9.8416000000000003E-2</v>
      </c>
      <c r="L20">
        <f>H20*$R$4*$R$5</f>
        <v>0.110718</v>
      </c>
      <c r="M20">
        <f t="shared" si="3"/>
        <v>0.32863914285714285</v>
      </c>
    </row>
    <row r="21" spans="1:21" x14ac:dyDescent="0.25">
      <c r="A21" s="20"/>
      <c r="B21" s="9" t="s">
        <v>24</v>
      </c>
      <c r="C21" s="10"/>
      <c r="D21" s="9"/>
      <c r="E21" s="9"/>
      <c r="F21" s="9"/>
      <c r="G21" s="11"/>
      <c r="H21" s="12"/>
    </row>
    <row r="22" spans="1:21" x14ac:dyDescent="0.25">
      <c r="A22" s="22" t="s">
        <v>12</v>
      </c>
      <c r="B22" s="2" t="s">
        <v>3</v>
      </c>
      <c r="C22" s="2" t="s">
        <v>4</v>
      </c>
      <c r="D22" s="3">
        <f t="shared" ref="D22" si="6">E22</f>
        <v>2.5583780000000842</v>
      </c>
      <c r="E22" s="3">
        <f>F22</f>
        <v>2.5583780000000842</v>
      </c>
      <c r="F22" s="3">
        <f>[1]Sheet1!D4</f>
        <v>2.5583780000000842</v>
      </c>
      <c r="G22" s="3">
        <f>[1]Sheet1!D5</f>
        <v>5.1247780000000827</v>
      </c>
      <c r="H22" s="4">
        <f>[1]Sheet1!D6</f>
        <v>7.7142980000000652</v>
      </c>
    </row>
    <row r="23" spans="1:21" x14ac:dyDescent="0.25">
      <c r="A23" s="23"/>
      <c r="B23" t="s">
        <v>5</v>
      </c>
      <c r="C23" t="s">
        <v>6</v>
      </c>
      <c r="D23" s="5"/>
      <c r="E23" s="5"/>
      <c r="F23" s="5"/>
      <c r="G23" s="5"/>
      <c r="H23" s="5"/>
    </row>
    <row r="24" spans="1:21" x14ac:dyDescent="0.25">
      <c r="A24" s="23"/>
      <c r="B24" t="s">
        <v>7</v>
      </c>
      <c r="C24" t="s">
        <v>6</v>
      </c>
      <c r="D24" s="6"/>
      <c r="E24" s="7">
        <f>1007855.4*126.98/1000</f>
        <v>127977.478692</v>
      </c>
      <c r="F24" s="7">
        <f>256.9*1000</f>
        <v>256899.99999999997</v>
      </c>
      <c r="G24" s="7">
        <f>577.2*1000</f>
        <v>577200</v>
      </c>
      <c r="H24" s="17">
        <f>4513.13*1000</f>
        <v>4513130</v>
      </c>
    </row>
    <row r="25" spans="1:21" x14ac:dyDescent="0.25">
      <c r="A25" s="23"/>
      <c r="B25" s="9" t="s">
        <v>8</v>
      </c>
      <c r="C25" s="10"/>
      <c r="D25" s="11"/>
      <c r="E25" s="11"/>
      <c r="F25" s="11"/>
      <c r="G25" s="11"/>
      <c r="H25" s="12">
        <f>118*L1</f>
        <v>0</v>
      </c>
      <c r="J25">
        <f t="shared" ref="J25:J26" si="7">H25*0.01*(44/28)</f>
        <v>0</v>
      </c>
      <c r="K25">
        <f>(H25*$R$1)*$R$3</f>
        <v>0</v>
      </c>
      <c r="L25">
        <f>H25*$R$4*$R$5</f>
        <v>0</v>
      </c>
      <c r="M25">
        <f t="shared" ref="M25:M26" si="8">SUM(K25:L25)*44/28</f>
        <v>0</v>
      </c>
    </row>
    <row r="26" spans="1:21" x14ac:dyDescent="0.25">
      <c r="A26" s="24"/>
      <c r="B26" s="13" t="s">
        <v>9</v>
      </c>
      <c r="C26" s="14"/>
      <c r="D26" s="13">
        <v>20</v>
      </c>
      <c r="E26" s="13">
        <v>20</v>
      </c>
      <c r="F26" s="13">
        <v>20</v>
      </c>
      <c r="G26" s="15"/>
      <c r="H26" s="16">
        <f>61.51*M1</f>
        <v>49.207999999999998</v>
      </c>
      <c r="J26">
        <f t="shared" si="7"/>
        <v>0.77326857142857142</v>
      </c>
      <c r="K26">
        <f>(H26*$R$2)*$R$3</f>
        <v>9.8416000000000003E-2</v>
      </c>
      <c r="L26">
        <f>H26*$R$4*$R$5</f>
        <v>0.110718</v>
      </c>
      <c r="M26">
        <f t="shared" si="8"/>
        <v>0.32863914285714285</v>
      </c>
    </row>
    <row r="27" spans="1:21" x14ac:dyDescent="0.25">
      <c r="A27" s="20"/>
      <c r="B27" s="9" t="s">
        <v>24</v>
      </c>
      <c r="C27" s="10"/>
      <c r="D27" s="9"/>
      <c r="E27" s="9"/>
      <c r="F27" s="9"/>
      <c r="G27" s="11"/>
      <c r="H27" s="12"/>
    </row>
    <row r="28" spans="1:21" x14ac:dyDescent="0.25">
      <c r="A28" s="22" t="s">
        <v>13</v>
      </c>
      <c r="B28" s="2" t="s">
        <v>3</v>
      </c>
      <c r="C28" s="2" t="s">
        <v>4</v>
      </c>
      <c r="D28" s="3">
        <v>2.6764306672923128</v>
      </c>
      <c r="E28" s="3">
        <v>2.7236843013071117</v>
      </c>
      <c r="F28" s="3">
        <v>2.6689090126238399</v>
      </c>
      <c r="G28" s="3">
        <v>3.9287558439746006</v>
      </c>
      <c r="H28" s="4">
        <v>5580</v>
      </c>
      <c r="I28">
        <f>5.781</f>
        <v>5.7809999999999997</v>
      </c>
      <c r="J28">
        <f>2.155*0.86</f>
        <v>1.8532999999999997</v>
      </c>
      <c r="K28">
        <f>SUM(I28:J28)</f>
        <v>7.6342999999999996</v>
      </c>
      <c r="O28">
        <f>((1000*I28*0.22*0.014)+(1000*I28*(1-0.22)*0.007))*0.01*(44/28)</f>
        <v>0.77581020000000012</v>
      </c>
    </row>
    <row r="29" spans="1:21" x14ac:dyDescent="0.25">
      <c r="A29" s="23"/>
      <c r="B29" t="s">
        <v>14</v>
      </c>
      <c r="C29" t="s">
        <v>6</v>
      </c>
      <c r="D29" s="7"/>
      <c r="E29" s="7"/>
      <c r="F29" s="7"/>
      <c r="G29" s="7"/>
      <c r="H29" s="17"/>
    </row>
    <row r="30" spans="1:21" x14ac:dyDescent="0.25">
      <c r="A30" s="23"/>
      <c r="B30" t="s">
        <v>7</v>
      </c>
      <c r="C30" t="s">
        <v>6</v>
      </c>
      <c r="D30" s="7"/>
      <c r="E30" s="7"/>
      <c r="F30" s="7"/>
      <c r="G30" s="7"/>
      <c r="H30" s="17"/>
    </row>
    <row r="31" spans="1:21" x14ac:dyDescent="0.25">
      <c r="A31" s="23"/>
      <c r="B31" s="9" t="s">
        <v>8</v>
      </c>
      <c r="C31" s="9"/>
      <c r="D31" s="9"/>
      <c r="E31" s="9"/>
      <c r="F31" s="9"/>
      <c r="G31" s="9"/>
      <c r="H31" s="18">
        <f>65*L1</f>
        <v>0</v>
      </c>
      <c r="J31">
        <f>H31*0.01*(44/28)</f>
        <v>0</v>
      </c>
      <c r="K31">
        <f>(H31*$R$1)*$R$3</f>
        <v>0</v>
      </c>
      <c r="L31">
        <f>H31*$R$4*$R$5</f>
        <v>0</v>
      </c>
      <c r="M31">
        <f>SUM(K31:L31)*44/28</f>
        <v>0</v>
      </c>
    </row>
    <row r="32" spans="1:21" x14ac:dyDescent="0.25">
      <c r="A32" s="24"/>
      <c r="B32" s="13" t="s">
        <v>9</v>
      </c>
      <c r="C32" s="13"/>
      <c r="D32" s="13">
        <v>20</v>
      </c>
      <c r="E32" s="13">
        <v>20</v>
      </c>
      <c r="F32" s="13">
        <v>20</v>
      </c>
      <c r="G32" s="13"/>
      <c r="H32" s="19">
        <f>61.51*M1</f>
        <v>49.207999999999998</v>
      </c>
      <c r="J32">
        <f>H32*0.01*(44/28)</f>
        <v>0.77326857142857142</v>
      </c>
      <c r="K32">
        <f>(H32*$R$2)*$R$3</f>
        <v>9.8416000000000003E-2</v>
      </c>
      <c r="L32">
        <f>H32*$R$4*$R$5</f>
        <v>0.110718</v>
      </c>
      <c r="M32">
        <f>SUM(K32:L32)*44/28</f>
        <v>0.32863914285714285</v>
      </c>
    </row>
    <row r="33" spans="1:13" x14ac:dyDescent="0.25">
      <c r="A33" s="21"/>
      <c r="B33" s="9" t="s">
        <v>23</v>
      </c>
      <c r="C33" s="9"/>
      <c r="D33" s="9"/>
      <c r="E33" s="9"/>
      <c r="F33" s="9"/>
      <c r="G33" s="9"/>
      <c r="H33" s="9"/>
    </row>
    <row r="34" spans="1:13" x14ac:dyDescent="0.25">
      <c r="M34">
        <v>0.32863914285714285</v>
      </c>
    </row>
  </sheetData>
  <mergeCells count="5">
    <mergeCell ref="A4:A8"/>
    <mergeCell ref="A10:A14"/>
    <mergeCell ref="A16:A20"/>
    <mergeCell ref="A22:A26"/>
    <mergeCell ref="A28:A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Styrmir Gislason</dc:creator>
  <cp:lastModifiedBy>Simon Bruhn</cp:lastModifiedBy>
  <dcterms:created xsi:type="dcterms:W3CDTF">2015-06-05T18:19:34Z</dcterms:created>
  <dcterms:modified xsi:type="dcterms:W3CDTF">2024-03-02T21:15:32Z</dcterms:modified>
</cp:coreProperties>
</file>