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imb\Nextcloud\submission historic paper\SI\cleaned data\"/>
    </mc:Choice>
  </mc:AlternateContent>
  <xr:revisionPtr revIDLastSave="0" documentId="13_ncr:1_{C0F64B53-0680-4480-A66D-124A7E2176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on pig feed mix" sheetId="1" r:id="rId1"/>
    <sheet name="daily diet" sheetId="4" r:id="rId2"/>
    <sheet name="data on crop yield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E68" i="1"/>
  <c r="F68" i="1"/>
  <c r="G68" i="1"/>
  <c r="H72" i="1"/>
  <c r="D74" i="1"/>
  <c r="E74" i="1"/>
  <c r="F74" i="1"/>
  <c r="G74" i="1"/>
  <c r="H74" i="1"/>
  <c r="D75" i="1"/>
  <c r="E75" i="1"/>
  <c r="F75" i="1"/>
  <c r="G75" i="1"/>
  <c r="H75" i="1"/>
  <c r="D84" i="1"/>
  <c r="D88" i="1" s="1"/>
  <c r="E84" i="1"/>
  <c r="E88" i="1" s="1"/>
  <c r="F84" i="1"/>
  <c r="F88" i="1" s="1"/>
  <c r="G84" i="1"/>
  <c r="G86" i="1" s="1"/>
  <c r="H84" i="1"/>
  <c r="H89" i="1" s="1"/>
  <c r="E86" i="1"/>
  <c r="F86" i="1"/>
  <c r="E89" i="1"/>
  <c r="F89" i="1"/>
  <c r="G89" i="1"/>
  <c r="D90" i="1"/>
  <c r="D93" i="1" s="1"/>
  <c r="E90" i="1"/>
  <c r="E94" i="1" s="1"/>
  <c r="F90" i="1"/>
  <c r="F93" i="1" s="1"/>
  <c r="G90" i="1"/>
  <c r="G94" i="1" s="1"/>
  <c r="H90" i="1"/>
  <c r="H93" i="1" s="1"/>
  <c r="G92" i="1"/>
  <c r="H92" i="1"/>
  <c r="H91" i="1" s="1"/>
  <c r="E93" i="1"/>
  <c r="H94" i="1"/>
  <c r="G95" i="1"/>
  <c r="H95" i="1"/>
  <c r="F95" i="1" l="1"/>
  <c r="F92" i="1"/>
  <c r="D86" i="1"/>
  <c r="F94" i="1"/>
  <c r="E95" i="1"/>
  <c r="E92" i="1"/>
  <c r="E91" i="1" s="1"/>
  <c r="D94" i="1"/>
  <c r="D89" i="1"/>
  <c r="D87" i="1"/>
  <c r="F85" i="1"/>
  <c r="G87" i="1"/>
  <c r="G85" i="1" s="1"/>
  <c r="G93" i="1"/>
  <c r="G91" i="1" s="1"/>
  <c r="D92" i="1"/>
  <c r="D91" i="1" s="1"/>
  <c r="H88" i="1"/>
  <c r="E87" i="1"/>
  <c r="E85" i="1" s="1"/>
  <c r="H87" i="1"/>
  <c r="F87" i="1"/>
  <c r="D95" i="1"/>
  <c r="G88" i="1"/>
  <c r="H86" i="1"/>
  <c r="D47" i="1"/>
  <c r="E47" i="1"/>
  <c r="F47" i="1"/>
  <c r="D48" i="1"/>
  <c r="E48" i="1"/>
  <c r="F48" i="1"/>
  <c r="D49" i="1"/>
  <c r="E49" i="1"/>
  <c r="F49" i="1"/>
  <c r="D50" i="1"/>
  <c r="E50" i="1"/>
  <c r="F50" i="1"/>
  <c r="H51" i="1"/>
  <c r="D52" i="1"/>
  <c r="E52" i="1"/>
  <c r="F52" i="1"/>
  <c r="H52" i="1"/>
  <c r="D53" i="1"/>
  <c r="E53" i="1"/>
  <c r="F53" i="1"/>
  <c r="H53" i="1"/>
  <c r="D34" i="1"/>
  <c r="E34" i="1"/>
  <c r="F34" i="1"/>
  <c r="G34" i="1"/>
  <c r="H34" i="1"/>
  <c r="H42" i="1"/>
  <c r="H50" i="1" s="1"/>
  <c r="H38" i="1"/>
  <c r="H46" i="1" s="1"/>
  <c r="H41" i="1"/>
  <c r="H49" i="1" s="1"/>
  <c r="H40" i="1"/>
  <c r="H48" i="1" s="1"/>
  <c r="H39" i="1"/>
  <c r="H47" i="1" s="1"/>
  <c r="G36" i="1"/>
  <c r="G72" i="1" s="1"/>
  <c r="D36" i="1"/>
  <c r="D72" i="1" s="1"/>
  <c r="E36" i="1"/>
  <c r="E72" i="1" s="1"/>
  <c r="F36" i="1"/>
  <c r="F72" i="1" s="1"/>
  <c r="H11" i="1"/>
  <c r="H16" i="1"/>
  <c r="H21" i="1"/>
  <c r="G21" i="1"/>
  <c r="G16" i="1"/>
  <c r="G11" i="1"/>
  <c r="G6" i="1"/>
  <c r="F6" i="1"/>
  <c r="F11" i="1"/>
  <c r="F16" i="1"/>
  <c r="F21" i="1"/>
  <c r="E21" i="1"/>
  <c r="E16" i="1"/>
  <c r="E11" i="1"/>
  <c r="E6" i="1"/>
  <c r="H19" i="1"/>
  <c r="G19" i="1"/>
  <c r="H14" i="1"/>
  <c r="G14" i="1"/>
  <c r="H9" i="1"/>
  <c r="G9" i="1"/>
  <c r="H4" i="1"/>
  <c r="G4" i="1"/>
  <c r="F4" i="1"/>
  <c r="E4" i="1" s="1"/>
  <c r="D4" i="1" s="1"/>
  <c r="F9" i="1"/>
  <c r="E9" i="1" s="1"/>
  <c r="D9" i="1" s="1"/>
  <c r="F14" i="1"/>
  <c r="E14" i="1" s="1"/>
  <c r="D14" i="1" s="1"/>
  <c r="F19" i="1"/>
  <c r="E19" i="1" s="1"/>
  <c r="D19" i="1" s="1"/>
  <c r="H32" i="1"/>
  <c r="G32" i="1"/>
  <c r="F32" i="1"/>
  <c r="E32" i="1"/>
  <c r="D85" i="1" l="1"/>
  <c r="F91" i="1"/>
  <c r="H85" i="1"/>
  <c r="D37" i="1"/>
  <c r="H25" i="1"/>
  <c r="G37" i="1"/>
  <c r="F37" i="1"/>
  <c r="E37" i="1"/>
  <c r="F38" i="1" l="1"/>
  <c r="F46" i="1" s="1"/>
  <c r="F25" i="1" s="1"/>
  <c r="F43" i="1"/>
  <c r="F51" i="1" s="1"/>
  <c r="G45" i="1"/>
  <c r="G53" i="1" s="1"/>
  <c r="G43" i="1"/>
  <c r="G51" i="1" s="1"/>
  <c r="G44" i="1"/>
  <c r="G52" i="1" s="1"/>
  <c r="E38" i="1"/>
  <c r="E43" i="1"/>
  <c r="G41" i="1"/>
  <c r="G49" i="1" s="1"/>
  <c r="G39" i="1"/>
  <c r="G47" i="1" s="1"/>
  <c r="G40" i="1"/>
  <c r="G48" i="1" s="1"/>
  <c r="G38" i="1"/>
  <c r="G42" i="1"/>
  <c r="G50" i="1" s="1"/>
  <c r="E51" i="1" l="1"/>
  <c r="D43" i="1"/>
  <c r="D51" i="1" s="1"/>
  <c r="G46" i="1"/>
  <c r="G25" i="1" s="1"/>
  <c r="D38" i="1"/>
  <c r="D46" i="1" s="1"/>
  <c r="D25" i="1" s="1"/>
  <c r="E46" i="1"/>
  <c r="E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tc={258D59FD-9FED-404F-A977-D6BF5D6A0E2A}</author>
    <author>tc={F890B566-A64B-4505-AA09-B7C0BB20EB81}</author>
    <author>tc={7ABCB300-EF2F-4512-AB06-585F344B5191}</author>
    <author>tc={26401F43-3A58-4655-B42E-34BD30273A03}</author>
    <author>tc={0840F808-84E8-4DA6-9CEA-0E5BF89689BF}</author>
    <author>tc={7985D10F-2B79-4D51-8D3B-13D04BC2CE22}</author>
    <author>tc={B8D548C0-560F-4B84-A8D3-22B5C938060B}</author>
    <author>tc={A53640C6-2FFC-4B0E-9DB6-B3D6CAC1E54E}</author>
    <author>tc={A6E4BF7A-CFCE-40B3-846A-69466076B8FE}</author>
    <author>tc={4423CC24-923B-4060-8FB8-19896E46A649}</author>
    <author>tc={0CCAA5E3-A7EA-4E8D-B589-AEDF8874BAE0}</author>
    <author>tc={6235DD28-E1FE-4EB5-B050-CC0649DAC620}</author>
    <author>tc={C3E9EC93-66C5-430D-9525-99FB60BB3644}</author>
    <author>tc={1B103C1C-57E6-46BD-B4E8-2ED42A9C0E35}</author>
    <author>tc={09F8EC12-7089-4F2B-8176-132868AC5669}</author>
    <author>tc={54695251-924E-4DA6-B831-22C7894D2B9F}</author>
    <author>tc={50C0AC2C-A934-4089-B6E2-AFB73018E634}</author>
    <author>tc={AC525059-BC25-4124-B292-23490F6BFCB0}</author>
    <author>tc={B8EAB72A-A0B5-412C-82D3-01F8F97BCADB}</author>
    <author>tc={8217A309-DB59-4CD3-B5DA-17AC334A4BA5}</author>
    <author>tc={EC48337F-45E5-427C-AFC3-136156F06AB6}</author>
    <author>tc={B047887B-9C5C-49B9-8602-E9DB7D88EE7D}</author>
    <author>tc={C412A5C4-6B1E-4E5F-892F-E4DB6251DA56}</author>
    <author>tc={8EF8E7CF-6BC3-4E1E-8224-0C523AE0BFC3}</author>
    <author>tc={EA9BF4AB-776A-455E-A8E3-125B19083362}</author>
    <author>tc={98720383-5CB2-45C4-97A5-B579EAE6AB57}</author>
    <author>tc={B6EDD0C2-912F-498F-813A-B6F1C095D6A6}</author>
    <author>tc={B407FD9D-5C2A-47B9-B09D-A9705DD41706}</author>
    <author>tc={E89D3CCD-8DA3-4F1D-A2BB-A92FB6AA31C6}</author>
    <author>tc={59187B2C-DC3E-40AB-878B-E10A84DCEE20}</author>
    <author>tc={ADF17598-EF09-4995-8212-7DD7569874E1}</author>
    <author>tc={2DAA3B69-3097-475F-96C1-A8BD645298EE}</author>
    <author>tc={D35A8B78-0D36-4C00-92D6-00B20B7FAB9F}</author>
  </authors>
  <commentList>
    <comment ref="B30" authorId="0" shapeId="0" xr:uid="{258D59FD-9FED-404F-A977-D6BF5D6A0E2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Production is given in tons of meat. Meat =0.417*liveweight
https://extension.tennessee.edu/publications/documents/pb1822.pdf
Reply:
    Consumption of barley in  2010 gets negative if we do this adjustment - WTF
Reply:
     in 2021 produced 1.44 megatons of slaughterweight https://www.dst.dk/nyt/40683
- but nanas data says 1.83 megatons
danish crown claims that slaugtherweight = 0.8* liveweight
https://www.danishcrown.com/media/4621/levende-vaegt-slagtevaegt-dk.pdf
this suggessts that nana has gathered data on live weight production - not slaughterweight</t>
      </text>
    </comment>
    <comment ref="E32" authorId="1" shapeId="0" xr:uid="{F890B566-A64B-4505-AA09-B7C0BB20EB81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of import data available for 1897-1899</t>
      </text>
    </comment>
    <comment ref="F32" authorId="2" shapeId="0" xr:uid="{7ABCB300-EF2F-4512-AB06-585F344B5191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based on war, depression, etc?</t>
      </text>
    </comment>
    <comment ref="G32" authorId="3" shapeId="0" xr:uid="{26401F43-3A58-4655-B42E-34BD30273A0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average for 1970-1975
Reply:
    this number only gets over 10% and starts really accelrating in 1997</t>
      </text>
    </comment>
    <comment ref="H32" authorId="4" shapeId="0" xr:uid="{0840F808-84E8-4DA6-9CEA-0E5BF89689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seems realistic according to my farmer friend(whose family produce swine). We export our meet to china, and buy our own meat form poland</t>
      </text>
    </comment>
    <comment ref="D35" authorId="5" shapeId="0" xr:uid="{7985D10F-2B79-4D51-8D3B-13D04BC2CE2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mix as 1890</t>
      </text>
    </comment>
    <comment ref="E35" authorId="6" shapeId="0" xr:uid="{B8D548C0-560F-4B84-A8D3-22B5C938060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https://dcapub.au.dk/pub/sh_beretning_15.pdf
225 pd oat/wheat/barley (mix unknown) + 105 pd whey/milk (mix unknown)
assumed barley + whey</t>
      </text>
    </comment>
    <comment ref="F35" authorId="7" shapeId="0" xr:uid="{A53640C6-2FFC-4B0E-9DB6-B3D6CAC1E54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mix as 1920.
10.1016/j.livsci.2015.06.012 assumes 1920 to be "representing a local-based production" hence 1890 estimates assumed representible</t>
      </text>
    </comment>
    <comment ref="G35" authorId="8" shapeId="0" xr:uid="{A6E4BF7A-CFCE-40B3-846A-69466076B8F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same feed mix as 2010's
Reply:
    https://dcapub.au.dk/pub/sh_beretning_379.pdf p 14 "Siden 1. maj 1965, da fodringen med byg og skummetmælk ophørte"</t>
      </text>
    </comment>
    <comment ref="H35" authorId="9" shapeId="0" xr:uid="{4423CC24-923B-4060-8FB8-19896E46A649}">
      <text>
        <t>[Threaded comment]
Your version of Excel allows you to read this threaded comment; however, any edits to it will get removed if the file is opened in a newer version of Excel. Learn more: https://go.microsoft.com/fwlink/?linkid=870924
Comment:
    2010's
dry feed mix mass % content example from https://svineproduktion.dk/Viden/I-stalden/Foder/Udfodring/Slagtesvin</t>
      </text>
    </comment>
    <comment ref="B36" authorId="10" shapeId="0" xr:uid="{0CCAA5E3-A7EA-4E8D-B589-AEDF8874BAE0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Backwards projected based on ecoinvent calorific value of feed</t>
      </text>
    </comment>
    <comment ref="H36" authorId="11" shapeId="0" xr:uid="{6235DD28-E1FE-4EB5-B050-CC0649DAC62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ecoivnent proces</t>
      </text>
    </comment>
    <comment ref="B37" authorId="12" shapeId="0" xr:uid="{C3E9EC93-66C5-430D-9525-99FB60BB3644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Backwards projected Based on ecoinvent and dairy cow trend
Reply:
    Mass is based on calorific intake</t>
      </text>
    </comment>
    <comment ref="G37" authorId="13" shapeId="0" xr:uid="{1B103C1C-57E6-46BD-B4E8-2ED42A9C0E35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in 1960-65 seems to be around 2.94 kg feed pr kg growth!
Reply:
    https://dcapub.au.dk/pub/sh_beretning_379.pdf</t>
      </text>
    </comment>
    <comment ref="H37" authorId="14" shapeId="0" xr:uid="{09F8EC12-7089-4F2B-8176-132868AC5669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ecoinvent</t>
      </text>
    </comment>
    <comment ref="D38" authorId="15" shapeId="0" xr:uid="{54695251-924E-4DA6-B831-22C7894D2B9F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mix as 1890 assumed</t>
      </text>
    </comment>
    <comment ref="B43" authorId="16" shapeId="0" xr:uid="{50C0AC2C-A934-4089-B6E2-AFB73018E634}">
      <text>
        <t>[Threaded comment]
Your version of Excel allows you to read this threaded comment; however, any edits to it will get removed if the file is opened in a newer version of Excel. Learn more: https://go.microsoft.com/fwlink/?linkid=870924
Comment:
    Whey assumed to be replaced by soymeal (protein source) in mordern time</t>
      </text>
    </comment>
    <comment ref="D43" authorId="17" shapeId="0" xr:uid="{AC525059-BC25-4124-B292-23490F6BFCB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mix as 1890 assumed</t>
      </text>
    </comment>
    <comment ref="G43" authorId="18" shapeId="0" xr:uid="{B8EAB72A-A0B5-412C-82D3-01F8F97BCADB}">
      <text>
        <t>[Threaded comment]
Your version of Excel allows you to read this threaded comment; however, any edits to it will get removed if the file is opened in a newer version of Excel. Learn more: https://go.microsoft.com/fwlink/?linkid=870924
Comment:
    Skummetsmælkspulver (skimmed milk powder) assumed = whey</t>
      </text>
    </comment>
    <comment ref="H44" authorId="19" shapeId="0" xr:uid="{8217A309-DB59-4CD3-B5DA-17AC334A4BA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canadian ecoinvent dataset</t>
      </text>
    </comment>
    <comment ref="B51" authorId="20" shapeId="0" xr:uid="{EC48337F-45E5-427C-AFC3-136156F06AB6}">
      <text>
        <t>[Threaded comment]
Your version of Excel allows you to read this threaded comment; however, any edits to it will get removed if the file is opened in a newer version of Excel. Learn more: https://go.microsoft.com/fwlink/?linkid=870924
Comment:
    Whey assumed to be replaced by soymeal (protein source) in mordern time</t>
      </text>
    </comment>
    <comment ref="E66" authorId="21" shapeId="0" xr:uid="{B047887B-9C5C-49B9-8602-E9DB7D88EE7D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seems very low - should we assume that before 1920 was cosntant (70%)</t>
      </text>
    </comment>
    <comment ref="B68" authorId="22" shapeId="0" xr:uid="{C412A5C4-6B1E-4E5F-892F-E4DB6251DA56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Backwards projected based on ecoinvent proces</t>
      </text>
    </comment>
    <comment ref="H68" authorId="23" shapeId="0" xr:uid="{8EF8E7CF-6BC3-4E1E-8224-0C523AE0BFC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ecoinvent process</t>
      </text>
    </comment>
    <comment ref="A73" authorId="24" shapeId="0" xr:uid="{EA9BF4AB-776A-455E-A8E3-125B19083362}">
      <text>
        <t>[Threaded comment]
Your version of Excel allows you to read this threaded comment; however, any edits to it will get removed if the file is opened in a newer version of Excel. Learn more: https://go.microsoft.com/fwlink/?linkid=870924
Comment:
    Calorific value for single year, not decade</t>
      </text>
    </comment>
    <comment ref="A74" authorId="25" shapeId="0" xr:uid="{98720383-5CB2-45C4-97A5-B579EAE6AB5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Representative case based on cook books</t>
      </text>
    </comment>
    <comment ref="A84" authorId="26" shapeId="0" xr:uid="{B6EDD0C2-912F-498F-813A-B6F1C095D6A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Estimate. Assumed same diet in all decades, but larger serving</t>
      </text>
    </comment>
    <comment ref="B86" authorId="27" shapeId="0" xr:uid="{B407FD9D-5C2A-47B9-B09D-A9705DD41706}">
      <text>
        <t>[Threaded comment]
Your version of Excel allows you to read this threaded comment; however, any edits to it will get removed if the file is opened in a newer version of Excel. Learn more: https://go.microsoft.com/fwlink/?linkid=870924
Comment:
    200kcal/100g</t>
      </text>
    </comment>
    <comment ref="A90" authorId="28" shapeId="0" xr:uid="{E89D3CCD-8DA3-4F1D-A2BB-A92FB6AA31C6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Estimate. Assumed same diet in all decades, but larger serving</t>
      </text>
    </comment>
    <comment ref="D91" authorId="29" shapeId="0" xr:uid="{59187B2C-DC3E-40AB-878B-E10A84DCEE2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half oat half barley</t>
      </text>
    </comment>
    <comment ref="F91" authorId="30" shapeId="0" xr:uid="{ADF17598-EF09-4995-8212-7DD7569874E1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in between (average) 1860 and 2010</t>
      </text>
    </comment>
    <comment ref="H91" authorId="31" shapeId="0" xr:uid="{2DAA3B69-3097-475F-96C1-A8BD645298E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half bread w cheese half oat</t>
      </text>
    </comment>
    <comment ref="B92" authorId="32" shapeId="0" xr:uid="{D35A8B78-0D36-4C00-92D6-00B20B7FAB9F}">
      <text>
        <t>[Threaded comment]
Your version of Excel allows you to read this threaded comment; however, any edits to it will get removed if the file is opened in a newer version of Excel. Learn more: https://go.microsoft.com/fwlink/?linkid=870924
Comment:
    0.4 g/cal (see julies "food data" sheet)</t>
      </text>
    </comment>
  </commentList>
</comments>
</file>

<file path=xl/sharedStrings.xml><?xml version="1.0" encoding="utf-8"?>
<sst xmlns="http://schemas.openxmlformats.org/spreadsheetml/2006/main" count="215" uniqueCount="75">
  <si>
    <t>unit</t>
  </si>
  <si>
    <t>Crops (for all)</t>
  </si>
  <si>
    <t>ton/Ha</t>
  </si>
  <si>
    <t>Total consumed barley (minus pig feed and exported beer)</t>
  </si>
  <si>
    <t>ton</t>
  </si>
  <si>
    <t>Fertilizer used</t>
  </si>
  <si>
    <t>Manure used</t>
  </si>
  <si>
    <t>Pigs</t>
  </si>
  <si>
    <t>Total consumed in DK</t>
  </si>
  <si>
    <t>Ratio of imported pigs consumed i DK</t>
  </si>
  <si>
    <t>%</t>
  </si>
  <si>
    <t>import data N/A</t>
  </si>
  <si>
    <t>Total Produced</t>
  </si>
  <si>
    <t>Feed estimate</t>
  </si>
  <si>
    <t>kg/kg</t>
  </si>
  <si>
    <t>Bread</t>
  </si>
  <si>
    <t>Barley</t>
  </si>
  <si>
    <t>Wheat</t>
  </si>
  <si>
    <t>1860's</t>
  </si>
  <si>
    <t>1890's</t>
  </si>
  <si>
    <t>1920's</t>
  </si>
  <si>
    <t>1970's</t>
  </si>
  <si>
    <t>2010's</t>
  </si>
  <si>
    <t>wheat</t>
  </si>
  <si>
    <t>rye</t>
  </si>
  <si>
    <t>oat</t>
  </si>
  <si>
    <t>Potato</t>
  </si>
  <si>
    <t>yield</t>
  </si>
  <si>
    <t>Total consumed</t>
  </si>
  <si>
    <t>barley statistics</t>
  </si>
  <si>
    <t>barley regression</t>
  </si>
  <si>
    <t>wheat regression</t>
  </si>
  <si>
    <t>rye regression</t>
  </si>
  <si>
    <t>oat regression</t>
  </si>
  <si>
    <t>potato regression</t>
  </si>
  <si>
    <t>yield ton/Ha</t>
  </si>
  <si>
    <t>because barley is almost constant from 1920 and before, we assumme that the other crops 1920 values are the same for 1890 and 1860</t>
  </si>
  <si>
    <t>Indexed weight based on dairy paper. 2010 (single year) index = 100%</t>
  </si>
  <si>
    <t>Indexed dry matter intake (kg) needed per live weight gain (kg). 2010 (single year) index = 100%</t>
  </si>
  <si>
    <t>Feed mix pr kg liveweight pig</t>
  </si>
  <si>
    <t>Assumed pig feed DMI pr live weight gain (KG/KG)</t>
  </si>
  <si>
    <t>Indexed SFU needed per live weight gain (kg). 2010 (single year) index = 100%</t>
  </si>
  <si>
    <t>SFU = 7.89 MJ</t>
  </si>
  <si>
    <t>SFU pr kg live weight gain (dairy cow)</t>
  </si>
  <si>
    <t>possibly wrong</t>
  </si>
  <si>
    <t>kcal = 0.0041868 MJ</t>
  </si>
  <si>
    <t>SFU pr kg liveweight gain, pig, projected based on ecoinvent and cow data</t>
  </si>
  <si>
    <t>feed kcal pr kg liveweight pig</t>
  </si>
  <si>
    <t>Total feed use for danish pig production</t>
  </si>
  <si>
    <t>Soy meal</t>
  </si>
  <si>
    <t>Whey</t>
  </si>
  <si>
    <t>Vegetable oil</t>
  </si>
  <si>
    <t>Vitamins</t>
  </si>
  <si>
    <t>Feed mass pr kg lvieweight</t>
  </si>
  <si>
    <t>limestone</t>
  </si>
  <si>
    <t>bone meal</t>
  </si>
  <si>
    <t>Total meat Produced</t>
  </si>
  <si>
    <t>total live weight</t>
  </si>
  <si>
    <t>Breakfast</t>
  </si>
  <si>
    <t>Lunch</t>
  </si>
  <si>
    <t>Dinner</t>
  </si>
  <si>
    <t>Daily calorific intake</t>
  </si>
  <si>
    <t>kcal</t>
  </si>
  <si>
    <t>1/3 of calories</t>
  </si>
  <si>
    <t>Fish</t>
  </si>
  <si>
    <t>Cheese</t>
  </si>
  <si>
    <t>Potatos</t>
  </si>
  <si>
    <t>Pig</t>
  </si>
  <si>
    <t>Cooked greens</t>
  </si>
  <si>
    <t>Raw greens</t>
  </si>
  <si>
    <t>Beef</t>
  </si>
  <si>
    <t>g</t>
  </si>
  <si>
    <t>total mass</t>
  </si>
  <si>
    <t>Oat</t>
  </si>
  <si>
    <t>Rye 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</si>
</sst>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0" fillId="2" borderId="0" xfId="0" applyFill="1"/>
    <xf numFmtId="1" fontId="0" fillId="0" borderId="0" xfId="0" applyNumberFormat="1"/>
    <xf numFmtId="0" fontId="0" fillId="5" borderId="0" xfId="0" applyFill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2" fontId="1" fillId="2" borderId="0" xfId="0" applyNumberFormat="1" applyFont="1" applyFill="1"/>
    <xf numFmtId="2" fontId="0" fillId="2" borderId="0" xfId="0" applyNumberFormat="1" applyFill="1"/>
    <xf numFmtId="2" fontId="0" fillId="2" borderId="5" xfId="0" applyNumberFormat="1" applyFill="1" applyBorder="1"/>
    <xf numFmtId="0" fontId="0" fillId="2" borderId="7" xfId="0" applyFill="1" applyBorder="1"/>
    <xf numFmtId="2" fontId="1" fillId="2" borderId="7" xfId="0" applyNumberFormat="1" applyFont="1" applyFill="1" applyBorder="1"/>
    <xf numFmtId="2" fontId="0" fillId="2" borderId="7" xfId="0" applyNumberFormat="1" applyFill="1" applyBorder="1"/>
    <xf numFmtId="2" fontId="0" fillId="2" borderId="8" xfId="0" applyNumberFormat="1" applyFill="1" applyBorder="1"/>
    <xf numFmtId="1" fontId="0" fillId="0" borderId="5" xfId="0" applyNumberFormat="1" applyBorder="1"/>
    <xf numFmtId="0" fontId="0" fillId="2" borderId="5" xfId="0" applyFill="1" applyBorder="1"/>
    <xf numFmtId="0" fontId="0" fillId="2" borderId="8" xfId="0" applyFill="1" applyBorder="1"/>
    <xf numFmtId="0" fontId="0" fillId="6" borderId="0" xfId="0" applyFill="1"/>
    <xf numFmtId="2" fontId="0" fillId="6" borderId="0" xfId="0" applyNumberFormat="1" applyFill="1"/>
    <xf numFmtId="1" fontId="0" fillId="6" borderId="5" xfId="0" applyNumberFormat="1" applyFill="1" applyBorder="1"/>
    <xf numFmtId="9" fontId="0" fillId="0" borderId="0" xfId="1" applyFont="1"/>
    <xf numFmtId="9" fontId="0" fillId="4" borderId="0" xfId="1" applyFont="1" applyFill="1"/>
    <xf numFmtId="0" fontId="0" fillId="4" borderId="2" xfId="0" applyFill="1" applyBorder="1"/>
    <xf numFmtId="165" fontId="0" fillId="0" borderId="3" xfId="0" applyNumberFormat="1" applyBorder="1"/>
    <xf numFmtId="165" fontId="0" fillId="0" borderId="0" xfId="0" applyNumberFormat="1"/>
    <xf numFmtId="165" fontId="0" fillId="0" borderId="5" xfId="0" applyNumberFormat="1" applyBorder="1"/>
    <xf numFmtId="164" fontId="0" fillId="0" borderId="0" xfId="0" applyNumberFormat="1"/>
    <xf numFmtId="164" fontId="0" fillId="0" borderId="5" xfId="0" applyNumberFormat="1" applyBorder="1"/>
    <xf numFmtId="0" fontId="0" fillId="4" borderId="0" xfId="0" applyFill="1"/>
    <xf numFmtId="0" fontId="0" fillId="0" borderId="5" xfId="0" applyBorder="1"/>
    <xf numFmtId="0" fontId="0" fillId="4" borderId="5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" xfId="0" applyBorder="1"/>
    <xf numFmtId="0" fontId="1" fillId="4" borderId="2" xfId="0" applyFont="1" applyFill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9" fontId="0" fillId="0" borderId="0" xfId="0" applyNumberFormat="1"/>
    <xf numFmtId="9" fontId="0" fillId="0" borderId="5" xfId="0" applyNumberFormat="1" applyBorder="1"/>
    <xf numFmtId="0" fontId="0" fillId="3" borderId="0" xfId="0" applyFill="1"/>
    <xf numFmtId="0" fontId="0" fillId="3" borderId="5" xfId="0" applyFill="1" applyBorder="1"/>
    <xf numFmtId="2" fontId="0" fillId="0" borderId="5" xfId="1" applyNumberFormat="1" applyFont="1" applyBorder="1"/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28BB4767-DA02-4764-AA26-E730450536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Yield </a:t>
            </a:r>
            <a:r>
              <a:rPr lang="en-US" baseline="0"/>
              <a:t> per area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on pig feed mix'!$A$4:$A$8</c:f>
              <c:strCache>
                <c:ptCount val="1"/>
                <c:pt idx="0">
                  <c:v>Potato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on pig feed mix'!$D$1:$H$1</c:f>
              <c:numCache>
                <c:formatCode>General</c:formatCode>
                <c:ptCount val="5"/>
                <c:pt idx="0">
                  <c:v>1860</c:v>
                </c:pt>
                <c:pt idx="1">
                  <c:v>1890</c:v>
                </c:pt>
                <c:pt idx="2">
                  <c:v>1920</c:v>
                </c:pt>
                <c:pt idx="3">
                  <c:v>1970</c:v>
                </c:pt>
                <c:pt idx="4">
                  <c:v>2010</c:v>
                </c:pt>
              </c:numCache>
            </c:numRef>
          </c:cat>
          <c:val>
            <c:numRef>
              <c:f>'data on pig feed mix'!$D$4:$H$4</c:f>
              <c:numCache>
                <c:formatCode>0.00</c:formatCode>
                <c:ptCount val="5"/>
                <c:pt idx="0">
                  <c:v>13.565165499999898</c:v>
                </c:pt>
                <c:pt idx="1">
                  <c:v>13.565165499999898</c:v>
                </c:pt>
                <c:pt idx="2">
                  <c:v>13.565165499999898</c:v>
                </c:pt>
                <c:pt idx="3">
                  <c:v>25.319415499999888</c:v>
                </c:pt>
                <c:pt idx="4">
                  <c:v>35.536415499999904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D-4D0E-8C83-39F883FA6D13}"/>
            </c:ext>
          </c:extLst>
        </c:ser>
        <c:ser>
          <c:idx val="1"/>
          <c:order val="1"/>
          <c:tx>
            <c:strRef>
              <c:f>'data on pig feed mix'!$A$9:$A$13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'data on pig feed mix'!$D$9:$H$9</c:f>
              <c:numCache>
                <c:formatCode>0.00</c:formatCode>
                <c:ptCount val="5"/>
                <c:pt idx="0">
                  <c:v>1.8085860000000011</c:v>
                </c:pt>
                <c:pt idx="1">
                  <c:v>1.8085860000000011</c:v>
                </c:pt>
                <c:pt idx="2">
                  <c:v>1.8085860000000011</c:v>
                </c:pt>
                <c:pt idx="3">
                  <c:v>3.540686</c:v>
                </c:pt>
                <c:pt idx="4">
                  <c:v>4.9767659999999996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D-4D0E-8C83-39F883FA6D13}"/>
            </c:ext>
          </c:extLst>
        </c:ser>
        <c:ser>
          <c:idx val="2"/>
          <c:order val="2"/>
          <c:tx>
            <c:strRef>
              <c:f>'data on pig feed mix'!$A$14:$A$18</c:f>
              <c:strCache>
                <c:ptCount val="1"/>
                <c:pt idx="0">
                  <c:v>rye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'data on pig feed mix'!$D$14:$H$14</c:f>
              <c:numCache>
                <c:formatCode>0.00</c:formatCode>
                <c:ptCount val="5"/>
                <c:pt idx="0">
                  <c:v>2.0474324999998545</c:v>
                </c:pt>
                <c:pt idx="1">
                  <c:v>2.0474324999998545</c:v>
                </c:pt>
                <c:pt idx="2">
                  <c:v>2.0474324999998545</c:v>
                </c:pt>
                <c:pt idx="3">
                  <c:v>4.1334824999998316</c:v>
                </c:pt>
                <c:pt idx="4">
                  <c:v>6.7923224999998641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5D-4D0E-8C83-39F883FA6D13}"/>
            </c:ext>
          </c:extLst>
        </c:ser>
        <c:ser>
          <c:idx val="3"/>
          <c:order val="3"/>
          <c:tx>
            <c:strRef>
              <c:f>'data on pig feed mix'!$A$19:$A$23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'data on pig feed mix'!$D$19:$H$19</c:f>
              <c:numCache>
                <c:formatCode>0.00</c:formatCode>
                <c:ptCount val="5"/>
                <c:pt idx="0">
                  <c:v>2.5583780000000842</c:v>
                </c:pt>
                <c:pt idx="1">
                  <c:v>2.5583780000000842</c:v>
                </c:pt>
                <c:pt idx="2">
                  <c:v>2.5583780000000842</c:v>
                </c:pt>
                <c:pt idx="3">
                  <c:v>5.1247780000000827</c:v>
                </c:pt>
                <c:pt idx="4">
                  <c:v>7.7142980000000652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5D-4D0E-8C83-39F883FA6D13}"/>
            </c:ext>
          </c:extLst>
        </c:ser>
        <c:ser>
          <c:idx val="4"/>
          <c:order val="4"/>
          <c:tx>
            <c:strRef>
              <c:f>'data on pig feed mix'!$A$24:$A$28</c:f>
              <c:strCache>
                <c:ptCount val="1"/>
                <c:pt idx="0">
                  <c:v>Barley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'data on pig feed mix'!$D$24:$H$24</c:f>
              <c:numCache>
                <c:formatCode>0.00</c:formatCode>
                <c:ptCount val="5"/>
                <c:pt idx="0">
                  <c:v>2.6764306672923128</c:v>
                </c:pt>
                <c:pt idx="1">
                  <c:v>2.7236843013071117</c:v>
                </c:pt>
                <c:pt idx="2">
                  <c:v>2.6689090126238399</c:v>
                </c:pt>
                <c:pt idx="3">
                  <c:v>3.9287558439746006</c:v>
                </c:pt>
                <c:pt idx="4">
                  <c:v>5.5773645058448462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5D-4D0E-8C83-39F883FA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243984"/>
        <c:axId val="1003248248"/>
      </c:lineChart>
      <c:catAx>
        <c:axId val="10032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48248"/>
        <c:crosses val="autoZero"/>
        <c:auto val="1"/>
        <c:lblAlgn val="ctr"/>
        <c:lblOffset val="100"/>
        <c:noMultiLvlLbl val="0"/>
      </c:catAx>
      <c:valAx>
        <c:axId val="10032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Ton/Ha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on pig feed mix'!$A$4:$A$8</c:f>
              <c:strCache>
                <c:ptCount val="1"/>
                <c:pt idx="0">
                  <c:v>Potato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on pig feed mix'!$D$1:$H$1</c:f>
              <c:numCache>
                <c:formatCode>General</c:formatCode>
                <c:ptCount val="5"/>
                <c:pt idx="0">
                  <c:v>1860</c:v>
                </c:pt>
                <c:pt idx="1">
                  <c:v>1890</c:v>
                </c:pt>
                <c:pt idx="2">
                  <c:v>1920</c:v>
                </c:pt>
                <c:pt idx="3">
                  <c:v>1970</c:v>
                </c:pt>
                <c:pt idx="4">
                  <c:v>2010</c:v>
                </c:pt>
              </c:numCache>
            </c:numRef>
          </c:cat>
          <c:val>
            <c:numRef>
              <c:f>'data on pig feed mix'!$D$6:$H$6</c:f>
              <c:numCache>
                <c:formatCode>0</c:formatCode>
                <c:ptCount val="5"/>
                <c:pt idx="1">
                  <c:v>570330.41603999992</c:v>
                </c:pt>
                <c:pt idx="2">
                  <c:v>1085300</c:v>
                </c:pt>
                <c:pt idx="3">
                  <c:v>811000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A-42BB-B6AE-70C5B60751CB}"/>
            </c:ext>
          </c:extLst>
        </c:ser>
        <c:ser>
          <c:idx val="1"/>
          <c:order val="1"/>
          <c:tx>
            <c:strRef>
              <c:f>'data on pig feed mix'!$A$9:$A$13</c:f>
              <c:strCache>
                <c:ptCount val="1"/>
                <c:pt idx="0">
                  <c:v>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'data on pig feed mix'!$D$11:$H$11</c:f>
              <c:numCache>
                <c:formatCode>0</c:formatCode>
                <c:ptCount val="5"/>
                <c:pt idx="1">
                  <c:v>1185793.790608</c:v>
                </c:pt>
                <c:pt idx="2">
                  <c:v>898400</c:v>
                </c:pt>
                <c:pt idx="3">
                  <c:v>415500</c:v>
                </c:pt>
                <c:pt idx="4">
                  <c:v>280350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A-42BB-B6AE-70C5B60751CB}"/>
            </c:ext>
          </c:extLst>
        </c:ser>
        <c:ser>
          <c:idx val="2"/>
          <c:order val="2"/>
          <c:tx>
            <c:strRef>
              <c:f>'data on pig feed mix'!$A$14:$A$18</c:f>
              <c:strCache>
                <c:ptCount val="1"/>
                <c:pt idx="0">
                  <c:v>rye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'data on pig feed mix'!$D$16:$H$16</c:f>
              <c:numCache>
                <c:formatCode>0</c:formatCode>
                <c:ptCount val="5"/>
                <c:pt idx="1">
                  <c:v>587547.01203800004</c:v>
                </c:pt>
                <c:pt idx="2">
                  <c:v>309900</c:v>
                </c:pt>
                <c:pt idx="3">
                  <c:v>201800</c:v>
                </c:pt>
                <c:pt idx="4">
                  <c:v>558620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A-42BB-B6AE-70C5B60751CB}"/>
            </c:ext>
          </c:extLst>
        </c:ser>
        <c:ser>
          <c:idx val="3"/>
          <c:order val="3"/>
          <c:tx>
            <c:strRef>
              <c:f>'data on pig feed mix'!$A$19:$A$23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'data on pig feed mix'!$D$21:$H$21</c:f>
              <c:numCache>
                <c:formatCode>0</c:formatCode>
                <c:ptCount val="5"/>
                <c:pt idx="1">
                  <c:v>127977.478692</c:v>
                </c:pt>
                <c:pt idx="2">
                  <c:v>256899.99999999997</c:v>
                </c:pt>
                <c:pt idx="3">
                  <c:v>577200</c:v>
                </c:pt>
                <c:pt idx="4">
                  <c:v>4513130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A-42BB-B6AE-70C5B60751CB}"/>
            </c:ext>
          </c:extLst>
        </c:ser>
        <c:ser>
          <c:idx val="4"/>
          <c:order val="4"/>
          <c:tx>
            <c:strRef>
              <c:f>'data on pig feed mix'!$A$24:$A$28</c:f>
              <c:strCache>
                <c:ptCount val="1"/>
                <c:pt idx="0">
                  <c:v>Barley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'data on pig feed mix'!$D$26:$H$26</c:f>
              <c:numCache>
                <c:formatCode>0</c:formatCode>
                <c:ptCount val="5"/>
                <c:pt idx="0">
                  <c:v>754537.793377514</c:v>
                </c:pt>
                <c:pt idx="1">
                  <c:v>704702.64562600001</c:v>
                </c:pt>
                <c:pt idx="2">
                  <c:v>777300</c:v>
                </c:pt>
                <c:pt idx="3">
                  <c:v>5630300</c:v>
                </c:pt>
                <c:pt idx="4">
                  <c:v>3673810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A-42BB-B6AE-70C5B607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243984"/>
        <c:axId val="1003248248"/>
      </c:lineChart>
      <c:catAx>
        <c:axId val="10032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48248"/>
        <c:crosses val="autoZero"/>
        <c:auto val="1"/>
        <c:lblAlgn val="ctr"/>
        <c:lblOffset val="100"/>
        <c:noMultiLvlLbl val="0"/>
      </c:catAx>
      <c:valAx>
        <c:axId val="100324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2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501015</xdr:colOff>
      <xdr:row>1</xdr:row>
      <xdr:rowOff>179071</xdr:rowOff>
    </xdr:from>
    <xdr:to>
      <xdr:col>12</xdr:col>
      <xdr:colOff>179070</xdr:colOff>
      <xdr:row>6</xdr:row>
      <xdr:rowOff>99061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C5A814-0695-05F8-E39E-0F659CADE9A6}"/>
            </a:ext>
          </a:extLst>
        </xdr:cNvPr>
        <xdr:cNvSpPr txBox="1"/>
      </xdr:nvSpPr>
      <xdr:spPr>
        <a:xfrm>
          <a:off x="8997315" y="369571"/>
          <a:ext cx="2581275" cy="872490"/>
        </a:xfrm>
        <a:prstGeom prst="rect">
          <a:avLst/>
        </a:prstGeom>
        <a:solidFill>
          <a:srgbClr val="C6E0B4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solidFill>
                <a:srgbClr val="000000"/>
              </a:solidFill>
              <a:latin typeface="+mn-lt"/>
              <a:ea typeface="+mn-lt"/>
              <a:cs typeface="+mn-lt"/>
            </a:rPr>
            <a:t>All value are average for the decade when data is available. Noted in comments if not</a:t>
          </a: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20</xdr:col>
      <xdr:colOff>302895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813FFA-C97E-48BE-9AE5-1F3B50313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20</xdr:col>
      <xdr:colOff>302895</xdr:colOff>
      <xdr:row>36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5AC005-049E-4B2B-BEB8-0F406F812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mon Bruhn" id="{800634A2-9E19-45E3-A176-1758E1F2830D}" userId="S::simb@igt.sdu.dk::d7fc9c4b-997f-4be9-b909-01b65e7428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3-02-07T16:42:14.25" personId="{800634A2-9E19-45E3-A176-1758E1F2830D}" id="{258D59FD-9FED-404F-A977-D6BF5D6A0E2A}">
    <text>NOTE: Production is given in tons of meat. Meat =0.417*liveweight
https://extension.tennessee.edu/publications/documents/pb1822.pdf</text>
  </threadedComment>
  <threadedComment ref="B30" dT="2023-02-07T16:47:47.28" personId="{800634A2-9E19-45E3-A176-1758E1F2830D}" id="{5BBFA166-1EA2-4B59-B0CE-777DEF50CFFB}" parentId="{258D59FD-9FED-404F-A977-D6BF5D6A0E2A}">
    <text>Consumption of barley in  2010 gets negative if we do this adjustment - WTF</text>
  </threadedComment>
  <threadedComment ref="B30" dT="2023-02-07T16:56:25.37" personId="{800634A2-9E19-45E3-A176-1758E1F2830D}" id="{237A4E10-76C7-48D8-ABE8-310F9DE6BE81}" parentId="{258D59FD-9FED-404F-A977-D6BF5D6A0E2A}">
    <text xml:space="preserve"> in 2021 produced 1.44 megatons of slaughterweight https://www.dst.dk/nyt/40683
- but nanas data says 1.83 megatons
danish crown claims that slaugtherweight = 0.8* liveweight
https://www.danishcrown.com/media/4621/levende-vaegt-slagtevaegt-dk.pdf
this suggessts that nana has gathered data on live weight production - not slaughterweight</text>
  </threadedComment>
  <threadedComment ref="E32" dT="2023-02-02T16:50:09.44" personId="{800634A2-9E19-45E3-A176-1758E1F2830D}" id="{F890B566-A64B-4505-AA09-B7C0BB20EB81}">
    <text>average of import data available for 1897-1899</text>
  </threadedComment>
  <threadedComment ref="F32" dT="2023-02-02T16:53:07.41" personId="{800634A2-9E19-45E3-A176-1758E1F2830D}" id="{7ABCB300-EF2F-4512-AB06-585F344B5191}">
    <text>low based on war, depression, etc?</text>
  </threadedComment>
  <threadedComment ref="G32" dT="2023-02-02T16:54:28.08" personId="{800634A2-9E19-45E3-A176-1758E1F2830D}" id="{26401F43-3A58-4655-B42E-34BD30273A03}">
    <text>based on average for 1970-1975</text>
  </threadedComment>
  <threadedComment ref="G32" dT="2023-02-02T17:00:32.19" personId="{800634A2-9E19-45E3-A176-1758E1F2830D}" id="{20F70EF8-88C0-4E4D-A994-FB9AB379E913}" parentId="{26401F43-3A58-4655-B42E-34BD30273A03}">
    <text>this number only gets over 10% and starts really accelrating in 1997</text>
  </threadedComment>
  <threadedComment ref="H32" dT="2023-02-02T17:00:05.00" personId="{800634A2-9E19-45E3-A176-1758E1F2830D}" id="{0840F808-84E8-4DA6-9CEA-0E5BF89689BF}">
    <text>this number seems realistic according to my farmer friend(whose family produce swine). We export our meet to china, and buy our own meat form poland</text>
  </threadedComment>
  <threadedComment ref="D35" dT="2023-02-07T16:34:58.75" personId="{800634A2-9E19-45E3-A176-1758E1F2830D}" id="{7985D10F-2B79-4D51-8D3B-13D04BC2CE22}">
    <text>Assumed same mix as 1890</text>
  </threadedComment>
  <threadedComment ref="E35" dT="2023-02-07T16:00:50.78" personId="{800634A2-9E19-45E3-A176-1758E1F2830D}" id="{B8D548C0-560F-4B84-A8D3-22B5C938060B}">
    <text>Based on https://dcapub.au.dk/pub/sh_beretning_15.pdf
225 pd oat/wheat/barley (mix unknown) + 105 pd whey/milk (mix unknown)
assumed barley + whey</text>
  </threadedComment>
  <threadedComment ref="F35" dT="2023-02-07T16:05:03.00" personId="{800634A2-9E19-45E3-A176-1758E1F2830D}" id="{A53640C6-2FFC-4B0E-9DB6-B3D6CAC1E54E}">
    <text>Assumed same mix as 1920.
10.1016/j.livsci.2015.06.012 assumes 1920 to be "representing a local-based production" hence 1890 estimates assumed representible</text>
  </threadedComment>
  <threadedComment ref="G35" dT="2023-02-07T15:57:01.10" personId="{800634A2-9E19-45E3-A176-1758E1F2830D}" id="{A6E4BF7A-CFCE-40B3-846A-69466076B8FE}">
    <text>Assumed same feed mix as 2010's</text>
  </threadedComment>
  <threadedComment ref="G35" dT="2023-02-07T16:12:01.32" personId="{800634A2-9E19-45E3-A176-1758E1F2830D}" id="{51770217-3B0A-4BAE-B844-E822787FC571}" parentId="{A6E4BF7A-CFCE-40B3-846A-69466076B8FE}">
    <text>https://dcapub.au.dk/pub/sh_beretning_379.pdf p 14 "Siden 1. maj 1965, da fodringen med byg og skummetmælk ophørte"</text>
  </threadedComment>
  <threadedComment ref="H35" dT="2023-02-07T15:36:17.31" personId="{800634A2-9E19-45E3-A176-1758E1F2830D}" id="{4423CC24-923B-4060-8FB8-19896E46A649}">
    <text>2010's
dry feed mix mass % content example from https://svineproduktion.dk/Viden/I-stalden/Foder/Udfodring/Slagtesvin</text>
  </threadedComment>
  <threadedComment ref="B36" dT="2023-02-07T14:14:22.24" personId="{800634A2-9E19-45E3-A176-1758E1F2830D}" id="{0CCAA5E3-A7EA-4E8D-B589-AEDF8874BAE0}">
    <text>Backwards projected based on ecoinvent calorific value of feed</text>
  </threadedComment>
  <threadedComment ref="H36" dT="2023-02-07T14:14:34.96" personId="{800634A2-9E19-45E3-A176-1758E1F2830D}" id="{6235DD28-E1FE-4EB5-B050-CC0649DAC620}">
    <text>Based on ecoivnent proces</text>
  </threadedComment>
  <threadedComment ref="B37" dT="2023-02-07T15:52:51.42" personId="{800634A2-9E19-45E3-A176-1758E1F2830D}" id="{C3E9EC93-66C5-430D-9525-99FB60BB3644}">
    <text>Backwards projected Based on ecoinvent and dairy cow trend</text>
  </threadedComment>
  <threadedComment ref="B37" dT="2023-02-07T15:58:22.19" personId="{800634A2-9E19-45E3-A176-1758E1F2830D}" id="{31C0E8E6-532D-415C-BE68-23C7A0B8CBFD}" parentId="{C3E9EC93-66C5-430D-9525-99FB60BB3644}">
    <text>Mass is based on calorific intake</text>
  </threadedComment>
  <threadedComment ref="G37" dT="2023-02-07T17:31:46.41" personId="{800634A2-9E19-45E3-A176-1758E1F2830D}" id="{1B103C1C-57E6-46BD-B4E8-2ED42A9C0E35}">
    <text>Average in 1960-65 seems to be around 2.94 kg feed pr kg growth!</text>
  </threadedComment>
  <threadedComment ref="G37" dT="2023-02-07T17:31:50.85" personId="{800634A2-9E19-45E3-A176-1758E1F2830D}" id="{9AAEA790-1A5A-47C5-AEC9-E2D2F65E1308}" parentId="{1B103C1C-57E6-46BD-B4E8-2ED42A9C0E35}">
    <text>https://dcapub.au.dk/pub/sh_beretning_379.pdf</text>
  </threadedComment>
  <threadedComment ref="H37" dT="2023-02-07T15:53:02.06" personId="{800634A2-9E19-45E3-A176-1758E1F2830D}" id="{09F8EC12-7089-4F2B-8176-132868AC5669}">
    <text>Based on ecoinvent</text>
  </threadedComment>
  <threadedComment ref="D38" dT="2023-02-07T16:36:38.52" personId="{800634A2-9E19-45E3-A176-1758E1F2830D}" id="{54695251-924E-4DA6-B831-22C7894D2B9F}">
    <text>Same mix as 1890 assumed</text>
  </threadedComment>
  <threadedComment ref="B43" dT="2023-02-07T16:07:11.80" personId="{800634A2-9E19-45E3-A176-1758E1F2830D}" id="{50C0AC2C-A934-4089-B6E2-AFB73018E634}">
    <text>Whey assumed to be replaced by soymeal (protein source) in mordern time</text>
  </threadedComment>
  <threadedComment ref="D43" dT="2023-02-07T16:36:34.05" personId="{800634A2-9E19-45E3-A176-1758E1F2830D}" id="{AC525059-BC25-4124-B292-23490F6BFCB0}">
    <text>Same mix as 1890 assumed</text>
  </threadedComment>
  <threadedComment ref="G43" dT="2023-02-07T16:31:30.49" personId="{800634A2-9E19-45E3-A176-1758E1F2830D}" id="{B8EAB72A-A0B5-412C-82D3-01F8F97BCADB}">
    <text>Skummetsmælkspulver (skimmed milk powder) assumed = whey</text>
  </threadedComment>
  <threadedComment ref="H44" dT="2023-02-07T16:15:03.65" personId="{800634A2-9E19-45E3-A176-1758E1F2830D}" id="{8217A309-DB59-4CD3-B5DA-17AC334A4BA5}">
    <text>From canadian ecoinvent dataset</text>
  </threadedComment>
  <threadedComment ref="B51" dT="2023-02-07T16:07:11.80" personId="{800634A2-9E19-45E3-A176-1758E1F2830D}" id="{EC48337F-45E5-427C-AFC3-136156F06AB6}">
    <text>Whey assumed to be replaced by soymeal (protein source) in mordern time</text>
  </threadedComment>
  <threadedComment ref="E66" dT="2023-02-06T15:50:48.57" personId="{800634A2-9E19-45E3-A176-1758E1F2830D}" id="{B047887B-9C5C-49B9-8602-E9DB7D88EE7D}">
    <text>This seems very low - should we assume that before 1920 was cosntant (70%)</text>
  </threadedComment>
  <threadedComment ref="B68" dT="2023-02-07T14:06:27.68" personId="{800634A2-9E19-45E3-A176-1758E1F2830D}" id="{C412A5C4-6B1E-4E5F-892F-E4DB6251DA56}">
    <text>Backwards projected based on ecoinvent proces</text>
  </threadedComment>
  <threadedComment ref="H68" dT="2023-02-07T14:06:08.34" personId="{800634A2-9E19-45E3-A176-1758E1F2830D}" id="{8EF8E7CF-6BC3-4E1E-8224-0C523AE0BFC3}">
    <text>Based on ecoinvent process</text>
  </threadedComment>
  <threadedComment ref="A73" dT="2023-02-10T11:01:33.24" personId="{800634A2-9E19-45E3-A176-1758E1F2830D}" id="{EA9BF4AB-776A-455E-A8E3-125B19083362}">
    <text>Calorific value for single year, not decade</text>
  </threadedComment>
  <threadedComment ref="A74" dT="2023-02-10T12:32:50.57" personId="{800634A2-9E19-45E3-A176-1758E1F2830D}" id="{98720383-5CB2-45C4-97A5-B579EAE6AB57}">
    <text>Representative case based on cook books</text>
  </threadedComment>
  <threadedComment ref="A84" dT="2023-02-10T12:33:43.15" personId="{800634A2-9E19-45E3-A176-1758E1F2830D}" id="{B6EDD0C2-912F-498F-813A-B6F1C095D6A6}">
    <text>Estimate. Assumed same diet in all decades, but larger serving</text>
  </threadedComment>
  <threadedComment ref="B86" dT="2023-02-10T11:39:50.71" personId="{800634A2-9E19-45E3-A176-1758E1F2830D}" id="{B407FD9D-5C2A-47B9-B09D-A9705DD41706}">
    <text>200kcal/100g</text>
  </threadedComment>
  <threadedComment ref="A90" dT="2023-02-10T12:48:04.68" personId="{800634A2-9E19-45E3-A176-1758E1F2830D}" id="{E89D3CCD-8DA3-4F1D-A2BB-A92FB6AA31C6}">
    <text>Estimate. Assumed same diet in all decades, but larger serving</text>
  </threadedComment>
  <threadedComment ref="D91" dT="2023-02-10T12:46:08.63" personId="{800634A2-9E19-45E3-A176-1758E1F2830D}" id="{59187B2C-DC3E-40AB-878B-E10A84DCEE20}">
    <text>Assumed half oat half barley</text>
  </threadedComment>
  <threadedComment ref="F91" dT="2023-02-10T12:47:05.40" personId="{800634A2-9E19-45E3-A176-1758E1F2830D}" id="{ADF17598-EF09-4995-8212-7DD7569874E1}">
    <text>Assumed in between (average) 1860 and 2010</text>
  </threadedComment>
  <threadedComment ref="H91" dT="2023-02-10T12:46:44.36" personId="{800634A2-9E19-45E3-A176-1758E1F2830D}" id="{2DAA3B69-3097-475F-96C1-A8BD645298EE}">
    <text>Assumed half bread w cheese half oat</text>
  </threadedComment>
  <threadedComment ref="B92" dT="2023-02-10T11:29:26.70" personId="{800634A2-9E19-45E3-A176-1758E1F2830D}" id="{D35A8B78-0D36-4C00-92D6-00B20B7FAB9F}">
    <text>0.4 g/cal (see julies "food data" sheet)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pane ySplit="1" topLeftCell="A2" activePane="bottomLeft" state="frozen"/>
      <selection pane="bottomLeft" activeCell="A65" sqref="A65:XFD95"/>
    </sheetView>
  </sheetViews>
  <sheetFormatPr defaultRowHeight="15" x14ac:dyDescent="0.25"/>
  <cols>
    <col min="1" max="1" width="13.85546875" customWidth="1"/>
    <col min="2" max="3" width="15.28515625" customWidth="1"/>
    <col min="4" max="6" width="17" bestFit="1" customWidth="1"/>
    <col min="7" max="8" width="18.28515625" bestFit="1" customWidth="1"/>
    <col min="10" max="10" width="10.42578125" bestFit="1" customWidth="1"/>
    <col min="11" max="11" width="14.85546875" bestFit="1" customWidth="1"/>
  </cols>
  <sheetData>
    <row r="1" spans="1:8" x14ac:dyDescent="0.25">
      <c r="C1" t="s">
        <v>0</v>
      </c>
      <c r="D1" s="1">
        <v>1860</v>
      </c>
      <c r="E1" s="1">
        <v>1890</v>
      </c>
      <c r="F1" s="1">
        <v>1920</v>
      </c>
      <c r="G1" s="1">
        <v>1970</v>
      </c>
      <c r="H1" s="1">
        <v>2010</v>
      </c>
    </row>
    <row r="2" spans="1:8" x14ac:dyDescent="0.25">
      <c r="B2" s="1" t="s">
        <v>1</v>
      </c>
      <c r="C2" s="1"/>
    </row>
    <row r="3" spans="1:8" x14ac:dyDescent="0.25">
      <c r="B3" s="1"/>
      <c r="C3" s="1"/>
    </row>
    <row r="4" spans="1:8" x14ac:dyDescent="0.25">
      <c r="A4" s="50" t="s">
        <v>26</v>
      </c>
      <c r="B4" s="5" t="s">
        <v>27</v>
      </c>
      <c r="C4" s="5" t="s">
        <v>2</v>
      </c>
      <c r="D4" s="6">
        <f t="shared" ref="D4" si="0">E4</f>
        <v>13.565165499999898</v>
      </c>
      <c r="E4" s="6">
        <f>F4</f>
        <v>13.565165499999898</v>
      </c>
      <c r="F4" s="6">
        <f>'data on crop yields'!G4</f>
        <v>13.565165499999898</v>
      </c>
      <c r="G4" s="6">
        <f>'data on crop yields'!G5</f>
        <v>25.319415499999888</v>
      </c>
      <c r="H4" s="7">
        <f>'data on crop yields'!G6</f>
        <v>35.536415499999904</v>
      </c>
    </row>
    <row r="5" spans="1:8" x14ac:dyDescent="0.25">
      <c r="A5" s="51"/>
      <c r="B5" t="s">
        <v>28</v>
      </c>
      <c r="C5" t="s">
        <v>4</v>
      </c>
      <c r="D5" s="19"/>
      <c r="E5" s="19"/>
      <c r="F5" s="19"/>
      <c r="G5" s="19"/>
      <c r="H5" s="19"/>
    </row>
    <row r="6" spans="1:8" x14ac:dyDescent="0.25">
      <c r="A6" s="51"/>
      <c r="B6" t="s">
        <v>12</v>
      </c>
      <c r="C6" t="s">
        <v>4</v>
      </c>
      <c r="D6" s="18"/>
      <c r="E6" s="3">
        <f>4491498*126.98/1000</f>
        <v>570330.41603999992</v>
      </c>
      <c r="F6" s="3">
        <f>1085.3*1000</f>
        <v>1085300</v>
      </c>
      <c r="G6" s="3">
        <f>811*1000</f>
        <v>811000</v>
      </c>
      <c r="H6" s="20"/>
    </row>
    <row r="7" spans="1:8" x14ac:dyDescent="0.25">
      <c r="A7" s="51"/>
      <c r="B7" s="2" t="s">
        <v>5</v>
      </c>
      <c r="C7" s="8"/>
      <c r="D7" s="9"/>
      <c r="E7" s="9"/>
      <c r="F7" s="9"/>
      <c r="G7" s="9"/>
      <c r="H7" s="10"/>
    </row>
    <row r="8" spans="1:8" x14ac:dyDescent="0.25">
      <c r="A8" s="52"/>
      <c r="B8" s="11" t="s">
        <v>6</v>
      </c>
      <c r="C8" s="12"/>
      <c r="D8" s="13"/>
      <c r="E8" s="13"/>
      <c r="F8" s="13"/>
      <c r="G8" s="13"/>
      <c r="H8" s="14"/>
    </row>
    <row r="9" spans="1:8" x14ac:dyDescent="0.25">
      <c r="A9" s="50" t="s">
        <v>25</v>
      </c>
      <c r="B9" s="5" t="s">
        <v>27</v>
      </c>
      <c r="C9" s="5" t="s">
        <v>2</v>
      </c>
      <c r="D9" s="6">
        <f t="shared" ref="D9" si="1">E9</f>
        <v>1.8085860000000011</v>
      </c>
      <c r="E9" s="6">
        <f>F9</f>
        <v>1.8085860000000011</v>
      </c>
      <c r="F9" s="6">
        <f>'data on crop yields'!F4</f>
        <v>1.8085860000000011</v>
      </c>
      <c r="G9" s="6">
        <f>'data on crop yields'!F5</f>
        <v>3.540686</v>
      </c>
      <c r="H9" s="7">
        <f>'data on crop yields'!F6</f>
        <v>4.9767659999999996</v>
      </c>
    </row>
    <row r="10" spans="1:8" x14ac:dyDescent="0.25">
      <c r="A10" s="51"/>
      <c r="B10" t="s">
        <v>28</v>
      </c>
      <c r="C10" t="s">
        <v>4</v>
      </c>
      <c r="D10" s="19"/>
      <c r="E10" s="19"/>
      <c r="F10" s="19"/>
      <c r="G10" s="19"/>
      <c r="H10" s="19"/>
    </row>
    <row r="11" spans="1:8" x14ac:dyDescent="0.25">
      <c r="A11" s="51"/>
      <c r="B11" t="s">
        <v>12</v>
      </c>
      <c r="C11" t="s">
        <v>4</v>
      </c>
      <c r="D11" s="19"/>
      <c r="E11" s="3">
        <f>9338429.6*126.98/1000</f>
        <v>1185793.790608</v>
      </c>
      <c r="F11" s="3">
        <f>898.4*1000</f>
        <v>898400</v>
      </c>
      <c r="G11" s="3">
        <f>1000*415.5</f>
        <v>415500</v>
      </c>
      <c r="H11" s="15">
        <f>280.35*1000</f>
        <v>280350</v>
      </c>
    </row>
    <row r="12" spans="1:8" x14ac:dyDescent="0.25">
      <c r="A12" s="51"/>
      <c r="B12" s="2" t="s">
        <v>5</v>
      </c>
      <c r="C12" s="8"/>
      <c r="D12" s="9"/>
      <c r="E12" s="9"/>
      <c r="F12" s="9"/>
      <c r="G12" s="9"/>
      <c r="H12" s="10"/>
    </row>
    <row r="13" spans="1:8" x14ac:dyDescent="0.25">
      <c r="A13" s="52"/>
      <c r="B13" s="11" t="s">
        <v>6</v>
      </c>
      <c r="C13" s="12"/>
      <c r="D13" s="13"/>
      <c r="E13" s="13"/>
      <c r="F13" s="13"/>
      <c r="G13" s="13"/>
      <c r="H13" s="14"/>
    </row>
    <row r="14" spans="1:8" x14ac:dyDescent="0.25">
      <c r="A14" s="50" t="s">
        <v>24</v>
      </c>
      <c r="B14" s="5" t="s">
        <v>27</v>
      </c>
      <c r="C14" s="5" t="s">
        <v>2</v>
      </c>
      <c r="D14" s="6">
        <f t="shared" ref="D14" si="2">E14</f>
        <v>2.0474324999998545</v>
      </c>
      <c r="E14" s="6">
        <f>F14</f>
        <v>2.0474324999998545</v>
      </c>
      <c r="F14" s="6">
        <f>'data on crop yields'!E4</f>
        <v>2.0474324999998545</v>
      </c>
      <c r="G14" s="6">
        <f>'data on crop yields'!E5</f>
        <v>4.1334824999998316</v>
      </c>
      <c r="H14" s="7">
        <f>'data on crop yields'!E6</f>
        <v>6.7923224999998641</v>
      </c>
    </row>
    <row r="15" spans="1:8" x14ac:dyDescent="0.25">
      <c r="A15" s="51"/>
      <c r="B15" t="s">
        <v>28</v>
      </c>
      <c r="C15" t="s">
        <v>4</v>
      </c>
      <c r="D15" s="19"/>
      <c r="E15" s="19"/>
      <c r="F15" s="19"/>
      <c r="G15" s="19"/>
      <c r="H15" s="19"/>
    </row>
    <row r="16" spans="1:8" x14ac:dyDescent="0.25">
      <c r="A16" s="51"/>
      <c r="B16" t="s">
        <v>12</v>
      </c>
      <c r="C16" t="s">
        <v>4</v>
      </c>
      <c r="D16" s="18"/>
      <c r="E16" s="3">
        <f>4627083.1*126.98/1000</f>
        <v>587547.01203800004</v>
      </c>
      <c r="F16" s="3">
        <f>309.9*1000</f>
        <v>309900</v>
      </c>
      <c r="G16" s="3">
        <f>201.8*1000</f>
        <v>201800</v>
      </c>
      <c r="H16" s="15">
        <f>558.62*1000</f>
        <v>558620</v>
      </c>
    </row>
    <row r="17" spans="1:8" x14ac:dyDescent="0.25">
      <c r="A17" s="51"/>
      <c r="B17" s="2" t="s">
        <v>5</v>
      </c>
      <c r="C17" s="8"/>
      <c r="D17" s="9"/>
      <c r="E17" s="9"/>
      <c r="F17" s="9"/>
      <c r="G17" s="9"/>
      <c r="H17" s="10"/>
    </row>
    <row r="18" spans="1:8" x14ac:dyDescent="0.25">
      <c r="A18" s="52"/>
      <c r="B18" s="11" t="s">
        <v>6</v>
      </c>
      <c r="C18" s="12"/>
      <c r="D18" s="13"/>
      <c r="E18" s="13"/>
      <c r="F18" s="13"/>
      <c r="G18" s="13"/>
      <c r="H18" s="14"/>
    </row>
    <row r="19" spans="1:8" x14ac:dyDescent="0.25">
      <c r="A19" s="50" t="s">
        <v>23</v>
      </c>
      <c r="B19" s="5" t="s">
        <v>27</v>
      </c>
      <c r="C19" s="5" t="s">
        <v>2</v>
      </c>
      <c r="D19" s="6">
        <f t="shared" ref="D19" si="3">E19</f>
        <v>2.5583780000000842</v>
      </c>
      <c r="E19" s="6">
        <f>F19</f>
        <v>2.5583780000000842</v>
      </c>
      <c r="F19" s="6">
        <f>'data on crop yields'!D4</f>
        <v>2.5583780000000842</v>
      </c>
      <c r="G19" s="6">
        <f>'data on crop yields'!D5</f>
        <v>5.1247780000000827</v>
      </c>
      <c r="H19" s="7">
        <f>'data on crop yields'!D6</f>
        <v>7.7142980000000652</v>
      </c>
    </row>
    <row r="20" spans="1:8" x14ac:dyDescent="0.25">
      <c r="A20" s="51"/>
      <c r="B20" t="s">
        <v>28</v>
      </c>
      <c r="C20" t="s">
        <v>4</v>
      </c>
      <c r="D20" s="19"/>
      <c r="E20" s="19"/>
      <c r="F20" s="19"/>
      <c r="G20" s="19"/>
      <c r="H20" s="19"/>
    </row>
    <row r="21" spans="1:8" x14ac:dyDescent="0.25">
      <c r="A21" s="51"/>
      <c r="B21" t="s">
        <v>12</v>
      </c>
      <c r="C21" t="s">
        <v>4</v>
      </c>
      <c r="D21" s="18"/>
      <c r="E21" s="3">
        <f>1007855.4*126.98/1000</f>
        <v>127977.478692</v>
      </c>
      <c r="F21" s="3">
        <f>256.9*1000</f>
        <v>256899.99999999997</v>
      </c>
      <c r="G21" s="3">
        <f>577.2*1000</f>
        <v>577200</v>
      </c>
      <c r="H21" s="15">
        <f>4513.13*1000</f>
        <v>4513130</v>
      </c>
    </row>
    <row r="22" spans="1:8" x14ac:dyDescent="0.25">
      <c r="A22" s="51"/>
      <c r="B22" s="2" t="s">
        <v>5</v>
      </c>
      <c r="C22" s="8"/>
      <c r="D22" s="9"/>
      <c r="E22" s="9"/>
      <c r="F22" s="9"/>
      <c r="G22" s="9"/>
      <c r="H22" s="10"/>
    </row>
    <row r="23" spans="1:8" x14ac:dyDescent="0.25">
      <c r="A23" s="52"/>
      <c r="B23" s="11" t="s">
        <v>6</v>
      </c>
      <c r="C23" s="12"/>
      <c r="D23" s="13"/>
      <c r="E23" s="13"/>
      <c r="F23" s="13"/>
      <c r="G23" s="13"/>
      <c r="H23" s="14"/>
    </row>
    <row r="24" spans="1:8" x14ac:dyDescent="0.25">
      <c r="A24" s="50" t="s">
        <v>16</v>
      </c>
      <c r="B24" s="5" t="s">
        <v>27</v>
      </c>
      <c r="C24" s="5" t="s">
        <v>2</v>
      </c>
      <c r="D24" s="6">
        <v>2.6764306672923128</v>
      </c>
      <c r="E24" s="6">
        <v>2.7236843013071117</v>
      </c>
      <c r="F24" s="6">
        <v>2.6689090126238399</v>
      </c>
      <c r="G24" s="6">
        <v>3.9287558439746006</v>
      </c>
      <c r="H24" s="7">
        <v>5.5773645058448462</v>
      </c>
    </row>
    <row r="25" spans="1:8" x14ac:dyDescent="0.25">
      <c r="A25" s="51"/>
      <c r="B25" t="s">
        <v>3</v>
      </c>
      <c r="C25" t="s">
        <v>4</v>
      </c>
      <c r="D25" s="3">
        <f>754420.930705687-D46</f>
        <v>685515.90373109351</v>
      </c>
      <c r="E25" s="3">
        <f>734028.781860995-E46</f>
        <v>485896.75797162921</v>
      </c>
      <c r="F25" s="3">
        <f>806712.547441816-F46</f>
        <v>143739.6943548749</v>
      </c>
      <c r="G25" s="3">
        <f>5342043.03222577-G46</f>
        <v>3661182.1628706092</v>
      </c>
      <c r="H25" s="15">
        <f>2864058.0255043-H46</f>
        <v>1063248.6880616443</v>
      </c>
    </row>
    <row r="26" spans="1:8" x14ac:dyDescent="0.25">
      <c r="A26" s="51"/>
      <c r="B26" t="s">
        <v>12</v>
      </c>
      <c r="C26" t="s">
        <v>4</v>
      </c>
      <c r="D26" s="3">
        <v>754537.793377514</v>
      </c>
      <c r="E26" s="3">
        <v>704702.64562600001</v>
      </c>
      <c r="F26" s="3">
        <v>777300</v>
      </c>
      <c r="G26" s="3">
        <v>5630300</v>
      </c>
      <c r="H26" s="15">
        <v>3673810</v>
      </c>
    </row>
    <row r="27" spans="1:8" x14ac:dyDescent="0.25">
      <c r="A27" s="51"/>
      <c r="B27" s="2" t="s">
        <v>5</v>
      </c>
      <c r="C27" s="2"/>
      <c r="D27" s="2"/>
      <c r="E27" s="2"/>
      <c r="F27" s="2"/>
      <c r="G27" s="2"/>
      <c r="H27" s="16"/>
    </row>
    <row r="28" spans="1:8" x14ac:dyDescent="0.25">
      <c r="A28" s="52"/>
      <c r="B28" s="11" t="s">
        <v>6</v>
      </c>
      <c r="C28" s="11"/>
      <c r="D28" s="11"/>
      <c r="E28" s="11"/>
      <c r="F28" s="11"/>
      <c r="G28" s="11"/>
      <c r="H28" s="17"/>
    </row>
    <row r="30" spans="1:8" x14ac:dyDescent="0.25">
      <c r="A30" s="39"/>
      <c r="B30" s="40" t="s">
        <v>7</v>
      </c>
      <c r="C30" s="41"/>
      <c r="D30" s="5"/>
      <c r="E30" s="5"/>
      <c r="F30" s="5"/>
      <c r="G30" s="5"/>
      <c r="H30" s="42"/>
    </row>
    <row r="31" spans="1:8" x14ac:dyDescent="0.25">
      <c r="A31" s="43"/>
      <c r="B31" t="s">
        <v>8</v>
      </c>
      <c r="C31" t="s">
        <v>4</v>
      </c>
      <c r="D31" s="3">
        <v>15522.1263784738</v>
      </c>
      <c r="E31" s="3">
        <v>52682.540890918201</v>
      </c>
      <c r="F31" s="3">
        <v>109830</v>
      </c>
      <c r="G31" s="3">
        <v>213473.08</v>
      </c>
      <c r="H31" s="15">
        <v>242446.1145</v>
      </c>
    </row>
    <row r="32" spans="1:8" x14ac:dyDescent="0.25">
      <c r="A32" s="43"/>
      <c r="B32" t="s">
        <v>9</v>
      </c>
      <c r="C32" t="s">
        <v>10</v>
      </c>
      <c r="D32" s="44" t="s">
        <v>11</v>
      </c>
      <c r="E32" s="44">
        <f>3971.510167/E31</f>
        <v>7.5385698940056964E-2</v>
      </c>
      <c r="F32" s="44">
        <f>810.98/F31</f>
        <v>7.3839570244923977E-3</v>
      </c>
      <c r="G32" s="44">
        <f>1643.666667/G31</f>
        <v>7.6996437536761076E-3</v>
      </c>
      <c r="H32" s="45">
        <f>140306.4343/H31</f>
        <v>0.5787118287680374</v>
      </c>
    </row>
    <row r="33" spans="1:11" x14ac:dyDescent="0.25">
      <c r="A33" s="43"/>
      <c r="B33" t="s">
        <v>56</v>
      </c>
      <c r="C33" t="s">
        <v>4</v>
      </c>
      <c r="D33" s="3">
        <v>28167.057240157901</v>
      </c>
      <c r="E33" s="3">
        <v>105282</v>
      </c>
      <c r="F33" s="3">
        <v>292397.77</v>
      </c>
      <c r="G33" s="3">
        <v>671253.88</v>
      </c>
      <c r="H33" s="15">
        <v>1706192.1126000001</v>
      </c>
      <c r="K33" s="3"/>
    </row>
    <row r="34" spans="1:11" x14ac:dyDescent="0.25">
      <c r="A34" s="43"/>
      <c r="B34" t="s">
        <v>57</v>
      </c>
      <c r="C34" t="s">
        <v>4</v>
      </c>
      <c r="D34" s="3">
        <f t="shared" ref="D34:G34" si="4">D33/0.417</f>
        <v>67546.899856493765</v>
      </c>
      <c r="E34" s="3">
        <f t="shared" si="4"/>
        <v>252474.82014388489</v>
      </c>
      <c r="F34" s="3">
        <f t="shared" si="4"/>
        <v>701193.69304556365</v>
      </c>
      <c r="G34" s="3">
        <f t="shared" si="4"/>
        <v>1609721.5347721823</v>
      </c>
      <c r="H34" s="15">
        <f>H33/0.417</f>
        <v>4091587.8000000003</v>
      </c>
      <c r="K34" s="3"/>
    </row>
    <row r="35" spans="1:11" x14ac:dyDescent="0.25">
      <c r="A35" s="43"/>
      <c r="B35" s="46" t="s">
        <v>13</v>
      </c>
      <c r="C35" s="46"/>
      <c r="D35" s="46"/>
      <c r="E35" s="46"/>
      <c r="F35" s="46"/>
      <c r="G35" s="46"/>
      <c r="H35" s="47"/>
      <c r="K35" s="3"/>
    </row>
    <row r="36" spans="1:11" x14ac:dyDescent="0.25">
      <c r="A36" s="43"/>
      <c r="B36" t="s">
        <v>47</v>
      </c>
      <c r="C36" t="s">
        <v>45</v>
      </c>
      <c r="D36" s="2">
        <f>$H36/$H70*D70</f>
        <v>14190.07969723502</v>
      </c>
      <c r="E36" s="2">
        <f>$H36/$H70*E70</f>
        <v>13671.119997788015</v>
      </c>
      <c r="F36" s="2">
        <f>$H36/$H70*F70</f>
        <v>13152.160298341012</v>
      </c>
      <c r="G36" s="2">
        <f>$H36/$H70*G70</f>
        <v>12287.227465929336</v>
      </c>
      <c r="H36" s="48">
        <v>11595.281199999999</v>
      </c>
      <c r="K36" s="3"/>
    </row>
    <row r="37" spans="1:11" x14ac:dyDescent="0.25">
      <c r="A37" s="49"/>
      <c r="B37" s="32" t="s">
        <v>53</v>
      </c>
      <c r="C37" s="32" t="s">
        <v>14</v>
      </c>
      <c r="D37" s="11">
        <f t="shared" ref="D37:F37" si="5">$H37/$H36*D36</f>
        <v>3.5879043155889638</v>
      </c>
      <c r="E37" s="11">
        <f t="shared" si="5"/>
        <v>3.4566874524711708</v>
      </c>
      <c r="F37" s="11">
        <f t="shared" si="5"/>
        <v>3.3254705893533782</v>
      </c>
      <c r="G37" s="11">
        <f>$H37/$H36*G36</f>
        <v>3.1067758174903899</v>
      </c>
      <c r="H37" s="34">
        <v>2.9318200000000001</v>
      </c>
      <c r="K37" s="3"/>
    </row>
    <row r="38" spans="1:11" x14ac:dyDescent="0.25">
      <c r="A38" s="59" t="s">
        <v>39</v>
      </c>
      <c r="B38" s="5" t="s">
        <v>16</v>
      </c>
      <c r="C38" s="5" t="s">
        <v>14</v>
      </c>
      <c r="D38" s="23">
        <f>E38/E37*D37</f>
        <v>2.446298396992475</v>
      </c>
      <c r="E38" s="5">
        <f>225/(225+105)*E37</f>
        <v>2.3568323539576164</v>
      </c>
      <c r="F38" s="5">
        <f>225/(225+105)*F37</f>
        <v>2.2673663109227578</v>
      </c>
      <c r="G38" s="5">
        <f>0.806*G37</f>
        <v>2.5040613088972545</v>
      </c>
      <c r="H38" s="24">
        <f>0.36*H37</f>
        <v>1.0554551999999999</v>
      </c>
      <c r="K38" s="3"/>
    </row>
    <row r="39" spans="1:11" x14ac:dyDescent="0.25">
      <c r="A39" s="60"/>
      <c r="B39" t="s">
        <v>17</v>
      </c>
      <c r="C39" t="s">
        <v>14</v>
      </c>
      <c r="D39">
        <v>0</v>
      </c>
      <c r="E39">
        <v>0</v>
      </c>
      <c r="F39">
        <v>0</v>
      </c>
      <c r="G39" s="25">
        <f>0.39*G37</f>
        <v>1.2116425688212522</v>
      </c>
      <c r="H39" s="26">
        <f>0.39*H37</f>
        <v>1.1434098000000001</v>
      </c>
      <c r="K39" s="3"/>
    </row>
    <row r="40" spans="1:11" x14ac:dyDescent="0.25">
      <c r="A40" s="60"/>
      <c r="B40" t="s">
        <v>51</v>
      </c>
      <c r="C40" t="s">
        <v>14</v>
      </c>
      <c r="D40">
        <v>0</v>
      </c>
      <c r="E40">
        <v>0</v>
      </c>
      <c r="F40">
        <v>0</v>
      </c>
      <c r="G40" s="25">
        <f>0.01*G37</f>
        <v>3.1067758174903901E-2</v>
      </c>
      <c r="H40" s="26">
        <f>0.01*H37</f>
        <v>2.9318200000000003E-2</v>
      </c>
      <c r="K40" s="3"/>
    </row>
    <row r="41" spans="1:11" x14ac:dyDescent="0.25">
      <c r="A41" s="60"/>
      <c r="B41" t="s">
        <v>49</v>
      </c>
      <c r="C41" t="s">
        <v>14</v>
      </c>
      <c r="D41">
        <v>0</v>
      </c>
      <c r="E41">
        <v>0</v>
      </c>
      <c r="F41">
        <v>0</v>
      </c>
      <c r="G41" s="25">
        <f>0.12*G37</f>
        <v>0.37281309809884677</v>
      </c>
      <c r="H41" s="26">
        <f>0.21*H37</f>
        <v>0.61568219999999996</v>
      </c>
    </row>
    <row r="42" spans="1:11" x14ac:dyDescent="0.25">
      <c r="A42" s="60"/>
      <c r="B42" t="s">
        <v>52</v>
      </c>
      <c r="C42" t="s">
        <v>14</v>
      </c>
      <c r="D42">
        <v>0</v>
      </c>
      <c r="E42">
        <v>0</v>
      </c>
      <c r="F42">
        <v>0</v>
      </c>
      <c r="G42" s="27">
        <f>0.001*G37</f>
        <v>3.10677581749039E-3</v>
      </c>
      <c r="H42" s="28">
        <f>0.03*H37</f>
        <v>8.7954599999999994E-2</v>
      </c>
    </row>
    <row r="43" spans="1:11" x14ac:dyDescent="0.25">
      <c r="A43" s="60"/>
      <c r="B43" t="s">
        <v>50</v>
      </c>
      <c r="C43" t="s">
        <v>14</v>
      </c>
      <c r="D43" s="29">
        <f>E43/E37*D37</f>
        <v>1.1416059185964882</v>
      </c>
      <c r="E43">
        <f>105/(105+225)*E37</f>
        <v>1.0998550985135542</v>
      </c>
      <c r="F43">
        <f>105/(105+225)*F37</f>
        <v>1.0581042784306203</v>
      </c>
      <c r="G43" s="27">
        <f>0.03*G37</f>
        <v>9.3203274524711693E-2</v>
      </c>
      <c r="H43" s="30">
        <v>0</v>
      </c>
    </row>
    <row r="44" spans="1:11" x14ac:dyDescent="0.25">
      <c r="A44" s="60"/>
      <c r="B44" t="s">
        <v>54</v>
      </c>
      <c r="C44" t="s">
        <v>14</v>
      </c>
      <c r="D44">
        <v>0</v>
      </c>
      <c r="E44">
        <v>0</v>
      </c>
      <c r="F44">
        <v>0</v>
      </c>
      <c r="G44" s="27">
        <f>0.013*G37</f>
        <v>4.0388085627375066E-2</v>
      </c>
      <c r="H44" s="31">
        <v>2.7459999999999998E-2</v>
      </c>
    </row>
    <row r="45" spans="1:11" x14ac:dyDescent="0.25">
      <c r="A45" s="61"/>
      <c r="B45" s="32" t="s">
        <v>55</v>
      </c>
      <c r="C45" s="32"/>
      <c r="D45" s="32">
        <v>0</v>
      </c>
      <c r="E45" s="32">
        <v>0</v>
      </c>
      <c r="F45" s="32">
        <v>0</v>
      </c>
      <c r="G45" s="33">
        <f>0.03*G37</f>
        <v>9.3203274524711693E-2</v>
      </c>
      <c r="H45" s="34">
        <v>0</v>
      </c>
    </row>
    <row r="46" spans="1:11" x14ac:dyDescent="0.25">
      <c r="A46" s="59" t="s">
        <v>48</v>
      </c>
      <c r="B46" s="5" t="s">
        <v>16</v>
      </c>
      <c r="C46" s="5" t="s">
        <v>4</v>
      </c>
      <c r="D46" s="35">
        <f t="shared" ref="D46:G46" si="6">D38*D$33</f>
        <v>68905.026974593566</v>
      </c>
      <c r="E46" s="35">
        <f t="shared" si="6"/>
        <v>248132.02388936578</v>
      </c>
      <c r="F46" s="35">
        <f t="shared" si="6"/>
        <v>662972.85308694106</v>
      </c>
      <c r="G46" s="35">
        <f t="shared" si="6"/>
        <v>1680860.8693551607</v>
      </c>
      <c r="H46" s="36">
        <f>H38*H$33</f>
        <v>1800809.3374426556</v>
      </c>
      <c r="K46" s="3"/>
    </row>
    <row r="47" spans="1:11" x14ac:dyDescent="0.25">
      <c r="A47" s="60"/>
      <c r="B47" t="s">
        <v>17</v>
      </c>
      <c r="C47" t="s">
        <v>4</v>
      </c>
      <c r="D47" s="3">
        <f t="shared" ref="D47:H47" si="7">D39*D$33</f>
        <v>0</v>
      </c>
      <c r="E47" s="3">
        <f t="shared" si="7"/>
        <v>0</v>
      </c>
      <c r="F47" s="3">
        <f t="shared" si="7"/>
        <v>0</v>
      </c>
      <c r="G47" s="3">
        <f t="shared" si="7"/>
        <v>813319.77549443254</v>
      </c>
      <c r="H47" s="15">
        <f t="shared" si="7"/>
        <v>1950876.7822295439</v>
      </c>
      <c r="K47" s="3"/>
    </row>
    <row r="48" spans="1:11" x14ac:dyDescent="0.25">
      <c r="A48" s="60"/>
      <c r="B48" t="s">
        <v>51</v>
      </c>
      <c r="C48" t="s">
        <v>4</v>
      </c>
      <c r="D48" s="3">
        <f t="shared" ref="D48:H48" si="8">D40*D$33</f>
        <v>0</v>
      </c>
      <c r="E48" s="3">
        <f t="shared" si="8"/>
        <v>0</v>
      </c>
      <c r="F48" s="3">
        <f t="shared" si="8"/>
        <v>0</v>
      </c>
      <c r="G48" s="3">
        <f t="shared" si="8"/>
        <v>20854.353217805961</v>
      </c>
      <c r="H48" s="15">
        <f t="shared" si="8"/>
        <v>50022.481595629324</v>
      </c>
      <c r="K48" s="3"/>
    </row>
    <row r="49" spans="1:11" x14ac:dyDescent="0.25">
      <c r="A49" s="60"/>
      <c r="B49" t="s">
        <v>49</v>
      </c>
      <c r="C49" t="s">
        <v>4</v>
      </c>
      <c r="D49" s="3">
        <f t="shared" ref="D49:H49" si="9">D41*D$33</f>
        <v>0</v>
      </c>
      <c r="E49" s="3">
        <f t="shared" si="9"/>
        <v>0</v>
      </c>
      <c r="F49" s="3">
        <f t="shared" si="9"/>
        <v>0</v>
      </c>
      <c r="G49" s="3">
        <f t="shared" si="9"/>
        <v>250252.23861367154</v>
      </c>
      <c r="H49" s="15">
        <f t="shared" si="9"/>
        <v>1050472.1135082156</v>
      </c>
      <c r="K49" s="3"/>
    </row>
    <row r="50" spans="1:11" x14ac:dyDescent="0.25">
      <c r="A50" s="60"/>
      <c r="B50" t="s">
        <v>52</v>
      </c>
      <c r="C50" t="s">
        <v>4</v>
      </c>
      <c r="D50" s="3">
        <f t="shared" ref="D50:H50" si="10">D42*D$33</f>
        <v>0</v>
      </c>
      <c r="E50" s="3">
        <f t="shared" si="10"/>
        <v>0</v>
      </c>
      <c r="F50" s="3">
        <f t="shared" si="10"/>
        <v>0</v>
      </c>
      <c r="G50" s="3">
        <f t="shared" si="10"/>
        <v>2085.435321780596</v>
      </c>
      <c r="H50" s="15">
        <f t="shared" si="10"/>
        <v>150067.44478688797</v>
      </c>
      <c r="K50" s="3"/>
    </row>
    <row r="51" spans="1:11" x14ac:dyDescent="0.25">
      <c r="A51" s="60"/>
      <c r="B51" t="s">
        <v>50</v>
      </c>
      <c r="C51" t="s">
        <v>4</v>
      </c>
      <c r="D51" s="3">
        <f t="shared" ref="D51:H51" si="11">D43*D$33</f>
        <v>32155.679254810326</v>
      </c>
      <c r="E51" s="3">
        <f t="shared" si="11"/>
        <v>115794.94448170402</v>
      </c>
      <c r="F51" s="3">
        <f t="shared" si="11"/>
        <v>309387.33144057251</v>
      </c>
      <c r="G51" s="3">
        <f t="shared" si="11"/>
        <v>62563.059653417884</v>
      </c>
      <c r="H51" s="15">
        <f t="shared" si="11"/>
        <v>0</v>
      </c>
      <c r="K51" s="3"/>
    </row>
    <row r="52" spans="1:11" x14ac:dyDescent="0.25">
      <c r="A52" s="60"/>
      <c r="B52" t="s">
        <v>54</v>
      </c>
      <c r="C52" t="s">
        <v>4</v>
      </c>
      <c r="D52" s="3">
        <f t="shared" ref="D52:H52" si="12">D44*D$33</f>
        <v>0</v>
      </c>
      <c r="E52" s="3">
        <f t="shared" si="12"/>
        <v>0</v>
      </c>
      <c r="F52" s="3">
        <f t="shared" si="12"/>
        <v>0</v>
      </c>
      <c r="G52" s="3">
        <f t="shared" si="12"/>
        <v>27110.659183147749</v>
      </c>
      <c r="H52" s="15">
        <f t="shared" si="12"/>
        <v>46852.035411996003</v>
      </c>
      <c r="K52" s="3"/>
    </row>
    <row r="53" spans="1:11" x14ac:dyDescent="0.25">
      <c r="A53" s="61"/>
      <c r="B53" s="32" t="s">
        <v>55</v>
      </c>
      <c r="C53" s="32"/>
      <c r="D53" s="37">
        <f t="shared" ref="D53:H53" si="13">D45*D$33</f>
        <v>0</v>
      </c>
      <c r="E53" s="37">
        <f t="shared" si="13"/>
        <v>0</v>
      </c>
      <c r="F53" s="37">
        <f t="shared" si="13"/>
        <v>0</v>
      </c>
      <c r="G53" s="37">
        <f t="shared" si="13"/>
        <v>62563.059653417884</v>
      </c>
      <c r="H53" s="38">
        <f t="shared" si="13"/>
        <v>0</v>
      </c>
      <c r="K53" s="3"/>
    </row>
    <row r="54" spans="1:11" x14ac:dyDescent="0.25">
      <c r="K54" s="3"/>
    </row>
    <row r="55" spans="1:11" x14ac:dyDescent="0.25">
      <c r="K55" s="3"/>
    </row>
    <row r="65" spans="1:9" hidden="1" x14ac:dyDescent="0.25">
      <c r="C65" t="s">
        <v>0</v>
      </c>
      <c r="D65" s="1">
        <v>1860</v>
      </c>
      <c r="E65" s="1">
        <v>1890</v>
      </c>
      <c r="F65" s="1">
        <v>1920</v>
      </c>
      <c r="G65" s="1">
        <v>1970</v>
      </c>
      <c r="H65" s="1">
        <v>2010</v>
      </c>
    </row>
    <row r="66" spans="1:9" hidden="1" x14ac:dyDescent="0.25">
      <c r="B66" t="s">
        <v>37</v>
      </c>
      <c r="D66" s="22">
        <v>0.49320199275362331</v>
      </c>
      <c r="E66" s="22">
        <v>0.59764039855072459</v>
      </c>
      <c r="F66" s="21">
        <v>0.70207880434782632</v>
      </c>
      <c r="G66" s="21">
        <v>0.87614281400966165</v>
      </c>
      <c r="H66" s="21">
        <v>1.0153940217391306</v>
      </c>
    </row>
    <row r="67" spans="1:9" hidden="1" x14ac:dyDescent="0.25">
      <c r="B67" t="s">
        <v>38</v>
      </c>
      <c r="D67" s="21">
        <v>1.4923149943365175</v>
      </c>
      <c r="E67" s="21">
        <v>1.3617857640108149</v>
      </c>
      <c r="F67" s="21">
        <v>1.2312565336851113</v>
      </c>
      <c r="G67" s="21">
        <v>1.0137078164756055</v>
      </c>
      <c r="H67" s="21">
        <v>0.83966884270800168</v>
      </c>
    </row>
    <row r="68" spans="1:9" hidden="1" x14ac:dyDescent="0.25">
      <c r="B68" t="s">
        <v>40</v>
      </c>
      <c r="D68" s="2">
        <f t="shared" ref="D68:F68" si="14">$H68/$H67*D67</f>
        <v>5.2106243844719895</v>
      </c>
      <c r="E68" s="2">
        <f t="shared" si="14"/>
        <v>4.7548635075775936</v>
      </c>
      <c r="F68" s="2">
        <f t="shared" si="14"/>
        <v>4.2991026306831941</v>
      </c>
      <c r="G68" s="2">
        <f>$H68/$H67*G67</f>
        <v>3.5395011691925293</v>
      </c>
      <c r="H68">
        <v>2.9318200000000001</v>
      </c>
      <c r="I68" t="s">
        <v>44</v>
      </c>
    </row>
    <row r="69" spans="1:9" hidden="1" x14ac:dyDescent="0.25">
      <c r="B69" t="s">
        <v>43</v>
      </c>
      <c r="C69" t="s">
        <v>42</v>
      </c>
      <c r="D69" s="3">
        <v>23.522301042921487</v>
      </c>
      <c r="E69" s="3">
        <v>22.662043275523949</v>
      </c>
      <c r="F69" s="3">
        <v>21.801785508126414</v>
      </c>
      <c r="G69" s="3">
        <v>20.368022562463857</v>
      </c>
      <c r="H69" s="3">
        <v>19.22101220593381</v>
      </c>
    </row>
    <row r="70" spans="1:9" hidden="1" x14ac:dyDescent="0.25">
      <c r="B70" t="s">
        <v>41</v>
      </c>
      <c r="C70" t="s">
        <v>42</v>
      </c>
      <c r="D70" s="21">
        <v>1.0746358168358627</v>
      </c>
      <c r="E70" s="21">
        <v>1.0353342278089319</v>
      </c>
      <c r="F70" s="21">
        <v>0.99603263878200132</v>
      </c>
      <c r="G70" s="21">
        <v>0.93052999040378315</v>
      </c>
      <c r="H70" s="21">
        <v>0.87812787170120887</v>
      </c>
    </row>
    <row r="71" spans="1:9" hidden="1" x14ac:dyDescent="0.25"/>
    <row r="72" spans="1:9" hidden="1" x14ac:dyDescent="0.25">
      <c r="B72" t="s">
        <v>46</v>
      </c>
      <c r="D72" s="2">
        <f>D36*0.00431868/7.89</f>
        <v>7.7670992885747703</v>
      </c>
      <c r="E72" s="2">
        <f>E36*0.00431868/7.89</f>
        <v>7.4830408760516027</v>
      </c>
      <c r="F72" s="2">
        <f>F36*0.00431868/7.89</f>
        <v>7.198982463528437</v>
      </c>
      <c r="G72" s="2">
        <f>G36*0.00431868/7.89</f>
        <v>6.7255517759898238</v>
      </c>
      <c r="H72">
        <f>H36*0.00431868/7.89</f>
        <v>6.3468072259589352</v>
      </c>
    </row>
    <row r="73" spans="1:9" hidden="1" x14ac:dyDescent="0.25">
      <c r="A73" t="s">
        <v>61</v>
      </c>
      <c r="C73" t="s">
        <v>62</v>
      </c>
      <c r="D73">
        <v>2210</v>
      </c>
      <c r="E73">
        <v>2660</v>
      </c>
      <c r="F73">
        <v>2810</v>
      </c>
      <c r="G73">
        <v>3160</v>
      </c>
      <c r="H73">
        <v>3400</v>
      </c>
    </row>
    <row r="74" spans="1:9" hidden="1" x14ac:dyDescent="0.25">
      <c r="A74" s="50" t="s">
        <v>60</v>
      </c>
      <c r="B74" s="39" t="s">
        <v>63</v>
      </c>
      <c r="C74" s="5" t="s">
        <v>62</v>
      </c>
      <c r="D74" s="35">
        <f>D$73/3</f>
        <v>736.66666666666663</v>
      </c>
      <c r="E74" s="35">
        <f t="shared" ref="E74:H74" si="15">E$73/3</f>
        <v>886.66666666666663</v>
      </c>
      <c r="F74" s="35">
        <f t="shared" si="15"/>
        <v>936.66666666666663</v>
      </c>
      <c r="G74" s="35">
        <f t="shared" si="15"/>
        <v>1053.3333333333333</v>
      </c>
      <c r="H74" s="36">
        <f t="shared" si="15"/>
        <v>1133.3333333333333</v>
      </c>
    </row>
    <row r="75" spans="1:9" hidden="1" x14ac:dyDescent="0.25">
      <c r="A75" s="51"/>
      <c r="B75" s="49" t="s">
        <v>72</v>
      </c>
      <c r="C75" s="32" t="s">
        <v>71</v>
      </c>
      <c r="D75" s="37">
        <f>SUM(D76:D83)</f>
        <v>496.41712418947463</v>
      </c>
      <c r="E75" s="37">
        <f t="shared" ref="E75:H75" si="16">SUM(E76:E83)</f>
        <v>623.40802075242141</v>
      </c>
      <c r="F75" s="37">
        <f t="shared" si="16"/>
        <v>799.83213816970147</v>
      </c>
      <c r="G75" s="37">
        <f t="shared" si="16"/>
        <v>802.98785081059771</v>
      </c>
      <c r="H75" s="38">
        <f t="shared" si="16"/>
        <v>1960.3093375593055</v>
      </c>
    </row>
    <row r="76" spans="1:9" hidden="1" x14ac:dyDescent="0.25">
      <c r="A76" s="51"/>
      <c r="B76" t="s">
        <v>15</v>
      </c>
      <c r="C76" t="s">
        <v>71</v>
      </c>
      <c r="D76" s="3">
        <v>42.771929824561397</v>
      </c>
      <c r="E76" s="3">
        <v>53.713626739261947</v>
      </c>
      <c r="F76" s="3">
        <v>0</v>
      </c>
      <c r="G76" s="3">
        <v>0</v>
      </c>
      <c r="H76" s="15">
        <v>0</v>
      </c>
    </row>
    <row r="77" spans="1:9" hidden="1" x14ac:dyDescent="0.25">
      <c r="A77" s="51"/>
      <c r="B77" t="s">
        <v>64</v>
      </c>
      <c r="C77" t="s">
        <v>71</v>
      </c>
      <c r="D77" s="3">
        <v>51.411444141689365</v>
      </c>
      <c r="E77" s="3">
        <v>64.563257540167243</v>
      </c>
      <c r="F77" s="3">
        <v>113.69945817282095</v>
      </c>
      <c r="G77" s="3">
        <v>0</v>
      </c>
      <c r="H77" s="15">
        <v>0</v>
      </c>
    </row>
    <row r="78" spans="1:9" hidden="1" x14ac:dyDescent="0.25">
      <c r="A78" s="51"/>
      <c r="B78" t="s">
        <v>65</v>
      </c>
      <c r="C78" t="s">
        <v>71</v>
      </c>
      <c r="D78" s="3">
        <v>0</v>
      </c>
      <c r="E78" s="3">
        <v>0</v>
      </c>
      <c r="F78" s="3">
        <v>0</v>
      </c>
      <c r="G78" s="3">
        <v>52.025468164794006</v>
      </c>
      <c r="H78" s="15">
        <v>0</v>
      </c>
    </row>
    <row r="79" spans="1:9" hidden="1" x14ac:dyDescent="0.25">
      <c r="A79" s="51"/>
      <c r="B79" t="s">
        <v>66</v>
      </c>
      <c r="C79" t="s">
        <v>71</v>
      </c>
      <c r="D79" s="3">
        <v>0</v>
      </c>
      <c r="E79" s="3">
        <v>0</v>
      </c>
      <c r="F79" s="3">
        <v>401.896425567704</v>
      </c>
      <c r="G79" s="3">
        <v>273.35000000000002</v>
      </c>
      <c r="H79" s="15">
        <v>367.77134146341467</v>
      </c>
    </row>
    <row r="80" spans="1:9" hidden="1" x14ac:dyDescent="0.25">
      <c r="A80" s="51"/>
      <c r="B80" t="s">
        <v>67</v>
      </c>
      <c r="C80" t="s">
        <v>71</v>
      </c>
      <c r="D80" s="3">
        <v>39.371428571428567</v>
      </c>
      <c r="E80" s="3">
        <v>49.44322660098522</v>
      </c>
      <c r="F80" s="3">
        <v>87.07224958949098</v>
      </c>
      <c r="G80" s="3">
        <v>117.26</v>
      </c>
      <c r="H80" s="15">
        <v>52.588095238095242</v>
      </c>
    </row>
    <row r="81" spans="1:8" hidden="1" x14ac:dyDescent="0.25">
      <c r="A81" s="51"/>
      <c r="B81" t="s">
        <v>68</v>
      </c>
      <c r="C81" t="s">
        <v>71</v>
      </c>
      <c r="D81" s="3">
        <v>305.91228070175436</v>
      </c>
      <c r="E81" s="3">
        <v>384.16919993950398</v>
      </c>
      <c r="F81" s="3">
        <v>197.16400483968548</v>
      </c>
      <c r="G81" s="3">
        <v>65.078508771929833</v>
      </c>
      <c r="H81" s="15">
        <v>350.23245614035091</v>
      </c>
    </row>
    <row r="82" spans="1:8" hidden="1" x14ac:dyDescent="0.25">
      <c r="A82" s="51"/>
      <c r="B82" t="s">
        <v>69</v>
      </c>
      <c r="C82" t="s">
        <v>71</v>
      </c>
      <c r="D82" s="3">
        <v>0</v>
      </c>
      <c r="E82" s="3">
        <v>0</v>
      </c>
      <c r="F82" s="3">
        <v>0</v>
      </c>
      <c r="G82" s="3">
        <v>210.46666666666667</v>
      </c>
      <c r="H82" s="15">
        <v>1132.6666666666667</v>
      </c>
    </row>
    <row r="83" spans="1:8" hidden="1" x14ac:dyDescent="0.25">
      <c r="A83" s="52"/>
      <c r="B83" s="32" t="s">
        <v>70</v>
      </c>
      <c r="C83" s="32" t="s">
        <v>71</v>
      </c>
      <c r="D83" s="37">
        <v>56.950040950040957</v>
      </c>
      <c r="E83" s="37">
        <v>71.518709932503043</v>
      </c>
      <c r="F83" s="37">
        <v>0</v>
      </c>
      <c r="G83" s="37">
        <v>84.807207207207213</v>
      </c>
      <c r="H83" s="38">
        <v>57.050778050778057</v>
      </c>
    </row>
    <row r="84" spans="1:8" hidden="1" x14ac:dyDescent="0.25">
      <c r="A84" s="53" t="s">
        <v>59</v>
      </c>
      <c r="B84" s="39" t="s">
        <v>63</v>
      </c>
      <c r="C84" s="5" t="s">
        <v>62</v>
      </c>
      <c r="D84" s="35">
        <f>D$73/3</f>
        <v>736.66666666666663</v>
      </c>
      <c r="E84" s="35">
        <f t="shared" ref="E84:H84" si="17">E$73/3</f>
        <v>886.66666666666663</v>
      </c>
      <c r="F84" s="35">
        <f t="shared" si="17"/>
        <v>936.66666666666663</v>
      </c>
      <c r="G84" s="35">
        <f t="shared" si="17"/>
        <v>1053.3333333333333</v>
      </c>
      <c r="H84" s="36">
        <f t="shared" si="17"/>
        <v>1133.3333333333333</v>
      </c>
    </row>
    <row r="85" spans="1:8" hidden="1" x14ac:dyDescent="0.25">
      <c r="A85" s="54"/>
      <c r="B85" s="49" t="s">
        <v>72</v>
      </c>
      <c r="C85" s="32" t="s">
        <v>71</v>
      </c>
      <c r="D85" s="37">
        <f>SUM(D86:D89)</f>
        <v>453.04999999999995</v>
      </c>
      <c r="E85" s="37">
        <f>SUM(E86:E89)</f>
        <v>545.30000000000007</v>
      </c>
      <c r="F85" s="37">
        <f>SUM(F86:F89)</f>
        <v>576.05000000000007</v>
      </c>
      <c r="G85" s="37">
        <f>SUM(G86:G89)</f>
        <v>647.79999999999995</v>
      </c>
      <c r="H85" s="38">
        <f>SUM(H86:H89)</f>
        <v>697</v>
      </c>
    </row>
    <row r="86" spans="1:8" hidden="1" x14ac:dyDescent="0.25">
      <c r="A86" s="54"/>
      <c r="B86" t="s">
        <v>74</v>
      </c>
      <c r="C86" t="s">
        <v>71</v>
      </c>
      <c r="D86" s="3">
        <f t="shared" ref="D86:G86" si="18">0.5*D$84*65%</f>
        <v>239.41666666666666</v>
      </c>
      <c r="E86" s="3">
        <f t="shared" si="18"/>
        <v>288.16666666666669</v>
      </c>
      <c r="F86" s="3">
        <f t="shared" si="18"/>
        <v>304.41666666666669</v>
      </c>
      <c r="G86" s="3">
        <f t="shared" si="18"/>
        <v>342.33333333333331</v>
      </c>
      <c r="H86" s="15">
        <f>0.5*H$84*65%</f>
        <v>368.33333333333331</v>
      </c>
    </row>
    <row r="87" spans="1:8" hidden="1" x14ac:dyDescent="0.25">
      <c r="A87" s="54"/>
      <c r="B87" t="s">
        <v>65</v>
      </c>
      <c r="C87" t="s">
        <v>71</v>
      </c>
      <c r="D87" s="3">
        <f t="shared" ref="D87:G87" si="19">0.2*D$84*15%</f>
        <v>22.1</v>
      </c>
      <c r="E87" s="3">
        <f t="shared" si="19"/>
        <v>26.6</v>
      </c>
      <c r="F87" s="3">
        <f t="shared" si="19"/>
        <v>28.1</v>
      </c>
      <c r="G87" s="3">
        <f t="shared" si="19"/>
        <v>31.599999999999998</v>
      </c>
      <c r="H87" s="15">
        <f>0.2*H$84*15%</f>
        <v>34</v>
      </c>
    </row>
    <row r="88" spans="1:8" hidden="1" x14ac:dyDescent="0.25">
      <c r="A88" s="54"/>
      <c r="B88" t="s">
        <v>67</v>
      </c>
      <c r="C88" t="s">
        <v>71</v>
      </c>
      <c r="D88" s="3">
        <f t="shared" ref="D88:F88" si="20">0.4*D$84*15%</f>
        <v>44.2</v>
      </c>
      <c r="E88" s="3">
        <f t="shared" si="20"/>
        <v>53.2</v>
      </c>
      <c r="F88" s="3">
        <f t="shared" si="20"/>
        <v>56.2</v>
      </c>
      <c r="G88" s="3">
        <f>0.4*G$84*15%</f>
        <v>63.199999999999996</v>
      </c>
      <c r="H88" s="15">
        <f>0.4*H$84*15%</f>
        <v>68</v>
      </c>
    </row>
    <row r="89" spans="1:8" hidden="1" x14ac:dyDescent="0.25">
      <c r="A89" s="55"/>
      <c r="B89" s="32" t="s">
        <v>69</v>
      </c>
      <c r="C89" s="32" t="s">
        <v>71</v>
      </c>
      <c r="D89" s="37">
        <f t="shared" ref="D89:G89" si="21">4*D$84*5%</f>
        <v>147.33333333333334</v>
      </c>
      <c r="E89" s="37">
        <f t="shared" si="21"/>
        <v>177.33333333333334</v>
      </c>
      <c r="F89" s="37">
        <f t="shared" si="21"/>
        <v>187.33333333333334</v>
      </c>
      <c r="G89" s="37">
        <f t="shared" si="21"/>
        <v>210.66666666666666</v>
      </c>
      <c r="H89" s="38">
        <f>4*H$84*5%</f>
        <v>226.66666666666666</v>
      </c>
    </row>
    <row r="90" spans="1:8" hidden="1" x14ac:dyDescent="0.25">
      <c r="A90" s="56" t="s">
        <v>58</v>
      </c>
      <c r="B90" s="5" t="s">
        <v>63</v>
      </c>
      <c r="C90" s="5" t="s">
        <v>62</v>
      </c>
      <c r="D90" s="35">
        <f>D$73/3</f>
        <v>736.66666666666663</v>
      </c>
      <c r="E90" s="35">
        <f t="shared" ref="E90:H90" si="22">E$73/3</f>
        <v>886.66666666666663</v>
      </c>
      <c r="F90" s="35">
        <f t="shared" si="22"/>
        <v>936.66666666666663</v>
      </c>
      <c r="G90" s="35">
        <f t="shared" si="22"/>
        <v>1053.3333333333333</v>
      </c>
      <c r="H90" s="36">
        <f t="shared" si="22"/>
        <v>1133.3333333333333</v>
      </c>
    </row>
    <row r="91" spans="1:8" hidden="1" x14ac:dyDescent="0.25">
      <c r="A91" s="57"/>
      <c r="B91" s="32" t="s">
        <v>72</v>
      </c>
      <c r="C91" s="32" t="s">
        <v>71</v>
      </c>
      <c r="D91" s="37">
        <f>SUM(D92:D99)</f>
        <v>202.58333333333334</v>
      </c>
      <c r="E91" s="37">
        <f t="shared" ref="E91" si="23">SUM(E92:E99)</f>
        <v>243.83333333333334</v>
      </c>
      <c r="F91" s="37">
        <f t="shared" ref="F91" si="24">SUM(F92:F99)</f>
        <v>288.02499999999998</v>
      </c>
      <c r="G91" s="37">
        <f t="shared" ref="G91" si="25">SUM(G92:G99)</f>
        <v>358.13333333333333</v>
      </c>
      <c r="H91" s="38">
        <f t="shared" ref="H91" si="26">SUM(H92:H99)</f>
        <v>385.33333333333331</v>
      </c>
    </row>
    <row r="92" spans="1:8" hidden="1" x14ac:dyDescent="0.25">
      <c r="A92" s="57"/>
      <c r="B92" t="s">
        <v>15</v>
      </c>
      <c r="C92" t="s">
        <v>71</v>
      </c>
      <c r="D92" s="3">
        <f>0.5*D$90*0%</f>
        <v>0</v>
      </c>
      <c r="E92" s="3">
        <f>0.5*E$90*0%</f>
        <v>0</v>
      </c>
      <c r="F92" s="3">
        <f>0.5*F$90*17.5%</f>
        <v>81.958333333333329</v>
      </c>
      <c r="G92" s="3">
        <f>0.5*G$90*35%</f>
        <v>184.33333333333331</v>
      </c>
      <c r="H92" s="15">
        <f>0.5*H$90*35%</f>
        <v>198.33333333333331</v>
      </c>
    </row>
    <row r="93" spans="1:8" hidden="1" x14ac:dyDescent="0.25">
      <c r="A93" s="57"/>
      <c r="B93" t="s">
        <v>65</v>
      </c>
      <c r="C93" t="s">
        <v>71</v>
      </c>
      <c r="D93" s="3">
        <f>0.2*D$90*0%</f>
        <v>0</v>
      </c>
      <c r="E93" s="3">
        <f>0.2*E$90*0%</f>
        <v>0</v>
      </c>
      <c r="F93" s="3">
        <f>0.2*F$90*7.5%</f>
        <v>14.05</v>
      </c>
      <c r="G93" s="3">
        <f>0.2*G$90*15%</f>
        <v>31.599999999999998</v>
      </c>
      <c r="H93" s="15">
        <f>0.2*H$90*15%</f>
        <v>34</v>
      </c>
    </row>
    <row r="94" spans="1:8" hidden="1" x14ac:dyDescent="0.25">
      <c r="A94" s="57"/>
      <c r="B94" t="s">
        <v>73</v>
      </c>
      <c r="C94" t="s">
        <v>71</v>
      </c>
      <c r="D94" s="3">
        <f>0.27*D$90*50%</f>
        <v>99.45</v>
      </c>
      <c r="E94" s="3">
        <f>0.27*E$90*50%</f>
        <v>119.7</v>
      </c>
      <c r="F94" s="3">
        <f>0.27*F$90*50%</f>
        <v>126.45</v>
      </c>
      <c r="G94" s="3">
        <f>0.27*G$90*50%</f>
        <v>142.19999999999999</v>
      </c>
      <c r="H94" s="15">
        <f>0.27*H$90*50%</f>
        <v>153</v>
      </c>
    </row>
    <row r="95" spans="1:8" hidden="1" x14ac:dyDescent="0.25">
      <c r="A95" s="58"/>
      <c r="B95" s="32" t="s">
        <v>16</v>
      </c>
      <c r="C95" s="32" t="s">
        <v>71</v>
      </c>
      <c r="D95" s="37">
        <f>0.28*D$90*50%</f>
        <v>103.13333333333334</v>
      </c>
      <c r="E95" s="37">
        <f>0.28*E$90*50%</f>
        <v>124.13333333333334</v>
      </c>
      <c r="F95" s="37">
        <f>0.28*F$90*25%</f>
        <v>65.566666666666677</v>
      </c>
      <c r="G95" s="37">
        <f>0.28*G$90*0%</f>
        <v>0</v>
      </c>
      <c r="H95" s="38">
        <f>0.28*H$90*0%</f>
        <v>0</v>
      </c>
    </row>
  </sheetData>
  <mergeCells count="10">
    <mergeCell ref="A90:A95"/>
    <mergeCell ref="A84:A89"/>
    <mergeCell ref="A74:A83"/>
    <mergeCell ref="A9:A13"/>
    <mergeCell ref="A4:A8"/>
    <mergeCell ref="A46:A53"/>
    <mergeCell ref="A38:A45"/>
    <mergeCell ref="A24:A28"/>
    <mergeCell ref="A19:A23"/>
    <mergeCell ref="A14:A18"/>
  </mergeCells>
  <pageMargins left="0.7" right="0.7" top="0.75" bottom="0.75" header="0.3" footer="0.3"/>
  <pageSetup paperSize="256" orientation="landscape" horizontalDpi="500" verticalDpi="500" copies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5FB7-9A00-42F9-BF19-90C292B4A1D4}">
  <dimension ref="A2:H31"/>
  <sheetViews>
    <sheetView workbookViewId="0">
      <selection activeCell="D23" sqref="D23"/>
    </sheetView>
  </sheetViews>
  <sheetFormatPr defaultRowHeight="15" x14ac:dyDescent="0.25"/>
  <sheetData>
    <row r="2" spans="1:8" x14ac:dyDescent="0.25">
      <c r="D2" s="44"/>
      <c r="E2" s="44"/>
      <c r="F2" s="44"/>
      <c r="G2" s="44"/>
      <c r="H2" s="44"/>
    </row>
    <row r="3" spans="1:8" x14ac:dyDescent="0.25">
      <c r="D3" s="44"/>
      <c r="E3" s="44"/>
      <c r="F3" s="44"/>
      <c r="G3" s="44"/>
      <c r="H3" s="44"/>
    </row>
    <row r="5" spans="1:8" x14ac:dyDescent="0.25">
      <c r="D5" s="3"/>
      <c r="E5" s="3"/>
      <c r="F5" s="3"/>
      <c r="G5" s="3"/>
      <c r="H5" s="3"/>
    </row>
    <row r="6" spans="1:8" x14ac:dyDescent="0.25">
      <c r="D6" s="44"/>
      <c r="E6" s="44"/>
      <c r="F6" s="44"/>
      <c r="G6" s="44"/>
      <c r="H6" s="44"/>
    </row>
    <row r="9" spans="1:8" x14ac:dyDescent="0.25">
      <c r="A9" t="s">
        <v>61</v>
      </c>
      <c r="C9" t="s">
        <v>62</v>
      </c>
      <c r="D9">
        <v>2210</v>
      </c>
      <c r="E9">
        <v>2660</v>
      </c>
      <c r="F9">
        <v>2810</v>
      </c>
      <c r="G9">
        <v>3160</v>
      </c>
      <c r="H9">
        <v>3400</v>
      </c>
    </row>
    <row r="10" spans="1:8" x14ac:dyDescent="0.25">
      <c r="A10" t="s">
        <v>60</v>
      </c>
      <c r="B10" t="s">
        <v>63</v>
      </c>
      <c r="C10" t="s">
        <v>62</v>
      </c>
      <c r="D10" s="3">
        <v>736.66666666666663</v>
      </c>
      <c r="E10" s="3">
        <v>886.66666666666663</v>
      </c>
      <c r="F10" s="3">
        <v>936.66666666666663</v>
      </c>
      <c r="G10" s="3">
        <v>1053.3333333333333</v>
      </c>
      <c r="H10" s="3">
        <v>1133.3333333333333</v>
      </c>
    </row>
    <row r="11" spans="1:8" x14ac:dyDescent="0.25">
      <c r="B11" t="s">
        <v>72</v>
      </c>
      <c r="C11" t="s">
        <v>71</v>
      </c>
      <c r="D11" s="3">
        <v>496.41712418947463</v>
      </c>
      <c r="E11" s="3">
        <v>623.40802075242141</v>
      </c>
      <c r="F11" s="3">
        <v>799.83213816970147</v>
      </c>
      <c r="G11" s="3">
        <v>802.98785081059771</v>
      </c>
      <c r="H11" s="3">
        <v>1960.3093375593055</v>
      </c>
    </row>
    <row r="12" spans="1:8" x14ac:dyDescent="0.25">
      <c r="B12" t="s">
        <v>15</v>
      </c>
      <c r="C12" t="s">
        <v>71</v>
      </c>
      <c r="D12" s="3">
        <v>42.771929824561397</v>
      </c>
      <c r="E12" s="3">
        <v>53.713626739261947</v>
      </c>
      <c r="F12" s="3">
        <v>0</v>
      </c>
      <c r="G12" s="3">
        <v>0</v>
      </c>
      <c r="H12" s="3">
        <v>0</v>
      </c>
    </row>
    <row r="13" spans="1:8" x14ac:dyDescent="0.25">
      <c r="B13" t="s">
        <v>64</v>
      </c>
      <c r="C13" t="s">
        <v>71</v>
      </c>
      <c r="D13" s="3">
        <v>51.411444141689365</v>
      </c>
      <c r="E13" s="3">
        <v>64.563257540167243</v>
      </c>
      <c r="F13" s="3">
        <v>113.69945817282095</v>
      </c>
      <c r="G13" s="3">
        <v>0</v>
      </c>
      <c r="H13" s="3">
        <v>0</v>
      </c>
    </row>
    <row r="14" spans="1:8" x14ac:dyDescent="0.25">
      <c r="B14" t="s">
        <v>65</v>
      </c>
      <c r="C14" t="s">
        <v>71</v>
      </c>
      <c r="D14" s="3">
        <v>0</v>
      </c>
      <c r="E14" s="3">
        <v>0</v>
      </c>
      <c r="F14" s="3">
        <v>0</v>
      </c>
      <c r="G14" s="3">
        <v>52.025468164794006</v>
      </c>
      <c r="H14" s="3">
        <v>0</v>
      </c>
    </row>
    <row r="15" spans="1:8" x14ac:dyDescent="0.25">
      <c r="B15" t="s">
        <v>66</v>
      </c>
      <c r="C15" t="s">
        <v>71</v>
      </c>
      <c r="D15" s="3">
        <v>0</v>
      </c>
      <c r="E15" s="3">
        <v>0</v>
      </c>
      <c r="F15" s="3">
        <v>401.896425567704</v>
      </c>
      <c r="G15" s="3">
        <v>273.35000000000002</v>
      </c>
      <c r="H15" s="3">
        <v>367.77134146341467</v>
      </c>
    </row>
    <row r="16" spans="1:8" x14ac:dyDescent="0.25">
      <c r="B16" t="s">
        <v>67</v>
      </c>
      <c r="C16" t="s">
        <v>71</v>
      </c>
      <c r="D16" s="3">
        <v>39.371428571428567</v>
      </c>
      <c r="E16" s="3">
        <v>49.44322660098522</v>
      </c>
      <c r="F16" s="3">
        <v>87.07224958949098</v>
      </c>
      <c r="G16" s="3">
        <v>117.26</v>
      </c>
      <c r="H16" s="3">
        <v>52.588095238095242</v>
      </c>
    </row>
    <row r="17" spans="1:8" x14ac:dyDescent="0.25">
      <c r="B17" t="s">
        <v>68</v>
      </c>
      <c r="C17" t="s">
        <v>71</v>
      </c>
      <c r="D17" s="3">
        <v>305.91228070175436</v>
      </c>
      <c r="E17" s="3">
        <v>384.16919993950398</v>
      </c>
      <c r="F17" s="3">
        <v>197.16400483968548</v>
      </c>
      <c r="G17" s="3">
        <v>65.078508771929833</v>
      </c>
      <c r="H17" s="3">
        <v>350.23245614035091</v>
      </c>
    </row>
    <row r="18" spans="1:8" x14ac:dyDescent="0.25">
      <c r="B18" t="s">
        <v>69</v>
      </c>
      <c r="C18" t="s">
        <v>71</v>
      </c>
      <c r="D18" s="3">
        <v>0</v>
      </c>
      <c r="E18" s="3">
        <v>0</v>
      </c>
      <c r="F18" s="3">
        <v>0</v>
      </c>
      <c r="G18" s="3">
        <v>210.46666666666667</v>
      </c>
      <c r="H18" s="3">
        <v>1132.6666666666667</v>
      </c>
    </row>
    <row r="19" spans="1:8" x14ac:dyDescent="0.25">
      <c r="B19" t="s">
        <v>70</v>
      </c>
      <c r="C19" t="s">
        <v>71</v>
      </c>
      <c r="D19" s="3">
        <v>56.950040950040957</v>
      </c>
      <c r="E19" s="3">
        <v>71.518709932503043</v>
      </c>
      <c r="F19" s="3">
        <v>0</v>
      </c>
      <c r="G19" s="3">
        <v>84.807207207207213</v>
      </c>
      <c r="H19" s="3">
        <v>57.050778050778057</v>
      </c>
    </row>
    <row r="20" spans="1:8" x14ac:dyDescent="0.25">
      <c r="A20" t="s">
        <v>59</v>
      </c>
      <c r="B20" t="s">
        <v>63</v>
      </c>
      <c r="C20" t="s">
        <v>62</v>
      </c>
      <c r="D20" s="3">
        <v>736.66666666666663</v>
      </c>
      <c r="E20" s="3">
        <v>886.66666666666663</v>
      </c>
      <c r="F20" s="3">
        <v>936.66666666666663</v>
      </c>
      <c r="G20" s="3">
        <v>1053.3333333333333</v>
      </c>
      <c r="H20" s="3">
        <v>1133.3333333333333</v>
      </c>
    </row>
    <row r="21" spans="1:8" x14ac:dyDescent="0.25">
      <c r="B21" t="s">
        <v>72</v>
      </c>
      <c r="C21" t="s">
        <v>71</v>
      </c>
      <c r="D21" s="3">
        <v>453.04999999999995</v>
      </c>
      <c r="E21" s="3">
        <v>545.30000000000007</v>
      </c>
      <c r="F21" s="3">
        <v>576.05000000000007</v>
      </c>
      <c r="G21" s="3">
        <v>647.79999999999995</v>
      </c>
      <c r="H21" s="3">
        <v>697</v>
      </c>
    </row>
    <row r="22" spans="1:8" x14ac:dyDescent="0.25">
      <c r="B22" t="s">
        <v>74</v>
      </c>
      <c r="C22" t="s">
        <v>71</v>
      </c>
      <c r="D22" s="3">
        <v>239.41666666666666</v>
      </c>
      <c r="E22" s="3">
        <v>288.16666666666669</v>
      </c>
      <c r="F22" s="3">
        <v>304.41666666666669</v>
      </c>
      <c r="G22" s="3">
        <v>342.33333333333331</v>
      </c>
      <c r="H22" s="3">
        <v>368.33333333333331</v>
      </c>
    </row>
    <row r="23" spans="1:8" x14ac:dyDescent="0.25">
      <c r="B23" t="s">
        <v>65</v>
      </c>
      <c r="C23" t="s">
        <v>71</v>
      </c>
      <c r="D23" s="3">
        <v>22.1</v>
      </c>
      <c r="E23" s="3">
        <v>26.6</v>
      </c>
      <c r="F23" s="3">
        <v>28.1</v>
      </c>
      <c r="G23" s="3">
        <v>31.599999999999998</v>
      </c>
      <c r="H23" s="3">
        <v>34</v>
      </c>
    </row>
    <row r="24" spans="1:8" x14ac:dyDescent="0.25">
      <c r="B24" t="s">
        <v>67</v>
      </c>
      <c r="C24" t="s">
        <v>71</v>
      </c>
      <c r="D24" s="3">
        <v>44.2</v>
      </c>
      <c r="E24" s="3">
        <v>53.2</v>
      </c>
      <c r="F24" s="3">
        <v>56.2</v>
      </c>
      <c r="G24" s="3">
        <v>63.199999999999996</v>
      </c>
      <c r="H24" s="3">
        <v>68</v>
      </c>
    </row>
    <row r="25" spans="1:8" x14ac:dyDescent="0.25">
      <c r="B25" t="s">
        <v>69</v>
      </c>
      <c r="C25" t="s">
        <v>71</v>
      </c>
      <c r="D25" s="3">
        <v>147.33333333333334</v>
      </c>
      <c r="E25" s="3">
        <v>177.33333333333334</v>
      </c>
      <c r="F25" s="3">
        <v>187.33333333333334</v>
      </c>
      <c r="G25" s="3">
        <v>210.66666666666666</v>
      </c>
      <c r="H25" s="3">
        <v>226.66666666666666</v>
      </c>
    </row>
    <row r="26" spans="1:8" x14ac:dyDescent="0.25">
      <c r="A26" t="s">
        <v>58</v>
      </c>
      <c r="B26" t="s">
        <v>63</v>
      </c>
      <c r="C26" t="s">
        <v>62</v>
      </c>
      <c r="D26" s="3">
        <v>736.66666666666663</v>
      </c>
      <c r="E26" s="3">
        <v>886.66666666666663</v>
      </c>
      <c r="F26" s="3">
        <v>936.66666666666663</v>
      </c>
      <c r="G26" s="3">
        <v>1053.3333333333333</v>
      </c>
      <c r="H26" s="3">
        <v>1133.3333333333333</v>
      </c>
    </row>
    <row r="27" spans="1:8" x14ac:dyDescent="0.25">
      <c r="B27" t="s">
        <v>72</v>
      </c>
      <c r="C27" t="s">
        <v>71</v>
      </c>
      <c r="D27" s="3">
        <v>202.58333333333334</v>
      </c>
      <c r="E27" s="3">
        <v>243.83333333333334</v>
      </c>
      <c r="F27" s="3">
        <v>288.02499999999998</v>
      </c>
      <c r="G27" s="3">
        <v>358.13333333333333</v>
      </c>
      <c r="H27" s="3">
        <v>385.33333333333331</v>
      </c>
    </row>
    <row r="28" spans="1:8" x14ac:dyDescent="0.25">
      <c r="B28" t="s">
        <v>15</v>
      </c>
      <c r="C28" t="s">
        <v>71</v>
      </c>
      <c r="D28" s="3">
        <v>0</v>
      </c>
      <c r="E28" s="3">
        <v>0</v>
      </c>
      <c r="F28" s="3">
        <v>81.958333333333329</v>
      </c>
      <c r="G28" s="3">
        <v>184.33333333333331</v>
      </c>
      <c r="H28" s="3">
        <v>198.33333333333331</v>
      </c>
    </row>
    <row r="29" spans="1:8" x14ac:dyDescent="0.25">
      <c r="B29" t="s">
        <v>65</v>
      </c>
      <c r="C29" t="s">
        <v>71</v>
      </c>
      <c r="D29" s="3">
        <v>0</v>
      </c>
      <c r="E29" s="3">
        <v>0</v>
      </c>
      <c r="F29" s="3">
        <v>14.05</v>
      </c>
      <c r="G29" s="3">
        <v>31.599999999999998</v>
      </c>
      <c r="H29" s="3">
        <v>34</v>
      </c>
    </row>
    <row r="30" spans="1:8" x14ac:dyDescent="0.25">
      <c r="B30" t="s">
        <v>73</v>
      </c>
      <c r="C30" t="s">
        <v>71</v>
      </c>
      <c r="D30" s="3">
        <v>99.45</v>
      </c>
      <c r="E30" s="3">
        <v>119.7</v>
      </c>
      <c r="F30" s="3">
        <v>126.45</v>
      </c>
      <c r="G30" s="3">
        <v>142.19999999999999</v>
      </c>
      <c r="H30" s="3">
        <v>153</v>
      </c>
    </row>
    <row r="31" spans="1:8" x14ac:dyDescent="0.25">
      <c r="B31" t="s">
        <v>16</v>
      </c>
      <c r="C31" t="s">
        <v>71</v>
      </c>
      <c r="D31" s="3">
        <v>103.13333333333334</v>
      </c>
      <c r="E31" s="3">
        <v>124.13333333333334</v>
      </c>
      <c r="F31" s="3">
        <v>65.566666666666677</v>
      </c>
      <c r="G31" s="3">
        <v>0</v>
      </c>
      <c r="H31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6789-2AF1-47D1-ACD2-18992EBECFCE}">
  <dimension ref="A1:H6"/>
  <sheetViews>
    <sheetView workbookViewId="0">
      <selection activeCell="H1" sqref="H1"/>
    </sheetView>
  </sheetViews>
  <sheetFormatPr defaultRowHeight="15" x14ac:dyDescent="0.25"/>
  <cols>
    <col min="2" max="2" width="14.85546875" bestFit="1" customWidth="1"/>
    <col min="3" max="4" width="16.42578125" bestFit="1" customWidth="1"/>
  </cols>
  <sheetData>
    <row r="1" spans="1:8" x14ac:dyDescent="0.25">
      <c r="A1" t="s">
        <v>35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8" x14ac:dyDescent="0.25">
      <c r="A2" t="s">
        <v>18</v>
      </c>
      <c r="B2" s="4">
        <v>2.6764306672923128</v>
      </c>
      <c r="C2" s="2">
        <v>-2.3476500000018063E-2</v>
      </c>
      <c r="D2" s="2">
        <v>0.46209800000005996</v>
      </c>
      <c r="E2" s="2">
        <v>1.3591724999998518</v>
      </c>
      <c r="F2" s="2">
        <v>-0.177534</v>
      </c>
      <c r="G2" s="2">
        <v>0.95166549999991046</v>
      </c>
      <c r="H2" s="2" t="s">
        <v>36</v>
      </c>
    </row>
    <row r="3" spans="1:8" x14ac:dyDescent="0.25">
      <c r="A3" t="s">
        <v>19</v>
      </c>
      <c r="B3" s="4">
        <v>2.7236843013071117</v>
      </c>
      <c r="C3" s="2">
        <v>1.1343134999999904</v>
      </c>
      <c r="D3" s="2">
        <v>1.3761380000000714</v>
      </c>
      <c r="E3" s="2">
        <v>1.455802499999868</v>
      </c>
      <c r="F3" s="2">
        <v>0.80292600000000147</v>
      </c>
      <c r="G3" s="2">
        <v>7.0550154999999224</v>
      </c>
    </row>
    <row r="4" spans="1:8" x14ac:dyDescent="0.25">
      <c r="A4" t="s">
        <v>20</v>
      </c>
      <c r="B4" s="4">
        <v>2.6689090126238399</v>
      </c>
      <c r="C4">
        <v>2.238103499999994</v>
      </c>
      <c r="D4">
        <v>2.5583780000000842</v>
      </c>
      <c r="E4">
        <v>2.0474324999998545</v>
      </c>
      <c r="F4">
        <v>1.8085860000000011</v>
      </c>
      <c r="G4">
        <v>13.565165499999898</v>
      </c>
    </row>
    <row r="5" spans="1:8" x14ac:dyDescent="0.25">
      <c r="A5" t="s">
        <v>21</v>
      </c>
      <c r="B5" s="4">
        <v>3.9287558439746006</v>
      </c>
      <c r="C5">
        <v>3.9577534999999897</v>
      </c>
      <c r="D5">
        <v>5.1247780000000827</v>
      </c>
      <c r="E5">
        <v>4.1334824999998316</v>
      </c>
      <c r="F5">
        <v>3.540686</v>
      </c>
      <c r="G5">
        <v>25.319415499999888</v>
      </c>
    </row>
    <row r="6" spans="1:8" x14ac:dyDescent="0.25">
      <c r="A6" t="s">
        <v>22</v>
      </c>
      <c r="B6" s="4">
        <v>5.5773645058448462</v>
      </c>
      <c r="C6">
        <v>5.2254734999999899</v>
      </c>
      <c r="D6">
        <v>7.7142980000000652</v>
      </c>
      <c r="E6">
        <v>6.7923224999998641</v>
      </c>
      <c r="F6">
        <v>4.9767659999999996</v>
      </c>
      <c r="G6">
        <v>35.536415499999904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on pig feed mix</vt:lpstr>
      <vt:lpstr>daily diet</vt:lpstr>
      <vt:lpstr>data on crop yields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Styrmir Gislason</dc:creator>
  <cp:keywords/>
  <dc:description/>
  <cp:lastModifiedBy>Simon Bruhn</cp:lastModifiedBy>
  <cp:revision/>
  <dcterms:created xsi:type="dcterms:W3CDTF">2015-06-05T18:19:34Z</dcterms:created>
  <dcterms:modified xsi:type="dcterms:W3CDTF">2024-03-02T21:21:02Z</dcterms:modified>
  <cp:category/>
  <cp:contentStatus/>
</cp:coreProperties>
</file>