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comments7.xml" ContentType="application/vnd.openxmlformats-officedocument.spreadsheetml.comments+xml"/>
  <Override PartName="/xl/drawings/_rels/drawing4.xml.rels" ContentType="application/vnd.openxmlformats-package.relationships+xml"/>
  <Override PartName="/xl/drawings/_rels/drawing1.xml.rels" ContentType="application/vnd.openxmlformats-package.relationships+xml"/>
  <Override PartName="/xl/drawings/_rels/drawing3.xml.rels" ContentType="application/vnd.openxmlformats-package.relationships+xml"/>
  <Override PartName="/xl/drawings/_rels/drawing2.xml.rels" ContentType="application/vnd.openxmlformats-package.relationships+xml"/>
  <Override PartName="/xl/drawings/vmlDrawing8.vml" ContentType="application/vnd.openxmlformats-officedocument.vmlDrawing"/>
  <Override PartName="/xl/drawings/vmlDrawing7.vml" ContentType="application/vnd.openxmlformats-officedocument.vmlDrawing"/>
  <Override PartName="/xl/drawings/vmlDrawing6.vml" ContentType="application/vnd.openxmlformats-officedocument.vmlDrawing"/>
  <Override PartName="/xl/drawings/drawing4.xml" ContentType="application/vnd.openxmlformats-officedocument.drawing+xml"/>
  <Override PartName="/xl/drawings/vmlDrawing5.vml" ContentType="application/vnd.openxmlformats-officedocument.vmlDrawing"/>
  <Override PartName="/xl/drawings/vmlDrawing4.vml" ContentType="application/vnd.openxmlformats-officedocument.vmlDrawing"/>
  <Override PartName="/xl/drawings/drawing3.xml" ContentType="application/vnd.openxmlformats-officedocument.drawing+xml"/>
  <Override PartName="/xl/drawings/vmlDrawing3.vml" ContentType="application/vnd.openxmlformats-officedocument.vmlDrawing"/>
  <Override PartName="/xl/drawings/drawing2.xml" ContentType="application/vnd.openxmlformats-officedocument.drawing+xml"/>
  <Override PartName="/xl/drawings/vmlDrawing9.vml" ContentType="application/vnd.openxmlformats-officedocument.vmlDrawing"/>
  <Override PartName="/xl/drawings/vmlDrawing2.vml" ContentType="application/vnd.openxmlformats-officedocument.vmlDrawing"/>
  <Override PartName="/xl/drawings/drawing1.xml" ContentType="application/vnd.openxmlformats-officedocument.drawing+xml"/>
  <Override PartName="/xl/drawings/vmlDrawing1.vml" ContentType="application/vnd.openxmlformats-officedocument.vmlDrawing"/>
  <Override PartName="/xl/comments9.xml" ContentType="application/vnd.openxmlformats-officedocument.spreadsheetml.comments+xml"/>
  <Override PartName="/xl/comments8.xml" ContentType="application/vnd.openxmlformats-officedocument.spreadsheetml.comments+xml"/>
  <Override PartName="/xl/_rels/workbook.xml.rels" ContentType="application/vnd.openxmlformats-package.relationships+xml"/>
  <Override PartName="/xl/comments6.xml" ContentType="application/vnd.openxmlformats-officedocument.spreadsheetml.comments+xml"/>
  <Override PartName="/xl/styles.xml" ContentType="application/vnd.openxmlformats-officedocument.spreadsheetml.styles+xml"/>
  <Override PartName="/xl/comments4.xml" ContentType="application/vnd.openxmlformats-officedocument.spreadsheetml.comment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9.xml.rels" ContentType="application/vnd.openxmlformats-package.relationships+xml"/>
  <Override PartName="/xl/worksheets/_rels/sheet6.xml.rels" ContentType="application/vnd.openxmlformats-package.relationships+xml"/>
  <Override PartName="/xl/worksheets/_rels/sheet8.xml.rels" ContentType="application/vnd.openxmlformats-package.relationships+xml"/>
  <Override PartName="/xl/worksheets/_rels/sheet5.xml.rels" ContentType="application/vnd.openxmlformats-package.relationships+xml"/>
  <Override PartName="/xl/worksheets/_rels/sheet7.xml.rels" ContentType="application/vnd.openxmlformats-package.relationships+xml"/>
  <Override PartName="/xl/worksheets/_rels/sheet1.xml.rels" ContentType="application/vnd.openxmlformats-package.relationships+xml"/>
  <Override PartName="/xl/worksheets/_rels/sheet4.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comments3.xml" ContentType="application/vnd.openxmlformats-officedocument.spreadsheetml.comments+xml"/>
  <Override PartName="/xl/sharedStrings.xml" ContentType="application/vnd.openxmlformats-officedocument.spreadsheetml.sharedStrings+xml"/>
  <Override PartName="/xl/workbook.xml" ContentType="application/vnd.openxmlformats-officedocument.spreadsheetml.sheet.main+xml"/>
  <Override PartName="/xl/media/image1.png" ContentType="image/png"/>
  <Override PartName="/xl/media/image2.png" ContentType="image/png"/>
  <Override PartName="/xl/media/image3.png" ContentType="image/png"/>
  <Override PartName="/xl/media/image4.png" ContentType="image/png"/>
  <Override PartName="/xl/media/image5.png" ContentType="image/png"/>
  <Override PartName="/xl/media/image6.jpeg" ContentType="image/jpeg"/>
  <Override PartName="/xl/media/image8.png" ContentType="image/png"/>
  <Override PartName="/xl/media/image7.png" ContentType="image/png"/>
  <Override PartName="/xl/media/image9.png" ContentType="image/png"/>
  <Override PartName="/xl/comments5.xml" ContentType="application/vnd.openxmlformats-officedocument.spreadsheetml.comments+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bw2 import" sheetId="1" state="visible" r:id="rId2"/>
    <sheet name="CH50m²" sheetId="2" state="visible" r:id="rId3"/>
    <sheet name="EH" sheetId="3" state="visible" r:id="rId4"/>
    <sheet name="TH" sheetId="4" state="visible" r:id="rId5"/>
    <sheet name="PV + Battery" sheetId="5" state="visible" r:id="rId6"/>
    <sheet name="Windturbine" sheetId="6" state="visible" r:id="rId7"/>
    <sheet name="TEG" sheetId="7" state="visible" r:id="rId8"/>
    <sheet name="Maintenance" sheetId="8" state="visible" r:id="rId9"/>
    <sheet name="EcoCocon module" sheetId="9" state="visible" r:id="rId10"/>
  </sheet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 </author>
  </authors>
  <commentList>
    <comment ref="A90" authorId="0">
      <text>
        <r>
          <rPr>
            <sz val="11"/>
            <color rgb="FF000000"/>
            <rFont val="Calibri"/>
            <family val="2"/>
            <charset val="1"/>
          </rPr>
          <t xml:space="preserve">Activity = proces
Eksempel på en “håndlavet” proces, hvor input er en af dine andre håndlavede proesser</t>
        </r>
      </text>
    </comment>
    <comment ref="A95" authorId="0">
      <text>
        <r>
          <rPr>
            <sz val="11"/>
            <color rgb="FF000000"/>
            <rFont val="Calibri"/>
            <family val="2"/>
            <charset val="1"/>
          </rPr>
          <t xml:space="preserve">Exchanges = flows (input er positive og output er negative)</t>
        </r>
      </text>
    </comment>
    <comment ref="A96" authorId="0">
      <text>
        <r>
          <rPr>
            <sz val="11"/>
            <color rgb="FF000000"/>
            <rFont val="Calibri"/>
            <family val="2"/>
            <charset val="1"/>
          </rPr>
          <t xml:space="preserve">Proces name</t>
        </r>
      </text>
    </comment>
    <comment ref="A97" authorId="0">
      <text>
        <r>
          <rPr>
            <sz val="11"/>
            <color rgb="FF000000"/>
            <rFont val="Calibri"/>
            <family val="2"/>
            <charset val="1"/>
          </rPr>
          <t xml:space="preserve">Første linje er output (reference flow)</t>
        </r>
      </text>
    </comment>
    <comment ref="A103" authorId="0">
      <text>
        <r>
          <rPr>
            <sz val="11"/>
            <color rgb="FF000000"/>
            <rFont val="Calibri"/>
            <family val="2"/>
            <charset val="1"/>
          </rPr>
          <t xml:space="preserve">Activity = proces
Eksempel på en “håndlavet” proces, hvor input er en af dine andre håndlavede proesser</t>
        </r>
      </text>
    </comment>
    <comment ref="A108" authorId="0">
      <text>
        <r>
          <rPr>
            <sz val="11"/>
            <color rgb="FF000000"/>
            <rFont val="Calibri"/>
            <family val="2"/>
            <charset val="1"/>
          </rPr>
          <t xml:space="preserve">Exchanges = flows (input er positive og output er negative)</t>
        </r>
      </text>
    </comment>
    <comment ref="A109" authorId="0">
      <text>
        <r>
          <rPr>
            <sz val="11"/>
            <color rgb="FF000000"/>
            <rFont val="Calibri"/>
            <family val="2"/>
            <charset val="1"/>
          </rPr>
          <t xml:space="preserve">Proces name</t>
        </r>
      </text>
    </comment>
    <comment ref="A110" authorId="0">
      <text>
        <r>
          <rPr>
            <sz val="11"/>
            <color rgb="FF000000"/>
            <rFont val="Calibri"/>
            <family val="2"/>
            <charset val="1"/>
          </rPr>
          <t xml:space="preserve">Første linje er output (reference flow)</t>
        </r>
      </text>
    </comment>
    <comment ref="B94" authorId="0">
      <text>
        <r>
          <rPr>
            <sz val="11"/>
            <color rgb="FF000000"/>
            <rFont val="Calibri"/>
            <family val="2"/>
            <charset val="1"/>
          </rPr>
          <t xml:space="preserve">“Unit” kaldes vist nok “pieces” eller ngoet I den dur I openlca.
i.e. det bare et antal. Men det kunne jo også være “kg” eller “megajoule”, “ton kilometer” “square meter” etc, I denne celle</t>
        </r>
      </text>
    </comment>
    <comment ref="B107" authorId="0">
      <text>
        <r>
          <rPr>
            <sz val="11"/>
            <color rgb="FF000000"/>
            <rFont val="Calibri"/>
            <family val="2"/>
            <charset val="1"/>
          </rPr>
          <t xml:space="preserve">“Unit” kaldes vist nok “pieces” eller ngoet I den dur I openlca.
i.e. det bare et antal. Men det kunne jo også være “kg” eller “megajoule”, “ton kilometer” “square meter” etc, I denne celle</t>
        </r>
      </text>
    </comment>
    <comment ref="F97" authorId="0">
      <text>
        <r>
          <rPr>
            <sz val="11"/>
            <color rgb="FF000000"/>
            <rFont val="Calibri"/>
            <family val="2"/>
            <charset val="1"/>
          </rPr>
          <t xml:space="preserve">Production = det betyder at det er processens reference flow (vistnok kaldet quantitative reference I openlca)</t>
        </r>
      </text>
    </comment>
    <comment ref="F110" authorId="0">
      <text>
        <r>
          <rPr>
            <sz val="11"/>
            <color rgb="FF000000"/>
            <rFont val="Calibri"/>
            <family val="2"/>
            <charset val="1"/>
          </rPr>
          <t xml:space="preserve">Production = det betyder at det er processens reference flow (vistnok kaldet quantitative reference I openlca)</t>
        </r>
      </text>
    </comment>
    <comment ref="G96" authorId="0">
      <text>
        <r>
          <rPr>
            <sz val="11"/>
            <color rgb="FF000000"/>
            <rFont val="Calibri"/>
            <family val="2"/>
            <charset val="1"/>
          </rPr>
          <t xml:space="preserve">Flow name</t>
        </r>
      </text>
    </comment>
    <comment ref="G109" authorId="0">
      <text>
        <r>
          <rPr>
            <sz val="11"/>
            <color rgb="FF000000"/>
            <rFont val="Calibri"/>
            <family val="2"/>
            <charset val="1"/>
          </rPr>
          <t xml:space="preserve">Flow name</t>
        </r>
      </text>
    </comment>
  </commentList>
</comments>
</file>

<file path=xl/comments2.xml><?xml version="1.0" encoding="utf-8"?>
<comments xmlns="http://schemas.openxmlformats.org/spreadsheetml/2006/main" xmlns:xdr="http://schemas.openxmlformats.org/drawingml/2006/spreadsheetDrawing">
  <authors>
    <author> </author>
  </authors>
  <commentList>
    <comment ref="C6" authorId="0">
      <text>
        <r>
          <rPr>
            <sz val="11"/>
            <color rgb="FF000000"/>
            <rFont val="Calibri"/>
            <family val="2"/>
            <charset val="1"/>
          </rPr>
          <t xml:space="preserve">[Kommentarthread]
Ihre Version von Excel gestattet Ihnen das Lesen dieses Kommentarthreads. Jegliche Bearbeitungen daran werden jedoch entfernt, wenn die Datei in einer neueren Version von Excel geöffnet wird. Weitere Informationen: https://go.microsoft.com/fwlink/?linkid=870924.
Kommentar:
    Density according website: 22 kg/m³</t>
        </r>
      </text>
    </comment>
    <comment ref="C19" authorId="0">
      <text>
        <r>
          <rPr>
            <sz val="11"/>
            <color rgb="FF000000"/>
            <rFont val="Calibri"/>
            <family val="2"/>
            <charset val="1"/>
          </rPr>
          <t xml:space="preserve">[Kommentarthread]
Ihre Version von Excel gestattet Ihnen das Lesen dieses Kommentarthreads. Jegliche Bearbeitungen daran werden jedoch entfernt, wenn die Datei in einer neueren Version von Excel geöffnet wird. Weitere Informationen: https://go.microsoft.com/fwlink/?linkid=870924.
Kommentar:
    according website 0.22 kg/m
Antwort:
    0.8 kg/100 screws
Antwort:
    0.4 kg/100 nails</t>
        </r>
      </text>
    </comment>
    <comment ref="C21" authorId="0">
      <text>
        <r>
          <rPr>
            <sz val="11"/>
            <color rgb="FF000000"/>
            <rFont val="Calibri"/>
            <family val="2"/>
            <charset val="1"/>
          </rPr>
          <t xml:space="preserve">[Kommentarthread]
Ihre Version von Excel gestattet Ihnen das Lesen dieses Kommentarthreads. Jegliche Bearbeitungen daran werden jedoch entfernt, wenn die Datei in einer neueren Version von Excel geöffnet wird. Weitere Informationen: https://go.microsoft.com/fwlink/?linkid=870924.
Kommentar:
    according website density is 235 kg/m³</t>
        </r>
      </text>
    </comment>
    <comment ref="C23" authorId="0">
      <text>
        <r>
          <rPr>
            <sz val="11"/>
            <color rgb="FF000000"/>
            <rFont val="Calibri"/>
            <family val="2"/>
            <charset val="1"/>
          </rPr>
          <t xml:space="preserve">[Kommentarthread]
Ihre Version von Excel gestattet Ihnen das Lesen dieses Kommentarthreads. Jegliche Bearbeitungen daran werden jedoch entfernt, wenn die Datei in einer neueren Version von Excel geöffnet wird. Weitere Informationen: https://go.microsoft.com/fwlink/?linkid=870924.
Kommentar:
    estimation with width of the frame is 0.05 m;</t>
        </r>
      </text>
    </comment>
    <comment ref="E20" authorId="0">
      <text>
        <r>
          <rPr>
            <sz val="11"/>
            <color rgb="FF000000"/>
            <rFont val="Calibri"/>
            <family val="2"/>
            <charset val="1"/>
          </rPr>
          <t xml:space="preserve">[Kommentarthread]
Ihre Version von Excel gestattet Ihnen das Lesen dieses Kommentarthreads. Jegliche Bearbeitungen daran werden jedoch entfernt, wenn die Datei in einer neueren Version von Excel geöffnet wird. Weitere Informationen: https://go.microsoft.com/fwlink/?linkid=870924.
Kommentar:
    assumed to be the same isolation as in the tiny house</t>
        </r>
      </text>
    </comment>
    <comment ref="K23" authorId="0">
      <text>
        <r>
          <rPr>
            <sz val="11"/>
            <color rgb="FF000000"/>
            <rFont val="Calibri"/>
            <family val="2"/>
            <charset val="1"/>
          </rPr>
          <t xml:space="preserve">[Kommentarthread]
Ihre Version von Excel gestattet Ihnen das Lesen dieses Kommentarthreads. Jegliche Bearbeitungen daran werden jedoch entfernt, wenn die Datei in einer neueren Version von Excel geöffnet wird. Weitere Informationen: https://go.microsoft.com/fwlink/?linkid=870924.
Kommentar:
    wood frame with small parts out of aluminium</t>
        </r>
      </text>
    </comment>
    <comment ref="N4" authorId="0">
      <text>
        <r>
          <rPr>
            <sz val="11"/>
            <color rgb="FF000000"/>
            <rFont val="Calibri"/>
            <family val="2"/>
            <charset val="1"/>
          </rPr>
          <t xml:space="preserve">[Kommentarthread]
Ihre Version von Excel gestattet Ihnen das Lesen dieses Kommentarthreads. Jegliche Bearbeitungen daran werden jedoch entfernt, wenn die Datei in einer neueren Version von Excel geöffnet wird. Weitere Informationen: https://go.microsoft.com/fwlink/?linkid=870924.
Kommentar:
    account an average transportation of 500 km by freigt lorry for all products, except for those with specific information in EPD
Some materials (mainly standard wood) is transported by lorry 16-32 tonnes, everything else by lorry 7.5-16 tonnes EURO6</t>
        </r>
      </text>
    </comment>
    <comment ref="Q7" authorId="0">
      <text>
        <r>
          <rPr>
            <sz val="11"/>
            <color rgb="FF000000"/>
            <rFont val="Calibri"/>
            <family val="2"/>
            <charset val="1"/>
          </rPr>
          <t xml:space="preserve">[Kommentarthread]
Ihre Version von Excel gestattet Ihnen das Lesen dieses Kommentarthreads. Jegliche Bearbeitungen daran werden jedoch entfernt, wenn die Datei in einer neueren Version von Excel geöffnet wird. Weitere Informationen: https://go.microsoft.com/fwlink/?linkid=870924.
Kommentar:
    average density of wood = 500 kg/m³
(https://www.engineeringclicks.com/density-of-wood/)</t>
        </r>
      </text>
    </comment>
    <comment ref="Q8" authorId="0">
      <text>
        <r>
          <rPr>
            <sz val="11"/>
            <color rgb="FF000000"/>
            <rFont val="Calibri"/>
            <family val="2"/>
            <charset val="1"/>
          </rPr>
          <t xml:space="preserve">[Kommentarthread]
Ihre Version von Excel gestattet Ihnen das Lesen dieses Kommentarthreads. Jegliche Bearbeitungen daran werden jedoch entfernt, wenn die Datei in einer neueren Version von Excel geöffnet wird. Weitere Informationen: https://go.microsoft.com/fwlink/?linkid=870924.
Kommentar:
    Average density OSB panels 640 kg/m³ (https://www.performancepanels.com/lightness-in-weight)</t>
        </r>
      </text>
    </comment>
    <comment ref="AI15" authorId="0">
      <text>
        <r>
          <rPr>
            <sz val="11"/>
            <color rgb="FF000000"/>
            <rFont val="Calibri"/>
            <family val="2"/>
            <charset val="1"/>
          </rPr>
          <t xml:space="preserve">[Kommentarthread]
Ihre Version von Excel gestattet Ihnen das Lesen dieses Kommentarthreads. Jegliche Bearbeitungen daran werden jedoch entfernt, wenn die Datei in einer neueren Version von Excel geöffnet wird. Weitere Informationen: https://go.microsoft.com/fwlink/?linkid=870924.
Kommentar:
    reference: final bottom ash factsheet</t>
        </r>
      </text>
    </comment>
    <comment ref="AI19" authorId="0">
      <text>
        <r>
          <rPr>
            <sz val="11"/>
            <color rgb="FF000000"/>
            <rFont val="Calibri"/>
            <family val="2"/>
            <charset val="1"/>
          </rPr>
          <t xml:space="preserve">[Kommentarthread]
Ihre Version von Excel gestattet Ihnen das Lesen dieses Kommentarthreads. Jegliche Bearbeitungen daran werden jedoch entfernt, wenn die Datei in einer neueren Version von Excel geöffnet wird. Weitere Informationen: https://go.microsoft.com/fwlink/?linkid=870924.
Kommentar:
    reference: final bottom ash factsheet</t>
        </r>
      </text>
    </comment>
  </commentList>
</comments>
</file>

<file path=xl/comments3.xml><?xml version="1.0" encoding="utf-8"?>
<comments xmlns="http://schemas.openxmlformats.org/spreadsheetml/2006/main" xmlns:xdr="http://schemas.openxmlformats.org/drawingml/2006/spreadsheetDrawing">
  <authors>
    <author> </author>
  </authors>
  <commentList>
    <comment ref="C6" authorId="0">
      <text>
        <r>
          <rPr>
            <sz val="11"/>
            <color rgb="FF000000"/>
            <rFont val="Calibri"/>
            <family val="2"/>
            <charset val="1"/>
          </rPr>
          <t xml:space="preserve">[Kommentarthread]
Ihre Version von Excel gestattet Ihnen das Lesen dieses Kommentarthreads. Jegliche Bearbeitungen daran werden jedoch entfernt, wenn die Datei in einer neueren Version von Excel geöffnet wird. Weitere Informationen: https://go.microsoft.com/fwlink/?linkid=870924.
Kommentar:
    EPD is per m² of panel with 15mm thickness, in material list are noted 80m² of 30mm thickness --&gt; 160m² for LCA process
1900 kg/m3</t>
        </r>
      </text>
    </comment>
    <comment ref="C8" authorId="0">
      <text>
        <r>
          <rPr>
            <sz val="11"/>
            <color rgb="FF000000"/>
            <rFont val="Calibri"/>
            <family val="2"/>
            <charset val="1"/>
          </rPr>
          <t xml:space="preserve">[Kommentarthread]
Ihre Version von Excel gestattet Ihnen das Lesen dieses Kommentarthreads. Jegliche Bearbeitungen daran werden jedoch entfernt, wenn die Datei in einer neueren Version von Excel geöffnet wird. Weitere Informationen: https://go.microsoft.com/fwlink/?linkid=870924.
Kommentar:
    I estimated 150 g per bracket, 0.8 kg per 100 screws, 100 g per angle bracket</t>
        </r>
      </text>
    </comment>
    <comment ref="C11" authorId="0">
      <text>
        <r>
          <rPr>
            <sz val="11"/>
            <color rgb="FF000000"/>
            <rFont val="Calibri"/>
            <family val="2"/>
            <charset val="1"/>
          </rPr>
          <t xml:space="preserve">[Kommentarthread]
Ihre Version von Excel gestattet Ihnen das Lesen dieses Kommentarthreads. Jegliche Bearbeitungen daran werden jedoch entfernt, wenn die Datei in einer neueren Version von Excel geöffnet wird. Weitere Informationen: https://go.microsoft.com/fwlink/?linkid=870924.
Kommentar:
    Density according to EPD &gt;=40 kg/m³</t>
        </r>
      </text>
    </comment>
    <comment ref="C15" authorId="0">
      <text>
        <r>
          <rPr>
            <sz val="11"/>
            <color rgb="FF000000"/>
            <rFont val="Calibri"/>
            <family val="2"/>
            <charset val="1"/>
          </rPr>
          <t xml:space="preserve">[Kommentarthread]
Ihre Version von Excel gestattet Ihnen das Lesen dieses Kommentarthreads. Jegliche Bearbeitungen daran werden jedoch entfernt, wenn die Datei in einer neueren Version von Excel geöffnet wird. Weitere Informationen: https://go.microsoft.com/fwlink/?linkid=870924.
Kommentar:
    density: https://www.obi.de/weitere-gartenhelfer/jute-zuschnitt-standard-h215/p/3157880</t>
        </r>
      </text>
    </comment>
    <comment ref="C16" authorId="0">
      <text>
        <r>
          <rPr>
            <sz val="11"/>
            <color rgb="FF000000"/>
            <rFont val="Calibri"/>
            <family val="2"/>
            <charset val="1"/>
          </rPr>
          <t xml:space="preserve">[Kommentarthread]
Ihre Version von Excel gestattet Ihnen das Lesen dieses Kommentarthreads. Jegliche Bearbeitungen daran werden jedoch entfernt, wenn die Datei in einer neueren Version von Excel geöffnet wird. Weitere Informationen: https://go.microsoft.com/fwlink/?linkid=870924.
Kommentar:
    according website: 195 g/m²</t>
        </r>
      </text>
    </comment>
    <comment ref="C17" authorId="0">
      <text>
        <r>
          <rPr>
            <sz val="11"/>
            <color rgb="FF000000"/>
            <rFont val="Calibri"/>
            <family val="2"/>
            <charset val="1"/>
          </rPr>
          <t xml:space="preserve">[Kommentarthread]
Ihre Version von Excel gestattet Ihnen das Lesen dieses Kommentarthreads. Jegliche Bearbeitungen daran werden jedoch entfernt, wenn die Datei in einer neueren Version von Excel geöffnet wird. Weitere Informationen: https://go.microsoft.com/fwlink/?linkid=870924.
Kommentar:
    Density: 1151 kg/m³</t>
        </r>
      </text>
    </comment>
    <comment ref="C18" authorId="0">
      <text>
        <r>
          <rPr>
            <sz val="11"/>
            <color rgb="FF000000"/>
            <rFont val="Calibri"/>
            <family val="2"/>
            <charset val="1"/>
          </rPr>
          <t xml:space="preserve">[Kommentarthread]
Ihre Version von Excel gestattet Ihnen das Lesen dieses Kommentarthreads. Jegliche Bearbeitungen daran werden jedoch entfernt, wenn die Datei in einer neueren Version von Excel geöffnet wird. Weitere Informationen: https://go.microsoft.com/fwlink/?linkid=870924.
Kommentar:
    Sizes from heat loss calculation
Windows might be reused windows</t>
        </r>
      </text>
    </comment>
    <comment ref="C19" authorId="0">
      <text>
        <r>
          <rPr>
            <sz val="11"/>
            <color rgb="FF000000"/>
            <rFont val="Calibri"/>
            <family val="2"/>
            <charset val="1"/>
          </rPr>
          <t xml:space="preserve">[Kommentarthread]
Ihre Version von Excel gestattet Ihnen das Lesen dieses Kommentarthreads. Jegliche Bearbeitungen daran werden jedoch entfernt, wenn die Datei in einer neueren Version von Excel geöffnet wird. Weitere Informationen: https://go.microsoft.com/fwlink/?linkid=870924.
Kommentar:
    estimation with width of the frame is 0.05 m;</t>
        </r>
      </text>
    </comment>
    <comment ref="K19" authorId="0">
      <text>
        <r>
          <rPr>
            <sz val="11"/>
            <color rgb="FF000000"/>
            <rFont val="Calibri"/>
            <family val="2"/>
            <charset val="1"/>
          </rPr>
          <t xml:space="preserve">[Kommentarthread]
Ihre Version von Excel gestattet Ihnen das Lesen dieses Kommentarthreads. Jegliche Bearbeitungen daran werden jedoch entfernt, wenn die Datei in einer neueren Version von Excel geöffnet wird. Weitere Informationen: https://go.microsoft.com/fwlink/?linkid=870924.
Kommentar:
    wood frame with small parts out of aluminium</t>
        </r>
      </text>
    </comment>
    <comment ref="O4" authorId="0">
      <text>
        <r>
          <rPr>
            <sz val="11"/>
            <color rgb="FF000000"/>
            <rFont val="Calibri"/>
            <family val="2"/>
            <charset val="1"/>
          </rPr>
          <t xml:space="preserve">[Kommentarthread]
Ihre Version von Excel gestattet Ihnen das Lesen dieses Kommentarthreads. Jegliche Bearbeitungen daran werden jedoch entfernt, wenn die Datei in einer neueren Version von Excel geöffnet wird. Weitere Informationen: https://go.microsoft.com/fwlink/?linkid=870924.
Kommentar:
    account an average transportation of 500 km by freigt lorry for all products, except for those with specific information in EPD</t>
        </r>
      </text>
    </comment>
    <comment ref="P6" authorId="0">
      <text>
        <r>
          <rPr>
            <sz val="11"/>
            <color rgb="FF000000"/>
            <rFont val="Calibri"/>
            <family val="2"/>
            <charset val="1"/>
          </rPr>
          <t xml:space="preserve">[Kommentarthread]
Ihre Version von Excel gestattet Ihnen das Lesen dieses Kommentarthreads. Jegliche Bearbeitungen daran werden jedoch entfernt, wenn die Datei in einer neueren Version von Excel geöffnet wird. Weitere Informationen: https://go.microsoft.com/fwlink/?linkid=870924.
Kommentar:
    production in Calbe, germany, distance to brenderup 590 km</t>
        </r>
      </text>
    </comment>
    <comment ref="P12" authorId="0">
      <text>
        <r>
          <rPr>
            <sz val="11"/>
            <color rgb="FF000000"/>
            <rFont val="Calibri"/>
            <family val="2"/>
            <charset val="1"/>
          </rPr>
          <t xml:space="preserve">[Kommentarthread]
Ihre Version von Excel gestattet Ihnen das Lesen dieses Kommentarthreads. Jegliche Bearbeitungen daran werden jedoch entfernt, wenn die Datei in einer neueren Version von Excel geöffnet wird. Weitere Informationen: https://go.microsoft.com/fwlink/?linkid=870924.
Kommentar:
    production in lithuania</t>
        </r>
      </text>
    </comment>
    <comment ref="R6" authorId="0">
      <text>
        <r>
          <rPr>
            <sz val="11"/>
            <color rgb="FF000000"/>
            <rFont val="Calibri"/>
            <family val="2"/>
            <charset val="1"/>
          </rPr>
          <t xml:space="preserve">[Kommentarthread]
Ihre Version von Excel gestattet Ihnen das Lesen dieses Kommentarthreads. Jegliche Bearbeitungen daran werden jedoch entfernt, wenn die Datei in einer neueren Version von Excel geöffnet wird. Weitere Informationen: https://go.microsoft.com/fwlink/?linkid=870924.
Kommentar:
    according EPD density is 950 kg/m³</t>
        </r>
      </text>
    </comment>
    <comment ref="R7" authorId="0">
      <text>
        <r>
          <rPr>
            <sz val="11"/>
            <color rgb="FF000000"/>
            <rFont val="Calibri"/>
            <family val="2"/>
            <charset val="1"/>
          </rPr>
          <t xml:space="preserve">[Kommentarthread]
Ihre Version von Excel gestattet Ihnen das Lesen dieses Kommentarthreads. Jegliche Bearbeitungen daran werden jedoch entfernt, wenn die Datei in einer neueren Version von Excel geöffnet wird. Weitere Informationen: https://go.microsoft.com/fwlink/?linkid=870924.
Kommentar:
    average density of wood = 500 kg/m³
(https://www.engineeringclicks.com/density-of-wood/)</t>
        </r>
      </text>
    </comment>
    <comment ref="R9" authorId="0">
      <text>
        <r>
          <rPr>
            <sz val="11"/>
            <color rgb="FF000000"/>
            <rFont val="Calibri"/>
            <family val="2"/>
            <charset val="1"/>
          </rPr>
          <t xml:space="preserve">[Kommentarthread]
Ihre Version von Excel gestattet Ihnen das Lesen dieses Kommentarthreads. Jegliche Bearbeitungen daran werden jedoch entfernt, wenn die Datei in einer neueren Version von Excel geöffnet wird. Weitere Informationen: https://go.microsoft.com/fwlink/?linkid=870924.
Kommentar:
    Average density OSB panels 640 kg/m³ (https://www.performancepanels.com/lightness-in-weight)</t>
        </r>
      </text>
    </comment>
    <comment ref="R12" authorId="0">
      <text>
        <r>
          <rPr>
            <sz val="11"/>
            <color rgb="FF000000"/>
            <rFont val="Calibri"/>
            <family val="2"/>
            <charset val="1"/>
          </rPr>
          <t xml:space="preserve">[Kommentarthread]
Ihre Version von Excel gestattet Ihnen das Lesen dieses Kommentarthreads. Jegliche Bearbeitungen daran werden jedoch entfernt, wenn die Datei in einer neueren Version von Excel geöffnet wird. Weitere Informationen: https://go.microsoft.com/fwlink/?linkid=870924.
Kommentar:
    Mass per module is 131.8 kg (see calculation in excel sheet)</t>
        </r>
      </text>
    </comment>
  </commentList>
</comments>
</file>

<file path=xl/comments4.xml><?xml version="1.0" encoding="utf-8"?>
<comments xmlns="http://schemas.openxmlformats.org/spreadsheetml/2006/main" xmlns:xdr="http://schemas.openxmlformats.org/drawingml/2006/spreadsheetDrawing">
  <authors>
    <author> </author>
  </authors>
  <commentList>
    <comment ref="C6" authorId="0">
      <text>
        <r>
          <rPr>
            <sz val="11"/>
            <color rgb="FF000000"/>
            <rFont val="Calibri"/>
            <family val="2"/>
            <charset val="1"/>
          </rPr>
          <t xml:space="preserve">[Kommentarthread]
Ihre Version von Excel gestattet Ihnen das Lesen dieses Kommentarthreads. Jegliche Bearbeitungen daran werden jedoch entfernt, wenn die Datei in einer neueren Version von Excel geöffnet wird. Weitere Informationen: https://go.microsoft.com/fwlink/?linkid=870924.
Kommentar:
    Assumption: 0.8 kg/100 screws (for approx. 5x50); 0.4 kg/100 screws (for appr. 4x30), 0.4 kg/screw plate, 150 g per bracket</t>
        </r>
      </text>
    </comment>
    <comment ref="C10" authorId="0">
      <text>
        <r>
          <rPr>
            <sz val="11"/>
            <color rgb="FF000000"/>
            <rFont val="Calibri"/>
            <family val="2"/>
            <charset val="1"/>
          </rPr>
          <t xml:space="preserve">[Kommentarthread]
Ihre Version von Excel gestattet Ihnen das Lesen dieses Kommentarthreads. Jegliche Bearbeitungen daran werden jedoch entfernt, wenn die Datei in einer neueren Version von Excel geöffnet wird. Weitere Informationen: https://go.microsoft.com/fwlink/?linkid=870924.
Kommentar:
    according to website: 9 kg/m², but check EPD again!</t>
        </r>
      </text>
    </comment>
    <comment ref="C11" authorId="0">
      <text>
        <r>
          <rPr>
            <sz val="11"/>
            <color rgb="FF000000"/>
            <rFont val="Calibri"/>
            <family val="2"/>
            <charset val="1"/>
          </rPr>
          <t xml:space="preserve">[Kommentarthread]
Ihre Version von Excel gestattet Ihnen das Lesen dieses Kommentarthreads. Jegliche Bearbeitungen daran werden jedoch entfernt, wenn die Datei in einer neueren Version von Excel geöffnet wird. Weitere Informationen: https://go.microsoft.com/fwlink/?linkid=870924.
Kommentar:
    according website are dimensions 19x100mm</t>
        </r>
      </text>
    </comment>
    <comment ref="C12" authorId="0">
      <text>
        <r>
          <rPr>
            <sz val="11"/>
            <color rgb="FF000000"/>
            <rFont val="Calibri"/>
            <family val="2"/>
            <charset val="1"/>
          </rPr>
          <t xml:space="preserve">[Kommentarthread]
Ihre Version von Excel gestattet Ihnen das Lesen dieses Kommentarthreads. Jegliche Bearbeitungen daran werden jedoch entfernt, wenn die Datei in einer neueren Version von Excel geöffnet wird. Weitere Informationen: https://go.microsoft.com/fwlink/?linkid=870924.
Kommentar:
    according website 45 kg/100m</t>
        </r>
      </text>
    </comment>
    <comment ref="C15" authorId="0">
      <text>
        <r>
          <rPr>
            <sz val="11"/>
            <color rgb="FF000000"/>
            <rFont val="Calibri"/>
            <family val="2"/>
            <charset val="1"/>
          </rPr>
          <t xml:space="preserve">[Kommentarthread]
Ihre Version von Excel gestattet Ihnen das Lesen dieses Kommentarthreads. Jegliche Bearbeitungen daran werden jedoch entfernt, wenn die Datei in einer neueren Version von Excel geöffnet wird. Weitere Informationen: https://go.microsoft.com/fwlink/?linkid=870924.
Kommentar:
    according to website: 260 g/m²</t>
        </r>
      </text>
    </comment>
    <comment ref="C17" authorId="0">
      <text>
        <r>
          <rPr>
            <sz val="11"/>
            <color rgb="FF000000"/>
            <rFont val="Calibri"/>
            <family val="2"/>
            <charset val="1"/>
          </rPr>
          <t xml:space="preserve">[Kommentarthread]
Ihre Version von Excel gestattet Ihnen das Lesen dieses Kommentarthreads. Jegliche Bearbeitungen daran werden jedoch entfernt, wenn die Datei in einer neueren Version von Excel geöffnet wird. Weitere Informationen: https://go.microsoft.com/fwlink/?linkid=870924.
Kommentar:
    according to website: 4.5 kg/m²</t>
        </r>
      </text>
    </comment>
    <comment ref="C20" authorId="0">
      <text>
        <r>
          <rPr>
            <sz val="11"/>
            <color rgb="FF000000"/>
            <rFont val="Calibri"/>
            <family val="2"/>
            <charset val="1"/>
          </rPr>
          <t xml:space="preserve">[Kommentarthread]
Ihre Version von Excel gestattet Ihnen das Lesen dieses Kommentarthreads. Jegliche Bearbeitungen daran werden jedoch entfernt, wenn die Datei in einer neueren Version von Excel geöffnet wird. Weitere Informationen: https://go.microsoft.com/fwlink/?linkid=870924.
Kommentar:
    http://www.icopal.dk/Produkter/Damp_fugt_vind/Fugtsparrer.aspx</t>
        </r>
      </text>
    </comment>
    <comment ref="C21" authorId="0">
      <text>
        <r>
          <rPr>
            <sz val="11"/>
            <color rgb="FF000000"/>
            <rFont val="Calibri"/>
            <family val="2"/>
            <charset val="1"/>
          </rPr>
          <t xml:space="preserve">[Kommentarthread]
Ihre Version von Excel gestattet Ihnen das Lesen dieses Kommentarthreads. Jegliche Bearbeitungen daran werden jedoch entfernt, wenn die Datei in einer neueren Version von Excel geöffnet wird. Weitere Informationen: https://go.microsoft.com/fwlink/?linkid=870924.
Kommentar:
    1 liter of paint is approx 1 kg</t>
        </r>
      </text>
    </comment>
    <comment ref="C23" authorId="0">
      <text>
        <r>
          <rPr>
            <sz val="11"/>
            <color rgb="FF000000"/>
            <rFont val="Calibri"/>
            <family val="2"/>
            <charset val="1"/>
          </rPr>
          <t xml:space="preserve">[Kommentarthread]
Ihre Version von Excel gestattet Ihnen das Lesen dieses Kommentarthreads. Jegliche Bearbeitungen daran werden jedoch entfernt, wenn die Datei in einer neueren Version von Excel geöffnet wird. Weitere Informationen: https://go.microsoft.com/fwlink/?linkid=870924.
Kommentar:
    from Jetties heat loss calculation</t>
        </r>
      </text>
    </comment>
    <comment ref="C24" authorId="0">
      <text>
        <r>
          <rPr>
            <sz val="11"/>
            <color rgb="FF000000"/>
            <rFont val="Calibri"/>
            <family val="2"/>
            <charset val="1"/>
          </rPr>
          <t xml:space="preserve">[Kommentarthread]
Ihre Version von Excel gestattet Ihnen das Lesen dieses Kommentarthreads. Jegliche Bearbeitungen daran werden jedoch entfernt, wenn die Datei in einer neueren Version von Excel geöffnet wird. Weitere Informationen: https://go.microsoft.com/fwlink/?linkid=870924.
Kommentar:
    reused windows??
Antwort:
    estimation: width of the frame is 0.05 m; area of frame itself and not from the window is needed</t>
        </r>
      </text>
    </comment>
    <comment ref="C25" authorId="0">
      <text>
        <r>
          <rPr>
            <sz val="11"/>
            <color rgb="FF000000"/>
            <rFont val="Calibri"/>
            <family val="2"/>
            <charset val="1"/>
          </rPr>
          <t xml:space="preserve">[Kommentarthread]
Ihre Version von Excel gestattet Ihnen das Lesen dieses Kommentarthreads. Jegliche Bearbeitungen daran werden jedoch entfernt, wenn die Datei in einer neueren Version von Excel geöffnet wird. Weitere Informationen: https://go.microsoft.com/fwlink/?linkid=870924.
Kommentar:
    from Jetties heat loss calculation</t>
        </r>
      </text>
    </comment>
    <comment ref="K24" authorId="0">
      <text>
        <r>
          <rPr>
            <sz val="11"/>
            <color rgb="FF000000"/>
            <rFont val="Calibri"/>
            <family val="2"/>
            <charset val="1"/>
          </rPr>
          <t xml:space="preserve">[Kommentarthread]
Ihre Version von Excel gestattet Ihnen das Lesen dieses Kommentarthreads. Jegliche Bearbeitungen daran werden jedoch entfernt, wenn die Datei in einer neueren Version von Excel geöffnet wird. Weitere Informationen: https://go.microsoft.com/fwlink/?linkid=870924.
Kommentar:
    wood frame with small parts out of aluminium</t>
        </r>
      </text>
    </comment>
    <comment ref="O4" authorId="0">
      <text>
        <r>
          <rPr>
            <sz val="11"/>
            <color rgb="FF000000"/>
            <rFont val="Calibri"/>
            <family val="2"/>
            <charset val="1"/>
          </rPr>
          <t xml:space="preserve">[Kommentarthread]
Ihre Version von Excel gestattet Ihnen das Lesen dieses Kommentarthreads. Jegliche Bearbeitungen daran werden jedoch entfernt, wenn die Datei in einer neueren Version von Excel geöffnet wird. Weitere Informationen: https://go.microsoft.com/fwlink/?linkid=870924.
Kommentar:
    account an average transportation of 500 km by freigt lorry for all products, except for those with specific information in EPD</t>
        </r>
      </text>
    </comment>
    <comment ref="P10" authorId="0">
      <text>
        <r>
          <rPr>
            <sz val="11"/>
            <color rgb="FF000000"/>
            <rFont val="Calibri"/>
            <family val="2"/>
            <charset val="1"/>
          </rPr>
          <t xml:space="preserve">[Kommentarthread]
Ihre Version von Excel gestattet Ihnen das Lesen dieses Kommentarthreads. Jegliche Bearbeitungen daran werden jedoch entfernt, wenn die Datei in einer neueren Version von Excel geöffnet wird. Weitere Informationen: https://go.microsoft.com/fwlink/?linkid=870924.
Kommentar:
    according EPD production in Kalundborg, DK; distance 136 km to Brenderup</t>
        </r>
      </text>
    </comment>
    <comment ref="P19" authorId="0">
      <text>
        <r>
          <rPr>
            <sz val="11"/>
            <color rgb="FF000000"/>
            <rFont val="Calibri"/>
            <family val="2"/>
            <charset val="1"/>
          </rPr>
          <t xml:space="preserve">[Kommentarthread]
Ihre Version von Excel gestattet Ihnen das Lesen dieses Kommentarthreads. Jegliche Bearbeitungen daran werden jedoch entfernt, wenn die Datei in einer neueren Version von Excel geöffnet wird. Weitere Informationen: https://go.microsoft.com/fwlink/?linkid=870924.
Kommentar:
    according to EPD</t>
        </r>
      </text>
    </comment>
    <comment ref="R7" authorId="0">
      <text>
        <r>
          <rPr>
            <sz val="11"/>
            <color rgb="FF000000"/>
            <rFont val="Calibri"/>
            <family val="2"/>
            <charset val="1"/>
          </rPr>
          <t xml:space="preserve">[Kommentarthread]
Ihre Version von Excel gestattet Ihnen das Lesen dieses Kommentarthreads. Jegliche Bearbeitungen daran werden jedoch entfernt, wenn die Datei in einer neueren Version von Excel geöffnet wird. Weitere Informationen: https://go.microsoft.com/fwlink/?linkid=870924.
Kommentar:
    average density of wood = 500 kg/m³
(https://www.engineeringclicks.com/density-of-wood/)</t>
        </r>
      </text>
    </comment>
    <comment ref="R13" authorId="0">
      <text>
        <r>
          <rPr>
            <sz val="11"/>
            <color rgb="FF000000"/>
            <rFont val="Calibri"/>
            <family val="2"/>
            <charset val="1"/>
          </rPr>
          <t xml:space="preserve">[Kommentarthread]
Ihre Version von Excel gestattet Ihnen das Lesen dieses Kommentarthreads. Jegliche Bearbeitungen daran werden jedoch entfernt, wenn die Datei in einer neueren Version von Excel geöffnet wird. Weitere Informationen: https://go.microsoft.com/fwlink/?linkid=870924.
Kommentar:
    according material list thickness 35mm</t>
        </r>
      </text>
    </comment>
    <comment ref="R14" authorId="0">
      <text>
        <r>
          <rPr>
            <sz val="11"/>
            <color rgb="FF000000"/>
            <rFont val="Calibri"/>
            <family val="2"/>
            <charset val="1"/>
          </rPr>
          <t xml:space="preserve">[Kommentarthread]
Ihre Version von Excel gestattet Ihnen das Lesen dieses Kommentarthreads. Jegliche Bearbeitungen daran werden jedoch entfernt, wenn die Datei in einer neueren Version von Excel geöffnet wird. Weitere Informationen: https://go.microsoft.com/fwlink/?linkid=870924.
Kommentar:
    Average density OSB panels 640 kg/m³ (https://www.performancepanels.com/lightness-in-weight)</t>
        </r>
      </text>
    </comment>
    <comment ref="R18" authorId="0">
      <text>
        <r>
          <rPr>
            <sz val="11"/>
            <color rgb="FF000000"/>
            <rFont val="Calibri"/>
            <family val="2"/>
            <charset val="1"/>
          </rPr>
          <t xml:space="preserve">[Kommentarthread]
Ihre Version von Excel gestattet Ihnen das Lesen dieses Kommentarthreads. Jegliche Bearbeitungen daran werden jedoch entfernt, wenn die Datei in einer neueren Version von Excel geöffnet wird. Weitere Informationen: https://go.microsoft.com/fwlink/?linkid=870924.
Kommentar:
    Average density of plywood is 640 kg/m³ (https://www.performancepanels.com/lightness-in-weight)</t>
        </r>
      </text>
    </comment>
    <comment ref="AJ6" authorId="0">
      <text>
        <r>
          <rPr>
            <sz val="11"/>
            <color rgb="FF000000"/>
            <rFont val="Calibri"/>
            <family val="2"/>
            <charset val="1"/>
          </rPr>
          <t xml:space="preserve">[Kommentarthread]
Ihre Version von Excel gestattet Ihnen das Lesen dieses Kommentarthreads. Jegliche Bearbeitungen daran werden jedoch entfernt, wenn die Datei in einer neueren Version von Excel geöffnet wird. Weitere Informationen: https://go.microsoft.com/fwlink/?linkid=870924.
Kommentar:
    reference: final bottom ash factsheet</t>
        </r>
      </text>
    </comment>
  </commentList>
</comments>
</file>

<file path=xl/comments5.xml><?xml version="1.0" encoding="utf-8"?>
<comments xmlns="http://schemas.openxmlformats.org/spreadsheetml/2006/main" xmlns:xdr="http://schemas.openxmlformats.org/drawingml/2006/spreadsheetDrawing">
  <authors>
    <author> </author>
  </authors>
  <commentList>
    <comment ref="C9" authorId="0">
      <text>
        <r>
          <rPr>
            <sz val="11"/>
            <color rgb="FF000000"/>
            <rFont val="Calibri"/>
            <family val="2"/>
            <charset val="1"/>
          </rPr>
          <t xml:space="preserve">[Kommentarthread]
Ihre Version von Excel gestattet Ihnen das Lesen dieses Kommentarthreads. Jegliche Bearbeitungen daran werden jedoch entfernt, wenn die Datei in einer neueren Version von Excel geöffnet wird. Weitere Informationen: https://go.microsoft.com/fwlink/?linkid=870924.
Kommentar:
    60 cells per AS-6P30 panel</t>
        </r>
      </text>
    </comment>
    <comment ref="N10" authorId="0">
      <text>
        <r>
          <rPr>
            <sz val="11"/>
            <color rgb="FF000000"/>
            <rFont val="Calibri"/>
            <family val="2"/>
            <charset val="1"/>
          </rPr>
          <t xml:space="preserve">[Kommentarthread]
Ihre Version von Excel gestattet Ihnen das Lesen dieses Kommentarthreads. Jegliche Bearbeitungen daran werden jedoch entfernt, wenn die Datei in einer neueren Version von Excel geöffnet wird. Weitere Informationen: https://go.microsoft.com/fwlink/?linkid=870924.
Kommentar:
    https://www.searates.com/services/distances-time/
Antwort:
    San Francisco nach Rotterdam - Schiff; Rotterdam bis Brenderup - Truck</t>
        </r>
      </text>
    </comment>
  </commentList>
</comments>
</file>

<file path=xl/comments6.xml><?xml version="1.0" encoding="utf-8"?>
<comments xmlns="http://schemas.openxmlformats.org/spreadsheetml/2006/main" xmlns:xdr="http://schemas.openxmlformats.org/drawingml/2006/spreadsheetDrawing">
  <authors>
    <author> </author>
  </authors>
  <commentList>
    <comment ref="N10" authorId="0">
      <text>
        <r>
          <rPr>
            <sz val="11"/>
            <color rgb="FF000000"/>
            <rFont val="Calibri"/>
            <family val="2"/>
            <charset val="1"/>
          </rPr>
          <t xml:space="preserve">[Kommentarthread]
Ihre Version von Excel gestattet Ihnen das Lesen dieses Kommentarthreads. Jegliche Bearbeitungen daran werden jedoch entfernt, wenn die Datei in einer neueren Version von Excel geöffnet wird. Weitere Informationen: https://go.microsoft.com/fwlink/?linkid=870924.
Kommentar:
    account an average transportation of 500 km by freigt lorry for all products, except for those with specific information in EPD</t>
        </r>
      </text>
    </comment>
  </commentList>
</comments>
</file>

<file path=xl/comments7.xml><?xml version="1.0" encoding="utf-8"?>
<comments xmlns="http://schemas.openxmlformats.org/spreadsheetml/2006/main" xmlns:xdr="http://schemas.openxmlformats.org/drawingml/2006/spreadsheetDrawing">
  <authors>
    <author> </author>
  </authors>
  <commentList>
    <comment ref="C9" authorId="0">
      <text>
        <r>
          <rPr>
            <sz val="11"/>
            <color rgb="FF000000"/>
            <rFont val="Calibri"/>
            <family val="2"/>
            <charset val="1"/>
          </rPr>
          <t xml:space="preserve">[Kommentarthread]
Ihre Version von Excel gestattet Ihnen das Lesen dieses Kommentarthreads. Jegliche Bearbeitungen daran werden jedoch entfernt, wenn die Datei in einer neueren Version von Excel geöffnet wird. Weitere Informationen: https://go.microsoft.com/fwlink/?linkid=870924.
Kommentar:
    Kishita 2016</t>
        </r>
      </text>
    </comment>
    <comment ref="C10" authorId="0">
      <text>
        <r>
          <rPr>
            <sz val="11"/>
            <color rgb="FF000000"/>
            <rFont val="Calibri"/>
            <family val="2"/>
            <charset val="1"/>
          </rPr>
          <t xml:space="preserve">[Kommentarthread]
Ihre Version von Excel gestattet Ihnen das Lesen dieses Kommentarthreads. Jegliche Bearbeitungen daran werden jedoch entfernt, wenn die Datei in einer neueren Version von Excel geöffnet wird. Weitere Informationen: https://go.microsoft.com/fwlink/?linkid=870924.
Kommentar:
    estimated</t>
        </r>
      </text>
    </comment>
    <comment ref="C11" authorId="0">
      <text>
        <r>
          <rPr>
            <sz val="11"/>
            <color rgb="FF000000"/>
            <rFont val="Calibri"/>
            <family val="2"/>
            <charset val="1"/>
          </rPr>
          <t xml:space="preserve">[Kommentarthread]
Ihre Version von Excel gestattet Ihnen das Lesen dieses Kommentarthreads. Jegliche Bearbeitungen daran werden jedoch entfernt, wenn die Datei in einer neueren Version von Excel geöffnet wird. Weitere Informationen: https://go.microsoft.com/fwlink/?linkid=870924.
Kommentar:
    estimated</t>
        </r>
      </text>
    </comment>
    <comment ref="K9" authorId="0">
      <text>
        <r>
          <rPr>
            <sz val="11"/>
            <color rgb="FF000000"/>
            <rFont val="Calibri"/>
            <family val="2"/>
            <charset val="1"/>
          </rPr>
          <t xml:space="preserve">[Kommentarthread]
Ihre Version von Excel gestattet Ihnen das Lesen dieses Kommentarthreads. Jegliche Bearbeitungen daran werden jedoch entfernt, wenn die Datei in einer neueren Version von Excel geöffnet wird. Weitere Informationen: https://go.microsoft.com/fwlink/?linkid=870924.
Kommentar:
    WHY is the climate impact highly negative????? According to Kishita 2016 it is 7.39 kg CO2/module</t>
        </r>
      </text>
    </comment>
    <comment ref="N8" authorId="0">
      <text>
        <r>
          <rPr>
            <sz val="11"/>
            <color rgb="FF000000"/>
            <rFont val="Calibri"/>
            <family val="2"/>
            <charset val="1"/>
          </rPr>
          <t xml:space="preserve">[Kommentarthread]
Ihre Version von Excel gestattet Ihnen das Lesen dieses Kommentarthreads. Jegliche Bearbeitungen daran werden jedoch entfernt, wenn die Datei in einer neueren Version von Excel geöffnet wird. Weitere Informationen: https://go.microsoft.com/fwlink/?linkid=870924.
Kommentar:
    account an average transportation of 500 km by freigt lorry for all products, except for those with specific information in EPD</t>
        </r>
      </text>
    </comment>
  </commentList>
</comments>
</file>

<file path=xl/comments8.xml><?xml version="1.0" encoding="utf-8"?>
<comments xmlns="http://schemas.openxmlformats.org/spreadsheetml/2006/main" xmlns:xdr="http://schemas.openxmlformats.org/drawingml/2006/spreadsheetDrawing">
  <authors>
    <author> </author>
  </authors>
  <commentList>
    <comment ref="C12" authorId="0">
      <text>
        <r>
          <rPr>
            <sz val="11"/>
            <color rgb="FF000000"/>
            <rFont val="Calibri"/>
            <family val="2"/>
            <charset val="1"/>
          </rPr>
          <t xml:space="preserve">[Kommentarthread]
Ihre Version von Excel gestattet Ihnen das Lesen dieses Kommentarthreads. Jegliche Bearbeitungen daran werden jedoch entfernt, wenn die Datei in einer neueren Version von Excel geöffnet wird. Weitere Informationen: https://go.microsoft.com/fwlink/?linkid=870924.
Kommentar:
    Assumption</t>
        </r>
      </text>
    </comment>
    <comment ref="C18" authorId="0">
      <text>
        <r>
          <rPr>
            <sz val="11"/>
            <color rgb="FF000000"/>
            <rFont val="Calibri"/>
            <family val="2"/>
            <charset val="1"/>
          </rPr>
          <t xml:space="preserve">[Kommentarthread]
Ihre Version von Excel gestattet Ihnen das Lesen dieses Kommentarthreads. Jegliche Bearbeitungen daran werden jedoch entfernt, wenn die Datei in einer neueren Version von Excel geöffnet wird. Weitere Informationen: https://go.microsoft.com/fwlink/?linkid=870924.
Kommentar:
    according to EPDs</t>
        </r>
      </text>
    </comment>
  </commentList>
</comments>
</file>

<file path=xl/comments9.xml><?xml version="1.0" encoding="utf-8"?>
<comments xmlns="http://schemas.openxmlformats.org/spreadsheetml/2006/main" xmlns:xdr="http://schemas.openxmlformats.org/drawingml/2006/spreadsheetDrawing">
  <authors>
    <author> </author>
  </authors>
  <commentList>
    <comment ref="B5" authorId="0">
      <text>
        <r>
          <rPr>
            <sz val="11"/>
            <color rgb="FF000000"/>
            <rFont val="Calibri"/>
            <family val="2"/>
            <charset val="1"/>
          </rPr>
          <t xml:space="preserve">[Kommentarthread]
Ihre Version von Excel gestattet Ihnen das Lesen dieses Kommentarthreads. Jegliche Bearbeitungen daran werden jedoch entfernt, wenn die Datei in einer neueren Version von Excel geöffnet wird. Weitere Informationen: https://go.microsoft.com/fwlink/?linkid=870924.
Kommentar:
    Standard thickness: https://ecococon.eu/gb/the-panel</t>
        </r>
      </text>
    </comment>
    <comment ref="B13" authorId="0">
      <text>
        <r>
          <rPr>
            <sz val="11"/>
            <color rgb="FF000000"/>
            <rFont val="Calibri"/>
            <family val="2"/>
            <charset val="1"/>
          </rPr>
          <t xml:space="preserve">[Kommentarthread]
Ihre Version von Excel gestattet Ihnen das Lesen dieses Kommentarthreads. Jegliche Bearbeitungen daran werden jedoch entfernt, wenn die Datei in einer neueren Version von Excel geöffnet wird. Weitere Informationen: https://go.microsoft.com/fwlink/?linkid=870924.
Kommentar:
    Standard thickness: https://ecococon.eu/gb/the-panel</t>
        </r>
      </text>
    </comment>
    <comment ref="C23" authorId="0">
      <text>
        <r>
          <rPr>
            <sz val="11"/>
            <color rgb="FF000000"/>
            <rFont val="Calibri"/>
            <family val="2"/>
            <charset val="1"/>
          </rPr>
          <t xml:space="preserve">[Kommentarthread]
Ihre Version von Excel gestattet Ihnen das Lesen dieses Kommentarthreads. Jegliche Bearbeitungen daran werden jedoch entfernt, wenn die Datei in einer neueren Version von Excel geöffnet wird. Weitere Informationen: https://go.microsoft.com/fwlink/?linkid=870924.
Kommentar:
    Electricity grid Lithuania
Estimation</t>
        </r>
      </text>
    </comment>
    <comment ref="D13" authorId="0">
      <text>
        <r>
          <rPr>
            <sz val="11"/>
            <color rgb="FF000000"/>
            <rFont val="Calibri"/>
            <family val="2"/>
            <charset val="1"/>
          </rPr>
          <t xml:space="preserve">[Kommentarthread]
Ihre Version von Excel gestattet Ihnen das Lesen dieses Kommentarthreads. Jegliche Bearbeitungen daran werden jedoch entfernt, wenn die Datei in einer neueren Version von Excel geöffnet wird. Weitere Informationen: https://go.microsoft.com/fwlink/?linkid=870924.
Kommentar:
    Dimensions from https://ecococon.eu/assets/legal/05-structural-design---earthquake-test-results-(en).pdf
Wood type: C24 = coniferous softwood</t>
        </r>
      </text>
    </comment>
    <comment ref="D16" authorId="0">
      <text>
        <r>
          <rPr>
            <sz val="11"/>
            <color rgb="FF000000"/>
            <rFont val="Calibri"/>
            <family val="2"/>
            <charset val="1"/>
          </rPr>
          <t xml:space="preserve">[Kommentarthread]
Ihre Version von Excel gestattet Ihnen das Lesen dieses Kommentarthreads. Jegliche Bearbeitungen daran werden jedoch entfernt, wenn die Datei in einer neueren Version von Excel geöffnet wird. Weitere Informationen: https://go.microsoft.com/fwlink/?linkid=870924.
Kommentar:
    for example: https://www.dupont.co.uk/content/dam/dupont/emea/gb/english/Performance-Building-Solutions/public/documents/Tyvek_AirGuard_Smart_Brochure_EN.pdf
Density: 92 g/m²
Material: Tyvek® with polymeric coating</t>
        </r>
      </text>
    </comment>
    <comment ref="D23" authorId="0">
      <text>
        <r>
          <rPr>
            <sz val="11"/>
            <color rgb="FF000000"/>
            <rFont val="Calibri"/>
            <family val="2"/>
            <charset val="1"/>
          </rPr>
          <t xml:space="preserve">[Kommentarthread]
Ihre Version von Excel gestattet Ihnen das Lesen dieses Kommentarthreads. Jegliche Bearbeitungen daran werden jedoch entfernt, wenn die Datei in einer neueren Version von Excel geöffnet wird. Weitere Informationen: https://go.microsoft.com/fwlink/?linkid=870924.
Kommentar:
    Production is in Kybartai, Lithuania --&gt; distance to Brenderup ca. 1500 km</t>
        </r>
      </text>
    </comment>
    <comment ref="E16" authorId="0">
      <text>
        <r>
          <rPr>
            <sz val="11"/>
            <color rgb="FF000000"/>
            <rFont val="Calibri"/>
            <family val="2"/>
            <charset val="1"/>
          </rPr>
          <t xml:space="preserve">[Kommentarthread]
Ihre Version von Excel gestattet Ihnen das Lesen dieses Kommentarthreads. Jegliche Bearbeitungen daran werden jedoch entfernt, wenn die Datei in einer neueren Version von Excel geöffnet wird. Weitere Informationen: https://go.microsoft.com/fwlink/?linkid=870924.
Kommentar:
    thickness: 6-10 cm --&gt; 8 cm
Antwort:
    in openLCA: fibreboard production, soft, from wet &amp; dry processes [m³]</t>
        </r>
      </text>
    </comment>
  </commentList>
</comments>
</file>

<file path=xl/sharedStrings.xml><?xml version="1.0" encoding="utf-8"?>
<sst xmlns="http://schemas.openxmlformats.org/spreadsheetml/2006/main" count="1262" uniqueCount="340">
  <si>
    <t xml:space="preserve">Database</t>
  </si>
  <si>
    <t xml:space="preserve">grobund tinyhouse</t>
  </si>
  <si>
    <t xml:space="preserve">Database parameters</t>
  </si>
  <si>
    <t xml:space="preserve">name</t>
  </si>
  <si>
    <t xml:space="preserve">amount</t>
  </si>
  <si>
    <t xml:space="preserve">database</t>
  </si>
  <si>
    <t xml:space="preserve">khwm2_th</t>
  </si>
  <si>
    <t xml:space="preserve">Activity</t>
  </si>
  <si>
    <t xml:space="preserve">wood tiny house materials</t>
  </si>
  <si>
    <t xml:space="preserve">location</t>
  </si>
  <si>
    <t xml:space="preserve">DK</t>
  </si>
  <si>
    <t xml:space="preserve">reference product</t>
  </si>
  <si>
    <t xml:space="preserve">wood tinyhouse</t>
  </si>
  <si>
    <t xml:space="preserve">type</t>
  </si>
  <si>
    <t xml:space="preserve">process</t>
  </si>
  <si>
    <t xml:space="preserve">unit</t>
  </si>
  <si>
    <t xml:space="preserve">square meter</t>
  </si>
  <si>
    <t xml:space="preserve">comment</t>
  </si>
  <si>
    <t xml:space="preserve">18 m2 wood tiny house case study from Grobund Brenderup. Based on Annika Zindels master thesis.
The Wooden House has 18 m² and is mainly built out of timber. It is constructed as part of a sustainability project from Brenderup Højskole</t>
  </si>
  <si>
    <t xml:space="preserve">Exchanges</t>
  </si>
  <si>
    <t xml:space="preserve">formula</t>
  </si>
  <si>
    <t xml:space="preserve">original_amount</t>
  </si>
  <si>
    <t xml:space="preserve">production</t>
  </si>
  <si>
    <t xml:space="preserve">cutoff391</t>
  </si>
  <si>
    <t xml:space="preserve">technosphere</t>
  </si>
  <si>
    <t xml:space="preserve">nails, screws, brackets</t>
  </si>
  <si>
    <t xml:space="preserve">market for sawnwood, hardwood, dried (u=10%), planed</t>
  </si>
  <si>
    <t xml:space="preserve">kilogram</t>
  </si>
  <si>
    <t xml:space="preserve">market for steel, low-alloyed</t>
  </si>
  <si>
    <t xml:space="preserve">market for sawnwood, softwood, dried (u=10%), planed</t>
  </si>
  <si>
    <t xml:space="preserve">sawnwood, hardwood</t>
  </si>
  <si>
    <t xml:space="preserve">cubic meter</t>
  </si>
  <si>
    <t xml:space="preserve">sawnwood, softwood</t>
  </si>
  <si>
    <t xml:space="preserve">gypsum plasterboard</t>
  </si>
  <si>
    <t xml:space="preserve">market for gypsum plasterboard</t>
  </si>
  <si>
    <t xml:space="preserve">steel tape</t>
  </si>
  <si>
    <t xml:space="preserve">wood cladding, softwood</t>
  </si>
  <si>
    <t xml:space="preserve">market for wood cladding, softwood</t>
  </si>
  <si>
    <t xml:space="preserve">oriented strand board</t>
  </si>
  <si>
    <t xml:space="preserve">market for oriented strand board</t>
  </si>
  <si>
    <t xml:space="preserve">packaging film</t>
  </si>
  <si>
    <t xml:space="preserve">market for packaging film, low density polyethylene</t>
  </si>
  <si>
    <t xml:space="preserve">polyurethane adhesive</t>
  </si>
  <si>
    <t xml:space="preserve">market for polyurethane adhesive</t>
  </si>
  <si>
    <t xml:space="preserve">polyester-complexed starch biopolymer</t>
  </si>
  <si>
    <t xml:space="preserve">market for polyester-complexed starch biopolymer</t>
  </si>
  <si>
    <t xml:space="preserve">plywood</t>
  </si>
  <si>
    <t xml:space="preserve">market for plywood</t>
  </si>
  <si>
    <t xml:space="preserve">cellulose fibre</t>
  </si>
  <si>
    <t xml:space="preserve">market for cellulose fibre</t>
  </si>
  <si>
    <t xml:space="preserve">bitumen seal</t>
  </si>
  <si>
    <t xml:space="preserve">market for bitumen seal</t>
  </si>
  <si>
    <t xml:space="preserve">alkyd paint</t>
  </si>
  <si>
    <t xml:space="preserve">market for alkyd paint, white, without water, in 60% solution state</t>
  </si>
  <si>
    <t xml:space="preserve">market for alkyd paint, white, without solvent, in 60% solution state</t>
  </si>
  <si>
    <t xml:space="preserve">glazing, triple, U&lt;0.5 W/m2K</t>
  </si>
  <si>
    <t xml:space="preserve">market for glazing, triple, U&lt;0.5 W/m2K</t>
  </si>
  <si>
    <t xml:space="preserve">cutoff392</t>
  </si>
  <si>
    <t xml:space="preserve">window frame, wood-metal, U=1.6 W/m2K</t>
  </si>
  <si>
    <t xml:space="preserve">market for window frame, wood-metal, U=1.6 W/m2K</t>
  </si>
  <si>
    <t xml:space="preserve">cutoff393</t>
  </si>
  <si>
    <t xml:space="preserve">foundation screws (12 pieces, Krinner F76x1600 R + PS-150R)</t>
  </si>
  <si>
    <t xml:space="preserve">door, outer, wood-aluminium</t>
  </si>
  <si>
    <t xml:space="preserve">market for door, outer, wood-aluminium</t>
  </si>
  <si>
    <t xml:space="preserve">ecococon tiny house materials</t>
  </si>
  <si>
    <t xml:space="preserve">ecococon tinyhouse</t>
  </si>
  <si>
    <t xml:space="preserve">25 m2 “ecococoon” tiny house case study from Grobund Brenderup. Based on Annika Zindels master thesis.
The EcoCocon House has a living space area of 25 m², and the walls are built out of straw panels manufactured by EcoCocon</t>
  </si>
  <si>
    <t xml:space="preserve">wall module</t>
  </si>
  <si>
    <t xml:space="preserve">ecococon wall module</t>
  </si>
  <si>
    <t xml:space="preserve">ecococon module materials</t>
  </si>
  <si>
    <t xml:space="preserve">fibre cement facing tile</t>
  </si>
  <si>
    <t xml:space="preserve">market for fibre cement facing tile</t>
  </si>
  <si>
    <t xml:space="preserve">clay plaster</t>
  </si>
  <si>
    <t xml:space="preserve">market for clay plaster</t>
  </si>
  <si>
    <t xml:space="preserve">fibre, jute</t>
  </si>
  <si>
    <t xml:space="preserve">market for fibre, jute</t>
  </si>
  <si>
    <t xml:space="preserve">foundation screws (9 pieces, Krinner F76x1600 R + PS-150R)</t>
  </si>
  <si>
    <t xml:space="preserve">straw</t>
  </si>
  <si>
    <t xml:space="preserve">market for straw</t>
  </si>
  <si>
    <t xml:space="preserve">medium density fibreboard</t>
  </si>
  <si>
    <t xml:space="preserve">market for medium density fibreboard</t>
  </si>
  <si>
    <t xml:space="preserve">ecococon module</t>
  </si>
  <si>
    <t xml:space="preserve">EcoCocon wall module, 2.9 x 0.8 x 0.4 m (2.32 m2  /  0.928 m3). 
Straw, wood, fiber board and membrane. Data collection by Annika Zindels thesis</t>
  </si>
  <si>
    <t xml:space="preserve">1/50</t>
  </si>
  <si>
    <t xml:space="preserve">skip</t>
  </si>
  <si>
    <t xml:space="preserve">Inventory data - Containerhouse 50 m²</t>
  </si>
  <si>
    <t xml:space="preserve">Product stage (A1-3)</t>
  </si>
  <si>
    <t xml:space="preserve">Construction process stage (A4-5)</t>
  </si>
  <si>
    <t xml:space="preserve">Use stage (B1-5)</t>
  </si>
  <si>
    <t xml:space="preserve">End of life stage (C1-4)</t>
  </si>
  <si>
    <t xml:space="preserve">PosNo.</t>
  </si>
  <si>
    <t xml:space="preserve">Material</t>
  </si>
  <si>
    <t xml:space="preserve">Amount</t>
  </si>
  <si>
    <t xml:space="preserve">Unit</t>
  </si>
  <si>
    <t xml:space="preserve">Raw material supply (A1)</t>
  </si>
  <si>
    <t xml:space="preserve">Transport (A2)</t>
  </si>
  <si>
    <t xml:space="preserve">Manufacturing (A3)</t>
  </si>
  <si>
    <t xml:space="preserve">Transport (A4)</t>
  </si>
  <si>
    <t xml:space="preserve">Construction installation process (A5)</t>
  </si>
  <si>
    <t xml:space="preserve">Use (B1)</t>
  </si>
  <si>
    <t xml:space="preserve">Maintanance, Repair… (B2-5)</t>
  </si>
  <si>
    <t xml:space="preserve">De-construction demolation (C1)</t>
  </si>
  <si>
    <t xml:space="preserve">Transport (C2)</t>
  </si>
  <si>
    <t xml:space="preserve">Waste processing (C3)</t>
  </si>
  <si>
    <t xml:space="preserve">Disposal (C4)</t>
  </si>
  <si>
    <t xml:space="preserve">TOTAL HOUSE</t>
  </si>
  <si>
    <t xml:space="preserve">market for electricity, high voltage|electricity, high voltage|Consequential, U</t>
  </si>
  <si>
    <t xml:space="preserve">kWh</t>
  </si>
  <si>
    <t xml:space="preserve">Isolation (ECOBLANKET)</t>
  </si>
  <si>
    <t xml:space="preserve">kg</t>
  </si>
  <si>
    <t xml:space="preserve">Glass wool</t>
  </si>
  <si>
    <t xml:space="preserve">glass wool mat production|glass wool mat|Consequential, U</t>
  </si>
  <si>
    <t xml:space="preserve">transport, freight, lorry 7.5-16 metric ton, EURO6</t>
  </si>
  <si>
    <t xml:space="preserve">km</t>
  </si>
  <si>
    <t xml:space="preserve">t</t>
  </si>
  <si>
    <t xml:space="preserve">100% incineration</t>
  </si>
  <si>
    <t xml:space="preserve">Wood (Reglar)</t>
  </si>
  <si>
    <t xml:space="preserve">m³</t>
  </si>
  <si>
    <t xml:space="preserve">market for sawnwood, softwood, dried (u=10%), planed|sawnwood, softwood, dried (u=10%), planed|Consequential, U</t>
  </si>
  <si>
    <t xml:space="preserve">transport, freight, lorry 16-32 metric ton, EURO6</t>
  </si>
  <si>
    <t xml:space="preserve">80% recycling, 20% incineration</t>
  </si>
  <si>
    <t xml:space="preserve">OSB panels</t>
  </si>
  <si>
    <t xml:space="preserve">oriented strand board production|oriented strand board|Consequential, U</t>
  </si>
  <si>
    <t xml:space="preserve">Vapor barrier tape blue</t>
  </si>
  <si>
    <t xml:space="preserve">m²</t>
  </si>
  <si>
    <t xml:space="preserve">Wood glue</t>
  </si>
  <si>
    <t xml:space="preserve">ml</t>
  </si>
  <si>
    <t xml:space="preserve">building silicone</t>
  </si>
  <si>
    <t xml:space="preserve">l</t>
  </si>
  <si>
    <t xml:space="preserve">silicone product production|silicone product|Consequential, U</t>
  </si>
  <si>
    <t xml:space="preserve">Hot-dip galvanized nail</t>
  </si>
  <si>
    <t xml:space="preserve">pcs</t>
  </si>
  <si>
    <t xml:space="preserve">steel</t>
  </si>
  <si>
    <t xml:space="preserve">Aluminium (roof edge)</t>
  </si>
  <si>
    <t xml:space="preserve">cm³</t>
  </si>
  <si>
    <t xml:space="preserve">aluminium production, primary, cast alloy slab from continuous casting|aluminium, primary, cast alloy slab from continuous casting|Consequential, U</t>
  </si>
  <si>
    <t xml:space="preserve">50% recycling, 50% bootom ash utilization (road construction)</t>
  </si>
  <si>
    <t xml:space="preserve">polyurethane foam (joint tape)</t>
  </si>
  <si>
    <t xml:space="preserve">polyurethane production, flexible foam|polyurethane, flexible foam|Consequential, U</t>
  </si>
  <si>
    <t xml:space="preserve">screws</t>
  </si>
  <si>
    <t xml:space="preserve">10+11+7</t>
  </si>
  <si>
    <t xml:space="preserve">steel (metal corner protector, screws, nails)</t>
  </si>
  <si>
    <t xml:space="preserve">steel production, electric, low-alloyed|steel, low-alloyed|Consequential, U</t>
  </si>
  <si>
    <t xml:space="preserve">paper isolation</t>
  </si>
  <si>
    <t xml:space="preserve">cellulose fibre production, inclusive blowing in|cellulose fibre, inclusive blowing in|Consequential, U</t>
  </si>
  <si>
    <t xml:space="preserve">Vindtæt isolation</t>
  </si>
  <si>
    <t xml:space="preserve">wood (recycled), avoided process (tree cutting, wood production)</t>
  </si>
  <si>
    <t xml:space="preserve">windows/door (glass)</t>
  </si>
  <si>
    <t xml:space="preserve">glazing production, triple, U&lt;0.5 W/m2K|glazing, triple, U&lt;0.5 W/m2K </t>
  </si>
  <si>
    <t xml:space="preserve">80% recycled (mainly glass, metal), 20% incineration </t>
  </si>
  <si>
    <t xml:space="preserve">windows/door (frame)</t>
  </si>
  <si>
    <t xml:space="preserve">window frame production, wood, U=1.5 W/m2K</t>
  </si>
  <si>
    <t xml:space="preserve">shipping container (frame)</t>
  </si>
  <si>
    <t xml:space="preserve">avoided steel production</t>
  </si>
  <si>
    <t xml:space="preserve">100% recycling</t>
  </si>
  <si>
    <t xml:space="preserve">http://containertech.com/about-containers/how-durable-are-shipping-containers/</t>
  </si>
  <si>
    <t xml:space="preserve">shipping container (removed parts)</t>
  </si>
  <si>
    <t xml:space="preserve">solid waste </t>
  </si>
  <si>
    <t xml:space="preserve">t*km</t>
  </si>
  <si>
    <t xml:space="preserve">Inventory data - Ecococon house</t>
  </si>
  <si>
    <t xml:space="preserve">End of life stage (C1-4) - Standard scenario</t>
  </si>
  <si>
    <t xml:space="preserve">End of life stage (C1-4) - Ambitious scenario</t>
  </si>
  <si>
    <t xml:space="preserve">market for electricity</t>
  </si>
  <si>
    <t xml:space="preserve">Fiber cement (Fermacell Powerpanel)</t>
  </si>
  <si>
    <t xml:space="preserve">EPD-FermacellPowerpanel0706</t>
  </si>
  <si>
    <t xml:space="preserve">GLO</t>
  </si>
  <si>
    <t xml:space="preserve">diesel, burned</t>
  </si>
  <si>
    <t xml:space="preserve">MJ</t>
  </si>
  <si>
    <t xml:space="preserve">wood</t>
  </si>
  <si>
    <t xml:space="preserve">sawnwood, softwood, dried (u=10%), planed</t>
  </si>
  <si>
    <t xml:space="preserve">RER</t>
  </si>
  <si>
    <t xml:space="preserve">process-specific burdens, municipal waste incineration|process-specific burdens, municipal waste incineration|Cutoff, U</t>
  </si>
  <si>
    <t xml:space="preserve">treatment of waste wood, post-consumer, sorting and shredding|waste wood, post-consumer</t>
  </si>
  <si>
    <t xml:space="preserve">steel (brackets and screws)</t>
  </si>
  <si>
    <t xml:space="preserve">steel, low-alloyed</t>
  </si>
  <si>
    <t xml:space="preserve">sorting and pressing of iron scrap|iron scrap, sorted, pressed|Consequential, U</t>
  </si>
  <si>
    <t xml:space="preserve">Seaweed insulation</t>
  </si>
  <si>
    <t xml:space="preserve">avoided production of other isolation material (e.g. cellulose fibre production)</t>
  </si>
  <si>
    <t xml:space="preserve">market for wood wool boards, cement bonded</t>
  </si>
  <si>
    <t xml:space="preserve">wood wool boards, cement bonded</t>
  </si>
  <si>
    <t xml:space="preserve">https://www.papiruld.dk/sites/default/files/content_files/2019_epd_miljoevaredeklaration.pdf</t>
  </si>
  <si>
    <t xml:space="preserve">CH</t>
  </si>
  <si>
    <t xml:space="preserve">EcoCocon modules (standard width)</t>
  </si>
  <si>
    <t xml:space="preserve">modules</t>
  </si>
  <si>
    <t xml:space="preserve">loam rendering</t>
  </si>
  <si>
    <t xml:space="preserve">jute mat</t>
  </si>
  <si>
    <t xml:space="preserve">polyethylene (wind barrier)</t>
  </si>
  <si>
    <t xml:space="preserve">packaging film, low density polyethylene</t>
  </si>
  <si>
    <t xml:space="preserve">polyethylene production, high density, granulate, recycled</t>
  </si>
  <si>
    <t xml:space="preserve">gypsum fiber boards</t>
  </si>
  <si>
    <t xml:space="preserve">??</t>
  </si>
  <si>
    <t xml:space="preserve">process-specific burden, sanitary landfill|process-specific burden, sanitary landfill|Cutoff, U</t>
  </si>
  <si>
    <t xml:space="preserve">windows (glass)</t>
  </si>
  <si>
    <t xml:space="preserve">windows (frame)</t>
  </si>
  <si>
    <t xml:space="preserve">door</t>
  </si>
  <si>
    <t xml:space="preserve">foundation</t>
  </si>
  <si>
    <t xml:space="preserve">ecococon materials</t>
  </si>
  <si>
    <t xml:space="preserve">RoW</t>
  </si>
  <si>
    <t xml:space="preserve">m2</t>
  </si>
  <si>
    <t xml:space="preserve">Climate change impact</t>
  </si>
  <si>
    <t xml:space="preserve">kg Co2 eq</t>
  </si>
  <si>
    <t xml:space="preserve">with treatment waste wood</t>
  </si>
  <si>
    <t xml:space="preserve">without tratment of waste wood</t>
  </si>
  <si>
    <t xml:space="preserve">Inventory data - Tiny house Højskole</t>
  </si>
  <si>
    <t xml:space="preserve">steel (screws, nails, screw plates)</t>
  </si>
  <si>
    <t xml:space="preserve">Larch clinker</t>
  </si>
  <si>
    <t xml:space="preserve">hardwood</t>
  </si>
  <si>
    <t xml:space="preserve">sawnwood, hardwood, dried (u=10%), planed</t>
  </si>
  <si>
    <t xml:space="preserve">softwood</t>
  </si>
  <si>
    <t xml:space="preserve">Plasterboard</t>
  </si>
  <si>
    <t xml:space="preserve">https://www.gyproc.dk/sites/gypsum.nordic.master/files/gyproc-site/document-files/Environmental-DK/EPD-DK-Gyproc-Normal-Standardgipsplade.pdf</t>
  </si>
  <si>
    <t xml:space="preserve">20% recycling, 80% landfill (according to EPD)</t>
  </si>
  <si>
    <t xml:space="preserve">pine and spruce wood (PREETZ)</t>
  </si>
  <si>
    <t xml:space="preserve">wooden underlaysplate</t>
  </si>
  <si>
    <t xml:space="preserve">OSB (Living board)</t>
  </si>
  <si>
    <t xml:space="preserve">vapor barrier tape green</t>
  </si>
  <si>
    <t xml:space="preserve">glue</t>
  </si>
  <si>
    <t xml:space="preserve">polyester (roof panels)</t>
  </si>
  <si>
    <t xml:space="preserve">https://www.isoleringdanmark.dk/CustomerData/Files/Folders/30-pdf-2/714_epd-papirisolering.pdf</t>
  </si>
  <si>
    <t xml:space="preserve">bitumen based membrane</t>
  </si>
  <si>
    <t xml:space="preserve">paint, indoor</t>
  </si>
  <si>
    <t xml:space="preserve">alkyd paint, white, without water, in 60% solution state</t>
  </si>
  <si>
    <t xml:space="preserve">paint, outdoor, linoil pain</t>
  </si>
  <si>
    <t xml:space="preserve">alkyd paint, white, without solvent, in 60% solution state</t>
  </si>
  <si>
    <t xml:space="preserve">reused!!</t>
  </si>
  <si>
    <t xml:space="preserve">Inventory data - Photovoltaic cell and battery</t>
  </si>
  <si>
    <t xml:space="preserve">https://www.vivaenergi.dk/solcelle-webshop/solceller-kolonihave-fritidshus/1492-solcelleanl%C3%A6g-kolonihavehus?fbclid=IwAR3yNRyBe9T1HV4qbJdRDNS19TYviLEGUqCaTpcKA7aA55X3D2DMDfI-7Ho</t>
  </si>
  <si>
    <t xml:space="preserve">Photovoltaic cell</t>
  </si>
  <si>
    <t xml:space="preserve">Polycrystalline solar panels (=multi-Si) from manufacture Amerisolar, type AS-6P30</t>
  </si>
  <si>
    <t xml:space="preserve">https://www.weamerisolar.eu/wp-content/uploads/2017/03/AS-6P30-Module-Specification.pdf</t>
  </si>
  <si>
    <t xml:space="preserve">Battery</t>
  </si>
  <si>
    <t xml:space="preserve">most likely lithium battery, LiFePO4</t>
  </si>
  <si>
    <t xml:space="preserve">https://www.vivaenergi.dk/solcelle-webshop/LiFePO4_batteri/2055-48V-50ah-lithium-bt</t>
  </si>
  <si>
    <t xml:space="preserve">Converter</t>
  </si>
  <si>
    <t xml:space="preserve">Lifetime</t>
  </si>
  <si>
    <t xml:space="preserve">Multi-Si wafer/cell</t>
  </si>
  <si>
    <t xml:space="preserve">pcs/panel</t>
  </si>
  <si>
    <t xml:space="preserve">negligible</t>
  </si>
  <si>
    <t xml:space="preserve">m²/panel</t>
  </si>
  <si>
    <t xml:space="preserve">photovoltaic panel, multi-Si wafer</t>
  </si>
  <si>
    <t xml:space="preserve">transport freight sea</t>
  </si>
  <si>
    <t xml:space="preserve">Front cover</t>
  </si>
  <si>
    <t xml:space="preserve">photovoltaic mounting system, for flat-roof installation</t>
  </si>
  <si>
    <t xml:space="preserve">Frame</t>
  </si>
  <si>
    <t xml:space="preserve">Junction box</t>
  </si>
  <si>
    <t xml:space="preserve">items</t>
  </si>
  <si>
    <t xml:space="preserve">photovoltaic plant, electric installation for 3kWp module</t>
  </si>
  <si>
    <t xml:space="preserve">cable</t>
  </si>
  <si>
    <t xml:space="preserve">connector</t>
  </si>
  <si>
    <t xml:space="preserve">battery cell production, Li-ion|battery cell, Li-ion|Consequential, U</t>
  </si>
  <si>
    <t xml:space="preserve">item</t>
  </si>
  <si>
    <t xml:space="preserve">inverter production, 2.5kW|inverter, 2.5kW|Consequential, U</t>
  </si>
  <si>
    <t xml:space="preserve">PV panel 275W</t>
  </si>
  <si>
    <t xml:space="preserve">Battery 2.5 kWh</t>
  </si>
  <si>
    <t xml:space="preserve">Inventory data - Wind turbine</t>
  </si>
  <si>
    <t xml:space="preserve">Wind turbine 750 kW</t>
  </si>
  <si>
    <t xml:space="preserve">Too big, but smallest turbine with data in ecoinvent database, maybe downscaling of exsiting data for smaller tubine</t>
  </si>
  <si>
    <t xml:space="preserve">Wind turbine 20 kW</t>
  </si>
  <si>
    <t xml:space="preserve">Big turbine for the whole community, possible producer: https://www.windturbinestar.com/</t>
  </si>
  <si>
    <t xml:space="preserve">https://www.windturbinestar.com/20kwh-wind-turbine.html</t>
  </si>
  <si>
    <t xml:space="preserve">Wind turbine 10 kW</t>
  </si>
  <si>
    <t xml:space="preserve">https://www.windturbinestar.com/10kwh-aeolos-wind-turbine.html</t>
  </si>
  <si>
    <t xml:space="preserve">Wind turbine 1 kW</t>
  </si>
  <si>
    <t xml:space="preserve">Small turbine for individual household</t>
  </si>
  <si>
    <t xml:space="preserve">https://www.windturbinestar.com/1kwh.html</t>
  </si>
  <si>
    <t xml:space="preserve">Wind turbine 300-500W</t>
  </si>
  <si>
    <t xml:space="preserve">https://www.windturbinestar.com/300w-vertical-wind-turbine.html</t>
  </si>
  <si>
    <t xml:space="preserve">https://www.mowea.world/de/wp-content/uploads/sites/2/2019/12/MOWEA-Produktpr%C3%A4sentation.pdf</t>
  </si>
  <si>
    <t xml:space="preserve">Lifetime [yr]</t>
  </si>
  <si>
    <t xml:space="preserve">wind turbine construction, 750kW, onshore|wind turbine, 750kW, onshore|Consequential, U</t>
  </si>
  <si>
    <t xml:space="preserve">wind turbine network connection construction, 750kW, onshore|wind turbine network connection, 750kW, onshore|Cutoff, U</t>
  </si>
  <si>
    <t xml:space="preserve">Items</t>
  </si>
  <si>
    <t xml:space="preserve">Inventory data - TEG</t>
  </si>
  <si>
    <t xml:space="preserve">http://he-energy.gmbh/de/Thermoelektrik.html</t>
  </si>
  <si>
    <t xml:space="preserve">http://he-energy.gmbh/files/theme_files/downloads/2018_04_20_Broschuere_englisch_klein.pdf?fbclid=IwAR0yrBqgN1SgWM40tlcBNCAWIaM_8dbhfYNgNhsx1Er4UUAJBq1y8Sr0f2c</t>
  </si>
  <si>
    <t xml:space="preserve">Thermoelectric generator</t>
  </si>
  <si>
    <t xml:space="preserve">max. 24 W/module; 250 W output --&gt; 11 modules; weight: 47 g/module, one module is 50x50x4.3mm (Kaibe 2011/Kishita 2016)</t>
  </si>
  <si>
    <t xml:space="preserve">Wood gasification unit</t>
  </si>
  <si>
    <t xml:space="preserve">bismuth telluride (semi-conductor)</t>
  </si>
  <si>
    <t xml:space="preserve">g</t>
  </si>
  <si>
    <t xml:space="preserve">bismuth telluride production, semiconductor-grade </t>
  </si>
  <si>
    <t xml:space="preserve">Ceramic (plate)</t>
  </si>
  <si>
    <t xml:space="preserve">ceramic tile production|ceramic tile|Consequential, U</t>
  </si>
  <si>
    <t xml:space="preserve">Copper (bridge)</t>
  </si>
  <si>
    <t xml:space="preserve">copper production, primary|copper|Consequential, U</t>
  </si>
  <si>
    <t xml:space="preserve">Machinery/factory</t>
  </si>
  <si>
    <t xml:space="preserve">electronic component machinery production, unspecified </t>
  </si>
  <si>
    <t xml:space="preserve">Electricity</t>
  </si>
  <si>
    <t xml:space="preserve">market for electricity, medium voltage</t>
  </si>
  <si>
    <t xml:space="preserve">Inventory data -Maintenance schedule</t>
  </si>
  <si>
    <t xml:space="preserve">Service life of the houses in years:</t>
  </si>
  <si>
    <t xml:space="preserve">Additional material during service life</t>
  </si>
  <si>
    <t xml:space="preserve">Material/equipment</t>
  </si>
  <si>
    <t xml:space="preserve">PV </t>
  </si>
  <si>
    <t xml:space="preserve">systems</t>
  </si>
  <si>
    <t xml:space="preserve">Windturbine 10 kW</t>
  </si>
  <si>
    <t xml:space="preserve">Windturbine 300 W</t>
  </si>
  <si>
    <t xml:space="preserve">TEG</t>
  </si>
  <si>
    <t xml:space="preserve">Inverter</t>
  </si>
  <si>
    <t xml:space="preserve">EH</t>
  </si>
  <si>
    <t xml:space="preserve">TH</t>
  </si>
  <si>
    <t xml:space="preserve">Wood (sawnwood, softwood)</t>
  </si>
  <si>
    <t xml:space="preserve">-</t>
  </si>
  <si>
    <t xml:space="preserve">Wood (cladding, softwood)</t>
  </si>
  <si>
    <t xml:space="preserve">OSB</t>
  </si>
  <si>
    <t xml:space="preserve">Plywood</t>
  </si>
  <si>
    <t xml:space="preserve">Fermacell Powerpanel</t>
  </si>
  <si>
    <t xml:space="preserve">Paper isolation</t>
  </si>
  <si>
    <t xml:space="preserve">EcoCocon module</t>
  </si>
  <si>
    <t xml:space="preserve">Height [m]</t>
  </si>
  <si>
    <t xml:space="preserve">Thickness [m]</t>
  </si>
  <si>
    <t xml:space="preserve">Width [m]</t>
  </si>
  <si>
    <t xml:space="preserve">Volume [m³]</t>
  </si>
  <si>
    <t xml:space="preserve">Density straw [kg/m³]</t>
  </si>
  <si>
    <t xml:space="preserve">Mass straw [kg]</t>
  </si>
  <si>
    <t xml:space="preserve">Width per module [m]</t>
  </si>
  <si>
    <t xml:space="preserve">Number of modules</t>
  </si>
  <si>
    <t xml:space="preserve">Standard module</t>
  </si>
  <si>
    <t xml:space="preserve">Wood frame [m³]</t>
  </si>
  <si>
    <t xml:space="preserve">Plywood [m³]</t>
  </si>
  <si>
    <t xml:space="preserve">Wood density [kg/m³]</t>
  </si>
  <si>
    <t xml:space="preserve">Mass wood [kg]</t>
  </si>
  <si>
    <t xml:space="preserve">Mass total module+membrane+fibreboard [kg]</t>
  </si>
  <si>
    <t xml:space="preserve">Airtight membrane [m²]</t>
  </si>
  <si>
    <t xml:space="preserve">Wood fibre board [m³]</t>
  </si>
  <si>
    <t xml:space="preserve">Mass membrane [kg]</t>
  </si>
  <si>
    <t xml:space="preserve">Mass fibreboard [kg]</t>
  </si>
  <si>
    <t xml:space="preserve">Reference of screenshots:</t>
  </si>
  <si>
    <t xml:space="preserve">Transport A2 [km]</t>
  </si>
  <si>
    <t xml:space="preserve">Transport A2 [t*km]</t>
  </si>
  <si>
    <t xml:space="preserve">Manufacturing A3 [kWh/module]</t>
  </si>
  <si>
    <t xml:space="preserve">Transport A4 [km]</t>
  </si>
  <si>
    <t xml:space="preserve">Transport A4 [t*km]</t>
  </si>
  <si>
    <t xml:space="preserve">https://ecococon.eu/assets/legal/general-information-(en).pdf</t>
  </si>
  <si>
    <t xml:space="preserve">https://ecococon.eu/gb/the-panel</t>
  </si>
  <si>
    <t xml:space="preserve">Stored carbon </t>
  </si>
  <si>
    <t xml:space="preserve">wood fibreboard</t>
  </si>
  <si>
    <t xml:space="preserve">total [kg CO2]</t>
  </si>
  <si>
    <t xml:space="preserve">kgCO2/kg material</t>
  </si>
  <si>
    <t xml:space="preserve">kgCO2/module</t>
  </si>
</sst>
</file>

<file path=xl/styles.xml><?xml version="1.0" encoding="utf-8"?>
<styleSheet xmlns="http://schemas.openxmlformats.org/spreadsheetml/2006/main">
  <numFmts count="9">
    <numFmt numFmtId="164" formatCode="General"/>
    <numFmt numFmtId="165" formatCode="0.00"/>
    <numFmt numFmtId="166" formatCode="General"/>
    <numFmt numFmtId="167" formatCode="0.0"/>
    <numFmt numFmtId="168" formatCode="0.000"/>
    <numFmt numFmtId="169" formatCode="0.0000"/>
    <numFmt numFmtId="170" formatCode="0.00E+00"/>
    <numFmt numFmtId="171" formatCode="0%"/>
    <numFmt numFmtId="172" formatCode="0"/>
  </numFmts>
  <fonts count="34">
    <font>
      <sz val="11"/>
      <color rgb="FF000000"/>
      <name val="Calibri"/>
      <family val="2"/>
      <charset val="1"/>
    </font>
    <font>
      <sz val="10"/>
      <name val="Arial"/>
      <family val="0"/>
    </font>
    <font>
      <sz val="10"/>
      <name val="Arial"/>
      <family val="0"/>
    </font>
    <font>
      <sz val="10"/>
      <name val="Arial"/>
      <family val="0"/>
    </font>
    <font>
      <b val="true"/>
      <sz val="12"/>
      <color rgb="FF000000"/>
      <name val="Calibri"/>
      <family val="2"/>
      <charset val="1"/>
    </font>
    <font>
      <b val="true"/>
      <sz val="11"/>
      <color rgb="FF000000"/>
      <name val="Calibri"/>
      <family val="2"/>
      <charset val="1"/>
    </font>
    <font>
      <b val="true"/>
      <sz val="16"/>
      <color rgb="FF000000"/>
      <name val="Calibri"/>
      <family val="2"/>
      <charset val="1"/>
    </font>
    <font>
      <b val="true"/>
      <sz val="14"/>
      <color rgb="FFC55A11"/>
      <name val="Calibri"/>
      <family val="2"/>
      <charset val="1"/>
    </font>
    <font>
      <b val="true"/>
      <sz val="14"/>
      <color rgb="FF2E75B6"/>
      <name val="Calibri"/>
      <family val="2"/>
      <charset val="1"/>
    </font>
    <font>
      <b val="true"/>
      <sz val="14"/>
      <color rgb="FF548235"/>
      <name val="Calibri"/>
      <family val="2"/>
      <charset val="1"/>
    </font>
    <font>
      <b val="true"/>
      <sz val="14"/>
      <color rgb="FFBF9000"/>
      <name val="Calibri"/>
      <family val="2"/>
      <charset val="1"/>
    </font>
    <font>
      <b val="true"/>
      <sz val="9"/>
      <color rgb="FF000000"/>
      <name val="Calibri"/>
      <family val="2"/>
      <charset val="1"/>
    </font>
    <font>
      <b val="true"/>
      <sz val="11"/>
      <color rgb="FFC55A11"/>
      <name val="Calibri"/>
      <family val="2"/>
      <charset val="1"/>
    </font>
    <font>
      <b val="true"/>
      <sz val="9"/>
      <color rgb="FFC55A11"/>
      <name val="Calibri"/>
      <family val="2"/>
      <charset val="1"/>
    </font>
    <font>
      <b val="true"/>
      <sz val="11"/>
      <color rgb="FF2E75B6"/>
      <name val="Calibri"/>
      <family val="2"/>
      <charset val="1"/>
    </font>
    <font>
      <b val="true"/>
      <sz val="9"/>
      <color rgb="FF2E75B6"/>
      <name val="Calibri"/>
      <family val="2"/>
      <charset val="1"/>
    </font>
    <font>
      <b val="true"/>
      <sz val="11"/>
      <color rgb="FF548235"/>
      <name val="Calibri"/>
      <family val="2"/>
      <charset val="1"/>
    </font>
    <font>
      <b val="true"/>
      <sz val="9"/>
      <color rgb="FF548235"/>
      <name val="Calibri"/>
      <family val="2"/>
      <charset val="1"/>
    </font>
    <font>
      <b val="true"/>
      <sz val="11"/>
      <color rgb="FFBF9000"/>
      <name val="Calibri"/>
      <family val="2"/>
      <charset val="1"/>
    </font>
    <font>
      <b val="true"/>
      <sz val="9"/>
      <color rgb="FFBF9000"/>
      <name val="Calibri"/>
      <family val="2"/>
      <charset val="1"/>
    </font>
    <font>
      <sz val="11"/>
      <color rgb="FFA6A6A6"/>
      <name val="Calibri"/>
      <family val="2"/>
      <charset val="1"/>
    </font>
    <font>
      <sz val="11"/>
      <color rgb="FFBFBFBF"/>
      <name val="Calibri"/>
      <family val="2"/>
      <charset val="1"/>
    </font>
    <font>
      <u val="single"/>
      <sz val="11"/>
      <color rgb="FF0563C1"/>
      <name val="Calibri"/>
      <family val="2"/>
      <charset val="1"/>
    </font>
    <font>
      <sz val="11"/>
      <name val="Calibri"/>
      <family val="2"/>
      <charset val="1"/>
    </font>
    <font>
      <b val="true"/>
      <sz val="14"/>
      <color rgb="FF806000"/>
      <name val="Calibri"/>
      <family val="2"/>
      <charset val="1"/>
    </font>
    <font>
      <b val="true"/>
      <sz val="11"/>
      <color rgb="FF806000"/>
      <name val="Calibri"/>
      <family val="2"/>
      <charset val="1"/>
    </font>
    <font>
      <b val="true"/>
      <sz val="9"/>
      <color rgb="FF806000"/>
      <name val="Calibri"/>
      <family val="2"/>
      <charset val="1"/>
    </font>
    <font>
      <sz val="11"/>
      <color rgb="FFFF0000"/>
      <name val="Calibri"/>
      <family val="2"/>
      <charset val="1"/>
    </font>
    <font>
      <sz val="12"/>
      <color rgb="FF000000"/>
      <name val="Calibri"/>
      <family val="2"/>
      <charset val="1"/>
    </font>
    <font>
      <sz val="10"/>
      <color rgb="FF000000"/>
      <name val="Calibri"/>
      <family val="2"/>
      <charset val="1"/>
    </font>
    <font>
      <sz val="12"/>
      <color rgb="FFFF0000"/>
      <name val="Calibri"/>
      <family val="2"/>
      <charset val="1"/>
    </font>
    <font>
      <sz val="10"/>
      <color rgb="FFFF0000"/>
      <name val="Calibri"/>
      <family val="2"/>
      <charset val="1"/>
    </font>
    <font>
      <b val="true"/>
      <sz val="14"/>
      <color rgb="FF000000"/>
      <name val="Helvetica Neue"/>
      <family val="0"/>
      <charset val="1"/>
    </font>
    <font>
      <b val="true"/>
      <sz val="10"/>
      <color rgb="FF000000"/>
      <name val="Helvetica Neue"/>
      <family val="0"/>
      <charset val="1"/>
    </font>
  </fonts>
  <fills count="7">
    <fill>
      <patternFill patternType="none"/>
    </fill>
    <fill>
      <patternFill patternType="gray125"/>
    </fill>
    <fill>
      <patternFill patternType="solid">
        <fgColor rgb="FFCCDAE1"/>
        <bgColor rgb="FFD9D9D9"/>
      </patternFill>
    </fill>
    <fill>
      <patternFill patternType="solid">
        <fgColor rgb="FF668FA6"/>
        <bgColor rgb="FF666699"/>
      </patternFill>
    </fill>
    <fill>
      <patternFill patternType="solid">
        <fgColor rgb="FFCEE3BF"/>
        <bgColor rgb="FFD9D9D9"/>
      </patternFill>
    </fill>
    <fill>
      <patternFill patternType="solid">
        <fgColor rgb="FFD9D9D9"/>
        <bgColor rgb="FFCCDAE1"/>
      </patternFill>
    </fill>
    <fill>
      <patternFill patternType="solid">
        <fgColor rgb="FFF8CBAD"/>
        <bgColor rgb="FFD9D9D9"/>
      </patternFill>
    </fill>
  </fills>
  <borders count="1">
    <border diagonalUp="false" diagonalDown="false">
      <left/>
      <right/>
      <top/>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71" fontId="0" fillId="0" borderId="0" applyFont="true" applyBorder="false" applyAlignment="true" applyProtection="false">
      <alignment horizontal="general" vertical="bottom" textRotation="0" wrapText="false" indent="0" shrinkToFit="false"/>
    </xf>
    <xf numFmtId="164" fontId="22" fillId="0" borderId="0" applyFont="true" applyBorder="false" applyAlignment="true" applyProtection="false">
      <alignment horizontal="general" vertical="bottom" textRotation="0" wrapText="false" indent="0" shrinkToFit="false"/>
    </xf>
  </cellStyleXfs>
  <cellXfs count="86">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false" applyProtection="false">
      <alignment horizontal="general" vertical="bottom" textRotation="0" wrapText="false" indent="0" shrinkToFit="false"/>
      <protection locked="true" hidden="false"/>
    </xf>
    <xf numFmtId="166" fontId="4" fillId="3" borderId="0" xfId="0" applyFont="true" applyBorder="false" applyAlignment="false" applyProtection="false">
      <alignment horizontal="general" vertical="bottom" textRotation="0" wrapText="false" indent="0" shrinkToFit="false"/>
      <protection locked="true" hidden="false"/>
    </xf>
    <xf numFmtId="164" fontId="0" fillId="2" borderId="0" xfId="0" applyFont="true" applyBorder="false" applyAlignment="false" applyProtection="false">
      <alignment horizontal="general" vertical="bottom" textRotation="0" wrapText="false" indent="0" shrinkToFit="false"/>
      <protection locked="true" hidden="false"/>
    </xf>
    <xf numFmtId="164" fontId="0" fillId="3"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6" fontId="0" fillId="2" borderId="0" xfId="0" applyFont="true" applyBorder="false" applyAlignment="false" applyProtection="false">
      <alignment horizontal="general" vertical="bottom" textRotation="0" wrapText="false" indent="0" shrinkToFit="false"/>
      <protection locked="true" hidden="false"/>
    </xf>
    <xf numFmtId="166" fontId="0" fillId="4"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true" applyAlignment="true" applyProtection="false">
      <alignment horizontal="center" vertical="bottom" textRotation="0" wrapText="false" indent="0" shrinkToFit="false"/>
      <protection locked="true" hidden="false"/>
    </xf>
    <xf numFmtId="164" fontId="8" fillId="0" borderId="0" xfId="0" applyFont="true" applyBorder="true" applyAlignment="true" applyProtection="false">
      <alignment horizontal="center" vertical="bottom" textRotation="0" wrapText="false" indent="0" shrinkToFit="false"/>
      <protection locked="true" hidden="false"/>
    </xf>
    <xf numFmtId="164" fontId="9" fillId="0" borderId="0" xfId="0" applyFont="true" applyBorder="true" applyAlignment="true" applyProtection="false">
      <alignment horizontal="center" vertical="bottom" textRotation="0" wrapText="false" indent="0" shrinkToFit="false"/>
      <protection locked="true" hidden="false"/>
    </xf>
    <xf numFmtId="164" fontId="10" fillId="0" borderId="0" xfId="0" applyFont="true" applyBorder="true" applyAlignment="true" applyProtection="false">
      <alignment horizontal="center" vertical="bottom" textRotation="0" wrapText="false" indent="0" shrinkToFit="false"/>
      <protection locked="true" hidden="false"/>
    </xf>
    <xf numFmtId="164" fontId="9" fillId="0" borderId="0" xfId="0" applyFont="true" applyBorder="false" applyAlignment="true" applyProtection="false">
      <alignment horizontal="center"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12" fillId="0" borderId="0" xfId="0" applyFont="true" applyBorder="true" applyAlignment="true" applyProtection="false">
      <alignment horizontal="center" vertical="bottom" textRotation="0" wrapText="tru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12" fillId="0" borderId="0" xfId="0" applyFont="true" applyBorder="true" applyAlignment="true" applyProtection="false">
      <alignment horizontal="center" vertical="bottom" textRotation="0" wrapText="false" indent="0" shrinkToFit="false"/>
      <protection locked="true" hidden="false"/>
    </xf>
    <xf numFmtId="164" fontId="14" fillId="0" borderId="0" xfId="0" applyFont="true" applyBorder="true" applyAlignment="true" applyProtection="false">
      <alignment horizontal="center" vertical="bottom" textRotation="0" wrapText="false" indent="0" shrinkToFit="false"/>
      <protection locked="true" hidden="false"/>
    </xf>
    <xf numFmtId="164" fontId="15" fillId="0" borderId="0" xfId="0" applyFont="true" applyBorder="false" applyAlignment="false" applyProtection="false">
      <alignment horizontal="general" vertical="bottom" textRotation="0" wrapText="false" indent="0" shrinkToFit="false"/>
      <protection locked="true" hidden="false"/>
    </xf>
    <xf numFmtId="164" fontId="14" fillId="0" borderId="0" xfId="0" applyFont="true" applyBorder="true" applyAlignment="true" applyProtection="false">
      <alignment horizontal="center" vertical="bottom" textRotation="0" wrapText="true" indent="0" shrinkToFit="false"/>
      <protection locked="true" hidden="false"/>
    </xf>
    <xf numFmtId="164" fontId="16" fillId="0" borderId="0" xfId="0" applyFont="true" applyBorder="false" applyAlignment="true" applyProtection="false">
      <alignment horizontal="center" vertical="bottom" textRotation="0" wrapText="true" indent="0" shrinkToFit="false"/>
      <protection locked="true" hidden="false"/>
    </xf>
    <xf numFmtId="164" fontId="16" fillId="0" borderId="0" xfId="0" applyFont="true" applyBorder="true" applyAlignment="true" applyProtection="false">
      <alignment horizontal="center" vertical="bottom" textRotation="0" wrapText="false" indent="0" shrinkToFit="false"/>
      <protection locked="true" hidden="false"/>
    </xf>
    <xf numFmtId="164" fontId="17" fillId="0" borderId="0" xfId="0" applyFont="true" applyBorder="false" applyAlignment="false" applyProtection="false">
      <alignment horizontal="general" vertical="bottom" textRotation="0" wrapText="false" indent="0" shrinkToFit="false"/>
      <protection locked="true" hidden="false"/>
    </xf>
    <xf numFmtId="164" fontId="18" fillId="0" borderId="0" xfId="0" applyFont="true" applyBorder="true" applyAlignment="true" applyProtection="false">
      <alignment horizontal="center" vertical="bottom" textRotation="0" wrapText="true" indent="0" shrinkToFit="false"/>
      <protection locked="true" hidden="false"/>
    </xf>
    <xf numFmtId="164" fontId="19" fillId="0" borderId="0" xfId="0" applyFont="true" applyBorder="false" applyAlignment="false" applyProtection="false">
      <alignment horizontal="general" vertical="bottom" textRotation="0" wrapText="false" indent="0" shrinkToFit="false"/>
      <protection locked="true" hidden="false"/>
    </xf>
    <xf numFmtId="164" fontId="18" fillId="0" borderId="0" xfId="0" applyFont="true" applyBorder="false" applyAlignment="true" applyProtection="false">
      <alignment horizontal="general" vertical="bottom" textRotation="0" wrapText="true" indent="0" shrinkToFit="false"/>
      <protection locked="true" hidden="false"/>
    </xf>
    <xf numFmtId="164" fontId="14" fillId="0" borderId="0" xfId="0" applyFont="true" applyBorder="false" applyAlignment="true" applyProtection="false">
      <alignment horizontal="general" vertical="bottom" textRotation="0" wrapText="true" indent="0" shrinkToFit="false"/>
      <protection locked="true" hidden="false"/>
    </xf>
    <xf numFmtId="164" fontId="5" fillId="5" borderId="0" xfId="0" applyFont="true" applyBorder="false" applyAlignment="false" applyProtection="false">
      <alignment horizontal="general" vertical="bottom" textRotation="0" wrapText="false" indent="0" shrinkToFit="false"/>
      <protection locked="true" hidden="false"/>
    </xf>
    <xf numFmtId="164" fontId="11" fillId="5" borderId="0" xfId="0" applyFont="true" applyBorder="false" applyAlignment="false" applyProtection="false">
      <alignment horizontal="general" vertical="bottom" textRotation="0" wrapText="false" indent="0" shrinkToFit="false"/>
      <protection locked="true" hidden="false"/>
    </xf>
    <xf numFmtId="164" fontId="5" fillId="5" borderId="0" xfId="0" applyFont="true" applyBorder="false" applyAlignment="true" applyProtection="false">
      <alignment horizontal="center" vertical="bottom" textRotation="0" wrapText="true" indent="0" shrinkToFit="false"/>
      <protection locked="true" hidden="false"/>
    </xf>
    <xf numFmtId="164" fontId="5" fillId="5" borderId="0" xfId="0" applyFont="true" applyBorder="false" applyAlignment="true" applyProtection="false">
      <alignment horizontal="center"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4" fontId="20" fillId="0" borderId="0" xfId="0" applyFont="true" applyBorder="false" applyAlignment="false" applyProtection="false">
      <alignment horizontal="general" vertical="bottom" textRotation="0" wrapText="false" indent="0" shrinkToFit="false"/>
      <protection locked="true" hidden="false"/>
    </xf>
    <xf numFmtId="164" fontId="0" fillId="5" borderId="0" xfId="0" applyFont="false" applyBorder="false" applyAlignment="false" applyProtection="false">
      <alignment horizontal="general" vertical="bottom" textRotation="0" wrapText="false" indent="0" shrinkToFit="false"/>
      <protection locked="true" hidden="false"/>
    </xf>
    <xf numFmtId="167" fontId="20" fillId="0" borderId="0" xfId="0" applyFont="true" applyBorder="false" applyAlignment="false" applyProtection="false">
      <alignment horizontal="general" vertical="bottom" textRotation="0" wrapText="false" indent="0" shrinkToFit="false"/>
      <protection locked="true" hidden="false"/>
    </xf>
    <xf numFmtId="164" fontId="21" fillId="0" borderId="0" xfId="0" applyFont="true" applyBorder="false" applyAlignment="true" applyProtection="false">
      <alignment horizontal="general" vertical="top" textRotation="0" wrapText="true" indent="0" shrinkToFit="false"/>
      <protection locked="true" hidden="false"/>
    </xf>
    <xf numFmtId="164" fontId="21" fillId="0" borderId="0" xfId="0" applyFont="true" applyBorder="false" applyAlignment="false" applyProtection="false">
      <alignment horizontal="general" vertical="bottom" textRotation="0" wrapText="false" indent="0" shrinkToFit="false"/>
      <protection locked="true" hidden="false"/>
    </xf>
    <xf numFmtId="164" fontId="21" fillId="5" borderId="0" xfId="0" applyFont="true" applyBorder="false" applyAlignment="false" applyProtection="false">
      <alignment horizontal="general" vertical="bottom" textRotation="0" wrapText="false" indent="0" shrinkToFit="false"/>
      <protection locked="true" hidden="false"/>
    </xf>
    <xf numFmtId="164" fontId="22" fillId="0" borderId="0" xfId="20" applyFont="false" applyBorder="true" applyAlignment="true" applyProtection="true">
      <alignment horizontal="general" vertical="bottom" textRotation="0" wrapText="false" indent="0" shrinkToFit="false"/>
      <protection locked="true" hidden="false"/>
    </xf>
    <xf numFmtId="164" fontId="23" fillId="0" borderId="0" xfId="0" applyFont="true" applyBorder="false" applyAlignment="true" applyProtection="false">
      <alignment horizontal="general" vertical="bottom" textRotation="0" wrapText="false" indent="0" shrinkToFit="false"/>
      <protection locked="true" hidden="false"/>
    </xf>
    <xf numFmtId="164" fontId="0" fillId="6" borderId="0" xfId="0" applyFont="true" applyBorder="false" applyAlignment="false" applyProtection="false">
      <alignment horizontal="general" vertical="bottom" textRotation="0" wrapText="false" indent="0" shrinkToFit="false"/>
      <protection locked="true" hidden="false"/>
    </xf>
    <xf numFmtId="164" fontId="24" fillId="0" borderId="0" xfId="0" applyFont="true" applyBorder="true" applyAlignment="true" applyProtection="false">
      <alignment horizontal="center" vertical="bottom" textRotation="0" wrapText="false" indent="0" shrinkToFit="false"/>
      <protection locked="true" hidden="false"/>
    </xf>
    <xf numFmtId="164" fontId="16" fillId="0" borderId="0" xfId="0" applyFont="true" applyBorder="true" applyAlignment="true" applyProtection="false">
      <alignment horizontal="center" vertical="bottom" textRotation="0" wrapText="true" indent="0" shrinkToFit="false"/>
      <protection locked="true" hidden="false"/>
    </xf>
    <xf numFmtId="164" fontId="25" fillId="0" borderId="0" xfId="0" applyFont="true" applyBorder="true" applyAlignment="true" applyProtection="false">
      <alignment horizontal="center" vertical="bottom" textRotation="0" wrapText="true" indent="0" shrinkToFit="false"/>
      <protection locked="true" hidden="false"/>
    </xf>
    <xf numFmtId="164" fontId="26" fillId="0" borderId="0" xfId="0" applyFont="true" applyBorder="false" applyAlignment="false" applyProtection="false">
      <alignment horizontal="general" vertical="bottom" textRotation="0" wrapText="false" indent="0" shrinkToFit="false"/>
      <protection locked="true" hidden="false"/>
    </xf>
    <xf numFmtId="164" fontId="12" fillId="5" borderId="0" xfId="0" applyFont="true" applyBorder="false" applyAlignment="true" applyProtection="false">
      <alignment horizontal="center" vertical="bottom" textRotation="0" wrapText="true" indent="0" shrinkToFit="false"/>
      <protection locked="true" hidden="false"/>
    </xf>
    <xf numFmtId="164" fontId="13" fillId="5" borderId="0" xfId="0" applyFont="true" applyBorder="false" applyAlignment="false" applyProtection="false">
      <alignment horizontal="general" vertical="bottom" textRotation="0" wrapText="false" indent="0" shrinkToFit="false"/>
      <protection locked="true" hidden="false"/>
    </xf>
    <xf numFmtId="164" fontId="12" fillId="5" borderId="0" xfId="0" applyFont="true" applyBorder="false" applyAlignment="true" applyProtection="false">
      <alignment horizontal="center" vertical="bottom" textRotation="0" wrapText="false" indent="0" shrinkToFit="false"/>
      <protection locked="true" hidden="false"/>
    </xf>
    <xf numFmtId="164" fontId="14" fillId="5" borderId="0" xfId="0" applyFont="true" applyBorder="false" applyAlignment="true" applyProtection="false">
      <alignment horizontal="center" vertical="bottom" textRotation="0" wrapText="false" indent="0" shrinkToFit="false"/>
      <protection locked="true" hidden="false"/>
    </xf>
    <xf numFmtId="164" fontId="15" fillId="5" borderId="0" xfId="0" applyFont="true" applyBorder="false" applyAlignment="false" applyProtection="false">
      <alignment horizontal="general" vertical="bottom" textRotation="0" wrapText="false" indent="0" shrinkToFit="false"/>
      <protection locked="true" hidden="false"/>
    </xf>
    <xf numFmtId="164" fontId="18" fillId="0" borderId="0" xfId="0" applyFont="true" applyBorder="false" applyAlignment="true" applyProtection="false">
      <alignment horizontal="center" vertical="bottom" textRotation="0" wrapText="tru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27" fillId="0" borderId="0" xfId="0" applyFont="true" applyBorder="false" applyAlignment="false" applyProtection="false">
      <alignment horizontal="general" vertical="bottom" textRotation="0" wrapText="false" indent="0" shrinkToFit="false"/>
      <protection locked="true" hidden="false"/>
    </xf>
    <xf numFmtId="169" fontId="0" fillId="0" borderId="0" xfId="0" applyFont="false" applyBorder="false" applyAlignment="false" applyProtection="false">
      <alignment horizontal="general" vertical="bottom" textRotation="0" wrapText="false" indent="0" shrinkToFit="false"/>
      <protection locked="true" hidden="false"/>
    </xf>
    <xf numFmtId="164" fontId="0" fillId="6" borderId="0" xfId="0" applyFont="true" applyBorder="false" applyAlignment="true" applyProtection="false">
      <alignment horizontal="general" vertical="center" textRotation="0" wrapText="false" indent="0" shrinkToFit="false"/>
      <protection locked="true" hidden="false"/>
    </xf>
    <xf numFmtId="168" fontId="0" fillId="6" borderId="0" xfId="0" applyFont="false" applyBorder="false" applyAlignment="false" applyProtection="false">
      <alignment horizontal="general" vertical="bottom" textRotation="0" wrapText="false" indent="0" shrinkToFit="false"/>
      <protection locked="true" hidden="false"/>
    </xf>
    <xf numFmtId="164" fontId="12" fillId="0" borderId="0" xfId="0" applyFont="true" applyBorder="false" applyAlignment="true" applyProtection="false">
      <alignment horizontal="center" vertical="bottom" textRotation="0" wrapText="false" indent="0" shrinkToFit="false"/>
      <protection locked="true" hidden="false"/>
    </xf>
    <xf numFmtId="164" fontId="28" fillId="0" borderId="0" xfId="0" applyFont="true" applyBorder="false" applyAlignment="false" applyProtection="false">
      <alignment horizontal="general" vertical="bottom" textRotation="0" wrapText="false" indent="0" shrinkToFit="false"/>
      <protection locked="true" hidden="false"/>
    </xf>
    <xf numFmtId="164" fontId="29"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center" vertical="bottom" textRotation="0" wrapText="false" indent="0" shrinkToFit="false"/>
      <protection locked="true" hidden="false"/>
    </xf>
    <xf numFmtId="164" fontId="9" fillId="0" borderId="0" xfId="0" applyFont="true" applyBorder="false" applyAlignment="true" applyProtection="false">
      <alignment horizontal="center" vertical="bottom" textRotation="0" wrapText="tru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right" vertical="center" textRotation="0" wrapText="true" indent="0" shrinkToFit="false"/>
      <protection locked="true" hidden="false"/>
    </xf>
    <xf numFmtId="164" fontId="0" fillId="0" borderId="0" xfId="0" applyFont="true" applyBorder="true" applyAlignment="true" applyProtection="false">
      <alignment horizontal="left" vertical="center" textRotation="0" wrapText="false" indent="0" shrinkToFit="false"/>
      <protection locked="true" hidden="false"/>
    </xf>
    <xf numFmtId="164" fontId="0" fillId="0" borderId="0" xfId="0" applyFont="true" applyBorder="true" applyAlignment="true" applyProtection="false">
      <alignment horizontal="left" vertical="center" textRotation="0" wrapText="true" indent="0" shrinkToFit="false"/>
      <protection locked="true" hidden="false"/>
    </xf>
    <xf numFmtId="164" fontId="30" fillId="0" borderId="0" xfId="0" applyFont="true" applyBorder="false" applyAlignment="false" applyProtection="false">
      <alignment horizontal="general" vertical="bottom" textRotation="0" wrapText="false" indent="0" shrinkToFit="false"/>
      <protection locked="true" hidden="false"/>
    </xf>
    <xf numFmtId="164" fontId="31" fillId="0" borderId="0" xfId="0" applyFont="true" applyBorder="false" applyAlignment="false" applyProtection="false">
      <alignment horizontal="general" vertical="bottom" textRotation="0" wrapText="false" indent="0" shrinkToFit="false"/>
      <protection locked="true" hidden="false"/>
    </xf>
    <xf numFmtId="164" fontId="14" fillId="0" borderId="0" xfId="0" applyFont="true" applyBorder="false" applyAlignment="true" applyProtection="false">
      <alignment horizontal="center" vertical="bottom" textRotation="0" wrapText="false" indent="0" shrinkToFit="false"/>
      <protection locked="true" hidden="false"/>
    </xf>
    <xf numFmtId="170" fontId="0"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true" applyAlignment="true" applyProtection="false">
      <alignment horizontal="center" vertical="bottom" textRotation="0" wrapText="false" indent="0" shrinkToFit="false"/>
      <protection locked="true" hidden="false"/>
    </xf>
    <xf numFmtId="171" fontId="0" fillId="0" borderId="0" xfId="19" applyFont="true" applyBorder="true" applyAlignment="true" applyProtection="true">
      <alignment horizontal="general" vertical="bottom" textRotation="0" wrapText="false" indent="0" shrinkToFit="false"/>
      <protection locked="true" hidden="false"/>
    </xf>
    <xf numFmtId="164" fontId="32" fillId="0" borderId="0" xfId="0" applyFont="true" applyBorder="true" applyAlignment="true" applyProtection="true">
      <alignment horizontal="center" vertical="top" textRotation="0" wrapText="true" indent="0" shrinkToFit="false"/>
      <protection locked="true" hidden="false"/>
    </xf>
    <xf numFmtId="172" fontId="0" fillId="0" borderId="0" xfId="0" applyFont="false" applyBorder="true" applyAlignment="false" applyProtection="true">
      <alignment horizontal="general" vertical="bottom" textRotation="0" wrapText="false" indent="0" shrinkToFit="false"/>
      <protection locked="true" hidden="false"/>
    </xf>
    <xf numFmtId="164" fontId="33" fillId="0" borderId="0" xfId="0" applyFont="true" applyBorder="true" applyAlignment="true" applyProtection="true">
      <alignment horizontal="general" vertical="top" textRotation="0" wrapText="false" indent="0" shrinkToFit="false"/>
      <protection locked="true" hidden="false"/>
    </xf>
    <xf numFmtId="169" fontId="0" fillId="0" borderId="0" xfId="0" applyFont="false" applyBorder="true" applyAlignment="false" applyProtection="true">
      <alignment horizontal="general" vertical="bottom" textRotation="0" wrapText="false" indent="0" shrinkToFit="false"/>
      <protection locked="true" hidden="false"/>
    </xf>
    <xf numFmtId="167" fontId="0" fillId="0" borderId="0" xfId="0" applyFont="false" applyBorder="true" applyAlignment="false" applyProtection="true">
      <alignment horizontal="general" vertical="bottom" textRotation="0" wrapText="false" indent="0" shrinkToFit="false"/>
      <protection locked="true" hidden="false"/>
    </xf>
    <xf numFmtId="164" fontId="33" fillId="0" borderId="0" xfId="0" applyFont="true" applyBorder="true" applyAlignment="false" applyProtection="true">
      <alignment horizontal="general" vertical="bottom" textRotation="0" wrapText="false" indent="0" shrinkToFit="false"/>
      <protection locked="true" hidden="false"/>
    </xf>
    <xf numFmtId="164" fontId="22" fillId="0" borderId="0" xfId="20" applyFont="true" applyBorder="true" applyAlignment="true" applyProtection="true">
      <alignment horizontal="general" vertical="top" textRotation="0" wrapText="false" indent="0" shrinkToFit="false"/>
      <protection locked="true" hidden="false"/>
    </xf>
    <xf numFmtId="165" fontId="0" fillId="0" borderId="0" xfId="0" applyFont="false" applyBorder="true" applyAlignment="false" applyProtection="true">
      <alignment horizontal="general" vertical="bottom" textRotation="0" wrapText="false" indent="0" shrinkToFit="false"/>
      <protection locked="true" hidden="false"/>
    </xf>
    <xf numFmtId="164" fontId="0" fillId="0" borderId="0" xfId="0" applyFont="true" applyBorder="true" applyAlignment="true" applyProtection="true">
      <alignment horizontal="general" vertical="top"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6000"/>
      <rgbColor rgb="FF800080"/>
      <rgbColor rgb="FF008080"/>
      <rgbColor rgb="FFBFBFBF"/>
      <rgbColor rgb="FF668FA6"/>
      <rgbColor rgb="FF9999FF"/>
      <rgbColor rgb="FF993366"/>
      <rgbColor rgb="FFFFFFCC"/>
      <rgbColor rgb="FFD9D9D9"/>
      <rgbColor rgb="FF660066"/>
      <rgbColor rgb="FFFF8080"/>
      <rgbColor rgb="FF0563C1"/>
      <rgbColor rgb="FFCCDAE1"/>
      <rgbColor rgb="FF000080"/>
      <rgbColor rgb="FFFF00FF"/>
      <rgbColor rgb="FFFFFF00"/>
      <rgbColor rgb="FF00FFFF"/>
      <rgbColor rgb="FF800080"/>
      <rgbColor rgb="FF800000"/>
      <rgbColor rgb="FF008080"/>
      <rgbColor rgb="FF0000FF"/>
      <rgbColor rgb="FF00CCFF"/>
      <rgbColor rgb="FFCCFFFF"/>
      <rgbColor rgb="FFCEE3BF"/>
      <rgbColor rgb="FFFFFF99"/>
      <rgbColor rgb="FF99CCFF"/>
      <rgbColor rgb="FFFF99CC"/>
      <rgbColor rgb="FFCC99FF"/>
      <rgbColor rgb="FFF8CBAD"/>
      <rgbColor rgb="FF2E75B6"/>
      <rgbColor rgb="FF33CCCC"/>
      <rgbColor rgb="FF99CC00"/>
      <rgbColor rgb="FFFFCC00"/>
      <rgbColor rgb="FFBF9000"/>
      <rgbColor rgb="FFC55A11"/>
      <rgbColor rgb="FF666699"/>
      <rgbColor rgb="FFA6A6A6"/>
      <rgbColor rgb="FF003366"/>
      <rgbColor rgb="FF548235"/>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png"/>
</Relationships>
</file>

<file path=xl/drawings/_rels/drawing2.xml.rels><?xml version="1.0" encoding="UTF-8"?>
<Relationships xmlns="http://schemas.openxmlformats.org/package/2006/relationships"><Relationship Id="rId1" Type="http://schemas.openxmlformats.org/officeDocument/2006/relationships/image" Target="../media/image2.png"/><Relationship Id="rId2" Type="http://schemas.openxmlformats.org/officeDocument/2006/relationships/image" Target="../media/image3.png"/>
</Relationships>
</file>

<file path=xl/drawings/_rels/drawing3.xml.rels><?xml version="1.0" encoding="UTF-8"?>
<Relationships xmlns="http://schemas.openxmlformats.org/package/2006/relationships"><Relationship Id="rId1" Type="http://schemas.openxmlformats.org/officeDocument/2006/relationships/image" Target="../media/image4.png"/>
</Relationships>
</file>

<file path=xl/drawings/_rels/drawing4.xml.rels><?xml version="1.0" encoding="UTF-8"?>
<Relationships xmlns="http://schemas.openxmlformats.org/package/2006/relationships"><Relationship Id="rId1" Type="http://schemas.openxmlformats.org/officeDocument/2006/relationships/image" Target="../media/image5.png"/><Relationship Id="rId2" Type="http://schemas.openxmlformats.org/officeDocument/2006/relationships/image" Target="../media/image6.jpeg"/><Relationship Id="rId3" Type="http://schemas.openxmlformats.org/officeDocument/2006/relationships/image" Target="../media/image7.png"/><Relationship Id="rId4" Type="http://schemas.openxmlformats.org/officeDocument/2006/relationships/image" Target="../media/image8.png"/><Relationship Id="rId5" Type="http://schemas.openxmlformats.org/officeDocument/2006/relationships/image" Target="../media/image9.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absolute">
    <xdr:from>
      <xdr:col>0</xdr:col>
      <xdr:colOff>110880</xdr:colOff>
      <xdr:row>26</xdr:row>
      <xdr:rowOff>37080</xdr:rowOff>
    </xdr:from>
    <xdr:to>
      <xdr:col>4</xdr:col>
      <xdr:colOff>84240</xdr:colOff>
      <xdr:row>68</xdr:row>
      <xdr:rowOff>18000</xdr:rowOff>
    </xdr:to>
    <xdr:pic>
      <xdr:nvPicPr>
        <xdr:cNvPr id="0" name="Image 3" descr=""/>
        <xdr:cNvPicPr/>
      </xdr:nvPicPr>
      <xdr:blipFill>
        <a:blip r:embed="rId1"/>
        <a:stretch/>
      </xdr:blipFill>
      <xdr:spPr>
        <a:xfrm>
          <a:off x="110880" y="5535720"/>
          <a:ext cx="4183920" cy="7581600"/>
        </a:xfrm>
        <a:prstGeom prst="rect">
          <a:avLst/>
        </a:prstGeom>
        <a:ln w="0">
          <a:noFill/>
        </a:ln>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20</xdr:col>
      <xdr:colOff>370800</xdr:colOff>
      <xdr:row>7</xdr:row>
      <xdr:rowOff>40680</xdr:rowOff>
    </xdr:from>
    <xdr:to>
      <xdr:col>29</xdr:col>
      <xdr:colOff>332640</xdr:colOff>
      <xdr:row>37</xdr:row>
      <xdr:rowOff>166320</xdr:rowOff>
    </xdr:to>
    <xdr:pic>
      <xdr:nvPicPr>
        <xdr:cNvPr id="1" name="Grafik 2" descr=""/>
        <xdr:cNvPicPr/>
      </xdr:nvPicPr>
      <xdr:blipFill>
        <a:blip r:embed="rId1"/>
        <a:stretch/>
      </xdr:blipFill>
      <xdr:spPr>
        <a:xfrm>
          <a:off x="18395280" y="1664280"/>
          <a:ext cx="6419160" cy="5383440"/>
        </a:xfrm>
        <a:prstGeom prst="rect">
          <a:avLst/>
        </a:prstGeom>
        <a:ln w="0">
          <a:noFill/>
        </a:ln>
      </xdr:spPr>
    </xdr:pic>
    <xdr:clientData/>
  </xdr:twoCellAnchor>
  <xdr:twoCellAnchor editAs="absolute">
    <xdr:from>
      <xdr:col>0</xdr:col>
      <xdr:colOff>0</xdr:colOff>
      <xdr:row>29</xdr:row>
      <xdr:rowOff>147600</xdr:rowOff>
    </xdr:from>
    <xdr:to>
      <xdr:col>2</xdr:col>
      <xdr:colOff>565560</xdr:colOff>
      <xdr:row>73</xdr:row>
      <xdr:rowOff>18360</xdr:rowOff>
    </xdr:to>
    <xdr:pic>
      <xdr:nvPicPr>
        <xdr:cNvPr id="2" name="Image 2" descr=""/>
        <xdr:cNvPicPr/>
      </xdr:nvPicPr>
      <xdr:blipFill>
        <a:blip r:embed="rId2"/>
        <a:stretch/>
      </xdr:blipFill>
      <xdr:spPr>
        <a:xfrm>
          <a:off x="0" y="5627160"/>
          <a:ext cx="4177440" cy="7581960"/>
        </a:xfrm>
        <a:prstGeom prst="rect">
          <a:avLst/>
        </a:prstGeom>
        <a:ln w="0">
          <a:noFill/>
        </a:ln>
      </xdr:spPr>
    </xdr:pic>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absolute">
    <xdr:from>
      <xdr:col>0</xdr:col>
      <xdr:colOff>46440</xdr:colOff>
      <xdr:row>29</xdr:row>
      <xdr:rowOff>-360</xdr:rowOff>
    </xdr:from>
    <xdr:to>
      <xdr:col>3</xdr:col>
      <xdr:colOff>120600</xdr:colOff>
      <xdr:row>73</xdr:row>
      <xdr:rowOff>171720</xdr:rowOff>
    </xdr:to>
    <xdr:pic>
      <xdr:nvPicPr>
        <xdr:cNvPr id="3" name="Image 1" descr=""/>
        <xdr:cNvPicPr/>
      </xdr:nvPicPr>
      <xdr:blipFill>
        <a:blip r:embed="rId1"/>
        <a:stretch/>
      </xdr:blipFill>
      <xdr:spPr>
        <a:xfrm>
          <a:off x="46440" y="5659920"/>
          <a:ext cx="4139280" cy="7883640"/>
        </a:xfrm>
        <a:prstGeom prst="rect">
          <a:avLst/>
        </a:prstGeom>
        <a:ln w="0">
          <a:noFill/>
        </a:ln>
      </xdr:spPr>
    </xdr:pic>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oneCell">
    <xdr:from>
      <xdr:col>11</xdr:col>
      <xdr:colOff>196920</xdr:colOff>
      <xdr:row>1</xdr:row>
      <xdr:rowOff>196920</xdr:rowOff>
    </xdr:from>
    <xdr:to>
      <xdr:col>12</xdr:col>
      <xdr:colOff>447840</xdr:colOff>
      <xdr:row>19</xdr:row>
      <xdr:rowOff>55440</xdr:rowOff>
    </xdr:to>
    <xdr:pic>
      <xdr:nvPicPr>
        <xdr:cNvPr id="4" name="Grafik 1" descr=""/>
        <xdr:cNvPicPr/>
      </xdr:nvPicPr>
      <xdr:blipFill>
        <a:blip r:embed="rId1"/>
        <a:stretch/>
      </xdr:blipFill>
      <xdr:spPr>
        <a:xfrm>
          <a:off x="12127320" y="359640"/>
          <a:ext cx="1105560" cy="3472200"/>
        </a:xfrm>
        <a:prstGeom prst="rect">
          <a:avLst/>
        </a:prstGeom>
        <a:ln w="0">
          <a:noFill/>
        </a:ln>
      </xdr:spPr>
    </xdr:pic>
    <xdr:clientData/>
  </xdr:twoCellAnchor>
  <xdr:twoCellAnchor editAs="oneCell">
    <xdr:from>
      <xdr:col>12</xdr:col>
      <xdr:colOff>557280</xdr:colOff>
      <xdr:row>3</xdr:row>
      <xdr:rowOff>71640</xdr:rowOff>
    </xdr:from>
    <xdr:to>
      <xdr:col>16</xdr:col>
      <xdr:colOff>228600</xdr:colOff>
      <xdr:row>17</xdr:row>
      <xdr:rowOff>3960</xdr:rowOff>
    </xdr:to>
    <xdr:pic>
      <xdr:nvPicPr>
        <xdr:cNvPr id="5" name="Grafik 2" descr=""/>
        <xdr:cNvPicPr/>
      </xdr:nvPicPr>
      <xdr:blipFill>
        <a:blip r:embed="rId2"/>
        <a:stretch/>
      </xdr:blipFill>
      <xdr:spPr>
        <a:xfrm>
          <a:off x="13342320" y="700920"/>
          <a:ext cx="3090240" cy="2774520"/>
        </a:xfrm>
        <a:prstGeom prst="rect">
          <a:avLst/>
        </a:prstGeom>
        <a:ln w="0">
          <a:noFill/>
        </a:ln>
      </xdr:spPr>
    </xdr:pic>
    <xdr:clientData/>
  </xdr:twoCellAnchor>
  <xdr:twoCellAnchor editAs="oneCell">
    <xdr:from>
      <xdr:col>7</xdr:col>
      <xdr:colOff>144360</xdr:colOff>
      <xdr:row>22</xdr:row>
      <xdr:rowOff>90720</xdr:rowOff>
    </xdr:from>
    <xdr:to>
      <xdr:col>15</xdr:col>
      <xdr:colOff>729000</xdr:colOff>
      <xdr:row>43</xdr:row>
      <xdr:rowOff>151200</xdr:rowOff>
    </xdr:to>
    <xdr:pic>
      <xdr:nvPicPr>
        <xdr:cNvPr id="6" name="Grafik 3" descr=""/>
        <xdr:cNvPicPr/>
      </xdr:nvPicPr>
      <xdr:blipFill>
        <a:blip r:embed="rId3"/>
        <a:stretch/>
      </xdr:blipFill>
      <xdr:spPr>
        <a:xfrm>
          <a:off x="7963200" y="4333680"/>
          <a:ext cx="8115120" cy="3765960"/>
        </a:xfrm>
        <a:prstGeom prst="rect">
          <a:avLst/>
        </a:prstGeom>
        <a:ln w="0">
          <a:noFill/>
        </a:ln>
      </xdr:spPr>
    </xdr:pic>
    <xdr:clientData/>
  </xdr:twoCellAnchor>
  <xdr:twoCellAnchor editAs="oneCell">
    <xdr:from>
      <xdr:col>0</xdr:col>
      <xdr:colOff>406440</xdr:colOff>
      <xdr:row>34</xdr:row>
      <xdr:rowOff>101520</xdr:rowOff>
    </xdr:from>
    <xdr:to>
      <xdr:col>5</xdr:col>
      <xdr:colOff>627480</xdr:colOff>
      <xdr:row>59</xdr:row>
      <xdr:rowOff>147600</xdr:rowOff>
    </xdr:to>
    <xdr:pic>
      <xdr:nvPicPr>
        <xdr:cNvPr id="7" name="Grafik 4" descr=""/>
        <xdr:cNvPicPr/>
      </xdr:nvPicPr>
      <xdr:blipFill>
        <a:blip r:embed="rId4"/>
        <a:stretch/>
      </xdr:blipFill>
      <xdr:spPr>
        <a:xfrm>
          <a:off x="406440" y="6678360"/>
          <a:ext cx="5979960" cy="3855960"/>
        </a:xfrm>
        <a:prstGeom prst="rect">
          <a:avLst/>
        </a:prstGeom>
        <a:ln w="0">
          <a:noFill/>
        </a:ln>
      </xdr:spPr>
    </xdr:pic>
    <xdr:clientData/>
  </xdr:twoCellAnchor>
  <xdr:twoCellAnchor editAs="oneCell">
    <xdr:from>
      <xdr:col>16</xdr:col>
      <xdr:colOff>681120</xdr:colOff>
      <xdr:row>2</xdr:row>
      <xdr:rowOff>104040</xdr:rowOff>
    </xdr:from>
    <xdr:to>
      <xdr:col>21</xdr:col>
      <xdr:colOff>208080</xdr:colOff>
      <xdr:row>17</xdr:row>
      <xdr:rowOff>112320</xdr:rowOff>
    </xdr:to>
    <xdr:pic>
      <xdr:nvPicPr>
        <xdr:cNvPr id="8" name="Grafik 5" descr=""/>
        <xdr:cNvPicPr/>
      </xdr:nvPicPr>
      <xdr:blipFill>
        <a:blip r:embed="rId5"/>
        <a:stretch/>
      </xdr:blipFill>
      <xdr:spPr>
        <a:xfrm>
          <a:off x="16885080" y="581040"/>
          <a:ext cx="3800520" cy="3002760"/>
        </a:xfrm>
        <a:prstGeom prst="rect">
          <a:avLst/>
        </a:prstGeom>
        <a:ln w="0">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containertech.com/about-containers/how-durable-are-shipping-containers/" TargetMode="External"/><Relationship Id="rId3" Type="http://schemas.openxmlformats.org/officeDocument/2006/relationships/drawing" Target="../drawings/drawing1.xml"/><Relationship Id="rId4" Type="http://schemas.openxmlformats.org/officeDocument/2006/relationships/vmlDrawing" Target="../drawings/vmlDrawing2.v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2.xml"/><Relationship Id="rId3" Type="http://schemas.openxmlformats.org/officeDocument/2006/relationships/vmlDrawing" Target="../drawings/vmlDrawing3.vml"/>
</Relationships>
</file>

<file path=xl/worksheets/_rels/sheet4.xml.rels><?xml version="1.0" encoding="UTF-8"?>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gyproc.dk/sites/gypsum.nordic.master/files/gyproc-site/document-files/Environmental-DK/EPD-DK-Gyproc-Normal-Standardgipsplade.pdf" TargetMode="External"/><Relationship Id="rId3" Type="http://schemas.openxmlformats.org/officeDocument/2006/relationships/hyperlink" Target="https://www.isoleringdanmark.dk/CustomerData/Files/Folders/30-pdf-2/714_epd-papirisolering.pdf" TargetMode="External"/><Relationship Id="rId4" Type="http://schemas.openxmlformats.org/officeDocument/2006/relationships/drawing" Target="../drawings/drawing3.xml"/><Relationship Id="rId5" Type="http://schemas.openxmlformats.org/officeDocument/2006/relationships/vmlDrawing" Target="../drawings/vmlDrawing4.vml"/>
</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weamerisolar.eu/wp-content/uploads/2017/03/AS-6P30-Module-Specification.pdf" TargetMode="External"/><Relationship Id="rId3" Type="http://schemas.openxmlformats.org/officeDocument/2006/relationships/hyperlink" Target="https://dict.leo.org/englisch-deutsch/negligible" TargetMode="External"/><Relationship Id="rId4" Type="http://schemas.openxmlformats.org/officeDocument/2006/relationships/vmlDrawing" Target="../drawings/vmlDrawing5.vml"/>
</Relationships>
</file>

<file path=xl/worksheets/_rels/sheet6.xml.rels><?xml version="1.0" encoding="UTF-8"?>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windturbinestar.com/10kwh-aeolos-wind-turbine.html" TargetMode="External"/><Relationship Id="rId3" Type="http://schemas.openxmlformats.org/officeDocument/2006/relationships/hyperlink" Target="https://www.windturbinestar.com/300w-vertical-wind-turbine.html" TargetMode="External"/><Relationship Id="rId4" Type="http://schemas.openxmlformats.org/officeDocument/2006/relationships/vmlDrawing" Target="../drawings/vmlDrawing6.vml"/>
</Relationships>
</file>

<file path=xl/worksheets/_rels/sheet7.xml.rels><?xml version="1.0" encoding="UTF-8"?>
<Relationships xmlns="http://schemas.openxmlformats.org/package/2006/relationships"><Relationship Id="rId1" Type="http://schemas.openxmlformats.org/officeDocument/2006/relationships/comments" Target="../comments7.xml"/><Relationship Id="rId2" Type="http://schemas.openxmlformats.org/officeDocument/2006/relationships/vmlDrawing" Target="../drawings/vmlDrawing7.vml"/>
</Relationships>
</file>

<file path=xl/worksheets/_rels/sheet8.xml.rels><?xml version="1.0" encoding="UTF-8"?>
<Relationships xmlns="http://schemas.openxmlformats.org/package/2006/relationships"><Relationship Id="rId1" Type="http://schemas.openxmlformats.org/officeDocument/2006/relationships/comments" Target="../comments8.xml"/><Relationship Id="rId2" Type="http://schemas.openxmlformats.org/officeDocument/2006/relationships/vmlDrawing" Target="../drawings/vmlDrawing8.vml"/>
</Relationships>
</file>

<file path=xl/worksheets/_rels/sheet9.xml.rels><?xml version="1.0" encoding="UTF-8"?>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ecococon.eu/assets/legal/general-information-(en).pdf" TargetMode="External"/><Relationship Id="rId3" Type="http://schemas.openxmlformats.org/officeDocument/2006/relationships/drawing" Target="../drawings/drawing4.xml"/><Relationship Id="rId4" Type="http://schemas.openxmlformats.org/officeDocument/2006/relationships/vmlDrawing" Target="../drawings/vmlDrawing9.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W111"/>
  <sheetViews>
    <sheetView showFormulas="false" showGridLines="true" showRowColHeaders="true" showZeros="true" rightToLeft="false" tabSelected="true" showOutlineSymbols="true" defaultGridColor="true" view="normal" topLeftCell="H11" colorId="64" zoomScale="90" zoomScaleNormal="90" zoomScalePageLayoutView="100" workbookViewId="0">
      <selection pane="topLeft" activeCell="T39" activeCellId="0" sqref="T39"/>
    </sheetView>
  </sheetViews>
  <sheetFormatPr defaultColWidth="8.54296875" defaultRowHeight="13.8" zeroHeight="false" outlineLevelRow="0" outlineLevelCol="0"/>
  <cols>
    <col collapsed="false" customWidth="true" hidden="false" outlineLevel="0" max="1" min="1" style="0" width="22.32"/>
    <col collapsed="false" customWidth="true" hidden="false" outlineLevel="0" max="20" min="20" style="0" width="50.66"/>
  </cols>
  <sheetData>
    <row r="1" customFormat="false" ht="15" hidden="false" customHeight="false" outlineLevel="0" collapsed="false">
      <c r="A1" s="1" t="s">
        <v>0</v>
      </c>
      <c r="B1" s="1" t="s">
        <v>1</v>
      </c>
    </row>
    <row r="2" customFormat="false" ht="15" hidden="false" customHeight="false" outlineLevel="0" collapsed="false">
      <c r="A2" s="1" t="s">
        <v>2</v>
      </c>
    </row>
    <row r="3" customFormat="false" ht="13.8" hidden="false" customHeight="false" outlineLevel="0" collapsed="false">
      <c r="A3" s="0" t="s">
        <v>3</v>
      </c>
      <c r="B3" s="0" t="s">
        <v>4</v>
      </c>
      <c r="C3" s="0" t="s">
        <v>5</v>
      </c>
    </row>
    <row r="4" customFormat="false" ht="13.8" hidden="false" customHeight="false" outlineLevel="0" collapsed="false">
      <c r="A4" s="0" t="s">
        <v>6</v>
      </c>
      <c r="B4" s="0" t="n">
        <v>170</v>
      </c>
      <c r="C4" s="0" t="str">
        <f aca="false">B$1</f>
        <v>grobund tinyhouse</v>
      </c>
    </row>
    <row r="9" customFormat="false" ht="15" hidden="false" customHeight="false" outlineLevel="0" collapsed="false">
      <c r="A9" s="1"/>
      <c r="B9" s="1"/>
    </row>
    <row r="11" customFormat="false" ht="15" hidden="false" customHeight="false" outlineLevel="0" collapsed="false">
      <c r="A11" s="1" t="s">
        <v>7</v>
      </c>
      <c r="B11" s="1" t="s">
        <v>8</v>
      </c>
    </row>
    <row r="12" customFormat="false" ht="13.8" hidden="false" customHeight="false" outlineLevel="0" collapsed="false">
      <c r="A12" s="2" t="s">
        <v>9</v>
      </c>
      <c r="B12" s="2" t="s">
        <v>10</v>
      </c>
    </row>
    <row r="13" customFormat="false" ht="13.8" hidden="false" customHeight="false" outlineLevel="0" collapsed="false">
      <c r="A13" s="2" t="s">
        <v>11</v>
      </c>
      <c r="B13" s="2" t="s">
        <v>12</v>
      </c>
    </row>
    <row r="14" customFormat="false" ht="13.8" hidden="false" customHeight="false" outlineLevel="0" collapsed="false">
      <c r="A14" s="2" t="s">
        <v>13</v>
      </c>
      <c r="B14" s="2" t="s">
        <v>14</v>
      </c>
    </row>
    <row r="15" customFormat="false" ht="13.8" hidden="false" customHeight="false" outlineLevel="0" collapsed="false">
      <c r="A15" s="2" t="s">
        <v>15</v>
      </c>
      <c r="B15" s="2" t="s">
        <v>16</v>
      </c>
    </row>
    <row r="16" customFormat="false" ht="27.95" hidden="false" customHeight="false" outlineLevel="0" collapsed="false">
      <c r="A16" s="2" t="s">
        <v>17</v>
      </c>
      <c r="B16" s="3" t="s">
        <v>18</v>
      </c>
    </row>
    <row r="18" customFormat="false" ht="15" hidden="false" customHeight="false" outlineLevel="0" collapsed="false">
      <c r="A18" s="1" t="s">
        <v>19</v>
      </c>
    </row>
    <row r="19" customFormat="false" ht="13.8" hidden="false" customHeight="false" outlineLevel="0" collapsed="false">
      <c r="A19" s="2" t="s">
        <v>3</v>
      </c>
      <c r="B19" s="2" t="s">
        <v>4</v>
      </c>
      <c r="C19" s="2" t="s">
        <v>5</v>
      </c>
      <c r="D19" s="2" t="s">
        <v>9</v>
      </c>
      <c r="E19" s="2" t="s">
        <v>15</v>
      </c>
      <c r="F19" s="2" t="s">
        <v>13</v>
      </c>
      <c r="G19" s="2" t="s">
        <v>20</v>
      </c>
      <c r="H19" s="2" t="s">
        <v>17</v>
      </c>
      <c r="I19" s="2" t="s">
        <v>21</v>
      </c>
      <c r="J19" s="2" t="s">
        <v>11</v>
      </c>
    </row>
    <row r="20" customFormat="false" ht="13.8" hidden="false" customHeight="false" outlineLevel="0" collapsed="false">
      <c r="A20" s="2" t="str">
        <f aca="false">B11</f>
        <v>wood tiny house materials</v>
      </c>
      <c r="B20" s="2" t="n">
        <f aca="false">18/18</f>
        <v>1</v>
      </c>
      <c r="C20" s="2" t="str">
        <f aca="false">B1</f>
        <v>grobund tinyhouse</v>
      </c>
      <c r="D20" s="2" t="str">
        <f aca="false">B12</f>
        <v>DK</v>
      </c>
      <c r="E20" s="2" t="str">
        <f aca="false">B15</f>
        <v>square meter</v>
      </c>
      <c r="F20" s="2" t="s">
        <v>22</v>
      </c>
      <c r="J20" s="2" t="str">
        <f aca="false">B13</f>
        <v>wood tinyhouse</v>
      </c>
    </row>
    <row r="21" customFormat="false" ht="13.8" hidden="false" customHeight="false" outlineLevel="0" collapsed="false">
      <c r="A21" s="2" t="str">
        <f aca="false">TH!K6</f>
        <v>market for steel, low-alloyed</v>
      </c>
      <c r="B21" s="2" t="n">
        <f aca="false">TH!C6/18</f>
        <v>5.03333333333333</v>
      </c>
      <c r="C21" s="2" t="s">
        <v>23</v>
      </c>
      <c r="D21" s="2" t="str">
        <f aca="false">TH!M6</f>
        <v>GLO</v>
      </c>
      <c r="E21" s="2" t="str">
        <f aca="false">TH!N6</f>
        <v>kilogram</v>
      </c>
      <c r="F21" s="2" t="s">
        <v>24</v>
      </c>
      <c r="H21" s="0" t="s">
        <v>25</v>
      </c>
      <c r="J21" s="2" t="str">
        <f aca="false">TH!L6</f>
        <v>steel, low-alloyed</v>
      </c>
    </row>
    <row r="22" customFormat="false" ht="13.8" hidden="false" customHeight="false" outlineLevel="0" collapsed="false">
      <c r="A22" s="2" t="s">
        <v>26</v>
      </c>
      <c r="B22" s="2" t="n">
        <f aca="false">TH!C7/18</f>
        <v>0.0221375</v>
      </c>
      <c r="C22" s="2" t="s">
        <v>23</v>
      </c>
      <c r="D22" s="2" t="str">
        <f aca="false">TH!M7</f>
        <v>RER</v>
      </c>
      <c r="E22" s="2" t="str">
        <f aca="false">TH!N7</f>
        <v>cubic meter</v>
      </c>
      <c r="F22" s="2" t="s">
        <v>24</v>
      </c>
      <c r="J22" s="2" t="str">
        <f aca="false">TH!L7</f>
        <v>sawnwood, hardwood, dried (u=10%), planed</v>
      </c>
      <c r="T22" s="0" t="s">
        <v>25</v>
      </c>
      <c r="U22" s="4" t="n">
        <v>5.03333333333333</v>
      </c>
      <c r="V22" s="0" t="s">
        <v>27</v>
      </c>
      <c r="W22" s="0" t="s">
        <v>28</v>
      </c>
    </row>
    <row r="23" customFormat="false" ht="13.8" hidden="false" customHeight="false" outlineLevel="0" collapsed="false">
      <c r="A23" s="2" t="s">
        <v>29</v>
      </c>
      <c r="B23" s="2" t="n">
        <f aca="false">TH!C8/18</f>
        <v>0.1860402</v>
      </c>
      <c r="C23" s="2" t="s">
        <v>23</v>
      </c>
      <c r="D23" s="2" t="str">
        <f aca="false">TH!M8</f>
        <v>RER</v>
      </c>
      <c r="E23" s="2" t="str">
        <f aca="false">TH!N8</f>
        <v>cubic meter</v>
      </c>
      <c r="F23" s="2" t="s">
        <v>24</v>
      </c>
      <c r="J23" s="2" t="str">
        <f aca="false">TH!L8</f>
        <v>sawnwood, softwood, dried (u=10%), planed</v>
      </c>
      <c r="T23" s="0" t="s">
        <v>30</v>
      </c>
      <c r="U23" s="4" t="n">
        <v>0.0221375</v>
      </c>
      <c r="V23" s="0" t="s">
        <v>31</v>
      </c>
      <c r="W23" s="0" t="s">
        <v>26</v>
      </c>
    </row>
    <row r="24" customFormat="false" ht="13.8" hidden="false" customHeight="false" outlineLevel="0" collapsed="false">
      <c r="A24" s="2" t="str">
        <f aca="false">TH!K10</f>
        <v>market for gypsum plasterboard</v>
      </c>
      <c r="B24" s="2" t="n">
        <f aca="false">TH!C10/18</f>
        <v>33.48</v>
      </c>
      <c r="C24" s="2" t="s">
        <v>23</v>
      </c>
      <c r="D24" s="2" t="str">
        <f aca="false">TH!M10</f>
        <v>GLO</v>
      </c>
      <c r="E24" s="2" t="str">
        <f aca="false">TH!N10</f>
        <v>kilogram</v>
      </c>
      <c r="F24" s="2" t="s">
        <v>24</v>
      </c>
      <c r="J24" s="2" t="str">
        <f aca="false">TH!L10</f>
        <v>gypsum plasterboard</v>
      </c>
      <c r="T24" s="0" t="s">
        <v>32</v>
      </c>
      <c r="U24" s="4" t="n">
        <v>0.1860402</v>
      </c>
      <c r="V24" s="0" t="s">
        <v>31</v>
      </c>
      <c r="W24" s="0" t="s">
        <v>29</v>
      </c>
    </row>
    <row r="25" customFormat="false" ht="13.8" hidden="false" customHeight="false" outlineLevel="0" collapsed="false">
      <c r="A25" s="2" t="str">
        <f aca="false">TH!K11</f>
        <v>market for wood cladding, softwood</v>
      </c>
      <c r="B25" s="2" t="n">
        <f aca="false">TH!C11/18</f>
        <v>1.10666666666667</v>
      </c>
      <c r="C25" s="2" t="s">
        <v>23</v>
      </c>
      <c r="D25" s="2" t="str">
        <f aca="false">TH!M11</f>
        <v>GLO</v>
      </c>
      <c r="E25" s="2" t="str">
        <f aca="false">TH!N11</f>
        <v>square meter</v>
      </c>
      <c r="F25" s="2" t="s">
        <v>24</v>
      </c>
      <c r="J25" s="2" t="str">
        <f aca="false">TH!L11</f>
        <v>wood cladding, softwood</v>
      </c>
      <c r="T25" s="0" t="s">
        <v>33</v>
      </c>
      <c r="U25" s="4" t="n">
        <v>33.48</v>
      </c>
      <c r="V25" s="0" t="s">
        <v>27</v>
      </c>
      <c r="W25" s="0" t="s">
        <v>34</v>
      </c>
    </row>
    <row r="26" customFormat="false" ht="13.8" hidden="false" customHeight="false" outlineLevel="0" collapsed="false">
      <c r="A26" s="2" t="str">
        <f aca="false">TH!K12</f>
        <v>market for steel, low-alloyed</v>
      </c>
      <c r="B26" s="2" t="n">
        <f aca="false">TH!C12/18</f>
        <v>1.25</v>
      </c>
      <c r="C26" s="2" t="s">
        <v>23</v>
      </c>
      <c r="D26" s="2" t="str">
        <f aca="false">TH!M12</f>
        <v>GLO</v>
      </c>
      <c r="E26" s="2" t="str">
        <f aca="false">TH!N12</f>
        <v>kilogram</v>
      </c>
      <c r="F26" s="2" t="s">
        <v>24</v>
      </c>
      <c r="H26" s="0" t="s">
        <v>35</v>
      </c>
      <c r="J26" s="2" t="str">
        <f aca="false">TH!L12</f>
        <v>steel, low-alloyed</v>
      </c>
      <c r="T26" s="0" t="s">
        <v>36</v>
      </c>
      <c r="U26" s="4" t="n">
        <v>1.10666666666667</v>
      </c>
      <c r="V26" s="0" t="s">
        <v>16</v>
      </c>
      <c r="W26" s="0" t="s">
        <v>37</v>
      </c>
    </row>
    <row r="27" customFormat="false" ht="13.8" hidden="false" customHeight="false" outlineLevel="0" collapsed="false">
      <c r="A27" s="2" t="str">
        <f aca="false">TH!K13</f>
        <v>market for wood cladding, softwood</v>
      </c>
      <c r="B27" s="2" t="n">
        <f aca="false">TH!C13/18</f>
        <v>5.72944444444444</v>
      </c>
      <c r="C27" s="2" t="s">
        <v>23</v>
      </c>
      <c r="D27" s="2" t="str">
        <f aca="false">TH!M13</f>
        <v>GLO</v>
      </c>
      <c r="E27" s="2" t="str">
        <f aca="false">TH!N13</f>
        <v>square meter</v>
      </c>
      <c r="F27" s="2" t="s">
        <v>24</v>
      </c>
      <c r="J27" s="2" t="str">
        <f aca="false">TH!L13</f>
        <v>wood cladding, softwood</v>
      </c>
      <c r="T27" s="0" t="s">
        <v>35</v>
      </c>
      <c r="U27" s="4" t="n">
        <v>1.25</v>
      </c>
      <c r="V27" s="0" t="s">
        <v>27</v>
      </c>
      <c r="W27" s="0" t="s">
        <v>28</v>
      </c>
    </row>
    <row r="28" customFormat="false" ht="13.8" hidden="false" customHeight="false" outlineLevel="0" collapsed="false">
      <c r="A28" s="2" t="str">
        <f aca="false">TH!K14</f>
        <v>market for oriented strand board</v>
      </c>
      <c r="B28" s="2" t="n">
        <f aca="false">TH!C14/18</f>
        <v>0.01378</v>
      </c>
      <c r="C28" s="2" t="s">
        <v>23</v>
      </c>
      <c r="D28" s="2" t="str">
        <f aca="false">TH!M14</f>
        <v>RER</v>
      </c>
      <c r="E28" s="2" t="str">
        <f aca="false">TH!N14</f>
        <v>cubic meter</v>
      </c>
      <c r="F28" s="2" t="s">
        <v>24</v>
      </c>
      <c r="J28" s="2" t="str">
        <f aca="false">TH!L14</f>
        <v>oriented strand board</v>
      </c>
      <c r="T28" s="0" t="s">
        <v>36</v>
      </c>
      <c r="U28" s="4" t="n">
        <v>5.72944444444444</v>
      </c>
      <c r="V28" s="0" t="s">
        <v>16</v>
      </c>
      <c r="W28" s="0" t="s">
        <v>37</v>
      </c>
    </row>
    <row r="29" customFormat="false" ht="13.8" hidden="false" customHeight="false" outlineLevel="0" collapsed="false">
      <c r="A29" s="2" t="str">
        <f aca="false">TH!K15</f>
        <v>market for packaging film, low density polyethylene</v>
      </c>
      <c r="B29" s="2" t="n">
        <f aca="false">TH!C15/18</f>
        <v>1.48055555555556</v>
      </c>
      <c r="C29" s="2" t="s">
        <v>23</v>
      </c>
      <c r="D29" s="2" t="str">
        <f aca="false">TH!M15</f>
        <v>GLO</v>
      </c>
      <c r="E29" s="2" t="str">
        <f aca="false">TH!N15</f>
        <v>kilogram</v>
      </c>
      <c r="F29" s="2" t="s">
        <v>24</v>
      </c>
      <c r="J29" s="2" t="str">
        <f aca="false">TH!L15</f>
        <v>packaging film, low density polyethylene</v>
      </c>
      <c r="T29" s="0" t="s">
        <v>38</v>
      </c>
      <c r="U29" s="4" t="n">
        <v>0.01378</v>
      </c>
      <c r="V29" s="0" t="s">
        <v>31</v>
      </c>
      <c r="W29" s="0" t="s">
        <v>39</v>
      </c>
    </row>
    <row r="30" customFormat="false" ht="13.8" hidden="false" customHeight="false" outlineLevel="0" collapsed="false">
      <c r="A30" s="2" t="str">
        <f aca="false">TH!K16</f>
        <v>market for polyurethane adhesive</v>
      </c>
      <c r="B30" s="2" t="n">
        <f aca="false">TH!C16/18</f>
        <v>0.0161111111111111</v>
      </c>
      <c r="C30" s="2" t="s">
        <v>23</v>
      </c>
      <c r="D30" s="2" t="str">
        <f aca="false">TH!M16</f>
        <v>GLO</v>
      </c>
      <c r="E30" s="2" t="str">
        <f aca="false">TH!N16</f>
        <v>kilogram</v>
      </c>
      <c r="F30" s="2" t="s">
        <v>24</v>
      </c>
      <c r="J30" s="2" t="str">
        <f aca="false">TH!L16</f>
        <v>polyurethane adhesive</v>
      </c>
      <c r="T30" s="0" t="s">
        <v>40</v>
      </c>
      <c r="U30" s="4" t="n">
        <v>1.48055555555556</v>
      </c>
      <c r="V30" s="0" t="s">
        <v>27</v>
      </c>
      <c r="W30" s="0" t="s">
        <v>41</v>
      </c>
    </row>
    <row r="31" customFormat="false" ht="13.8" hidden="false" customHeight="false" outlineLevel="0" collapsed="false">
      <c r="A31" s="2" t="str">
        <f aca="false">TH!K17</f>
        <v>market for polyester-complexed starch biopolymer</v>
      </c>
      <c r="B31" s="2" t="n">
        <f aca="false">TH!C17/18</f>
        <v>7.25</v>
      </c>
      <c r="C31" s="2" t="s">
        <v>23</v>
      </c>
      <c r="D31" s="2" t="str">
        <f aca="false">TH!M17</f>
        <v>GLO</v>
      </c>
      <c r="E31" s="2" t="str">
        <f aca="false">TH!N17</f>
        <v>kilogram</v>
      </c>
      <c r="F31" s="2" t="s">
        <v>24</v>
      </c>
      <c r="J31" s="2" t="str">
        <f aca="false">TH!L17</f>
        <v>polyester-complexed starch biopolymer</v>
      </c>
      <c r="T31" s="0" t="s">
        <v>42</v>
      </c>
      <c r="U31" s="4" t="n">
        <v>0.0161111111111111</v>
      </c>
      <c r="V31" s="0" t="s">
        <v>27</v>
      </c>
      <c r="W31" s="0" t="s">
        <v>43</v>
      </c>
    </row>
    <row r="32" customFormat="false" ht="13.8" hidden="false" customHeight="false" outlineLevel="0" collapsed="false">
      <c r="A32" s="2" t="str">
        <f aca="false">TH!K18</f>
        <v>market for plywood</v>
      </c>
      <c r="B32" s="2" t="n">
        <f aca="false">TH!C18/18</f>
        <v>0.150910966666667</v>
      </c>
      <c r="C32" s="2" t="s">
        <v>23</v>
      </c>
      <c r="D32" s="2" t="str">
        <f aca="false">TH!M18</f>
        <v>RER</v>
      </c>
      <c r="E32" s="2" t="str">
        <f aca="false">TH!N18</f>
        <v>cubic meter</v>
      </c>
      <c r="F32" s="2" t="s">
        <v>24</v>
      </c>
      <c r="J32" s="2" t="str">
        <f aca="false">TH!L18</f>
        <v>plywood</v>
      </c>
      <c r="T32" s="0" t="s">
        <v>44</v>
      </c>
      <c r="U32" s="4" t="n">
        <v>7.25</v>
      </c>
      <c r="V32" s="0" t="s">
        <v>27</v>
      </c>
      <c r="W32" s="0" t="s">
        <v>45</v>
      </c>
    </row>
    <row r="33" customFormat="false" ht="13.8" hidden="false" customHeight="false" outlineLevel="0" collapsed="false">
      <c r="A33" s="2" t="str">
        <f aca="false">TH!K19</f>
        <v>market for cellulose fibre</v>
      </c>
      <c r="B33" s="2" t="n">
        <f aca="false">TH!C19/18</f>
        <v>35</v>
      </c>
      <c r="C33" s="2" t="s">
        <v>23</v>
      </c>
      <c r="D33" s="2" t="str">
        <f aca="false">TH!M19</f>
        <v>CH</v>
      </c>
      <c r="E33" s="2" t="str">
        <f aca="false">TH!N19</f>
        <v>kilogram</v>
      </c>
      <c r="F33" s="2" t="s">
        <v>24</v>
      </c>
      <c r="J33" s="2" t="str">
        <f aca="false">TH!L19</f>
        <v>cellulose fibre</v>
      </c>
      <c r="T33" s="0" t="s">
        <v>46</v>
      </c>
      <c r="U33" s="4" t="n">
        <v>0.150910966666667</v>
      </c>
      <c r="V33" s="0" t="s">
        <v>31</v>
      </c>
      <c r="W33" s="0" t="s">
        <v>47</v>
      </c>
    </row>
    <row r="34" customFormat="false" ht="13.8" hidden="false" customHeight="false" outlineLevel="0" collapsed="false">
      <c r="A34" s="2" t="str">
        <f aca="false">TH!K20</f>
        <v>market for bitumen seal</v>
      </c>
      <c r="B34" s="2" t="n">
        <f aca="false">TH!C20/18</f>
        <v>0.111111111111111</v>
      </c>
      <c r="C34" s="2" t="s">
        <v>23</v>
      </c>
      <c r="D34" s="2" t="str">
        <f aca="false">TH!M20</f>
        <v>GLO</v>
      </c>
      <c r="E34" s="2" t="str">
        <f aca="false">TH!N20</f>
        <v>kilogram</v>
      </c>
      <c r="F34" s="2" t="s">
        <v>24</v>
      </c>
      <c r="J34" s="2" t="str">
        <f aca="false">TH!L20</f>
        <v>bitumen seal</v>
      </c>
      <c r="T34" s="0" t="s">
        <v>48</v>
      </c>
      <c r="U34" s="4" t="n">
        <v>35</v>
      </c>
      <c r="V34" s="0" t="s">
        <v>27</v>
      </c>
      <c r="W34" s="0" t="s">
        <v>49</v>
      </c>
    </row>
    <row r="35" customFormat="false" ht="13.8" hidden="false" customHeight="false" outlineLevel="0" collapsed="false">
      <c r="A35" s="2" t="str">
        <f aca="false">TH!K21</f>
        <v>market for alkyd paint, white, without water, in 60% solution state</v>
      </c>
      <c r="B35" s="2" t="n">
        <f aca="false">TH!C21/18</f>
        <v>0.833333333333333</v>
      </c>
      <c r="C35" s="2" t="s">
        <v>23</v>
      </c>
      <c r="D35" s="2" t="str">
        <f aca="false">TH!M21</f>
        <v>RER</v>
      </c>
      <c r="E35" s="2" t="str">
        <f aca="false">TH!N21</f>
        <v>kilogram</v>
      </c>
      <c r="F35" s="2" t="s">
        <v>24</v>
      </c>
      <c r="J35" s="2" t="str">
        <f aca="false">TH!L21</f>
        <v>alkyd paint, white, without water, in 60% solution state</v>
      </c>
      <c r="T35" s="0" t="s">
        <v>50</v>
      </c>
      <c r="U35" s="4" t="n">
        <v>0.111111111111111</v>
      </c>
      <c r="V35" s="0" t="s">
        <v>27</v>
      </c>
      <c r="W35" s="0" t="s">
        <v>51</v>
      </c>
    </row>
    <row r="36" customFormat="false" ht="13.8" hidden="false" customHeight="false" outlineLevel="0" collapsed="false">
      <c r="A36" s="2" t="str">
        <f aca="false">TH!K22</f>
        <v>market for alkyd paint, white, without solvent, in 60% solution state</v>
      </c>
      <c r="B36" s="2" t="n">
        <f aca="false">TH!C22/18</f>
        <v>0.766666666666667</v>
      </c>
      <c r="C36" s="2" t="s">
        <v>23</v>
      </c>
      <c r="D36" s="2" t="str">
        <f aca="false">TH!M22</f>
        <v>RER</v>
      </c>
      <c r="E36" s="2" t="str">
        <f aca="false">TH!N22</f>
        <v>kilogram</v>
      </c>
      <c r="F36" s="2" t="s">
        <v>24</v>
      </c>
      <c r="J36" s="2" t="str">
        <f aca="false">TH!L22</f>
        <v>alkyd paint, white, without solvent, in 60% solution state</v>
      </c>
      <c r="T36" s="0" t="s">
        <v>52</v>
      </c>
      <c r="U36" s="4" t="n">
        <v>0.833333333333333</v>
      </c>
      <c r="V36" s="0" t="s">
        <v>27</v>
      </c>
      <c r="W36" s="0" t="s">
        <v>53</v>
      </c>
    </row>
    <row r="37" customFormat="false" ht="13.8" hidden="false" customHeight="false" outlineLevel="0" collapsed="false">
      <c r="A37" s="2" t="str">
        <f aca="false">TH!K23</f>
        <v>market for glazing, triple, U&lt;0.5 W/m2K</v>
      </c>
      <c r="B37" s="2" t="n">
        <f aca="false">TH!C23/18</f>
        <v>0.443333333333333</v>
      </c>
      <c r="C37" s="2" t="s">
        <v>23</v>
      </c>
      <c r="D37" s="2" t="str">
        <f aca="false">TH!M23</f>
        <v>GLO</v>
      </c>
      <c r="E37" s="2" t="str">
        <f aca="false">TH!N23</f>
        <v>square meter</v>
      </c>
      <c r="F37" s="2" t="s">
        <v>24</v>
      </c>
      <c r="J37" s="2" t="str">
        <f aca="false">TH!L23</f>
        <v>glazing, triple, U&lt;0.5 W/m2K</v>
      </c>
      <c r="T37" s="0" t="s">
        <v>52</v>
      </c>
      <c r="U37" s="4" t="n">
        <v>0.766666666666667</v>
      </c>
      <c r="V37" s="0" t="s">
        <v>27</v>
      </c>
      <c r="W37" s="0" t="s">
        <v>54</v>
      </c>
    </row>
    <row r="38" customFormat="false" ht="13.8" hidden="false" customHeight="false" outlineLevel="0" collapsed="false">
      <c r="A38" s="2" t="str">
        <f aca="false">TH!K24</f>
        <v>market for window frame, wood-metal, U=1.6 W/m2K</v>
      </c>
      <c r="B38" s="2" t="n">
        <f aca="false">TH!C24/18</f>
        <v>0.0811666666666667</v>
      </c>
      <c r="C38" s="2" t="s">
        <v>23</v>
      </c>
      <c r="D38" s="2" t="str">
        <f aca="false">TH!M24</f>
        <v>GLO</v>
      </c>
      <c r="E38" s="2" t="str">
        <f aca="false">TH!N24</f>
        <v>square meter</v>
      </c>
      <c r="F38" s="2" t="s">
        <v>24</v>
      </c>
      <c r="J38" s="2" t="str">
        <f aca="false">TH!L24</f>
        <v>window frame, wood-metal, U=1.6 W/m2K</v>
      </c>
      <c r="T38" s="0" t="s">
        <v>55</v>
      </c>
      <c r="U38" s="4" t="n">
        <v>0.443333333333333</v>
      </c>
      <c r="V38" s="0" t="s">
        <v>16</v>
      </c>
      <c r="W38" s="0" t="s">
        <v>56</v>
      </c>
    </row>
    <row r="39" customFormat="false" ht="13.8" hidden="false" customHeight="false" outlineLevel="0" collapsed="false">
      <c r="A39" s="2" t="str">
        <f aca="false">TH!K25</f>
        <v>market for door, outer, wood-aluminium</v>
      </c>
      <c r="B39" s="2" t="n">
        <f aca="false">TH!C25/18</f>
        <v>0.111111111111111</v>
      </c>
      <c r="C39" s="2" t="s">
        <v>57</v>
      </c>
      <c r="D39" s="2" t="str">
        <f aca="false">TH!M25</f>
        <v>GLO</v>
      </c>
      <c r="E39" s="2" t="str">
        <f aca="false">TH!N25</f>
        <v>square meter</v>
      </c>
      <c r="F39" s="2" t="s">
        <v>24</v>
      </c>
      <c r="J39" s="2" t="str">
        <f aca="false">TH!L25</f>
        <v>door, outer, wood-aluminium</v>
      </c>
      <c r="T39" s="0" t="s">
        <v>58</v>
      </c>
      <c r="U39" s="4" t="n">
        <v>0.0811666666666667</v>
      </c>
      <c r="V39" s="0" t="s">
        <v>16</v>
      </c>
      <c r="W39" s="0" t="s">
        <v>59</v>
      </c>
    </row>
    <row r="40" customFormat="false" ht="13.8" hidden="false" customHeight="false" outlineLevel="0" collapsed="false">
      <c r="A40" s="2" t="str">
        <f aca="false">TH!K26</f>
        <v>market for steel, low-alloyed</v>
      </c>
      <c r="B40" s="2" t="n">
        <f aca="false">TH!C26/18</f>
        <v>7.5</v>
      </c>
      <c r="C40" s="2" t="s">
        <v>60</v>
      </c>
      <c r="D40" s="2" t="str">
        <f aca="false">TH!M26</f>
        <v>GLO</v>
      </c>
      <c r="E40" s="2" t="str">
        <f aca="false">TH!N26</f>
        <v>kilogram</v>
      </c>
      <c r="F40" s="2" t="s">
        <v>24</v>
      </c>
      <c r="H40" s="0" t="s">
        <v>61</v>
      </c>
      <c r="J40" s="2" t="str">
        <f aca="false">TH!L26</f>
        <v>steel, low-alloyed</v>
      </c>
      <c r="T40" s="0" t="s">
        <v>62</v>
      </c>
      <c r="U40" s="4" t="n">
        <v>0.111111111111111</v>
      </c>
      <c r="V40" s="0" t="s">
        <v>16</v>
      </c>
      <c r="W40" s="0" t="s">
        <v>63</v>
      </c>
    </row>
    <row r="41" customFormat="false" ht="13.8" hidden="false" customHeight="false" outlineLevel="0" collapsed="false">
      <c r="T41" s="0" t="s">
        <v>61</v>
      </c>
      <c r="U41" s="4" t="n">
        <v>7.5</v>
      </c>
      <c r="V41" s="0" t="s">
        <v>27</v>
      </c>
      <c r="W41" s="0" t="s">
        <v>28</v>
      </c>
    </row>
    <row r="42" customFormat="false" ht="15" hidden="false" customHeight="false" outlineLevel="0" collapsed="false">
      <c r="A42" s="1" t="s">
        <v>7</v>
      </c>
      <c r="B42" s="1" t="s">
        <v>64</v>
      </c>
      <c r="U42" s="4"/>
    </row>
    <row r="43" customFormat="false" ht="13.8" hidden="false" customHeight="false" outlineLevel="0" collapsed="false">
      <c r="A43" s="2" t="s">
        <v>9</v>
      </c>
      <c r="B43" s="2" t="s">
        <v>10</v>
      </c>
      <c r="U43" s="4"/>
    </row>
    <row r="44" customFormat="false" ht="13.8" hidden="false" customHeight="false" outlineLevel="0" collapsed="false">
      <c r="A44" s="2" t="s">
        <v>11</v>
      </c>
      <c r="B44" s="2" t="s">
        <v>65</v>
      </c>
      <c r="U44" s="4"/>
    </row>
    <row r="45" customFormat="false" ht="13.8" hidden="false" customHeight="false" outlineLevel="0" collapsed="false">
      <c r="A45" s="2" t="s">
        <v>13</v>
      </c>
      <c r="B45" s="2" t="s">
        <v>14</v>
      </c>
      <c r="U45" s="4"/>
    </row>
    <row r="46" customFormat="false" ht="13.8" hidden="false" customHeight="false" outlineLevel="0" collapsed="false">
      <c r="A46" s="2" t="s">
        <v>15</v>
      </c>
      <c r="B46" s="2" t="s">
        <v>16</v>
      </c>
      <c r="U46" s="4"/>
    </row>
    <row r="47" customFormat="false" ht="28.15" hidden="false" customHeight="false" outlineLevel="0" collapsed="false">
      <c r="A47" s="2" t="s">
        <v>17</v>
      </c>
      <c r="B47" s="3" t="s">
        <v>66</v>
      </c>
      <c r="U47" s="4"/>
    </row>
    <row r="48" customFormat="false" ht="13.8" hidden="false" customHeight="false" outlineLevel="0" collapsed="false">
      <c r="U48" s="4"/>
    </row>
    <row r="49" customFormat="false" ht="15" hidden="false" customHeight="false" outlineLevel="0" collapsed="false">
      <c r="A49" s="1" t="s">
        <v>19</v>
      </c>
      <c r="U49" s="4"/>
    </row>
    <row r="50" customFormat="false" ht="13.8" hidden="false" customHeight="false" outlineLevel="0" collapsed="false">
      <c r="A50" s="2" t="s">
        <v>3</v>
      </c>
      <c r="B50" s="2" t="s">
        <v>4</v>
      </c>
      <c r="C50" s="2" t="s">
        <v>5</v>
      </c>
      <c r="D50" s="2" t="s">
        <v>9</v>
      </c>
      <c r="E50" s="2" t="s">
        <v>15</v>
      </c>
      <c r="F50" s="2" t="s">
        <v>13</v>
      </c>
      <c r="G50" s="2" t="s">
        <v>20</v>
      </c>
      <c r="H50" s="2" t="s">
        <v>17</v>
      </c>
      <c r="I50" s="2" t="s">
        <v>21</v>
      </c>
      <c r="J50" s="2" t="s">
        <v>11</v>
      </c>
      <c r="U50" s="4"/>
    </row>
    <row r="51" customFormat="false" ht="13.8" hidden="false" customHeight="false" outlineLevel="0" collapsed="false">
      <c r="A51" s="2" t="str">
        <f aca="false">B42</f>
        <v>ecococon tiny house materials</v>
      </c>
      <c r="B51" s="2" t="n">
        <f aca="false">25/25</f>
        <v>1</v>
      </c>
      <c r="C51" s="2" t="str">
        <f aca="false">B1</f>
        <v>grobund tinyhouse</v>
      </c>
      <c r="D51" s="2" t="str">
        <f aca="false">B43</f>
        <v>DK</v>
      </c>
      <c r="E51" s="2" t="str">
        <f aca="false">B46</f>
        <v>square meter</v>
      </c>
      <c r="F51" s="2" t="s">
        <v>22</v>
      </c>
      <c r="J51" s="2" t="str">
        <f aca="false">B44</f>
        <v>ecococon tinyhouse</v>
      </c>
      <c r="U51" s="4"/>
    </row>
    <row r="52" customFormat="false" ht="13.8" hidden="false" customHeight="false" outlineLevel="0" collapsed="false">
      <c r="A52" s="0" t="str">
        <f aca="false">A83</f>
        <v>ecococon module materials</v>
      </c>
      <c r="B52" s="0" t="n">
        <f aca="false">EH!C13/25</f>
        <v>0.92</v>
      </c>
      <c r="C52" s="2" t="str">
        <f aca="false">B1</f>
        <v>grobund tinyhouse</v>
      </c>
      <c r="D52" s="2" t="str">
        <f aca="false">D83</f>
        <v>DK</v>
      </c>
      <c r="E52" s="2" t="str">
        <f aca="false">E83</f>
        <v>unit</v>
      </c>
      <c r="F52" s="2" t="s">
        <v>24</v>
      </c>
      <c r="H52" s="0" t="s">
        <v>67</v>
      </c>
      <c r="J52" s="2" t="str">
        <f aca="false">J83</f>
        <v>ecococon module</v>
      </c>
      <c r="T52" s="0" t="s">
        <v>68</v>
      </c>
      <c r="U52" s="4" t="n">
        <v>0.92</v>
      </c>
      <c r="V52" s="0" t="s">
        <v>15</v>
      </c>
      <c r="W52" s="0" t="s">
        <v>69</v>
      </c>
    </row>
    <row r="53" customFormat="false" ht="13.8" hidden="false" customHeight="false" outlineLevel="0" collapsed="false">
      <c r="A53" s="2" t="str">
        <f aca="false">EH!K6</f>
        <v>market for fibre cement facing tile</v>
      </c>
      <c r="B53" s="2" t="n">
        <f aca="false">EH!C6/25</f>
        <v>92.8</v>
      </c>
      <c r="C53" s="2" t="s">
        <v>23</v>
      </c>
      <c r="D53" s="2" t="str">
        <f aca="false">EH!M6</f>
        <v>GLO</v>
      </c>
      <c r="E53" s="2" t="str">
        <f aca="false">EH!N6</f>
        <v>kilogram</v>
      </c>
      <c r="F53" s="2" t="s">
        <v>24</v>
      </c>
      <c r="J53" s="2" t="str">
        <f aca="false">EH!L6</f>
        <v>fibre cement facing tile</v>
      </c>
      <c r="T53" s="0" t="s">
        <v>70</v>
      </c>
      <c r="U53" s="4" t="n">
        <v>92.8</v>
      </c>
      <c r="V53" s="0" t="s">
        <v>27</v>
      </c>
      <c r="W53" s="0" t="s">
        <v>71</v>
      </c>
    </row>
    <row r="54" customFormat="false" ht="13.8" hidden="false" customHeight="false" outlineLevel="0" collapsed="false">
      <c r="A54" s="2" t="s">
        <v>29</v>
      </c>
      <c r="B54" s="2" t="n">
        <f aca="false">EH!C7/25</f>
        <v>0.29552736</v>
      </c>
      <c r="C54" s="2" t="s">
        <v>23</v>
      </c>
      <c r="D54" s="2" t="str">
        <f aca="false">EH!M7</f>
        <v>RER</v>
      </c>
      <c r="E54" s="2" t="str">
        <f aca="false">EH!N7</f>
        <v>cubic meter</v>
      </c>
      <c r="F54" s="2" t="s">
        <v>24</v>
      </c>
      <c r="J54" s="2" t="str">
        <f aca="false">EH!L7</f>
        <v>sawnwood, softwood, dried (u=10%), planed</v>
      </c>
      <c r="T54" s="0" t="s">
        <v>32</v>
      </c>
      <c r="U54" s="4" t="n">
        <v>0.29552736</v>
      </c>
      <c r="V54" s="0" t="s">
        <v>31</v>
      </c>
      <c r="W54" s="0" t="s">
        <v>29</v>
      </c>
    </row>
    <row r="55" customFormat="false" ht="13.8" hidden="false" customHeight="false" outlineLevel="0" collapsed="false">
      <c r="A55" s="2" t="str">
        <f aca="false">EH!K8</f>
        <v>market for steel, low-alloyed</v>
      </c>
      <c r="B55" s="2" t="n">
        <f aca="false">EH!C8/25</f>
        <v>2.7208</v>
      </c>
      <c r="C55" s="2" t="s">
        <v>23</v>
      </c>
      <c r="D55" s="2" t="str">
        <f aca="false">EH!M8</f>
        <v>GLO</v>
      </c>
      <c r="E55" s="2" t="str">
        <f aca="false">EH!N8</f>
        <v>kilogram</v>
      </c>
      <c r="F55" s="2" t="s">
        <v>24</v>
      </c>
      <c r="H55" s="0" t="s">
        <v>25</v>
      </c>
      <c r="J55" s="2" t="str">
        <f aca="false">EH!L8</f>
        <v>steel, low-alloyed</v>
      </c>
      <c r="T55" s="0" t="s">
        <v>25</v>
      </c>
      <c r="U55" s="4" t="n">
        <v>2.7208</v>
      </c>
      <c r="V55" s="0" t="s">
        <v>27</v>
      </c>
      <c r="W55" s="0" t="s">
        <v>28</v>
      </c>
    </row>
    <row r="56" customFormat="false" ht="13.8" hidden="false" customHeight="false" outlineLevel="0" collapsed="false">
      <c r="A56" s="2" t="str">
        <f aca="false">EH!K9</f>
        <v>market for oriented strand board</v>
      </c>
      <c r="B56" s="2" t="n">
        <f aca="false">EH!C9/25</f>
        <v>0.32544</v>
      </c>
      <c r="C56" s="2" t="s">
        <v>23</v>
      </c>
      <c r="D56" s="2" t="str">
        <f aca="false">EH!M9</f>
        <v>RER</v>
      </c>
      <c r="E56" s="2" t="str">
        <f aca="false">EH!N9</f>
        <v>cubic meter</v>
      </c>
      <c r="F56" s="2" t="s">
        <v>24</v>
      </c>
      <c r="J56" s="2" t="str">
        <f aca="false">EH!L9</f>
        <v>oriented strand board</v>
      </c>
      <c r="T56" s="0" t="s">
        <v>38</v>
      </c>
      <c r="U56" s="4" t="n">
        <v>0.32544</v>
      </c>
      <c r="V56" s="0" t="s">
        <v>31</v>
      </c>
      <c r="W56" s="0" t="s">
        <v>39</v>
      </c>
    </row>
    <row r="57" customFormat="false" ht="13.8" hidden="false" customHeight="false" outlineLevel="0" collapsed="false">
      <c r="A57" s="2" t="str">
        <f aca="false">EH!K11</f>
        <v>market for cellulose fibre</v>
      </c>
      <c r="B57" s="2" t="n">
        <f aca="false">EH!C11/25</f>
        <v>38.56</v>
      </c>
      <c r="C57" s="2" t="s">
        <v>23</v>
      </c>
      <c r="D57" s="2" t="str">
        <f aca="false">EH!M11</f>
        <v>CH</v>
      </c>
      <c r="E57" s="2" t="str">
        <f aca="false">EH!N11</f>
        <v>kilogram</v>
      </c>
      <c r="F57" s="2" t="s">
        <v>24</v>
      </c>
      <c r="J57" s="2" t="str">
        <f aca="false">EH!L11</f>
        <v>cellulose fibre</v>
      </c>
      <c r="T57" s="0" t="s">
        <v>48</v>
      </c>
      <c r="U57" s="4" t="n">
        <v>38.56</v>
      </c>
      <c r="V57" s="0" t="s">
        <v>27</v>
      </c>
      <c r="W57" s="0" t="s">
        <v>49</v>
      </c>
    </row>
    <row r="58" customFormat="false" ht="13.8" hidden="false" customHeight="false" outlineLevel="0" collapsed="false">
      <c r="A58" s="2" t="str">
        <f aca="false">EH!K14</f>
        <v>market for clay plaster</v>
      </c>
      <c r="B58" s="2" t="n">
        <f aca="false">EH!C14/25</f>
        <v>171.2</v>
      </c>
      <c r="C58" s="2" t="s">
        <v>23</v>
      </c>
      <c r="D58" s="2" t="str">
        <f aca="false">EH!M14</f>
        <v>GLO</v>
      </c>
      <c r="E58" s="2" t="str">
        <f aca="false">EH!N14</f>
        <v>kilogram</v>
      </c>
      <c r="F58" s="2" t="s">
        <v>24</v>
      </c>
      <c r="J58" s="2" t="str">
        <f aca="false">EH!L14</f>
        <v>clay plaster</v>
      </c>
      <c r="T58" s="0" t="s">
        <v>72</v>
      </c>
      <c r="U58" s="4" t="n">
        <v>171.2</v>
      </c>
      <c r="V58" s="0" t="s">
        <v>27</v>
      </c>
      <c r="W58" s="0" t="s">
        <v>73</v>
      </c>
    </row>
    <row r="59" customFormat="false" ht="13.8" hidden="false" customHeight="false" outlineLevel="0" collapsed="false">
      <c r="A59" s="2" t="str">
        <f aca="false">EH!K15</f>
        <v>market for fibre, jute</v>
      </c>
      <c r="B59" s="2" t="n">
        <f aca="false">EH!C15/25</f>
        <v>0.837037037037036</v>
      </c>
      <c r="C59" s="2" t="s">
        <v>23</v>
      </c>
      <c r="D59" s="2" t="str">
        <f aca="false">EH!M15</f>
        <v>GLO</v>
      </c>
      <c r="E59" s="2" t="str">
        <f aca="false">EH!N15</f>
        <v>kilogram</v>
      </c>
      <c r="F59" s="2" t="s">
        <v>24</v>
      </c>
      <c r="J59" s="2" t="str">
        <f aca="false">EH!L15</f>
        <v>fibre, jute</v>
      </c>
      <c r="T59" s="0" t="s">
        <v>74</v>
      </c>
      <c r="U59" s="4" t="n">
        <v>0.837037037037036</v>
      </c>
      <c r="V59" s="0" t="s">
        <v>27</v>
      </c>
      <c r="W59" s="0" t="s">
        <v>75</v>
      </c>
    </row>
    <row r="60" customFormat="false" ht="13.8" hidden="false" customHeight="false" outlineLevel="0" collapsed="false">
      <c r="A60" s="2" t="str">
        <f aca="false">EH!K16</f>
        <v>market for packaging film, low density polyethylene</v>
      </c>
      <c r="B60" s="2" t="n">
        <f aca="false">EH!C16/25</f>
        <v>0.78</v>
      </c>
      <c r="C60" s="2" t="s">
        <v>23</v>
      </c>
      <c r="D60" s="2" t="str">
        <f aca="false">EH!M16</f>
        <v>GLO</v>
      </c>
      <c r="E60" s="2" t="str">
        <f aca="false">EH!N16</f>
        <v>kilogram</v>
      </c>
      <c r="F60" s="2" t="s">
        <v>24</v>
      </c>
      <c r="J60" s="2" t="str">
        <f aca="false">EH!L16</f>
        <v>packaging film, low density polyethylene</v>
      </c>
      <c r="T60" s="0" t="s">
        <v>40</v>
      </c>
      <c r="U60" s="4" t="n">
        <v>0.78</v>
      </c>
      <c r="V60" s="0" t="s">
        <v>27</v>
      </c>
      <c r="W60" s="0" t="s">
        <v>41</v>
      </c>
    </row>
    <row r="61" customFormat="false" ht="13.8" hidden="false" customHeight="false" outlineLevel="0" collapsed="false">
      <c r="A61" s="2" t="str">
        <f aca="false">EH!K17</f>
        <v>market for gypsum plasterboard</v>
      </c>
      <c r="B61" s="2" t="n">
        <f aca="false">EH!C17/25</f>
        <v>34.53</v>
      </c>
      <c r="C61" s="2" t="s">
        <v>23</v>
      </c>
      <c r="D61" s="2" t="str">
        <f aca="false">EH!M17</f>
        <v>GLO</v>
      </c>
      <c r="E61" s="2" t="str">
        <f aca="false">EH!N17</f>
        <v>kilogram</v>
      </c>
      <c r="F61" s="2" t="s">
        <v>24</v>
      </c>
      <c r="J61" s="2" t="str">
        <f aca="false">EH!L17</f>
        <v>gypsum plasterboard</v>
      </c>
      <c r="T61" s="0" t="s">
        <v>33</v>
      </c>
      <c r="U61" s="4" t="n">
        <v>34.53</v>
      </c>
      <c r="V61" s="0" t="s">
        <v>27</v>
      </c>
      <c r="W61" s="0" t="s">
        <v>34</v>
      </c>
    </row>
    <row r="62" customFormat="false" ht="13.8" hidden="false" customHeight="false" outlineLevel="0" collapsed="false">
      <c r="A62" s="2" t="str">
        <f aca="false">EH!K18</f>
        <v>market for glazing, triple, U&lt;0.5 W/m2K</v>
      </c>
      <c r="B62" s="2" t="n">
        <f aca="false">EH!C18/25</f>
        <v>0.208</v>
      </c>
      <c r="C62" s="2" t="s">
        <v>23</v>
      </c>
      <c r="D62" s="2" t="str">
        <f aca="false">EH!M18</f>
        <v>GLO</v>
      </c>
      <c r="E62" s="2" t="str">
        <f aca="false">EH!N18</f>
        <v>square meter</v>
      </c>
      <c r="F62" s="2" t="s">
        <v>24</v>
      </c>
      <c r="J62" s="2" t="str">
        <f aca="false">EH!L18</f>
        <v>glazing, triple, U&lt;0.5 W/m2K</v>
      </c>
      <c r="T62" s="0" t="s">
        <v>55</v>
      </c>
      <c r="U62" s="4" t="n">
        <v>0.208</v>
      </c>
      <c r="V62" s="0" t="s">
        <v>16</v>
      </c>
      <c r="W62" s="0" t="s">
        <v>56</v>
      </c>
    </row>
    <row r="63" customFormat="false" ht="13.8" hidden="false" customHeight="false" outlineLevel="0" collapsed="false">
      <c r="A63" s="2" t="str">
        <f aca="false">EH!K19</f>
        <v>market for window frame, wood-metal, U=1.6 W/m2K</v>
      </c>
      <c r="B63" s="2" t="n">
        <f aca="false">EH!C19/25</f>
        <v>0.028</v>
      </c>
      <c r="C63" s="2" t="s">
        <v>23</v>
      </c>
      <c r="D63" s="2" t="str">
        <f aca="false">EH!M19</f>
        <v>GLO</v>
      </c>
      <c r="E63" s="2" t="str">
        <f aca="false">EH!N19</f>
        <v>square meter</v>
      </c>
      <c r="F63" s="2" t="s">
        <v>24</v>
      </c>
      <c r="J63" s="2" t="str">
        <f aca="false">EH!L19</f>
        <v>window frame, wood-metal, U=1.6 W/m2K</v>
      </c>
      <c r="T63" s="0" t="s">
        <v>58</v>
      </c>
      <c r="U63" s="4" t="n">
        <v>0.028</v>
      </c>
      <c r="V63" s="0" t="s">
        <v>16</v>
      </c>
      <c r="W63" s="0" t="s">
        <v>59</v>
      </c>
    </row>
    <row r="64" customFormat="false" ht="13.8" hidden="false" customHeight="false" outlineLevel="0" collapsed="false">
      <c r="A64" s="2" t="str">
        <f aca="false">EH!K20</f>
        <v>market for door, outer, wood-aluminium</v>
      </c>
      <c r="B64" s="2" t="n">
        <f aca="false">EH!C20/25</f>
        <v>0.176</v>
      </c>
      <c r="C64" s="2" t="s">
        <v>23</v>
      </c>
      <c r="D64" s="2" t="str">
        <f aca="false">EH!M20</f>
        <v>GLO</v>
      </c>
      <c r="E64" s="2" t="str">
        <f aca="false">EH!N20</f>
        <v>square meter</v>
      </c>
      <c r="F64" s="2" t="s">
        <v>24</v>
      </c>
      <c r="J64" s="2" t="str">
        <f aca="false">EH!L20</f>
        <v>door, outer, wood-aluminium</v>
      </c>
      <c r="T64" s="0" t="s">
        <v>62</v>
      </c>
      <c r="U64" s="4" t="n">
        <v>0.176</v>
      </c>
      <c r="V64" s="0" t="s">
        <v>16</v>
      </c>
      <c r="W64" s="0" t="s">
        <v>63</v>
      </c>
    </row>
    <row r="65" customFormat="false" ht="13.8" hidden="false" customHeight="false" outlineLevel="0" collapsed="false">
      <c r="A65" s="2" t="str">
        <f aca="false">EH!K21</f>
        <v>market for steel, low-alloyed</v>
      </c>
      <c r="B65" s="2" t="n">
        <f aca="false">EH!C21/25</f>
        <v>7.2</v>
      </c>
      <c r="C65" s="2" t="s">
        <v>23</v>
      </c>
      <c r="D65" s="2" t="str">
        <f aca="false">EH!M21</f>
        <v>GLO</v>
      </c>
      <c r="E65" s="2" t="str">
        <f aca="false">EH!N21</f>
        <v>kilogram</v>
      </c>
      <c r="F65" s="2" t="s">
        <v>24</v>
      </c>
      <c r="H65" s="0" t="s">
        <v>76</v>
      </c>
      <c r="J65" s="2" t="str">
        <f aca="false">EH!L21</f>
        <v>steel, low-alloyed</v>
      </c>
      <c r="T65" s="0" t="s">
        <v>76</v>
      </c>
      <c r="U65" s="4" t="n">
        <v>7.2</v>
      </c>
      <c r="V65" s="0" t="s">
        <v>27</v>
      </c>
      <c r="W65" s="0" t="s">
        <v>28</v>
      </c>
    </row>
    <row r="66" customFormat="false" ht="13.8" hidden="false" customHeight="false" outlineLevel="0" collapsed="false">
      <c r="U66" s="4"/>
    </row>
    <row r="67" customFormat="false" ht="13.8" hidden="false" customHeight="false" outlineLevel="0" collapsed="false">
      <c r="U67" s="4"/>
    </row>
    <row r="68" customFormat="false" ht="13.8" hidden="false" customHeight="false" outlineLevel="0" collapsed="false">
      <c r="U68" s="4"/>
    </row>
    <row r="69" customFormat="false" ht="13.8" hidden="false" customHeight="false" outlineLevel="0" collapsed="false">
      <c r="T69" s="0" t="s">
        <v>32</v>
      </c>
      <c r="U69" s="4" t="n">
        <v>1.4187</v>
      </c>
      <c r="V69" s="0" t="s">
        <v>31</v>
      </c>
      <c r="W69" s="0" t="s">
        <v>29</v>
      </c>
    </row>
    <row r="70" customFormat="false" ht="13.8" hidden="false" customHeight="false" outlineLevel="0" collapsed="false">
      <c r="T70" s="0" t="s">
        <v>77</v>
      </c>
      <c r="U70" s="4" t="n">
        <v>3.85352</v>
      </c>
      <c r="V70" s="0" t="s">
        <v>27</v>
      </c>
      <c r="W70" s="0" t="s">
        <v>78</v>
      </c>
    </row>
    <row r="71" customFormat="false" ht="13.8" hidden="false" customHeight="false" outlineLevel="0" collapsed="false">
      <c r="T71" s="0" t="s">
        <v>50</v>
      </c>
      <c r="U71" s="4" t="n">
        <v>0.0085376</v>
      </c>
      <c r="V71" s="0" t="s">
        <v>27</v>
      </c>
      <c r="W71" s="0" t="s">
        <v>51</v>
      </c>
    </row>
    <row r="72" customFormat="false" ht="13.8" hidden="false" customHeight="false" outlineLevel="0" collapsed="false">
      <c r="T72" s="0" t="s">
        <v>79</v>
      </c>
      <c r="U72" s="4" t="n">
        <v>0.007424</v>
      </c>
      <c r="V72" s="0" t="s">
        <v>31</v>
      </c>
      <c r="W72" s="0" t="s">
        <v>80</v>
      </c>
    </row>
    <row r="74" customFormat="false" ht="15" hidden="false" customHeight="false" outlineLevel="0" collapsed="false">
      <c r="A74" s="1" t="s">
        <v>7</v>
      </c>
      <c r="B74" s="1" t="s">
        <v>69</v>
      </c>
    </row>
    <row r="75" customFormat="false" ht="13.8" hidden="false" customHeight="false" outlineLevel="0" collapsed="false">
      <c r="A75" s="2" t="s">
        <v>9</v>
      </c>
      <c r="B75" s="2" t="s">
        <v>10</v>
      </c>
    </row>
    <row r="76" customFormat="false" ht="13.8" hidden="false" customHeight="false" outlineLevel="0" collapsed="false">
      <c r="A76" s="2" t="s">
        <v>11</v>
      </c>
      <c r="B76" s="2" t="s">
        <v>81</v>
      </c>
    </row>
    <row r="77" customFormat="false" ht="13.8" hidden="false" customHeight="false" outlineLevel="0" collapsed="false">
      <c r="A77" s="2" t="s">
        <v>13</v>
      </c>
      <c r="B77" s="2" t="s">
        <v>14</v>
      </c>
    </row>
    <row r="78" customFormat="false" ht="13.8" hidden="false" customHeight="false" outlineLevel="0" collapsed="false">
      <c r="A78" s="2" t="s">
        <v>15</v>
      </c>
      <c r="B78" s="2" t="s">
        <v>15</v>
      </c>
    </row>
    <row r="79" customFormat="false" ht="28.15" hidden="false" customHeight="false" outlineLevel="0" collapsed="false">
      <c r="A79" s="2" t="s">
        <v>17</v>
      </c>
      <c r="B79" s="3" t="s">
        <v>82</v>
      </c>
    </row>
    <row r="81" customFormat="false" ht="15" hidden="false" customHeight="false" outlineLevel="0" collapsed="false">
      <c r="A81" s="1" t="s">
        <v>19</v>
      </c>
    </row>
    <row r="82" customFormat="false" ht="13.8" hidden="false" customHeight="false" outlineLevel="0" collapsed="false">
      <c r="A82" s="2" t="s">
        <v>3</v>
      </c>
      <c r="B82" s="2" t="s">
        <v>4</v>
      </c>
      <c r="C82" s="2" t="s">
        <v>5</v>
      </c>
      <c r="D82" s="2" t="s">
        <v>9</v>
      </c>
      <c r="E82" s="2" t="s">
        <v>15</v>
      </c>
      <c r="F82" s="2" t="s">
        <v>13</v>
      </c>
      <c r="G82" s="2" t="s">
        <v>20</v>
      </c>
      <c r="H82" s="2" t="s">
        <v>17</v>
      </c>
      <c r="I82" s="2" t="s">
        <v>21</v>
      </c>
      <c r="J82" s="2" t="s">
        <v>11</v>
      </c>
    </row>
    <row r="83" customFormat="false" ht="13.8" hidden="false" customHeight="false" outlineLevel="0" collapsed="false">
      <c r="A83" s="2" t="str">
        <f aca="false">B74</f>
        <v>ecococon module materials</v>
      </c>
      <c r="B83" s="2" t="n">
        <f aca="false">25/25</f>
        <v>1</v>
      </c>
      <c r="C83" s="2" t="str">
        <f aca="false">B1</f>
        <v>grobund tinyhouse</v>
      </c>
      <c r="D83" s="2" t="str">
        <f aca="false">B75</f>
        <v>DK</v>
      </c>
      <c r="E83" s="2" t="str">
        <f aca="false">B78</f>
        <v>unit</v>
      </c>
      <c r="F83" s="2" t="s">
        <v>22</v>
      </c>
      <c r="J83" s="2" t="str">
        <f aca="false">B76</f>
        <v>ecococon module</v>
      </c>
    </row>
    <row r="84" customFormat="false" ht="13.8" hidden="false" customHeight="false" outlineLevel="0" collapsed="false">
      <c r="A84" s="2" t="s">
        <v>29</v>
      </c>
      <c r="B84" s="2" t="n">
        <f aca="false">EH!C22/25</f>
        <v>1.4187</v>
      </c>
      <c r="C84" s="2" t="s">
        <v>23</v>
      </c>
      <c r="D84" s="2" t="str">
        <f aca="false">EH!M22</f>
        <v>RER</v>
      </c>
      <c r="E84" s="2" t="str">
        <f aca="false">EH!N22</f>
        <v>cubic meter</v>
      </c>
      <c r="F84" s="2" t="s">
        <v>24</v>
      </c>
      <c r="J84" s="2" t="str">
        <f aca="false">EH!L22</f>
        <v>sawnwood, softwood, dried (u=10%), planed</v>
      </c>
    </row>
    <row r="85" customFormat="false" ht="13.8" hidden="false" customHeight="false" outlineLevel="0" collapsed="false">
      <c r="A85" s="2" t="str">
        <f aca="false">EH!K23</f>
        <v>market for straw</v>
      </c>
      <c r="B85" s="2" t="n">
        <f aca="false">EH!C23/25</f>
        <v>3.85352</v>
      </c>
      <c r="C85" s="2" t="s">
        <v>23</v>
      </c>
      <c r="D85" s="2" t="str">
        <f aca="false">EH!M23</f>
        <v>RoW</v>
      </c>
      <c r="E85" s="2" t="str">
        <f aca="false">EH!N23</f>
        <v>kilogram</v>
      </c>
      <c r="F85" s="2" t="s">
        <v>24</v>
      </c>
      <c r="J85" s="2" t="str">
        <f aca="false">EH!L23</f>
        <v>straw</v>
      </c>
    </row>
    <row r="86" customFormat="false" ht="13.8" hidden="false" customHeight="false" outlineLevel="0" collapsed="false">
      <c r="A86" s="2" t="str">
        <f aca="false">EH!K24</f>
        <v>market for bitumen seal</v>
      </c>
      <c r="B86" s="2" t="n">
        <f aca="false">EH!C24/25</f>
        <v>0.0085376</v>
      </c>
      <c r="C86" s="2" t="s">
        <v>23</v>
      </c>
      <c r="D86" s="2" t="str">
        <f aca="false">EH!M24</f>
        <v>GLO</v>
      </c>
      <c r="E86" s="2" t="str">
        <f aca="false">EH!N24</f>
        <v>kilogram</v>
      </c>
      <c r="F86" s="2" t="s">
        <v>24</v>
      </c>
      <c r="J86" s="2" t="str">
        <f aca="false">EH!L24</f>
        <v>bitumen seal</v>
      </c>
    </row>
    <row r="87" customFormat="false" ht="13.8" hidden="false" customHeight="false" outlineLevel="0" collapsed="false">
      <c r="A87" s="2" t="str">
        <f aca="false">EH!K25</f>
        <v>market for medium density fibreboard</v>
      </c>
      <c r="B87" s="2" t="n">
        <f aca="false">EH!C25/25</f>
        <v>0.007424</v>
      </c>
      <c r="C87" s="2" t="s">
        <v>23</v>
      </c>
      <c r="D87" s="2" t="str">
        <f aca="false">EH!M25</f>
        <v>RER</v>
      </c>
      <c r="E87" s="2" t="str">
        <f aca="false">EH!N25</f>
        <v>cubic meter</v>
      </c>
      <c r="F87" s="2" t="s">
        <v>24</v>
      </c>
      <c r="J87" s="2" t="str">
        <f aca="false">EH!L25</f>
        <v>medium density fibreboard</v>
      </c>
    </row>
    <row r="90" customFormat="false" ht="15" hidden="false" customHeight="false" outlineLevel="0" collapsed="false">
      <c r="A90" s="5" t="s">
        <v>7</v>
      </c>
      <c r="B90" s="6" t="str">
        <f aca="false">_xlfn.CONCAT(B44," C2G")</f>
        <v>ecococon tinyhouse C2G</v>
      </c>
    </row>
    <row r="91" customFormat="false" ht="13.8" hidden="false" customHeight="false" outlineLevel="0" collapsed="false">
      <c r="A91" s="7" t="s">
        <v>9</v>
      </c>
      <c r="B91" s="8" t="s">
        <v>10</v>
      </c>
    </row>
    <row r="92" customFormat="false" ht="13.8" hidden="false" customHeight="false" outlineLevel="0" collapsed="false">
      <c r="A92" s="7" t="s">
        <v>11</v>
      </c>
      <c r="B92" s="8" t="str">
        <f aca="false">B90</f>
        <v>ecococon tinyhouse C2G</v>
      </c>
    </row>
    <row r="93" customFormat="false" ht="13.8" hidden="false" customHeight="false" outlineLevel="0" collapsed="false">
      <c r="A93" s="7" t="s">
        <v>13</v>
      </c>
      <c r="B93" s="8" t="s">
        <v>14</v>
      </c>
    </row>
    <row r="94" customFormat="false" ht="13.8" hidden="false" customHeight="false" outlineLevel="0" collapsed="false">
      <c r="A94" s="7" t="s">
        <v>15</v>
      </c>
      <c r="B94" s="8" t="s">
        <v>16</v>
      </c>
    </row>
    <row r="95" customFormat="false" ht="15" hidden="false" customHeight="false" outlineLevel="0" collapsed="false">
      <c r="A95" s="1" t="s">
        <v>19</v>
      </c>
    </row>
    <row r="96" customFormat="false" ht="13.8" hidden="false" customHeight="false" outlineLevel="0" collapsed="false">
      <c r="A96" s="9" t="s">
        <v>3</v>
      </c>
      <c r="B96" s="9" t="s">
        <v>4</v>
      </c>
      <c r="C96" s="9" t="s">
        <v>5</v>
      </c>
      <c r="D96" s="9" t="s">
        <v>9</v>
      </c>
      <c r="E96" s="9" t="s">
        <v>15</v>
      </c>
      <c r="F96" s="9" t="s">
        <v>13</v>
      </c>
      <c r="G96" s="9" t="s">
        <v>11</v>
      </c>
      <c r="H96" s="9" t="s">
        <v>20</v>
      </c>
    </row>
    <row r="97" customFormat="false" ht="13.8" hidden="false" customHeight="false" outlineLevel="0" collapsed="false">
      <c r="A97" s="10" t="str">
        <f aca="false">B90</f>
        <v>ecococon tinyhouse C2G</v>
      </c>
      <c r="B97" s="8" t="n">
        <v>1</v>
      </c>
      <c r="C97" s="7" t="str">
        <f aca="false">B$1</f>
        <v>grobund tinyhouse</v>
      </c>
      <c r="D97" s="7" t="str">
        <f aca="false">B91</f>
        <v>DK</v>
      </c>
      <c r="E97" s="7" t="str">
        <f aca="false">B94</f>
        <v>square meter</v>
      </c>
      <c r="F97" s="7" t="s">
        <v>22</v>
      </c>
      <c r="G97" s="7" t="str">
        <f aca="false">B92</f>
        <v>ecococon tinyhouse C2G</v>
      </c>
      <c r="H97" s="7"/>
    </row>
    <row r="98" customFormat="false" ht="13.8" hidden="false" customHeight="false" outlineLevel="0" collapsed="false">
      <c r="A98" s="11" t="str">
        <f aca="false">A51</f>
        <v>ecococon tiny house materials</v>
      </c>
      <c r="B98" s="11" t="n">
        <f aca="false">1/50</f>
        <v>0.02</v>
      </c>
      <c r="C98" s="11" t="str">
        <f aca="false">C51</f>
        <v>grobund tinyhouse</v>
      </c>
      <c r="D98" s="11" t="str">
        <f aca="false">D51</f>
        <v>DK</v>
      </c>
      <c r="E98" s="11" t="str">
        <f aca="false">E51</f>
        <v>square meter</v>
      </c>
      <c r="F98" s="11" t="s">
        <v>24</v>
      </c>
      <c r="G98" s="11" t="str">
        <f aca="false">J51</f>
        <v>ecococon tinyhouse</v>
      </c>
      <c r="H98" s="11" t="s">
        <v>83</v>
      </c>
    </row>
    <row r="103" customFormat="false" ht="15" hidden="false" customHeight="false" outlineLevel="0" collapsed="false">
      <c r="A103" s="5" t="s">
        <v>7</v>
      </c>
      <c r="B103" s="6" t="str">
        <f aca="false">_xlfn.CONCAT(B13," C2G")</f>
        <v>wood tinyhouse C2G</v>
      </c>
    </row>
    <row r="104" customFormat="false" ht="13.8" hidden="false" customHeight="false" outlineLevel="0" collapsed="false">
      <c r="A104" s="7" t="s">
        <v>9</v>
      </c>
      <c r="B104" s="8" t="s">
        <v>10</v>
      </c>
    </row>
    <row r="105" customFormat="false" ht="13.8" hidden="false" customHeight="false" outlineLevel="0" collapsed="false">
      <c r="A105" s="7" t="s">
        <v>11</v>
      </c>
      <c r="B105" s="8" t="str">
        <f aca="false">B103</f>
        <v>wood tinyhouse C2G</v>
      </c>
    </row>
    <row r="106" customFormat="false" ht="13.8" hidden="false" customHeight="false" outlineLevel="0" collapsed="false">
      <c r="A106" s="7" t="s">
        <v>13</v>
      </c>
      <c r="B106" s="8" t="s">
        <v>14</v>
      </c>
    </row>
    <row r="107" customFormat="false" ht="13.8" hidden="false" customHeight="false" outlineLevel="0" collapsed="false">
      <c r="A107" s="7" t="s">
        <v>15</v>
      </c>
      <c r="B107" s="8" t="s">
        <v>16</v>
      </c>
    </row>
    <row r="108" customFormat="false" ht="15" hidden="false" customHeight="false" outlineLevel="0" collapsed="false">
      <c r="A108" s="1" t="s">
        <v>19</v>
      </c>
    </row>
    <row r="109" customFormat="false" ht="13.8" hidden="false" customHeight="false" outlineLevel="0" collapsed="false">
      <c r="A109" s="9" t="s">
        <v>3</v>
      </c>
      <c r="B109" s="9" t="s">
        <v>4</v>
      </c>
      <c r="C109" s="9" t="s">
        <v>5</v>
      </c>
      <c r="D109" s="9" t="s">
        <v>9</v>
      </c>
      <c r="E109" s="9" t="s">
        <v>15</v>
      </c>
      <c r="F109" s="9" t="s">
        <v>13</v>
      </c>
      <c r="G109" s="9" t="s">
        <v>11</v>
      </c>
      <c r="H109" s="9" t="s">
        <v>20</v>
      </c>
    </row>
    <row r="110" customFormat="false" ht="13.8" hidden="false" customHeight="false" outlineLevel="0" collapsed="false">
      <c r="A110" s="10" t="str">
        <f aca="false">B103</f>
        <v>wood tinyhouse C2G</v>
      </c>
      <c r="B110" s="8" t="n">
        <v>1</v>
      </c>
      <c r="C110" s="7" t="str">
        <f aca="false">B$1</f>
        <v>grobund tinyhouse</v>
      </c>
      <c r="D110" s="7" t="str">
        <f aca="false">B104</f>
        <v>DK</v>
      </c>
      <c r="E110" s="7" t="str">
        <f aca="false">B107</f>
        <v>square meter</v>
      </c>
      <c r="F110" s="7" t="s">
        <v>22</v>
      </c>
      <c r="G110" s="7" t="str">
        <f aca="false">B105</f>
        <v>wood tinyhouse C2G</v>
      </c>
      <c r="H110" s="7"/>
    </row>
    <row r="111" customFormat="false" ht="13.8" hidden="false" customHeight="false" outlineLevel="0" collapsed="false">
      <c r="A111" s="11" t="str">
        <f aca="false">A20</f>
        <v>wood tiny house materials</v>
      </c>
      <c r="B111" s="11" t="n">
        <f aca="false">1/50</f>
        <v>0.02</v>
      </c>
      <c r="C111" s="11" t="str">
        <f aca="false">C20</f>
        <v>grobund tinyhouse</v>
      </c>
      <c r="D111" s="11" t="str">
        <f aca="false">D20</f>
        <v>DK</v>
      </c>
      <c r="E111" s="11" t="str">
        <f aca="false">E20</f>
        <v>square meter</v>
      </c>
      <c r="F111" s="11" t="s">
        <v>24</v>
      </c>
      <c r="G111" s="11" t="str">
        <f aca="false">J20</f>
        <v>wood tinyhouse</v>
      </c>
      <c r="H111" s="11" t="s">
        <v>83</v>
      </c>
      <c r="I111" s="11"/>
      <c r="J111" s="11"/>
      <c r="K111" s="11"/>
      <c r="L111" s="11"/>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N29"/>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pane xSplit="2" ySplit="3" topLeftCell="C4" activePane="bottomRight" state="frozen"/>
      <selection pane="topLeft" activeCell="A1" activeCellId="0" sqref="A1"/>
      <selection pane="topRight" activeCell="C1" activeCellId="0" sqref="C1"/>
      <selection pane="bottomLeft" activeCell="A4" activeCellId="0" sqref="A4"/>
      <selection pane="bottomRight" activeCell="B34" activeCellId="0" sqref="B34"/>
    </sheetView>
  </sheetViews>
  <sheetFormatPr defaultColWidth="10.54296875" defaultRowHeight="14.25" zeroHeight="false" outlineLevelRow="0" outlineLevelCol="0"/>
  <cols>
    <col collapsed="false" customWidth="true" hidden="false" outlineLevel="0" max="1" min="1" style="0" width="7.54"/>
    <col collapsed="false" customWidth="true" hidden="false" outlineLevel="0" max="2" min="2" style="0" width="26.45"/>
    <col collapsed="false" customWidth="true" hidden="false" outlineLevel="0" max="3" min="3" style="0" width="8.45"/>
    <col collapsed="false" customWidth="true" hidden="false" outlineLevel="0" max="4" min="4" style="0" width="4.91"/>
    <col collapsed="false" customWidth="true" hidden="false" outlineLevel="0" max="5" min="5" style="0" width="11.36"/>
    <col collapsed="false" customWidth="true" hidden="false" outlineLevel="0" max="6" min="6" style="0" width="3.91"/>
    <col collapsed="false" customWidth="true" hidden="false" outlineLevel="0" max="10" min="7" style="0" width="4.73"/>
    <col collapsed="false" customWidth="true" hidden="false" outlineLevel="0" max="11" min="11" style="0" width="14.89"/>
    <col collapsed="false" customWidth="true" hidden="false" outlineLevel="0" max="12" min="12" style="0" width="14.63"/>
    <col collapsed="false" customWidth="true" hidden="false" outlineLevel="0" max="13" min="13" style="0" width="4.73"/>
    <col collapsed="false" customWidth="true" hidden="false" outlineLevel="0" max="14" min="14" style="0" width="27.72"/>
    <col collapsed="false" customWidth="true" hidden="false" outlineLevel="0" max="15" min="15" style="0" width="5.18"/>
    <col collapsed="false" customWidth="true" hidden="false" outlineLevel="0" max="16" min="16" style="0" width="4.09"/>
    <col collapsed="false" customWidth="true" hidden="false" outlineLevel="0" max="17" min="17" style="0" width="6.27"/>
    <col collapsed="false" customWidth="true" hidden="false" outlineLevel="0" max="18" min="18" style="0" width="4.54"/>
    <col collapsed="false" customWidth="true" hidden="false" outlineLevel="0" max="19" min="19" style="0" width="16.63"/>
    <col collapsed="false" customWidth="true" hidden="false" outlineLevel="0" max="21" min="21" style="0" width="5.18"/>
    <col collapsed="false" customWidth="true" hidden="false" outlineLevel="0" max="22" min="22" style="0" width="11.82"/>
    <col collapsed="false" customWidth="true" hidden="false" outlineLevel="0" max="23" min="23" style="0" width="17.91"/>
    <col collapsed="false" customWidth="true" hidden="false" outlineLevel="0" max="24" min="24" style="0" width="8.82"/>
    <col collapsed="false" customWidth="true" hidden="false" outlineLevel="0" max="25" min="25" style="0" width="5.18"/>
    <col collapsed="false" customWidth="true" hidden="false" outlineLevel="0" max="26" min="26" style="0" width="12.63"/>
    <col collapsed="false" customWidth="true" hidden="false" outlineLevel="0" max="27" min="27" style="0" width="7.36"/>
    <col collapsed="false" customWidth="true" hidden="false" outlineLevel="0" max="28" min="28" style="0" width="4.73"/>
    <col collapsed="false" customWidth="true" hidden="false" outlineLevel="0" max="29" min="29" style="0" width="12.36"/>
    <col collapsed="false" customWidth="true" hidden="false" outlineLevel="0" max="30" min="30" style="0" width="7.73"/>
    <col collapsed="false" customWidth="true" hidden="false" outlineLevel="0" max="31" min="31" style="0" width="4.73"/>
    <col collapsed="false" customWidth="true" hidden="false" outlineLevel="0" max="32" min="32" style="0" width="9.36"/>
    <col collapsed="false" customWidth="true" hidden="false" outlineLevel="0" max="33" min="33" style="0" width="7.82"/>
    <col collapsed="false" customWidth="true" hidden="false" outlineLevel="0" max="34" min="34" style="0" width="4.73"/>
    <col collapsed="false" customWidth="true" hidden="false" outlineLevel="0" max="35" min="35" style="0" width="21.72"/>
    <col collapsed="false" customWidth="true" hidden="false" outlineLevel="0" max="36" min="36" style="0" width="7.36"/>
    <col collapsed="false" customWidth="true" hidden="false" outlineLevel="0" max="37" min="37" style="0" width="4.73"/>
    <col collapsed="false" customWidth="true" hidden="false" outlineLevel="0" max="38" min="38" style="0" width="14.72"/>
  </cols>
  <sheetData>
    <row r="1" customFormat="false" ht="19.7" hidden="false" customHeight="false" outlineLevel="0" collapsed="false">
      <c r="A1" s="0" t="s">
        <v>84</v>
      </c>
      <c r="B1" s="12"/>
    </row>
    <row r="2" customFormat="false" ht="21" hidden="false" customHeight="false" outlineLevel="0" collapsed="false">
      <c r="B2" s="12" t="s">
        <v>85</v>
      </c>
    </row>
    <row r="3" customFormat="false" ht="18" hidden="false" customHeight="false" outlineLevel="0" collapsed="false">
      <c r="E3" s="13" t="s">
        <v>86</v>
      </c>
      <c r="F3" s="13"/>
      <c r="G3" s="13"/>
      <c r="H3" s="13"/>
      <c r="I3" s="13"/>
      <c r="J3" s="13"/>
      <c r="K3" s="13"/>
      <c r="L3" s="13"/>
      <c r="M3" s="13"/>
      <c r="N3" s="14" t="s">
        <v>87</v>
      </c>
      <c r="O3" s="14"/>
      <c r="P3" s="14"/>
      <c r="Q3" s="14"/>
      <c r="R3" s="14"/>
      <c r="S3" s="14"/>
      <c r="T3" s="14"/>
      <c r="U3" s="14"/>
      <c r="V3" s="15" t="s">
        <v>88</v>
      </c>
      <c r="W3" s="15"/>
      <c r="X3" s="15"/>
      <c r="Y3" s="15"/>
      <c r="Z3" s="16" t="s">
        <v>89</v>
      </c>
      <c r="AA3" s="16"/>
      <c r="AB3" s="16"/>
      <c r="AC3" s="16"/>
      <c r="AD3" s="16"/>
      <c r="AE3" s="16"/>
      <c r="AF3" s="16"/>
      <c r="AG3" s="16"/>
      <c r="AH3" s="16"/>
      <c r="AI3" s="16"/>
      <c r="AJ3" s="17"/>
      <c r="AK3" s="17"/>
    </row>
    <row r="4" customFormat="false" ht="28.5" hidden="false" customHeight="true" outlineLevel="0" collapsed="false">
      <c r="A4" s="9" t="s">
        <v>90</v>
      </c>
      <c r="B4" s="9" t="s">
        <v>91</v>
      </c>
      <c r="C4" s="9" t="s">
        <v>92</v>
      </c>
      <c r="D4" s="18" t="s">
        <v>93</v>
      </c>
      <c r="E4" s="19" t="s">
        <v>94</v>
      </c>
      <c r="F4" s="19"/>
      <c r="G4" s="20" t="s">
        <v>93</v>
      </c>
      <c r="H4" s="19" t="s">
        <v>95</v>
      </c>
      <c r="I4" s="19"/>
      <c r="J4" s="20" t="s">
        <v>93</v>
      </c>
      <c r="K4" s="21" t="s">
        <v>96</v>
      </c>
      <c r="L4" s="21"/>
      <c r="M4" s="20" t="s">
        <v>93</v>
      </c>
      <c r="N4" s="22" t="s">
        <v>97</v>
      </c>
      <c r="O4" s="22"/>
      <c r="P4" s="23" t="s">
        <v>93</v>
      </c>
      <c r="Q4" s="23"/>
      <c r="R4" s="23" t="s">
        <v>93</v>
      </c>
      <c r="S4" s="24" t="s">
        <v>98</v>
      </c>
      <c r="T4" s="24"/>
      <c r="U4" s="23" t="s">
        <v>93</v>
      </c>
      <c r="V4" s="25" t="s">
        <v>99</v>
      </c>
      <c r="W4" s="26" t="s">
        <v>100</v>
      </c>
      <c r="X4" s="26"/>
      <c r="Y4" s="27" t="s">
        <v>93</v>
      </c>
      <c r="Z4" s="28" t="s">
        <v>101</v>
      </c>
      <c r="AA4" s="28"/>
      <c r="AB4" s="29" t="s">
        <v>93</v>
      </c>
      <c r="AC4" s="28" t="s">
        <v>102</v>
      </c>
      <c r="AD4" s="28"/>
      <c r="AE4" s="29" t="s">
        <v>93</v>
      </c>
      <c r="AF4" s="28" t="s">
        <v>103</v>
      </c>
      <c r="AG4" s="28"/>
      <c r="AH4" s="29" t="s">
        <v>93</v>
      </c>
      <c r="AI4" s="30" t="s">
        <v>104</v>
      </c>
      <c r="AJ4" s="31"/>
      <c r="AK4" s="23"/>
      <c r="AL4" s="9"/>
    </row>
    <row r="5" customFormat="false" ht="15" hidden="false" customHeight="true" outlineLevel="0" collapsed="false">
      <c r="A5" s="9"/>
      <c r="B5" s="9" t="s">
        <v>105</v>
      </c>
      <c r="C5" s="32"/>
      <c r="D5" s="33"/>
      <c r="E5" s="34"/>
      <c r="F5" s="34"/>
      <c r="G5" s="33"/>
      <c r="H5" s="33"/>
      <c r="I5" s="33"/>
      <c r="J5" s="33"/>
      <c r="K5" s="35"/>
      <c r="L5" s="35"/>
      <c r="M5" s="33"/>
      <c r="N5" s="35"/>
      <c r="O5" s="35"/>
      <c r="P5" s="33"/>
      <c r="Q5" s="33"/>
      <c r="R5" s="33"/>
      <c r="S5" s="0" t="s">
        <v>106</v>
      </c>
      <c r="T5" s="0" t="n">
        <v>880</v>
      </c>
      <c r="U5" s="0" t="s">
        <v>107</v>
      </c>
      <c r="V5" s="9"/>
      <c r="W5" s="9"/>
      <c r="X5" s="9"/>
      <c r="Y5" s="9"/>
      <c r="Z5" s="9"/>
      <c r="AA5" s="9"/>
      <c r="AB5" s="9"/>
      <c r="AC5" s="9"/>
      <c r="AD5" s="9"/>
      <c r="AE5" s="9"/>
      <c r="AF5" s="9"/>
      <c r="AG5" s="9"/>
      <c r="AH5" s="9"/>
      <c r="AI5" s="9"/>
      <c r="AJ5" s="9"/>
      <c r="AK5" s="9"/>
      <c r="AL5" s="9"/>
    </row>
    <row r="6" customFormat="false" ht="14.25" hidden="false" customHeight="false" outlineLevel="0" collapsed="false">
      <c r="A6" s="0" t="n">
        <v>1</v>
      </c>
      <c r="B6" s="0" t="s">
        <v>108</v>
      </c>
      <c r="C6" s="36" t="n">
        <f aca="false">((116.54+5.82+11.64)*0.095)+((70.26+26.35)*0.095)*22</f>
        <v>214.6449</v>
      </c>
      <c r="D6" s="0" t="s">
        <v>109</v>
      </c>
      <c r="E6" s="37" t="s">
        <v>110</v>
      </c>
      <c r="K6" s="0" t="s">
        <v>111</v>
      </c>
      <c r="M6" s="0" t="s">
        <v>109</v>
      </c>
      <c r="N6" s="0" t="s">
        <v>112</v>
      </c>
      <c r="O6" s="0" t="n">
        <v>500</v>
      </c>
      <c r="P6" s="0" t="s">
        <v>113</v>
      </c>
      <c r="Q6" s="0" t="n">
        <f aca="false">C6/1000</f>
        <v>0.2146449</v>
      </c>
      <c r="R6" s="0" t="s">
        <v>114</v>
      </c>
      <c r="S6" s="38"/>
      <c r="T6" s="38"/>
      <c r="U6" s="38"/>
      <c r="AI6" s="0" t="s">
        <v>115</v>
      </c>
    </row>
    <row r="7" customFormat="false" ht="14.25" hidden="false" customHeight="false" outlineLevel="0" collapsed="false">
      <c r="A7" s="0" t="n">
        <v>2</v>
      </c>
      <c r="B7" s="0" t="s">
        <v>116</v>
      </c>
      <c r="C7" s="36" t="n">
        <f aca="false">(0.045*0.095*151.2)+(0.047*0.15*14.4)+(0.047*0.05*28.8)+(0.038*0.057*(268.8+24+144+50.4))</f>
        <v>1.8708552</v>
      </c>
      <c r="D7" s="0" t="s">
        <v>117</v>
      </c>
      <c r="K7" s="0" t="s">
        <v>118</v>
      </c>
      <c r="M7" s="0" t="s">
        <v>117</v>
      </c>
      <c r="N7" s="0" t="s">
        <v>119</v>
      </c>
      <c r="O7" s="0" t="n">
        <v>500</v>
      </c>
      <c r="P7" s="0" t="s">
        <v>113</v>
      </c>
      <c r="Q7" s="0" t="n">
        <f aca="false">500*C7/1000</f>
        <v>0.9354276</v>
      </c>
      <c r="R7" s="0" t="s">
        <v>114</v>
      </c>
      <c r="S7" s="38"/>
      <c r="T7" s="38"/>
      <c r="U7" s="38"/>
      <c r="AI7" s="0" t="s">
        <v>120</v>
      </c>
    </row>
    <row r="8" customFormat="false" ht="14.25" hidden="false" customHeight="false" outlineLevel="0" collapsed="false">
      <c r="A8" s="0" t="n">
        <v>3</v>
      </c>
      <c r="B8" s="0" t="s">
        <v>121</v>
      </c>
      <c r="C8" s="36" t="n">
        <f aca="false">((59.54+5.9)*0.018)+(202.42*0.012)</f>
        <v>3.60696</v>
      </c>
      <c r="D8" s="0" t="s">
        <v>117</v>
      </c>
      <c r="K8" s="0" t="s">
        <v>122</v>
      </c>
      <c r="M8" s="0" t="s">
        <v>117</v>
      </c>
      <c r="N8" s="0" t="s">
        <v>119</v>
      </c>
      <c r="O8" s="0" t="n">
        <v>500</v>
      </c>
      <c r="P8" s="0" t="s">
        <v>113</v>
      </c>
      <c r="Q8" s="0" t="n">
        <f aca="false">640*C8/1000</f>
        <v>2.3084544</v>
      </c>
      <c r="R8" s="0" t="s">
        <v>114</v>
      </c>
      <c r="S8" s="38"/>
      <c r="T8" s="38"/>
      <c r="U8" s="38"/>
      <c r="AI8" s="0" t="s">
        <v>120</v>
      </c>
    </row>
    <row r="9" customFormat="false" ht="14.25" hidden="false" customHeight="false" outlineLevel="0" collapsed="false">
      <c r="A9" s="37" t="n">
        <v>4</v>
      </c>
      <c r="B9" s="37" t="s">
        <v>123</v>
      </c>
      <c r="C9" s="39" t="n">
        <f aca="false">25*0.05</f>
        <v>1.25</v>
      </c>
      <c r="D9" s="37" t="s">
        <v>124</v>
      </c>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c r="AH9" s="38"/>
      <c r="AI9" s="38"/>
    </row>
    <row r="10" customFormat="false" ht="14.25" hidden="false" customHeight="false" outlineLevel="0" collapsed="false">
      <c r="A10" s="0" t="n">
        <v>4</v>
      </c>
      <c r="B10" s="0" t="s">
        <v>123</v>
      </c>
      <c r="C10" s="0" t="n">
        <f aca="false">C9*260/1000</f>
        <v>0.325</v>
      </c>
      <c r="D10" s="0" t="s">
        <v>109</v>
      </c>
      <c r="N10" s="0" t="s">
        <v>112</v>
      </c>
      <c r="O10" s="0" t="n">
        <v>500</v>
      </c>
      <c r="P10" s="0" t="s">
        <v>113</v>
      </c>
      <c r="Q10" s="0" t="n">
        <f aca="false">C10/1000</f>
        <v>0.000325</v>
      </c>
      <c r="R10" s="0" t="s">
        <v>114</v>
      </c>
      <c r="S10" s="38"/>
      <c r="T10" s="38"/>
      <c r="U10" s="38"/>
      <c r="AI10" s="0" t="s">
        <v>115</v>
      </c>
    </row>
    <row r="11" customFormat="false" ht="14.25" hidden="false" customHeight="false" outlineLevel="0" collapsed="false">
      <c r="A11" s="0" t="n">
        <v>5</v>
      </c>
      <c r="B11" s="0" t="s">
        <v>125</v>
      </c>
      <c r="C11" s="0" t="n">
        <v>750</v>
      </c>
      <c r="D11" s="0" t="s">
        <v>126</v>
      </c>
      <c r="N11" s="0" t="s">
        <v>112</v>
      </c>
      <c r="O11" s="0" t="n">
        <v>500</v>
      </c>
      <c r="P11" s="0" t="s">
        <v>113</v>
      </c>
      <c r="R11" s="0" t="s">
        <v>114</v>
      </c>
      <c r="S11" s="38"/>
      <c r="T11" s="38"/>
      <c r="U11" s="38"/>
      <c r="AI11" s="0" t="s">
        <v>115</v>
      </c>
    </row>
    <row r="12" customFormat="false" ht="14.25" hidden="false" customHeight="false" outlineLevel="0" collapsed="false">
      <c r="A12" s="0" t="n">
        <v>6</v>
      </c>
      <c r="B12" s="0" t="s">
        <v>127</v>
      </c>
      <c r="C12" s="0" t="n">
        <f aca="false">((300*20)+3600+600)/1000</f>
        <v>10.2</v>
      </c>
      <c r="D12" s="0" t="s">
        <v>128</v>
      </c>
      <c r="K12" s="0" t="s">
        <v>129</v>
      </c>
      <c r="M12" s="0" t="s">
        <v>109</v>
      </c>
      <c r="N12" s="0" t="s">
        <v>112</v>
      </c>
      <c r="O12" s="0" t="n">
        <v>500</v>
      </c>
      <c r="P12" s="0" t="s">
        <v>113</v>
      </c>
      <c r="Q12" s="0" t="n">
        <f aca="false">1*C12/1000</f>
        <v>0.0102</v>
      </c>
      <c r="R12" s="0" t="s">
        <v>114</v>
      </c>
      <c r="S12" s="38"/>
      <c r="T12" s="38"/>
      <c r="U12" s="38"/>
      <c r="AI12" s="0" t="s">
        <v>115</v>
      </c>
    </row>
    <row r="13" customFormat="false" ht="14.25" hidden="false" customHeight="false" outlineLevel="0" collapsed="false">
      <c r="B13" s="40" t="s">
        <v>130</v>
      </c>
      <c r="C13" s="41" t="n">
        <v>1000</v>
      </c>
      <c r="D13" s="41" t="s">
        <v>131</v>
      </c>
      <c r="E13" s="42" t="s">
        <v>132</v>
      </c>
      <c r="F13" s="38"/>
      <c r="G13" s="38"/>
      <c r="H13" s="38"/>
      <c r="I13" s="38"/>
      <c r="J13" s="38"/>
      <c r="K13" s="38"/>
      <c r="L13" s="38"/>
      <c r="M13" s="38"/>
      <c r="N13" s="38"/>
      <c r="O13" s="38"/>
      <c r="P13" s="38"/>
      <c r="Q13" s="38"/>
      <c r="R13" s="38"/>
      <c r="S13" s="38"/>
      <c r="T13" s="38"/>
      <c r="U13" s="38"/>
      <c r="V13" s="38"/>
      <c r="W13" s="38"/>
      <c r="X13" s="38"/>
      <c r="Y13" s="38"/>
      <c r="Z13" s="38"/>
      <c r="AA13" s="38"/>
      <c r="AB13" s="38"/>
      <c r="AC13" s="38"/>
      <c r="AD13" s="38"/>
      <c r="AE13" s="38"/>
      <c r="AF13" s="38"/>
      <c r="AG13" s="38"/>
      <c r="AH13" s="38"/>
      <c r="AI13" s="38"/>
    </row>
    <row r="14" customFormat="false" ht="14.25" hidden="false" customHeight="false" outlineLevel="0" collapsed="false">
      <c r="A14" s="37" t="n">
        <v>8</v>
      </c>
      <c r="B14" s="37" t="s">
        <v>133</v>
      </c>
      <c r="C14" s="37" t="n">
        <f aca="false">((5.5+8)*0.06*100)*(100+27)</f>
        <v>10287</v>
      </c>
      <c r="D14" s="37" t="s">
        <v>134</v>
      </c>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c r="AH14" s="38"/>
      <c r="AI14" s="38"/>
    </row>
    <row r="15" customFormat="false" ht="14.25" hidden="false" customHeight="false" outlineLevel="0" collapsed="false">
      <c r="A15" s="0" t="n">
        <v>8</v>
      </c>
      <c r="B15" s="0" t="s">
        <v>133</v>
      </c>
      <c r="C15" s="36" t="n">
        <f aca="false">2.7*C14/1000</f>
        <v>27.7749</v>
      </c>
      <c r="D15" s="0" t="s">
        <v>109</v>
      </c>
      <c r="K15" s="0" t="s">
        <v>135</v>
      </c>
      <c r="M15" s="0" t="s">
        <v>109</v>
      </c>
      <c r="N15" s="0" t="s">
        <v>112</v>
      </c>
      <c r="O15" s="0" t="n">
        <v>500</v>
      </c>
      <c r="P15" s="0" t="s">
        <v>113</v>
      </c>
      <c r="Q15" s="0" t="n">
        <f aca="false">C15/1000</f>
        <v>0.0277749</v>
      </c>
      <c r="R15" s="0" t="s">
        <v>114</v>
      </c>
      <c r="S15" s="38"/>
      <c r="T15" s="38"/>
      <c r="U15" s="38"/>
      <c r="AI15" s="0" t="s">
        <v>136</v>
      </c>
    </row>
    <row r="16" customFormat="false" ht="14.25" hidden="false" customHeight="false" outlineLevel="0" collapsed="false">
      <c r="A16" s="41" t="n">
        <v>9</v>
      </c>
      <c r="B16" s="41" t="s">
        <v>137</v>
      </c>
      <c r="C16" s="41" t="n">
        <f aca="false">0.01*0.02*(30+10+5)</f>
        <v>0.009</v>
      </c>
      <c r="D16" s="41" t="s">
        <v>117</v>
      </c>
      <c r="E16" s="38"/>
      <c r="F16" s="38"/>
      <c r="G16" s="38"/>
      <c r="H16" s="38"/>
      <c r="I16" s="38"/>
      <c r="J16" s="38"/>
      <c r="K16" s="38"/>
      <c r="L16" s="38"/>
      <c r="M16" s="38"/>
      <c r="N16" s="38"/>
      <c r="O16" s="38"/>
      <c r="P16" s="38"/>
      <c r="Q16" s="38"/>
      <c r="R16" s="38"/>
      <c r="S16" s="38"/>
      <c r="T16" s="38"/>
      <c r="U16" s="38"/>
      <c r="V16" s="38"/>
      <c r="W16" s="38"/>
      <c r="X16" s="38"/>
      <c r="Y16" s="38"/>
      <c r="Z16" s="38"/>
      <c r="AA16" s="38"/>
      <c r="AB16" s="38"/>
      <c r="AC16" s="38"/>
      <c r="AD16" s="38"/>
      <c r="AE16" s="38"/>
      <c r="AF16" s="38"/>
      <c r="AG16" s="38"/>
      <c r="AH16" s="38"/>
      <c r="AI16" s="38"/>
    </row>
    <row r="17" customFormat="false" ht="14.25" hidden="false" customHeight="false" outlineLevel="0" collapsed="false">
      <c r="A17" s="0" t="n">
        <v>9</v>
      </c>
      <c r="B17" s="0" t="s">
        <v>137</v>
      </c>
      <c r="C17" s="0" t="n">
        <f aca="false">200*C16</f>
        <v>1.8</v>
      </c>
      <c r="D17" s="0" t="s">
        <v>109</v>
      </c>
      <c r="K17" s="0" t="s">
        <v>138</v>
      </c>
      <c r="M17" s="0" t="s">
        <v>109</v>
      </c>
      <c r="N17" s="0" t="s">
        <v>112</v>
      </c>
      <c r="O17" s="0" t="n">
        <v>500</v>
      </c>
      <c r="P17" s="0" t="s">
        <v>113</v>
      </c>
      <c r="Q17" s="0" t="n">
        <f aca="false">C17/1000</f>
        <v>0.0018</v>
      </c>
      <c r="R17" s="0" t="s">
        <v>114</v>
      </c>
      <c r="AI17" s="0" t="s">
        <v>115</v>
      </c>
    </row>
    <row r="18" customFormat="false" ht="14.25" hidden="false" customHeight="false" outlineLevel="0" collapsed="false">
      <c r="B18" s="41" t="s">
        <v>139</v>
      </c>
      <c r="C18" s="41" t="n">
        <v>200</v>
      </c>
      <c r="D18" s="41" t="s">
        <v>131</v>
      </c>
      <c r="E18" s="38"/>
      <c r="F18" s="38"/>
      <c r="G18" s="38"/>
      <c r="H18" s="38"/>
      <c r="I18" s="38"/>
      <c r="J18" s="38"/>
      <c r="K18" s="38"/>
      <c r="L18" s="38"/>
      <c r="M18" s="38"/>
      <c r="N18" s="38"/>
      <c r="O18" s="38"/>
      <c r="P18" s="38"/>
      <c r="Q18" s="38"/>
      <c r="R18" s="38"/>
      <c r="S18" s="38"/>
      <c r="T18" s="38"/>
      <c r="U18" s="38"/>
      <c r="V18" s="38"/>
      <c r="W18" s="38"/>
      <c r="X18" s="38"/>
      <c r="Y18" s="38"/>
      <c r="Z18" s="38"/>
      <c r="AA18" s="38"/>
      <c r="AB18" s="38"/>
      <c r="AC18" s="38"/>
      <c r="AD18" s="38"/>
      <c r="AE18" s="38"/>
      <c r="AF18" s="38"/>
      <c r="AG18" s="38"/>
      <c r="AH18" s="38"/>
      <c r="AI18" s="38"/>
    </row>
    <row r="19" customFormat="false" ht="14.25" hidden="false" customHeight="false" outlineLevel="0" collapsed="false">
      <c r="A19" s="0" t="s">
        <v>140</v>
      </c>
      <c r="B19" s="0" t="s">
        <v>141</v>
      </c>
      <c r="C19" s="36" t="n">
        <f aca="false">(0.22*3*3)+(0.8*2)+(0.4*10)</f>
        <v>7.58</v>
      </c>
      <c r="D19" s="0" t="s">
        <v>109</v>
      </c>
      <c r="K19" s="0" t="s">
        <v>142</v>
      </c>
      <c r="M19" s="0" t="s">
        <v>109</v>
      </c>
      <c r="N19" s="0" t="s">
        <v>112</v>
      </c>
      <c r="O19" s="0" t="n">
        <v>500</v>
      </c>
      <c r="P19" s="0" t="s">
        <v>113</v>
      </c>
      <c r="Q19" s="0" t="n">
        <f aca="false">C19/1000</f>
        <v>0.00758</v>
      </c>
      <c r="R19" s="0" t="s">
        <v>114</v>
      </c>
      <c r="S19" s="38"/>
      <c r="T19" s="38"/>
      <c r="U19" s="38"/>
      <c r="AI19" s="0" t="s">
        <v>136</v>
      </c>
    </row>
    <row r="20" customFormat="false" ht="14.25" hidden="false" customHeight="false" outlineLevel="0" collapsed="false">
      <c r="A20" s="0" t="n">
        <v>12</v>
      </c>
      <c r="B20" s="0" t="s">
        <v>143</v>
      </c>
      <c r="C20" s="0" t="n">
        <v>728</v>
      </c>
      <c r="D20" s="0" t="s">
        <v>109</v>
      </c>
      <c r="E20" s="43"/>
      <c r="K20" s="0" t="s">
        <v>144</v>
      </c>
      <c r="M20" s="0" t="s">
        <v>109</v>
      </c>
      <c r="N20" s="0" t="s">
        <v>112</v>
      </c>
      <c r="O20" s="0" t="n">
        <v>500</v>
      </c>
      <c r="P20" s="0" t="s">
        <v>113</v>
      </c>
      <c r="Q20" s="0" t="n">
        <f aca="false">C20/1000</f>
        <v>0.728</v>
      </c>
      <c r="R20" s="0" t="s">
        <v>114</v>
      </c>
      <c r="S20" s="38"/>
      <c r="T20" s="38"/>
      <c r="U20" s="38"/>
      <c r="AI20" s="0" t="s">
        <v>115</v>
      </c>
    </row>
    <row r="21" customFormat="false" ht="14.25" hidden="false" customHeight="false" outlineLevel="0" collapsed="false">
      <c r="A21" s="0" t="n">
        <v>13</v>
      </c>
      <c r="B21" s="0" t="s">
        <v>145</v>
      </c>
      <c r="C21" s="36" t="n">
        <f aca="false">235*0.012*76.128</f>
        <v>214.68096</v>
      </c>
      <c r="D21" s="0" t="s">
        <v>109</v>
      </c>
      <c r="E21" s="0" t="s">
        <v>146</v>
      </c>
      <c r="N21" s="0" t="s">
        <v>112</v>
      </c>
      <c r="O21" s="0" t="n">
        <v>500</v>
      </c>
      <c r="P21" s="0" t="s">
        <v>113</v>
      </c>
      <c r="Q21" s="0" t="n">
        <f aca="false">C21/1000</f>
        <v>0.21468096</v>
      </c>
      <c r="R21" s="0" t="s">
        <v>114</v>
      </c>
      <c r="S21" s="38"/>
      <c r="T21" s="38"/>
      <c r="U21" s="38"/>
      <c r="AI21" s="0" t="s">
        <v>115</v>
      </c>
    </row>
    <row r="22" customFormat="false" ht="30" hidden="false" customHeight="true" outlineLevel="0" collapsed="false">
      <c r="A22" s="0" t="n">
        <v>14</v>
      </c>
      <c r="B22" s="0" t="s">
        <v>147</v>
      </c>
      <c r="C22" s="4" t="n">
        <f aca="false">(2.1*2.2)+(1.05*2.2)+(0.48*0.48)+(1.48*0.48)</f>
        <v>7.8708</v>
      </c>
      <c r="D22" s="0" t="s">
        <v>124</v>
      </c>
      <c r="K22" s="44" t="s">
        <v>148</v>
      </c>
      <c r="N22" s="0" t="s">
        <v>112</v>
      </c>
      <c r="O22" s="0" t="n">
        <v>500</v>
      </c>
      <c r="P22" s="0" t="s">
        <v>113</v>
      </c>
      <c r="R22" s="0" t="s">
        <v>114</v>
      </c>
      <c r="S22" s="38"/>
      <c r="T22" s="38"/>
      <c r="U22" s="38"/>
      <c r="AI22" s="0" t="s">
        <v>149</v>
      </c>
    </row>
    <row r="23" customFormat="false" ht="30" hidden="false" customHeight="true" outlineLevel="0" collapsed="false">
      <c r="A23" s="0" t="n">
        <v>14</v>
      </c>
      <c r="B23" s="0" t="s">
        <v>150</v>
      </c>
      <c r="C23" s="4" t="n">
        <f aca="false">0.05*((2*(2.1+2.2))+(2*(1.05+2.2))+(4*0.48)+(2*(1.48+0.48)))</f>
        <v>1.047</v>
      </c>
      <c r="D23" s="0" t="s">
        <v>124</v>
      </c>
      <c r="K23" s="44" t="s">
        <v>151</v>
      </c>
      <c r="S23" s="38"/>
      <c r="T23" s="38"/>
      <c r="U23" s="38"/>
    </row>
    <row r="24" customFormat="false" ht="14.25" hidden="false" customHeight="false" outlineLevel="0" collapsed="false">
      <c r="B24" s="0" t="s">
        <v>152</v>
      </c>
      <c r="C24" s="0" t="n">
        <f aca="false">1200*4</f>
        <v>4800</v>
      </c>
      <c r="D24" s="0" t="s">
        <v>109</v>
      </c>
      <c r="K24" s="0" t="s">
        <v>153</v>
      </c>
      <c r="N24" s="0" t="s">
        <v>112</v>
      </c>
      <c r="O24" s="0" t="n">
        <v>500</v>
      </c>
      <c r="P24" s="0" t="s">
        <v>113</v>
      </c>
      <c r="Q24" s="0" t="n">
        <f aca="false">C24/1000</f>
        <v>4.8</v>
      </c>
      <c r="R24" s="0" t="s">
        <v>114</v>
      </c>
      <c r="S24" s="38"/>
      <c r="T24" s="38"/>
      <c r="U24" s="38"/>
      <c r="AI24" s="0" t="s">
        <v>154</v>
      </c>
      <c r="AN24" s="43" t="s">
        <v>155</v>
      </c>
    </row>
    <row r="25" customFormat="false" ht="14.25" hidden="false" customHeight="false" outlineLevel="0" collapsed="false">
      <c r="B25" s="0" t="s">
        <v>156</v>
      </c>
      <c r="D25" s="0" t="s">
        <v>109</v>
      </c>
      <c r="K25" s="0" t="s">
        <v>157</v>
      </c>
    </row>
    <row r="28" customFormat="false" ht="14.25" hidden="false" customHeight="false" outlineLevel="0" collapsed="false">
      <c r="N28" s="45" t="s">
        <v>112</v>
      </c>
      <c r="O28" s="45"/>
      <c r="P28" s="45"/>
      <c r="Q28" s="45" t="n">
        <f aca="false">O6*Q6+O10*Q10+O11*Q11+O12*Q12+O15*Q15+O17*Q17+O19*Q19+O20*Q20+O21*Q21+O22*Q22+O24*Q24</f>
        <v>3002.50288</v>
      </c>
      <c r="R28" s="45" t="s">
        <v>158</v>
      </c>
    </row>
    <row r="29" customFormat="false" ht="14.25" hidden="false" customHeight="false" outlineLevel="0" collapsed="false">
      <c r="N29" s="45" t="s">
        <v>119</v>
      </c>
      <c r="O29" s="45"/>
      <c r="P29" s="45"/>
      <c r="Q29" s="45" t="n">
        <f aca="false">O7*Q7+O8*Q8</f>
        <v>1621.941</v>
      </c>
      <c r="R29" s="45" t="s">
        <v>158</v>
      </c>
    </row>
  </sheetData>
  <mergeCells count="13">
    <mergeCell ref="E3:M3"/>
    <mergeCell ref="N3:U3"/>
    <mergeCell ref="V3:Y3"/>
    <mergeCell ref="Z3:AI3"/>
    <mergeCell ref="E4:F4"/>
    <mergeCell ref="H4:I4"/>
    <mergeCell ref="K4:L4"/>
    <mergeCell ref="N4:O4"/>
    <mergeCell ref="S4:T4"/>
    <mergeCell ref="W4:X4"/>
    <mergeCell ref="Z4:AA4"/>
    <mergeCell ref="AC4:AD4"/>
    <mergeCell ref="AF4:AG4"/>
  </mergeCells>
  <hyperlinks>
    <hyperlink ref="AN24" r:id="rId2" display="http://containertech.com/about-containers/how-durable-are-shipping-containers/"/>
  </hyperlink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3"/>
  <legacyDrawing r:id="rId4"/>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Z28"/>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pane xSplit="2" ySplit="3" topLeftCell="C4" activePane="bottomRight" state="frozen"/>
      <selection pane="topLeft" activeCell="A1" activeCellId="0" sqref="A1"/>
      <selection pane="topRight" activeCell="C1" activeCellId="0" sqref="C1"/>
      <selection pane="bottomLeft" activeCell="A4" activeCellId="0" sqref="A4"/>
      <selection pane="bottomRight" activeCell="G70" activeCellId="0" sqref="G70"/>
    </sheetView>
  </sheetViews>
  <sheetFormatPr defaultColWidth="10.54296875" defaultRowHeight="13.8" zeroHeight="false" outlineLevelRow="0" outlineLevelCol="0"/>
  <cols>
    <col collapsed="false" customWidth="true" hidden="false" outlineLevel="0" max="1" min="1" style="0" width="8.09"/>
    <col collapsed="false" customWidth="true" hidden="false" outlineLevel="0" max="2" min="2" style="0" width="32.53"/>
    <col collapsed="false" customWidth="true" hidden="false" outlineLevel="0" max="4" min="4" style="0" width="5.36"/>
    <col collapsed="false" customWidth="true" hidden="false" outlineLevel="0" max="7" min="7" style="0" width="5.36"/>
    <col collapsed="false" customWidth="true" hidden="false" outlineLevel="0" max="8" min="8" style="0" width="7.09"/>
    <col collapsed="false" customWidth="true" hidden="false" outlineLevel="0" max="9" min="9" style="0" width="5.36"/>
    <col collapsed="false" customWidth="true" hidden="false" outlineLevel="0" max="10" min="10" style="0" width="5.46"/>
    <col collapsed="false" customWidth="true" hidden="false" outlineLevel="0" max="11" min="11" style="0" width="17.37"/>
    <col collapsed="false" customWidth="true" hidden="false" outlineLevel="0" max="14" min="13" style="0" width="4.91"/>
    <col collapsed="false" customWidth="true" hidden="false" outlineLevel="0" max="15" min="15" style="0" width="30.18"/>
    <col collapsed="false" customWidth="true" hidden="false" outlineLevel="0" max="16" min="16" style="0" width="7.54"/>
    <col collapsed="false" customWidth="true" hidden="false" outlineLevel="0" max="17" min="17" style="0" width="3.91"/>
    <col collapsed="false" customWidth="true" hidden="false" outlineLevel="0" max="18" min="18" style="0" width="6.91"/>
    <col collapsed="false" customWidth="true" hidden="false" outlineLevel="0" max="19" min="19" style="0" width="5"/>
    <col collapsed="false" customWidth="true" hidden="false" outlineLevel="0" max="22" min="22" style="0" width="5.27"/>
    <col collapsed="false" customWidth="true" hidden="false" outlineLevel="0" max="26" min="26" style="0" width="4.36"/>
    <col collapsed="false" customWidth="true" hidden="false" outlineLevel="0" max="28" min="28" style="0" width="6.64"/>
    <col collapsed="false" customWidth="true" hidden="false" outlineLevel="0" max="29" min="29" style="0" width="3.64"/>
    <col collapsed="false" customWidth="true" hidden="false" outlineLevel="0" max="32" min="32" style="0" width="5.18"/>
    <col collapsed="false" customWidth="true" hidden="false" outlineLevel="0" max="33" min="33" style="0" width="15.63"/>
    <col collapsed="false" customWidth="true" hidden="false" outlineLevel="0" max="34" min="34" style="0" width="8.91"/>
    <col collapsed="false" customWidth="true" hidden="false" outlineLevel="0" max="35" min="35" style="0" width="3.82"/>
    <col collapsed="false" customWidth="true" hidden="false" outlineLevel="0" max="36" min="36" style="0" width="23.91"/>
    <col collapsed="false" customWidth="true" hidden="false" outlineLevel="0" max="37" min="37" style="0" width="7.27"/>
    <col collapsed="false" customWidth="true" hidden="false" outlineLevel="0" max="38" min="38" style="0" width="2.82"/>
    <col collapsed="false" customWidth="true" hidden="false" outlineLevel="0" max="40" min="40" style="0" width="6.73"/>
    <col collapsed="false" customWidth="true" hidden="false" outlineLevel="0" max="41" min="41" style="0" width="4.46"/>
    <col collapsed="false" customWidth="true" hidden="false" outlineLevel="0" max="44" min="44" style="0" width="4.64"/>
    <col collapsed="false" customWidth="true" hidden="false" outlineLevel="0" max="45" min="45" style="0" width="22.82"/>
    <col collapsed="false" customWidth="true" hidden="false" outlineLevel="0" max="47" min="47" style="0" width="4.64"/>
    <col collapsed="false" customWidth="true" hidden="false" outlineLevel="0" max="48" min="48" style="0" width="39.18"/>
    <col collapsed="false" customWidth="true" hidden="false" outlineLevel="0" max="49" min="49" style="0" width="7.64"/>
    <col collapsed="false" customWidth="true" hidden="false" outlineLevel="0" max="50" min="50" style="0" width="3.27"/>
  </cols>
  <sheetData>
    <row r="1" customFormat="false" ht="19.7" hidden="false" customHeight="false" outlineLevel="0" collapsed="false">
      <c r="A1" s="0" t="s">
        <v>84</v>
      </c>
      <c r="B1" s="12"/>
    </row>
    <row r="2" customFormat="false" ht="19.7" hidden="false" customHeight="false" outlineLevel="0" collapsed="false">
      <c r="B2" s="12" t="s">
        <v>159</v>
      </c>
    </row>
    <row r="3" customFormat="false" ht="17.35" hidden="false" customHeight="false" outlineLevel="0" collapsed="false">
      <c r="E3" s="13" t="s">
        <v>86</v>
      </c>
      <c r="F3" s="13"/>
      <c r="G3" s="13"/>
      <c r="H3" s="13"/>
      <c r="I3" s="13"/>
      <c r="J3" s="13"/>
      <c r="K3" s="13"/>
      <c r="L3" s="13"/>
      <c r="M3" s="13"/>
      <c r="N3" s="13"/>
      <c r="O3" s="14" t="s">
        <v>87</v>
      </c>
      <c r="P3" s="14"/>
      <c r="Q3" s="14"/>
      <c r="R3" s="14"/>
      <c r="S3" s="14"/>
      <c r="T3" s="14"/>
      <c r="U3" s="14"/>
      <c r="V3" s="14"/>
      <c r="W3" s="15" t="s">
        <v>88</v>
      </c>
      <c r="X3" s="15"/>
      <c r="Y3" s="15"/>
      <c r="Z3" s="15"/>
      <c r="AA3" s="16" t="s">
        <v>160</v>
      </c>
      <c r="AB3" s="16"/>
      <c r="AC3" s="16"/>
      <c r="AD3" s="16"/>
      <c r="AE3" s="16"/>
      <c r="AF3" s="16"/>
      <c r="AG3" s="16"/>
      <c r="AH3" s="16"/>
      <c r="AI3" s="16"/>
      <c r="AJ3" s="16"/>
      <c r="AK3" s="16"/>
      <c r="AL3" s="16"/>
      <c r="AM3" s="46" t="s">
        <v>161</v>
      </c>
      <c r="AN3" s="46"/>
      <c r="AO3" s="46"/>
      <c r="AP3" s="46"/>
      <c r="AQ3" s="46"/>
      <c r="AR3" s="46"/>
      <c r="AS3" s="46"/>
      <c r="AT3" s="46"/>
      <c r="AU3" s="46"/>
      <c r="AV3" s="46"/>
      <c r="AW3" s="46"/>
      <c r="AX3" s="46"/>
    </row>
    <row r="4" customFormat="false" ht="28.5" hidden="false" customHeight="true" outlineLevel="0" collapsed="false">
      <c r="A4" s="9" t="s">
        <v>90</v>
      </c>
      <c r="B4" s="9" t="s">
        <v>91</v>
      </c>
      <c r="C4" s="9" t="s">
        <v>92</v>
      </c>
      <c r="D4" s="18" t="s">
        <v>93</v>
      </c>
      <c r="E4" s="19" t="s">
        <v>94</v>
      </c>
      <c r="F4" s="19"/>
      <c r="G4" s="20" t="s">
        <v>93</v>
      </c>
      <c r="H4" s="19" t="s">
        <v>95</v>
      </c>
      <c r="I4" s="19"/>
      <c r="J4" s="20" t="s">
        <v>93</v>
      </c>
      <c r="K4" s="21" t="s">
        <v>96</v>
      </c>
      <c r="L4" s="21"/>
      <c r="M4" s="21" t="s">
        <v>9</v>
      </c>
      <c r="N4" s="20" t="s">
        <v>93</v>
      </c>
      <c r="O4" s="22" t="s">
        <v>97</v>
      </c>
      <c r="P4" s="22"/>
      <c r="Q4" s="23" t="s">
        <v>93</v>
      </c>
      <c r="R4" s="23"/>
      <c r="S4" s="23" t="s">
        <v>93</v>
      </c>
      <c r="T4" s="24" t="s">
        <v>98</v>
      </c>
      <c r="U4" s="24"/>
      <c r="V4" s="23" t="s">
        <v>93</v>
      </c>
      <c r="W4" s="25" t="s">
        <v>99</v>
      </c>
      <c r="X4" s="47" t="s">
        <v>100</v>
      </c>
      <c r="Y4" s="47"/>
      <c r="Z4" s="27" t="s">
        <v>93</v>
      </c>
      <c r="AA4" s="28" t="s">
        <v>101</v>
      </c>
      <c r="AB4" s="28"/>
      <c r="AC4" s="29" t="s">
        <v>93</v>
      </c>
      <c r="AD4" s="28" t="s">
        <v>102</v>
      </c>
      <c r="AE4" s="28"/>
      <c r="AF4" s="29" t="s">
        <v>93</v>
      </c>
      <c r="AG4" s="28" t="s">
        <v>103</v>
      </c>
      <c r="AH4" s="28"/>
      <c r="AI4" s="29" t="s">
        <v>93</v>
      </c>
      <c r="AJ4" s="28" t="s">
        <v>104</v>
      </c>
      <c r="AK4" s="28"/>
      <c r="AL4" s="29" t="s">
        <v>93</v>
      </c>
      <c r="AM4" s="48" t="s">
        <v>101</v>
      </c>
      <c r="AN4" s="48"/>
      <c r="AO4" s="49" t="s">
        <v>93</v>
      </c>
      <c r="AP4" s="48" t="s">
        <v>102</v>
      </c>
      <c r="AQ4" s="48"/>
      <c r="AR4" s="49" t="s">
        <v>93</v>
      </c>
      <c r="AS4" s="48" t="s">
        <v>103</v>
      </c>
      <c r="AT4" s="48"/>
      <c r="AU4" s="49" t="s">
        <v>93</v>
      </c>
      <c r="AV4" s="48" t="s">
        <v>104</v>
      </c>
      <c r="AW4" s="48"/>
      <c r="AX4" s="49" t="s">
        <v>93</v>
      </c>
    </row>
    <row r="5" customFormat="false" ht="15" hidden="false" customHeight="true" outlineLevel="0" collapsed="false">
      <c r="A5" s="9"/>
      <c r="B5" s="9" t="s">
        <v>105</v>
      </c>
      <c r="C5" s="32"/>
      <c r="D5" s="33"/>
      <c r="E5" s="50"/>
      <c r="F5" s="50"/>
      <c r="G5" s="51"/>
      <c r="H5" s="50"/>
      <c r="I5" s="50"/>
      <c r="J5" s="51"/>
      <c r="K5" s="52"/>
      <c r="L5" s="52"/>
      <c r="M5" s="52"/>
      <c r="N5" s="51"/>
      <c r="O5" s="53"/>
      <c r="P5" s="53"/>
      <c r="Q5" s="54"/>
      <c r="R5" s="54"/>
      <c r="S5" s="54"/>
      <c r="T5" s="0" t="s">
        <v>106</v>
      </c>
      <c r="U5" s="0" t="n">
        <v>880</v>
      </c>
      <c r="V5" s="0" t="s">
        <v>107</v>
      </c>
      <c r="W5" s="25"/>
      <c r="X5" s="25"/>
      <c r="Y5" s="25"/>
      <c r="Z5" s="27"/>
      <c r="AA5" s="0" t="s">
        <v>162</v>
      </c>
      <c r="AB5" s="0" t="n">
        <v>8</v>
      </c>
      <c r="AC5" s="0" t="s">
        <v>107</v>
      </c>
      <c r="AD5" s="55"/>
      <c r="AE5" s="55"/>
      <c r="AF5" s="29"/>
      <c r="AG5" s="55"/>
      <c r="AH5" s="55"/>
      <c r="AI5" s="29"/>
      <c r="AJ5" s="30"/>
      <c r="AM5" s="0" t="s">
        <v>162</v>
      </c>
      <c r="AN5" s="0" t="n">
        <v>8</v>
      </c>
      <c r="AO5" s="0" t="s">
        <v>107</v>
      </c>
    </row>
    <row r="6" customFormat="false" ht="13.8" hidden="false" customHeight="false" outlineLevel="0" collapsed="false">
      <c r="A6" s="0" t="n">
        <v>1</v>
      </c>
      <c r="B6" s="0" t="s">
        <v>163</v>
      </c>
      <c r="C6" s="0" t="n">
        <f aca="false">80*2*14.5</f>
        <v>2320</v>
      </c>
      <c r="D6" s="0" t="s">
        <v>109</v>
      </c>
      <c r="E6" s="0" t="s">
        <v>164</v>
      </c>
      <c r="K6" s="2" t="s">
        <v>71</v>
      </c>
      <c r="L6" s="2" t="s">
        <v>70</v>
      </c>
      <c r="M6" s="0" t="s">
        <v>165</v>
      </c>
      <c r="N6" s="0" t="s">
        <v>27</v>
      </c>
      <c r="O6" s="0" t="s">
        <v>112</v>
      </c>
      <c r="P6" s="0" t="n">
        <v>590</v>
      </c>
      <c r="Q6" s="0" t="s">
        <v>113</v>
      </c>
      <c r="R6" s="0" t="n">
        <f aca="false">950*(C6*0.015)/1000</f>
        <v>33.06</v>
      </c>
      <c r="S6" s="0" t="s">
        <v>114</v>
      </c>
      <c r="T6" s="38"/>
      <c r="U6" s="38"/>
      <c r="V6" s="38"/>
      <c r="AA6" s="0" t="s">
        <v>166</v>
      </c>
      <c r="AB6" s="0" t="n">
        <v>350</v>
      </c>
      <c r="AC6" s="0" t="s">
        <v>167</v>
      </c>
      <c r="AD6" s="0" t="s">
        <v>112</v>
      </c>
      <c r="AE6" s="0" t="n">
        <f aca="false">200*R6</f>
        <v>6612</v>
      </c>
      <c r="AF6" s="0" t="s">
        <v>158</v>
      </c>
      <c r="AM6" s="0" t="s">
        <v>166</v>
      </c>
      <c r="AN6" s="0" t="n">
        <v>350</v>
      </c>
      <c r="AO6" s="0" t="s">
        <v>167</v>
      </c>
      <c r="AP6" s="0" t="s">
        <v>112</v>
      </c>
      <c r="AQ6" s="0" t="n">
        <f aca="false">(200*R6*0.5)+(50*R6*0.5)</f>
        <v>4132.5</v>
      </c>
      <c r="AR6" s="0" t="s">
        <v>158</v>
      </c>
    </row>
    <row r="7" customFormat="false" ht="13.8" hidden="false" customHeight="false" outlineLevel="0" collapsed="false">
      <c r="A7" s="0" t="n">
        <v>2</v>
      </c>
      <c r="B7" s="0" t="s">
        <v>168</v>
      </c>
      <c r="C7" s="4" t="n">
        <f aca="false">(0.045*0.4*6*12)+(0.045*0.4*2.5*12)+(2*0.047*0.4*14)+(2.5*0.047*0.4*28)+(0.05*0.05*6*14)+(0.038*0.057*6*10)+(0.07*0.2*64)+(0.038*0.057*194)+(0.295*0.045*6*10)+(0.038*0.057*4*10)+(0.038*0.057*6*30)+(0.038*0.057*2.5*40)+(6*0.047*0.2*10)</f>
        <v>7.388184</v>
      </c>
      <c r="D7" s="0" t="s">
        <v>117</v>
      </c>
      <c r="K7" s="0" t="s">
        <v>29</v>
      </c>
      <c r="L7" s="0" t="s">
        <v>169</v>
      </c>
      <c r="M7" s="0" t="s">
        <v>170</v>
      </c>
      <c r="N7" s="0" t="s">
        <v>31</v>
      </c>
      <c r="O7" s="0" t="s">
        <v>119</v>
      </c>
      <c r="P7" s="0" t="n">
        <v>500</v>
      </c>
      <c r="Q7" s="0" t="s">
        <v>113</v>
      </c>
      <c r="R7" s="0" t="n">
        <f aca="false">500*C7/1000</f>
        <v>3.694092</v>
      </c>
      <c r="S7" s="0" t="s">
        <v>114</v>
      </c>
      <c r="T7" s="38"/>
      <c r="U7" s="38"/>
      <c r="V7" s="38"/>
      <c r="AA7" s="38"/>
      <c r="AB7" s="38"/>
      <c r="AC7" s="38"/>
      <c r="AD7" s="0" t="s">
        <v>112</v>
      </c>
      <c r="AE7" s="4" t="n">
        <f aca="false">100*R7</f>
        <v>369.4092</v>
      </c>
      <c r="AF7" s="0" t="s">
        <v>158</v>
      </c>
      <c r="AJ7" s="56" t="s">
        <v>171</v>
      </c>
      <c r="AK7" s="4" t="n">
        <f aca="false">R7</f>
        <v>3.694092</v>
      </c>
      <c r="AL7" s="0" t="s">
        <v>114</v>
      </c>
      <c r="AM7" s="38"/>
      <c r="AN7" s="38"/>
      <c r="AO7" s="38"/>
      <c r="AP7" s="0" t="s">
        <v>112</v>
      </c>
      <c r="AQ7" s="0" t="n">
        <f aca="false">200*R7</f>
        <v>738.8184</v>
      </c>
      <c r="AR7" s="0" t="s">
        <v>158</v>
      </c>
      <c r="AS7" s="0" t="s">
        <v>172</v>
      </c>
      <c r="AT7" s="57" t="n">
        <f aca="false">R7</f>
        <v>3.694092</v>
      </c>
      <c r="AU7" s="0" t="s">
        <v>114</v>
      </c>
    </row>
    <row r="8" customFormat="false" ht="13.8" hidden="false" customHeight="false" outlineLevel="0" collapsed="false">
      <c r="A8" s="0" t="n">
        <v>3</v>
      </c>
      <c r="B8" s="0" t="s">
        <v>173</v>
      </c>
      <c r="C8" s="0" t="n">
        <f aca="false">(0.8*8)+(0.15*90)+(0.8*16)+(0.1*60)+(0.1*40)+(0.8*4)+(0.8*6)+(0.8*6)+(0.8*1)+(0.1*16)+(0.8*0.9)+(0.15*20)+(0.8*8)</f>
        <v>68.02</v>
      </c>
      <c r="D8" s="0" t="s">
        <v>109</v>
      </c>
      <c r="K8" s="0" t="s">
        <v>28</v>
      </c>
      <c r="L8" s="0" t="s">
        <v>174</v>
      </c>
      <c r="M8" s="0" t="s">
        <v>165</v>
      </c>
      <c r="N8" s="0" t="s">
        <v>27</v>
      </c>
      <c r="O8" s="0" t="s">
        <v>112</v>
      </c>
      <c r="P8" s="0" t="n">
        <v>500</v>
      </c>
      <c r="Q8" s="0" t="s">
        <v>113</v>
      </c>
      <c r="R8" s="0" t="n">
        <f aca="false">C8/1000</f>
        <v>0.06802</v>
      </c>
      <c r="S8" s="0" t="s">
        <v>114</v>
      </c>
      <c r="T8" s="38"/>
      <c r="U8" s="38"/>
      <c r="V8" s="38"/>
      <c r="AA8" s="38"/>
      <c r="AB8" s="38"/>
      <c r="AC8" s="38"/>
      <c r="AD8" s="0" t="s">
        <v>112</v>
      </c>
      <c r="AE8" s="4" t="n">
        <f aca="false">200*R8</f>
        <v>13.604</v>
      </c>
      <c r="AF8" s="0" t="s">
        <v>158</v>
      </c>
      <c r="AG8" s="56" t="s">
        <v>175</v>
      </c>
      <c r="AH8" s="0" t="n">
        <f aca="false">C8</f>
        <v>68.02</v>
      </c>
      <c r="AI8" s="0" t="s">
        <v>109</v>
      </c>
      <c r="AM8" s="38"/>
      <c r="AN8" s="38"/>
      <c r="AO8" s="38"/>
      <c r="AP8" s="0" t="s">
        <v>112</v>
      </c>
      <c r="AQ8" s="0" t="n">
        <f aca="false">200*R8</f>
        <v>13.604</v>
      </c>
      <c r="AR8" s="0" t="s">
        <v>158</v>
      </c>
      <c r="AS8" s="56" t="s">
        <v>175</v>
      </c>
      <c r="AT8" s="57" t="n">
        <f aca="false">R8</f>
        <v>0.06802</v>
      </c>
      <c r="AU8" s="0" t="s">
        <v>114</v>
      </c>
    </row>
    <row r="9" customFormat="false" ht="13.8" hidden="false" customHeight="false" outlineLevel="0" collapsed="false">
      <c r="A9" s="0" t="n">
        <v>4</v>
      </c>
      <c r="B9" s="0" t="s">
        <v>121</v>
      </c>
      <c r="C9" s="4" t="n">
        <f aca="false">(0.018*288)+(0.018*120)+(0.022*36)</f>
        <v>8.136</v>
      </c>
      <c r="D9" s="0" t="s">
        <v>117</v>
      </c>
      <c r="K9" s="0" t="s">
        <v>39</v>
      </c>
      <c r="L9" s="0" t="s">
        <v>38</v>
      </c>
      <c r="M9" s="0" t="s">
        <v>170</v>
      </c>
      <c r="N9" s="0" t="s">
        <v>31</v>
      </c>
      <c r="O9" s="0" t="s">
        <v>119</v>
      </c>
      <c r="P9" s="0" t="n">
        <v>500</v>
      </c>
      <c r="Q9" s="0" t="s">
        <v>113</v>
      </c>
      <c r="R9" s="0" t="n">
        <f aca="false">640*C9/1000</f>
        <v>5.20704</v>
      </c>
      <c r="S9" s="0" t="s">
        <v>114</v>
      </c>
      <c r="T9" s="38"/>
      <c r="U9" s="38"/>
      <c r="V9" s="38"/>
      <c r="AA9" s="38"/>
      <c r="AB9" s="38"/>
      <c r="AC9" s="38"/>
      <c r="AD9" s="0" t="s">
        <v>112</v>
      </c>
      <c r="AE9" s="4" t="n">
        <f aca="false">100*R9</f>
        <v>520.704</v>
      </c>
      <c r="AF9" s="0" t="s">
        <v>158</v>
      </c>
      <c r="AJ9" s="56" t="s">
        <v>171</v>
      </c>
      <c r="AK9" s="4" t="n">
        <f aca="false">R9</f>
        <v>5.20704</v>
      </c>
      <c r="AL9" s="0" t="s">
        <v>114</v>
      </c>
      <c r="AM9" s="38"/>
      <c r="AN9" s="38"/>
      <c r="AO9" s="38"/>
      <c r="AP9" s="0" t="s">
        <v>112</v>
      </c>
      <c r="AQ9" s="0" t="n">
        <f aca="false">200*R9</f>
        <v>1041.408</v>
      </c>
      <c r="AR9" s="0" t="s">
        <v>158</v>
      </c>
      <c r="AS9" s="0" t="s">
        <v>172</v>
      </c>
      <c r="AT9" s="57" t="n">
        <f aca="false">R9</f>
        <v>5.20704</v>
      </c>
      <c r="AU9" s="0" t="s">
        <v>114</v>
      </c>
    </row>
    <row r="10" customFormat="false" ht="13.8" hidden="false" customHeight="false" outlineLevel="0" collapsed="false">
      <c r="A10" s="0" t="n">
        <v>5</v>
      </c>
      <c r="B10" s="58" t="s">
        <v>176</v>
      </c>
      <c r="C10" s="58" t="n">
        <v>58</v>
      </c>
      <c r="D10" s="58" t="s">
        <v>117</v>
      </c>
      <c r="E10" s="0" t="s">
        <v>177</v>
      </c>
      <c r="K10" s="0" t="s">
        <v>178</v>
      </c>
      <c r="L10" s="0" t="s">
        <v>179</v>
      </c>
      <c r="M10" s="0" t="s">
        <v>170</v>
      </c>
      <c r="N10" s="0" t="s">
        <v>31</v>
      </c>
      <c r="O10" s="0" t="s">
        <v>112</v>
      </c>
      <c r="P10" s="0" t="n">
        <v>500</v>
      </c>
      <c r="Q10" s="0" t="s">
        <v>113</v>
      </c>
      <c r="S10" s="0" t="s">
        <v>114</v>
      </c>
      <c r="T10" s="38"/>
      <c r="U10" s="38"/>
      <c r="V10" s="38"/>
      <c r="AA10" s="38"/>
      <c r="AB10" s="38"/>
      <c r="AC10" s="38"/>
      <c r="AD10" s="0" t="s">
        <v>112</v>
      </c>
      <c r="AE10" s="0" t="n">
        <f aca="false">100*R10</f>
        <v>0</v>
      </c>
      <c r="AF10" s="0" t="s">
        <v>158</v>
      </c>
      <c r="AJ10" s="56" t="s">
        <v>171</v>
      </c>
      <c r="AK10" s="0" t="n">
        <f aca="false">R10</f>
        <v>0</v>
      </c>
      <c r="AL10" s="0" t="s">
        <v>114</v>
      </c>
      <c r="AM10" s="38"/>
      <c r="AN10" s="38"/>
      <c r="AO10" s="38"/>
      <c r="AP10" s="0" t="s">
        <v>112</v>
      </c>
      <c r="AQ10" s="0" t="n">
        <f aca="false">100*R10</f>
        <v>0</v>
      </c>
      <c r="AR10" s="0" t="s">
        <v>158</v>
      </c>
      <c r="AV10" s="56" t="s">
        <v>171</v>
      </c>
      <c r="AW10" s="0" t="n">
        <f aca="false">R10</f>
        <v>0</v>
      </c>
      <c r="AX10" s="0" t="s">
        <v>114</v>
      </c>
    </row>
    <row r="11" customFormat="false" ht="13.8" hidden="false" customHeight="false" outlineLevel="0" collapsed="false">
      <c r="A11" s="0" t="n">
        <v>6</v>
      </c>
      <c r="B11" s="58" t="s">
        <v>143</v>
      </c>
      <c r="C11" s="58" t="n">
        <f aca="false">(14.4+7.2+2.5)*40</f>
        <v>964</v>
      </c>
      <c r="D11" s="58" t="s">
        <v>109</v>
      </c>
      <c r="E11" s="0" t="s">
        <v>180</v>
      </c>
      <c r="K11" s="0" t="s">
        <v>49</v>
      </c>
      <c r="L11" s="0" t="s">
        <v>48</v>
      </c>
      <c r="M11" s="0" t="s">
        <v>181</v>
      </c>
      <c r="N11" s="0" t="s">
        <v>27</v>
      </c>
      <c r="O11" s="0" t="s">
        <v>112</v>
      </c>
      <c r="P11" s="0" t="n">
        <v>500</v>
      </c>
      <c r="Q11" s="0" t="s">
        <v>113</v>
      </c>
      <c r="S11" s="0" t="s">
        <v>114</v>
      </c>
      <c r="T11" s="38"/>
      <c r="U11" s="38"/>
      <c r="V11" s="38"/>
      <c r="AA11" s="38"/>
      <c r="AB11" s="38"/>
      <c r="AC11" s="38"/>
      <c r="AD11" s="0" t="s">
        <v>112</v>
      </c>
      <c r="AE11" s="0" t="n">
        <f aca="false">100*R11</f>
        <v>0</v>
      </c>
      <c r="AF11" s="0" t="s">
        <v>158</v>
      </c>
      <c r="AJ11" s="56" t="s">
        <v>171</v>
      </c>
      <c r="AK11" s="0" t="n">
        <f aca="false">R11</f>
        <v>0</v>
      </c>
      <c r="AL11" s="0" t="s">
        <v>114</v>
      </c>
      <c r="AM11" s="38"/>
      <c r="AN11" s="38"/>
      <c r="AO11" s="38"/>
      <c r="AP11" s="0" t="s">
        <v>112</v>
      </c>
      <c r="AQ11" s="0" t="n">
        <f aca="false">100*R11</f>
        <v>0</v>
      </c>
      <c r="AR11" s="0" t="s">
        <v>158</v>
      </c>
      <c r="AV11" s="56" t="s">
        <v>171</v>
      </c>
      <c r="AW11" s="0" t="n">
        <f aca="false">R11</f>
        <v>0</v>
      </c>
      <c r="AX11" s="0" t="s">
        <v>114</v>
      </c>
    </row>
    <row r="12" customFormat="false" ht="13.8" hidden="false" customHeight="false" outlineLevel="0" collapsed="false">
      <c r="A12" s="0" t="n">
        <v>7</v>
      </c>
      <c r="B12" s="0" t="s">
        <v>182</v>
      </c>
      <c r="C12" s="0" t="n">
        <f aca="false">2.9*18.5</f>
        <v>53.65</v>
      </c>
      <c r="D12" s="0" t="s">
        <v>124</v>
      </c>
      <c r="O12" s="0" t="s">
        <v>119</v>
      </c>
      <c r="P12" s="0" t="n">
        <v>1500</v>
      </c>
      <c r="Q12" s="0" t="s">
        <v>113</v>
      </c>
      <c r="R12" s="0" t="n">
        <f aca="false">224.8*C13/1000</f>
        <v>5.1704</v>
      </c>
      <c r="S12" s="0" t="s">
        <v>114</v>
      </c>
      <c r="T12" s="38"/>
      <c r="U12" s="38"/>
      <c r="V12" s="38"/>
      <c r="AA12" s="38"/>
      <c r="AB12" s="38"/>
      <c r="AC12" s="38"/>
      <c r="AD12" s="0" t="s">
        <v>112</v>
      </c>
      <c r="AE12" s="0" t="n">
        <f aca="false">100*R12</f>
        <v>517.04</v>
      </c>
      <c r="AF12" s="0" t="s">
        <v>158</v>
      </c>
      <c r="AJ12" s="56" t="s">
        <v>171</v>
      </c>
      <c r="AK12" s="4" t="n">
        <f aca="false">R12</f>
        <v>5.1704</v>
      </c>
      <c r="AL12" s="0" t="s">
        <v>114</v>
      </c>
      <c r="AM12" s="38"/>
      <c r="AN12" s="38"/>
      <c r="AO12" s="38"/>
      <c r="AP12" s="0" t="s">
        <v>112</v>
      </c>
      <c r="AQ12" s="0" t="n">
        <f aca="false">100*R12</f>
        <v>517.04</v>
      </c>
      <c r="AR12" s="0" t="s">
        <v>158</v>
      </c>
      <c r="AV12" s="56" t="s">
        <v>171</v>
      </c>
      <c r="AW12" s="0" t="n">
        <f aca="false">R12</f>
        <v>5.1704</v>
      </c>
      <c r="AX12" s="0" t="s">
        <v>114</v>
      </c>
    </row>
    <row r="13" customFormat="false" ht="13.8" hidden="false" customHeight="false" outlineLevel="0" collapsed="false">
      <c r="C13" s="0" t="n">
        <v>23</v>
      </c>
      <c r="D13" s="0" t="s">
        <v>183</v>
      </c>
      <c r="E13" s="38"/>
      <c r="F13" s="38"/>
      <c r="G13" s="38"/>
      <c r="H13" s="38"/>
      <c r="I13" s="38"/>
      <c r="J13" s="38"/>
      <c r="K13" s="38"/>
      <c r="L13" s="38"/>
      <c r="M13" s="38"/>
      <c r="N13" s="38"/>
      <c r="O13" s="38"/>
      <c r="P13" s="38"/>
      <c r="Q13" s="38"/>
      <c r="R13" s="38"/>
      <c r="S13" s="38"/>
      <c r="T13" s="38"/>
      <c r="U13" s="38"/>
      <c r="V13" s="38"/>
      <c r="W13" s="38"/>
      <c r="X13" s="38"/>
      <c r="Y13" s="38"/>
      <c r="Z13" s="38"/>
      <c r="AA13" s="38"/>
      <c r="AB13" s="38"/>
      <c r="AC13" s="38"/>
      <c r="AD13" s="38"/>
      <c r="AE13" s="38"/>
      <c r="AF13" s="38"/>
      <c r="AG13" s="38"/>
      <c r="AH13" s="38"/>
      <c r="AI13" s="38"/>
      <c r="AJ13" s="38"/>
      <c r="AK13" s="38"/>
      <c r="AL13" s="38"/>
      <c r="AM13" s="38"/>
      <c r="AN13" s="38"/>
      <c r="AO13" s="38"/>
      <c r="AP13" s="38"/>
      <c r="AQ13" s="38"/>
      <c r="AR13" s="38"/>
      <c r="AS13" s="38"/>
      <c r="AT13" s="38"/>
      <c r="AU13" s="38"/>
      <c r="AV13" s="38"/>
      <c r="AW13" s="38"/>
      <c r="AX13" s="38"/>
    </row>
    <row r="14" customFormat="false" ht="13.8" hidden="false" customHeight="false" outlineLevel="0" collapsed="false">
      <c r="A14" s="0" t="n">
        <v>8</v>
      </c>
      <c r="B14" s="0" t="s">
        <v>184</v>
      </c>
      <c r="C14" s="0" t="n">
        <v>4280</v>
      </c>
      <c r="D14" s="0" t="s">
        <v>109</v>
      </c>
      <c r="E14" s="38"/>
      <c r="F14" s="38"/>
      <c r="G14" s="38"/>
      <c r="H14" s="38"/>
      <c r="I14" s="38"/>
      <c r="J14" s="38"/>
      <c r="K14" s="38" t="s">
        <v>73</v>
      </c>
      <c r="L14" s="38" t="s">
        <v>72</v>
      </c>
      <c r="M14" s="38" t="s">
        <v>165</v>
      </c>
      <c r="N14" s="38" t="s">
        <v>27</v>
      </c>
      <c r="O14" s="38"/>
      <c r="P14" s="38"/>
      <c r="Q14" s="38"/>
      <c r="R14" s="38"/>
      <c r="S14" s="38"/>
      <c r="T14" s="38"/>
      <c r="U14" s="38"/>
      <c r="V14" s="38"/>
      <c r="W14" s="38"/>
      <c r="X14" s="38"/>
      <c r="Y14" s="38"/>
      <c r="Z14" s="38"/>
      <c r="AA14" s="38"/>
      <c r="AB14" s="38"/>
      <c r="AC14" s="38"/>
      <c r="AD14" s="38"/>
      <c r="AE14" s="38"/>
      <c r="AF14" s="38"/>
      <c r="AG14" s="38"/>
      <c r="AH14" s="38"/>
      <c r="AI14" s="38"/>
      <c r="AJ14" s="38"/>
      <c r="AK14" s="38"/>
      <c r="AL14" s="38"/>
      <c r="AM14" s="38"/>
      <c r="AN14" s="38"/>
      <c r="AO14" s="38"/>
      <c r="AP14" s="38"/>
      <c r="AQ14" s="38"/>
      <c r="AR14" s="38"/>
      <c r="AS14" s="38"/>
      <c r="AT14" s="38"/>
      <c r="AU14" s="38"/>
      <c r="AV14" s="38"/>
      <c r="AW14" s="38"/>
      <c r="AX14" s="38"/>
    </row>
    <row r="15" customFormat="false" ht="13.8" hidden="false" customHeight="false" outlineLevel="0" collapsed="false">
      <c r="A15" s="0" t="n">
        <v>9</v>
      </c>
      <c r="B15" s="0" t="s">
        <v>185</v>
      </c>
      <c r="C15" s="36" t="n">
        <f aca="false">100*2.26/(1.8*6)</f>
        <v>20.9259259259259</v>
      </c>
      <c r="D15" s="0" t="s">
        <v>109</v>
      </c>
      <c r="K15" s="0" t="s">
        <v>75</v>
      </c>
      <c r="L15" s="4" t="s">
        <v>74</v>
      </c>
      <c r="M15" s="4" t="s">
        <v>165</v>
      </c>
      <c r="N15" s="0" t="s">
        <v>27</v>
      </c>
      <c r="O15" s="0" t="s">
        <v>112</v>
      </c>
      <c r="P15" s="0" t="n">
        <v>500</v>
      </c>
      <c r="Q15" s="0" t="s">
        <v>113</v>
      </c>
      <c r="R15" s="0" t="e">
        <f aca="false">L15/1000</f>
        <v>#VALUE!</v>
      </c>
      <c r="S15" s="0" t="s">
        <v>114</v>
      </c>
      <c r="T15" s="38"/>
      <c r="U15" s="38"/>
      <c r="V15" s="38"/>
      <c r="AA15" s="38"/>
      <c r="AB15" s="38"/>
      <c r="AC15" s="38"/>
      <c r="AD15" s="0" t="s">
        <v>112</v>
      </c>
      <c r="AE15" s="4" t="e">
        <f aca="false">100*R15</f>
        <v>#VALUE!</v>
      </c>
      <c r="AF15" s="0" t="s">
        <v>158</v>
      </c>
      <c r="AJ15" s="56" t="s">
        <v>171</v>
      </c>
      <c r="AK15" s="57" t="e">
        <f aca="false">R15</f>
        <v>#VALUE!</v>
      </c>
      <c r="AL15" s="0" t="s">
        <v>114</v>
      </c>
      <c r="AM15" s="38"/>
      <c r="AN15" s="38"/>
      <c r="AO15" s="38"/>
      <c r="AP15" s="0" t="s">
        <v>112</v>
      </c>
      <c r="AQ15" s="0" t="e">
        <f aca="false">100*R15</f>
        <v>#VALUE!</v>
      </c>
      <c r="AR15" s="0" t="s">
        <v>158</v>
      </c>
      <c r="AV15" s="56" t="s">
        <v>171</v>
      </c>
      <c r="AW15" s="59" t="e">
        <f aca="false">R15</f>
        <v>#VALUE!</v>
      </c>
      <c r="AX15" s="0" t="s">
        <v>114</v>
      </c>
    </row>
    <row r="16" customFormat="false" ht="13.8" hidden="false" customHeight="false" outlineLevel="0" collapsed="false">
      <c r="A16" s="0" t="n">
        <v>10</v>
      </c>
      <c r="B16" s="0" t="s">
        <v>186</v>
      </c>
      <c r="C16" s="0" t="n">
        <f aca="false">0.195*100</f>
        <v>19.5</v>
      </c>
      <c r="D16" s="0" t="s">
        <v>109</v>
      </c>
      <c r="K16" s="0" t="s">
        <v>41</v>
      </c>
      <c r="L16" s="0" t="s">
        <v>187</v>
      </c>
      <c r="M16" s="0" t="s">
        <v>165</v>
      </c>
      <c r="N16" s="0" t="s">
        <v>27</v>
      </c>
      <c r="O16" s="0" t="s">
        <v>112</v>
      </c>
      <c r="P16" s="0" t="n">
        <v>500</v>
      </c>
      <c r="Q16" s="0" t="s">
        <v>113</v>
      </c>
      <c r="R16" s="0" t="n">
        <f aca="false">C16/1000</f>
        <v>0.0195</v>
      </c>
      <c r="S16" s="0" t="s">
        <v>114</v>
      </c>
      <c r="T16" s="38"/>
      <c r="U16" s="38"/>
      <c r="V16" s="38"/>
      <c r="AA16" s="38"/>
      <c r="AB16" s="38"/>
      <c r="AC16" s="38"/>
      <c r="AD16" s="0" t="s">
        <v>112</v>
      </c>
      <c r="AE16" s="0" t="n">
        <f aca="false">100*R16</f>
        <v>1.95</v>
      </c>
      <c r="AF16" s="0" t="s">
        <v>158</v>
      </c>
      <c r="AJ16" s="56" t="s">
        <v>171</v>
      </c>
      <c r="AK16" s="57" t="n">
        <f aca="false">R16</f>
        <v>0.0195</v>
      </c>
      <c r="AL16" s="0" t="s">
        <v>114</v>
      </c>
      <c r="AM16" s="38"/>
      <c r="AN16" s="38"/>
      <c r="AO16" s="38"/>
      <c r="AP16" s="0" t="s">
        <v>112</v>
      </c>
      <c r="AQ16" s="0" t="n">
        <f aca="false">(100*R16*0.5)+(200*R16*0.5)</f>
        <v>2.925</v>
      </c>
      <c r="AR16" s="0" t="s">
        <v>158</v>
      </c>
      <c r="AS16" s="0" t="s">
        <v>188</v>
      </c>
      <c r="AT16" s="0" t="n">
        <f aca="false">0.5*R16</f>
        <v>0.00975</v>
      </c>
      <c r="AU16" s="0" t="s">
        <v>114</v>
      </c>
      <c r="AV16" s="56" t="s">
        <v>171</v>
      </c>
      <c r="AW16" s="0" t="n">
        <f aca="false">0.5*R16</f>
        <v>0.00975</v>
      </c>
      <c r="AX16" s="0" t="s">
        <v>114</v>
      </c>
    </row>
    <row r="17" customFormat="false" ht="13.8" hidden="false" customHeight="false" outlineLevel="0" collapsed="false">
      <c r="A17" s="0" t="n">
        <v>11</v>
      </c>
      <c r="B17" s="0" t="s">
        <v>189</v>
      </c>
      <c r="C17" s="0" t="n">
        <v>863.25</v>
      </c>
      <c r="D17" s="0" t="s">
        <v>109</v>
      </c>
      <c r="K17" s="2" t="s">
        <v>34</v>
      </c>
      <c r="L17" s="2" t="s">
        <v>33</v>
      </c>
      <c r="M17" s="38" t="s">
        <v>165</v>
      </c>
      <c r="N17" s="38" t="s">
        <v>27</v>
      </c>
      <c r="O17" s="0" t="s">
        <v>112</v>
      </c>
      <c r="P17" s="0" t="n">
        <v>500</v>
      </c>
      <c r="Q17" s="0" t="s">
        <v>113</v>
      </c>
      <c r="R17" s="0" t="e">
        <f aca="false">L17/1000</f>
        <v>#VALUE!</v>
      </c>
      <c r="S17" s="0" t="s">
        <v>114</v>
      </c>
      <c r="T17" s="38"/>
      <c r="U17" s="38"/>
      <c r="V17" s="38"/>
      <c r="AA17" s="38"/>
      <c r="AB17" s="38"/>
      <c r="AC17" s="38"/>
      <c r="AD17" s="0" t="s">
        <v>112</v>
      </c>
      <c r="AE17" s="0" t="e">
        <f aca="false">200*(0.2*R17)+100*(0.8*R17)</f>
        <v>#VALUE!</v>
      </c>
      <c r="AF17" s="0" t="s">
        <v>158</v>
      </c>
      <c r="AG17" s="0" t="s">
        <v>190</v>
      </c>
      <c r="AH17" s="0" t="e">
        <f aca="false">0.2*R17</f>
        <v>#VALUE!</v>
      </c>
      <c r="AI17" s="0" t="s">
        <v>114</v>
      </c>
      <c r="AJ17" s="0" t="s">
        <v>191</v>
      </c>
      <c r="AK17" s="0" t="e">
        <f aca="false">0.8*R17</f>
        <v>#VALUE!</v>
      </c>
      <c r="AL17" s="0" t="s">
        <v>114</v>
      </c>
      <c r="AM17" s="38"/>
      <c r="AN17" s="38"/>
      <c r="AO17" s="38"/>
      <c r="AP17" s="0" t="s">
        <v>112</v>
      </c>
      <c r="AQ17" s="0" t="e">
        <f aca="false">200*R17</f>
        <v>#VALUE!</v>
      </c>
      <c r="AR17" s="0" t="s">
        <v>158</v>
      </c>
      <c r="AS17" s="0" t="s">
        <v>190</v>
      </c>
      <c r="AT17" s="0" t="e">
        <f aca="false">R17</f>
        <v>#VALUE!</v>
      </c>
      <c r="AU17" s="0" t="s">
        <v>114</v>
      </c>
    </row>
    <row r="18" customFormat="false" ht="13.8" hidden="false" customHeight="false" outlineLevel="0" collapsed="false">
      <c r="B18" s="0" t="s">
        <v>192</v>
      </c>
      <c r="C18" s="4" t="n">
        <v>5.2</v>
      </c>
      <c r="D18" s="0" t="s">
        <v>124</v>
      </c>
      <c r="K18" s="2" t="s">
        <v>56</v>
      </c>
      <c r="L18" s="0" t="s">
        <v>55</v>
      </c>
      <c r="M18" s="0" t="s">
        <v>165</v>
      </c>
      <c r="N18" s="0" t="s">
        <v>16</v>
      </c>
      <c r="O18" s="0" t="s">
        <v>112</v>
      </c>
      <c r="P18" s="0" t="n">
        <v>500</v>
      </c>
      <c r="Q18" s="0" t="s">
        <v>113</v>
      </c>
      <c r="S18" s="0" t="s">
        <v>114</v>
      </c>
      <c r="T18" s="38"/>
      <c r="U18" s="38"/>
      <c r="V18" s="38"/>
      <c r="AA18" s="38"/>
      <c r="AB18" s="38"/>
      <c r="AC18" s="38"/>
      <c r="AM18" s="38"/>
      <c r="AN18" s="38"/>
      <c r="AO18" s="38"/>
    </row>
    <row r="19" customFormat="false" ht="13.8" hidden="false" customHeight="false" outlineLevel="0" collapsed="false">
      <c r="B19" s="0" t="s">
        <v>193</v>
      </c>
      <c r="C19" s="0" t="n">
        <f aca="false">0.05*(2*(1+2+1+3))</f>
        <v>0.7</v>
      </c>
      <c r="D19" s="0" t="s">
        <v>124</v>
      </c>
      <c r="K19" s="44" t="s">
        <v>59</v>
      </c>
      <c r="L19" s="2" t="s">
        <v>58</v>
      </c>
      <c r="M19" s="0" t="s">
        <v>165</v>
      </c>
      <c r="N19" s="0" t="s">
        <v>16</v>
      </c>
      <c r="O19" s="0" t="s">
        <v>112</v>
      </c>
      <c r="P19" s="0" t="n">
        <v>500</v>
      </c>
      <c r="Q19" s="0" t="s">
        <v>113</v>
      </c>
      <c r="S19" s="0" t="s">
        <v>114</v>
      </c>
      <c r="AA19" s="38"/>
      <c r="AB19" s="38"/>
      <c r="AC19" s="38"/>
      <c r="AM19" s="38"/>
      <c r="AN19" s="38"/>
      <c r="AO19" s="38"/>
    </row>
    <row r="20" customFormat="false" ht="13.8" hidden="false" customHeight="false" outlineLevel="0" collapsed="false">
      <c r="B20" s="0" t="s">
        <v>194</v>
      </c>
      <c r="C20" s="0" t="n">
        <v>4.4</v>
      </c>
      <c r="D20" s="0" t="s">
        <v>124</v>
      </c>
      <c r="K20" s="0" t="s">
        <v>63</v>
      </c>
      <c r="L20" s="0" t="s">
        <v>62</v>
      </c>
      <c r="M20" s="0" t="s">
        <v>165</v>
      </c>
      <c r="N20" s="0" t="s">
        <v>16</v>
      </c>
    </row>
    <row r="21" customFormat="false" ht="13.8" hidden="false" customHeight="false" outlineLevel="0" collapsed="false">
      <c r="B21" s="0" t="s">
        <v>195</v>
      </c>
      <c r="C21" s="0" t="n">
        <f aca="false">(12+3)*12</f>
        <v>180</v>
      </c>
      <c r="D21" s="0" t="s">
        <v>109</v>
      </c>
      <c r="K21" s="0" t="s">
        <v>28</v>
      </c>
      <c r="L21" s="0" t="s">
        <v>174</v>
      </c>
      <c r="M21" s="0" t="s">
        <v>165</v>
      </c>
      <c r="N21" s="0" t="s">
        <v>27</v>
      </c>
    </row>
    <row r="22" customFormat="false" ht="13.8" hidden="false" customHeight="false" outlineLevel="0" collapsed="false">
      <c r="A22" s="0" t="s">
        <v>196</v>
      </c>
      <c r="B22" s="0" t="str">
        <f aca="false">'EcoCocon module'!G13</f>
        <v>Mass wood [kg]</v>
      </c>
      <c r="C22" s="36" t="n">
        <f aca="false">'EcoCocon module'!G14</f>
        <v>35.4675</v>
      </c>
      <c r="D22" s="0" t="s">
        <v>109</v>
      </c>
      <c r="K22" s="0" t="s">
        <v>29</v>
      </c>
      <c r="L22" s="0" t="s">
        <v>169</v>
      </c>
      <c r="M22" s="0" t="s">
        <v>170</v>
      </c>
      <c r="N22" s="0" t="s">
        <v>31</v>
      </c>
    </row>
    <row r="23" customFormat="false" ht="13.8" hidden="false" customHeight="false" outlineLevel="0" collapsed="false">
      <c r="B23" s="36" t="str">
        <f aca="false">'EcoCocon module'!H13</f>
        <v>Mass straw [kg]</v>
      </c>
      <c r="C23" s="36" t="n">
        <f aca="false">'EcoCocon module'!H14</f>
        <v>96.338</v>
      </c>
      <c r="D23" s="0" t="s">
        <v>109</v>
      </c>
      <c r="K23" s="0" t="s">
        <v>78</v>
      </c>
      <c r="L23" s="0" t="s">
        <v>77</v>
      </c>
      <c r="M23" s="0" t="s">
        <v>197</v>
      </c>
      <c r="N23" s="0" t="s">
        <v>27</v>
      </c>
    </row>
    <row r="24" customFormat="false" ht="13.8" hidden="false" customHeight="false" outlineLevel="0" collapsed="false">
      <c r="B24" s="0" t="str">
        <f aca="false">'EcoCocon module'!G16</f>
        <v>Mass membrane [kg]</v>
      </c>
      <c r="C24" s="0" t="n">
        <f aca="false">'EcoCocon module'!G17</f>
        <v>0.21344</v>
      </c>
      <c r="D24" s="0" t="s">
        <v>109</v>
      </c>
      <c r="K24" s="0" t="s">
        <v>51</v>
      </c>
      <c r="L24" s="0" t="s">
        <v>50</v>
      </c>
      <c r="M24" s="0" t="s">
        <v>165</v>
      </c>
      <c r="N24" s="0" t="s">
        <v>27</v>
      </c>
      <c r="O24" s="45" t="s">
        <v>119</v>
      </c>
      <c r="P24" s="45"/>
      <c r="Q24" s="45"/>
      <c r="R24" s="45" t="n">
        <f aca="false">P7*R7+P9*R9+P12*R12</f>
        <v>12206.166</v>
      </c>
      <c r="S24" s="45" t="s">
        <v>158</v>
      </c>
      <c r="AJ24" s="45" t="s">
        <v>191</v>
      </c>
      <c r="AK24" s="45" t="e">
        <f aca="false">AK17</f>
        <v>#VALUE!</v>
      </c>
      <c r="AL24" s="45" t="s">
        <v>114</v>
      </c>
      <c r="AS24" s="60" t="s">
        <v>175</v>
      </c>
      <c r="AT24" s="61" t="n">
        <f aca="false">AT8</f>
        <v>0.06802</v>
      </c>
      <c r="AU24" s="45" t="s">
        <v>114</v>
      </c>
    </row>
    <row r="25" customFormat="false" ht="13.8" hidden="false" customHeight="false" outlineLevel="0" collapsed="false">
      <c r="B25" s="0" t="str">
        <f aca="false">'EcoCocon module'!E16</f>
        <v>Wood fibre board [m³]</v>
      </c>
      <c r="C25" s="0" t="n">
        <f aca="false">'EcoCocon module'!E17</f>
        <v>0.1856</v>
      </c>
      <c r="D25" s="0" t="s">
        <v>198</v>
      </c>
      <c r="K25" s="0" t="s">
        <v>80</v>
      </c>
      <c r="L25" s="0" t="s">
        <v>79</v>
      </c>
      <c r="M25" s="0" t="s">
        <v>170</v>
      </c>
      <c r="N25" s="0" t="s">
        <v>31</v>
      </c>
    </row>
    <row r="27" customFormat="false" ht="13.8" hidden="false" customHeight="false" outlineLevel="0" collapsed="false">
      <c r="AJ27" s="0" t="s">
        <v>199</v>
      </c>
      <c r="AK27" s="0" t="n">
        <v>535.39</v>
      </c>
      <c r="AL27" s="0" t="s">
        <v>200</v>
      </c>
      <c r="AV27" s="0" t="s">
        <v>199</v>
      </c>
      <c r="AW27" s="0" t="n">
        <v>707</v>
      </c>
      <c r="AX27" s="0" t="s">
        <v>200</v>
      </c>
      <c r="AZ27" s="0" t="s">
        <v>201</v>
      </c>
    </row>
    <row r="28" customFormat="false" ht="13.8" hidden="false" customHeight="false" outlineLevel="0" collapsed="false">
      <c r="AV28" s="0" t="s">
        <v>199</v>
      </c>
      <c r="AW28" s="0" t="n">
        <v>668</v>
      </c>
      <c r="AX28" s="0" t="s">
        <v>200</v>
      </c>
      <c r="AZ28" s="0" t="s">
        <v>202</v>
      </c>
    </row>
  </sheetData>
  <mergeCells count="19">
    <mergeCell ref="E3:N3"/>
    <mergeCell ref="O3:V3"/>
    <mergeCell ref="W3:Z3"/>
    <mergeCell ref="AA3:AL3"/>
    <mergeCell ref="AM3:AX3"/>
    <mergeCell ref="E4:F4"/>
    <mergeCell ref="H4:I4"/>
    <mergeCell ref="K4:L4"/>
    <mergeCell ref="O4:P4"/>
    <mergeCell ref="T4:U4"/>
    <mergeCell ref="X4:Y4"/>
    <mergeCell ref="AA4:AB4"/>
    <mergeCell ref="AD4:AE4"/>
    <mergeCell ref="AG4:AH4"/>
    <mergeCell ref="AJ4:AK4"/>
    <mergeCell ref="AM4:AN4"/>
    <mergeCell ref="AP4:AQ4"/>
    <mergeCell ref="AS4:AT4"/>
    <mergeCell ref="AV4:AW4"/>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J28"/>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pane xSplit="2" ySplit="3" topLeftCell="C4" activePane="bottomRight" state="frozen"/>
      <selection pane="topLeft" activeCell="A1" activeCellId="0" sqref="A1"/>
      <selection pane="topRight" activeCell="C1" activeCellId="0" sqref="C1"/>
      <selection pane="bottomLeft" activeCell="A4" activeCellId="0" sqref="A4"/>
      <selection pane="bottomRight" activeCell="D4" activeCellId="0" sqref="D4"/>
    </sheetView>
  </sheetViews>
  <sheetFormatPr defaultColWidth="10.54296875" defaultRowHeight="13.8" zeroHeight="false" outlineLevelRow="0" outlineLevelCol="0"/>
  <cols>
    <col collapsed="false" customWidth="true" hidden="false" outlineLevel="0" max="1" min="1" style="0" width="8.18"/>
    <col collapsed="false" customWidth="true" hidden="false" outlineLevel="0" max="2" min="2" style="0" width="27"/>
    <col collapsed="false" customWidth="true" hidden="false" outlineLevel="0" max="4" min="4" style="0" width="5.09"/>
    <col collapsed="false" customWidth="true" hidden="false" outlineLevel="0" max="7" min="7" style="0" width="5"/>
    <col collapsed="false" customWidth="true" hidden="false" outlineLevel="0" max="8" min="8" style="0" width="6"/>
    <col collapsed="false" customWidth="true" hidden="false" outlineLevel="0" max="9" min="9" style="0" width="5.27"/>
    <col collapsed="false" customWidth="true" hidden="false" outlineLevel="0" max="10" min="10" style="0" width="4.82"/>
    <col collapsed="false" customWidth="true" hidden="false" outlineLevel="0" max="11" min="11" style="0" width="18.63"/>
    <col collapsed="false" customWidth="true" hidden="false" outlineLevel="0" max="12" min="12" style="0" width="21.18"/>
    <col collapsed="false" customWidth="true" hidden="false" outlineLevel="0" max="14" min="13" style="0" width="6.73"/>
    <col collapsed="false" customWidth="true" hidden="false" outlineLevel="0" max="15" min="15" style="0" width="26.63"/>
    <col collapsed="false" customWidth="true" hidden="false" outlineLevel="0" max="16" min="16" style="0" width="6.46"/>
    <col collapsed="false" customWidth="true" hidden="false" outlineLevel="0" max="17" min="17" style="0" width="3.91"/>
    <col collapsed="false" customWidth="true" hidden="false" outlineLevel="0" max="18" min="18" style="0" width="5.54"/>
    <col collapsed="false" customWidth="true" hidden="false" outlineLevel="0" max="19" min="19" style="0" width="4.91"/>
    <col collapsed="false" customWidth="true" hidden="false" outlineLevel="0" max="22" min="22" style="0" width="4.64"/>
    <col collapsed="false" customWidth="true" hidden="false" outlineLevel="0" max="26" min="26" style="0" width="3.73"/>
    <col collapsed="false" customWidth="true" hidden="false" outlineLevel="0" max="29" min="29" style="0" width="3.73"/>
    <col collapsed="false" customWidth="true" hidden="false" outlineLevel="0" max="32" min="32" style="0" width="3.82"/>
    <col collapsed="false" customWidth="true" hidden="false" outlineLevel="0" max="35" min="35" style="0" width="4.46"/>
  </cols>
  <sheetData>
    <row r="1" customFormat="false" ht="19.7" hidden="false" customHeight="false" outlineLevel="0" collapsed="false">
      <c r="A1" s="0" t="s">
        <v>84</v>
      </c>
      <c r="B1" s="12"/>
    </row>
    <row r="2" customFormat="false" ht="21" hidden="false" customHeight="false" outlineLevel="0" collapsed="false">
      <c r="B2" s="12" t="s">
        <v>203</v>
      </c>
    </row>
    <row r="3" customFormat="false" ht="17.35" hidden="false" customHeight="false" outlineLevel="0" collapsed="false">
      <c r="E3" s="13" t="s">
        <v>86</v>
      </c>
      <c r="F3" s="13"/>
      <c r="G3" s="13"/>
      <c r="H3" s="13"/>
      <c r="I3" s="13"/>
      <c r="J3" s="13"/>
      <c r="K3" s="13"/>
      <c r="L3" s="13"/>
      <c r="M3" s="13"/>
      <c r="N3" s="13"/>
      <c r="O3" s="14" t="s">
        <v>87</v>
      </c>
      <c r="P3" s="14"/>
      <c r="Q3" s="14"/>
      <c r="R3" s="14"/>
      <c r="S3" s="14"/>
      <c r="T3" s="14"/>
      <c r="U3" s="14"/>
      <c r="V3" s="14"/>
      <c r="W3" s="15" t="s">
        <v>88</v>
      </c>
      <c r="X3" s="15"/>
      <c r="Y3" s="15"/>
      <c r="Z3" s="15"/>
      <c r="AA3" s="16" t="s">
        <v>89</v>
      </c>
      <c r="AB3" s="16"/>
      <c r="AC3" s="16"/>
      <c r="AD3" s="16"/>
      <c r="AE3" s="16"/>
      <c r="AF3" s="16"/>
      <c r="AG3" s="16"/>
      <c r="AH3" s="16"/>
      <c r="AI3" s="16"/>
      <c r="AJ3" s="16"/>
    </row>
    <row r="4" customFormat="false" ht="41.75" hidden="false" customHeight="true" outlineLevel="0" collapsed="false">
      <c r="A4" s="9" t="s">
        <v>90</v>
      </c>
      <c r="B4" s="9" t="s">
        <v>91</v>
      </c>
      <c r="C4" s="9" t="s">
        <v>92</v>
      </c>
      <c r="D4" s="18" t="s">
        <v>93</v>
      </c>
      <c r="E4" s="19" t="s">
        <v>94</v>
      </c>
      <c r="F4" s="19"/>
      <c r="G4" s="20" t="s">
        <v>93</v>
      </c>
      <c r="H4" s="19" t="s">
        <v>95</v>
      </c>
      <c r="I4" s="19"/>
      <c r="J4" s="20" t="s">
        <v>93</v>
      </c>
      <c r="K4" s="21" t="s">
        <v>96</v>
      </c>
      <c r="L4" s="21"/>
      <c r="M4" s="62" t="s">
        <v>9</v>
      </c>
      <c r="N4" s="20" t="s">
        <v>93</v>
      </c>
      <c r="O4" s="22" t="s">
        <v>97</v>
      </c>
      <c r="P4" s="22"/>
      <c r="Q4" s="23" t="s">
        <v>93</v>
      </c>
      <c r="R4" s="23"/>
      <c r="S4" s="23" t="s">
        <v>93</v>
      </c>
      <c r="T4" s="24" t="s">
        <v>98</v>
      </c>
      <c r="U4" s="24"/>
      <c r="V4" s="23" t="s">
        <v>93</v>
      </c>
      <c r="W4" s="25" t="s">
        <v>99</v>
      </c>
      <c r="X4" s="47" t="s">
        <v>100</v>
      </c>
      <c r="Y4" s="47"/>
      <c r="Z4" s="27" t="s">
        <v>93</v>
      </c>
      <c r="AA4" s="28" t="s">
        <v>101</v>
      </c>
      <c r="AB4" s="28"/>
      <c r="AC4" s="29" t="s">
        <v>93</v>
      </c>
      <c r="AD4" s="28" t="s">
        <v>102</v>
      </c>
      <c r="AE4" s="28"/>
      <c r="AF4" s="29" t="s">
        <v>93</v>
      </c>
      <c r="AG4" s="28" t="s">
        <v>103</v>
      </c>
      <c r="AH4" s="28"/>
      <c r="AI4" s="29" t="s">
        <v>93</v>
      </c>
      <c r="AJ4" s="30" t="s">
        <v>104</v>
      </c>
    </row>
    <row r="5" customFormat="false" ht="13.8" hidden="false" customHeight="false" outlineLevel="0" collapsed="false">
      <c r="A5" s="9"/>
      <c r="B5" s="9" t="s">
        <v>105</v>
      </c>
      <c r="C5" s="32"/>
      <c r="D5" s="33"/>
      <c r="E5" s="50"/>
      <c r="F5" s="50"/>
      <c r="G5" s="51"/>
      <c r="H5" s="50"/>
      <c r="I5" s="50"/>
      <c r="J5" s="51"/>
      <c r="K5" s="52"/>
      <c r="L5" s="52"/>
      <c r="M5" s="52"/>
      <c r="N5" s="51"/>
      <c r="O5" s="53"/>
      <c r="P5" s="53"/>
      <c r="Q5" s="54"/>
      <c r="R5" s="54"/>
      <c r="S5" s="54"/>
      <c r="T5" s="0" t="s">
        <v>106</v>
      </c>
      <c r="U5" s="0" t="n">
        <v>880</v>
      </c>
      <c r="V5" s="0" t="s">
        <v>107</v>
      </c>
    </row>
    <row r="6" customFormat="false" ht="13.8" hidden="false" customHeight="false" outlineLevel="0" collapsed="false">
      <c r="A6" s="0" t="n">
        <v>1</v>
      </c>
      <c r="B6" s="0" t="s">
        <v>204</v>
      </c>
      <c r="C6" s="0" t="n">
        <f aca="false">(0.8*2)+(0.8*6)+(0.4*10)+(0.4*10)+(0.4*10)+(0.4*2.5)+(0.4*1)+(0.4*5)+(0.4*50)+(0.8*3)+(0.8*3)+(0.8*2.5)+(0.8*2.5)+(0.15*40*2)+(0.15*16)+(0.15*24)+(0.4*3)+(0.8*2*2)+(0.8*2.5*2)+(0.8*2.5*2)+(0.8*2*2)+(0.8*2*4)</f>
        <v>90.6</v>
      </c>
      <c r="D6" s="0" t="s">
        <v>109</v>
      </c>
      <c r="K6" s="0" t="s">
        <v>28</v>
      </c>
      <c r="L6" s="0" t="s">
        <v>174</v>
      </c>
      <c r="M6" s="0" t="s">
        <v>165</v>
      </c>
      <c r="N6" s="0" t="s">
        <v>27</v>
      </c>
      <c r="O6" s="0" t="s">
        <v>112</v>
      </c>
      <c r="P6" s="0" t="n">
        <v>500</v>
      </c>
      <c r="Q6" s="0" t="s">
        <v>113</v>
      </c>
      <c r="R6" s="0" t="n">
        <f aca="false">C6/1000</f>
        <v>0.0906</v>
      </c>
      <c r="S6" s="0" t="s">
        <v>114</v>
      </c>
      <c r="T6" s="38"/>
      <c r="U6" s="38"/>
      <c r="V6" s="38"/>
      <c r="AJ6" s="0" t="s">
        <v>136</v>
      </c>
    </row>
    <row r="7" customFormat="false" ht="13.8" hidden="false" customHeight="false" outlineLevel="0" collapsed="false">
      <c r="A7" s="0" t="n">
        <v>2</v>
      </c>
      <c r="B7" s="0" t="s">
        <v>205</v>
      </c>
      <c r="C7" s="57" t="n">
        <f aca="false">(0.033*0.125*4.2*23)</f>
        <v>0.398475</v>
      </c>
      <c r="D7" s="0" t="s">
        <v>117</v>
      </c>
      <c r="E7" s="0" t="s">
        <v>206</v>
      </c>
      <c r="K7" s="0" t="s">
        <v>26</v>
      </c>
      <c r="L7" s="0" t="s">
        <v>207</v>
      </c>
      <c r="M7" s="0" t="s">
        <v>170</v>
      </c>
      <c r="N7" s="0" t="s">
        <v>31</v>
      </c>
      <c r="O7" s="0" t="s">
        <v>112</v>
      </c>
      <c r="P7" s="0" t="n">
        <v>500</v>
      </c>
      <c r="Q7" s="0" t="s">
        <v>113</v>
      </c>
      <c r="R7" s="0" t="n">
        <f aca="false">500*C7/1000</f>
        <v>0.1992375</v>
      </c>
      <c r="S7" s="0" t="s">
        <v>114</v>
      </c>
      <c r="T7" s="38"/>
      <c r="U7" s="38"/>
      <c r="V7" s="38"/>
      <c r="AJ7" s="0" t="s">
        <v>120</v>
      </c>
    </row>
    <row r="8" customFormat="false" ht="13.8" hidden="false" customHeight="false" outlineLevel="0" collapsed="false">
      <c r="A8" s="0" t="n">
        <v>3</v>
      </c>
      <c r="B8" s="0" t="s">
        <v>168</v>
      </c>
      <c r="C8" s="57" t="n">
        <f aca="false">(0.022*0.1*90)+(0.025*0.15*3.6*58)+(0.025*0.15*4.2*6)+(0.025*0.25*4.2*1)+(0.025*0.25*4.5*1)+(0.033*0.125*4.2*105)+(0.038*0.073*50.4)+(0.045*0.095*18)+(0.022*0.1*30)+(0.038*0.057*54)</f>
        <v>3.3487236</v>
      </c>
      <c r="D8" s="0" t="s">
        <v>117</v>
      </c>
      <c r="E8" s="0" t="s">
        <v>208</v>
      </c>
      <c r="K8" s="0" t="s">
        <v>29</v>
      </c>
      <c r="L8" s="0" t="s">
        <v>169</v>
      </c>
      <c r="M8" s="0" t="s">
        <v>170</v>
      </c>
      <c r="N8" s="0" t="s">
        <v>31</v>
      </c>
      <c r="O8" s="0" t="s">
        <v>119</v>
      </c>
      <c r="P8" s="0" t="n">
        <v>500</v>
      </c>
      <c r="Q8" s="0" t="s">
        <v>113</v>
      </c>
      <c r="R8" s="0" t="n">
        <f aca="false">500*C8/1000</f>
        <v>1.6743618</v>
      </c>
      <c r="S8" s="0" t="s">
        <v>114</v>
      </c>
      <c r="T8" s="38"/>
      <c r="U8" s="38"/>
      <c r="V8" s="38"/>
      <c r="AJ8" s="0" t="s">
        <v>120</v>
      </c>
    </row>
    <row r="9" customFormat="false" ht="14.25" hidden="false" customHeight="false" outlineLevel="0" collapsed="false">
      <c r="A9" s="0" t="n">
        <v>4</v>
      </c>
      <c r="B9" s="0" t="s">
        <v>209</v>
      </c>
      <c r="C9" s="0" t="n">
        <f aca="false">(0.9*2.4*26)+(0.9*2.4*5)</f>
        <v>66.96</v>
      </c>
      <c r="D9" s="0" t="s">
        <v>124</v>
      </c>
      <c r="E9" s="43" t="s">
        <v>210</v>
      </c>
      <c r="S9" s="0" t="s">
        <v>114</v>
      </c>
      <c r="T9" s="38"/>
      <c r="U9" s="38"/>
      <c r="V9" s="38"/>
      <c r="AJ9" s="0" t="s">
        <v>211</v>
      </c>
    </row>
    <row r="10" customFormat="false" ht="13.8" hidden="false" customHeight="false" outlineLevel="0" collapsed="false">
      <c r="A10" s="37" t="n">
        <v>4</v>
      </c>
      <c r="B10" s="37" t="s">
        <v>209</v>
      </c>
      <c r="C10" s="37" t="n">
        <f aca="false">C9*9</f>
        <v>602.64</v>
      </c>
      <c r="D10" s="37" t="s">
        <v>109</v>
      </c>
      <c r="E10" s="38"/>
      <c r="F10" s="38"/>
      <c r="G10" s="38"/>
      <c r="H10" s="38"/>
      <c r="I10" s="38"/>
      <c r="J10" s="38"/>
      <c r="K10" s="2" t="s">
        <v>34</v>
      </c>
      <c r="L10" s="2" t="s">
        <v>33</v>
      </c>
      <c r="M10" s="38" t="s">
        <v>165</v>
      </c>
      <c r="N10" s="38" t="s">
        <v>27</v>
      </c>
      <c r="O10" s="0" t="s">
        <v>112</v>
      </c>
      <c r="P10" s="0" t="n">
        <v>136</v>
      </c>
      <c r="Q10" s="0" t="s">
        <v>113</v>
      </c>
      <c r="R10" s="0" t="n">
        <f aca="false">C10/1000</f>
        <v>0.60264</v>
      </c>
      <c r="S10" s="38"/>
      <c r="T10" s="38"/>
      <c r="U10" s="38"/>
      <c r="V10" s="38"/>
    </row>
    <row r="11" customFormat="false" ht="13.8" hidden="false" customHeight="false" outlineLevel="0" collapsed="false">
      <c r="A11" s="0" t="n">
        <v>5</v>
      </c>
      <c r="B11" s="0" t="s">
        <v>212</v>
      </c>
      <c r="C11" s="0" t="n">
        <f aca="false">199.2*0.1</f>
        <v>19.92</v>
      </c>
      <c r="D11" s="0" t="s">
        <v>124</v>
      </c>
      <c r="E11" s="0" t="s">
        <v>208</v>
      </c>
      <c r="K11" s="0" t="s">
        <v>37</v>
      </c>
      <c r="L11" s="0" t="s">
        <v>36</v>
      </c>
      <c r="M11" s="0" t="s">
        <v>165</v>
      </c>
      <c r="N11" s="0" t="s">
        <v>16</v>
      </c>
      <c r="O11" s="0" t="s">
        <v>112</v>
      </c>
      <c r="P11" s="0" t="n">
        <v>500</v>
      </c>
      <c r="Q11" s="0" t="s">
        <v>113</v>
      </c>
      <c r="R11" s="0" t="n">
        <f aca="false">500*(C11*0.019)/1000</f>
        <v>0.18924</v>
      </c>
      <c r="S11" s="0" t="s">
        <v>114</v>
      </c>
      <c r="T11" s="38"/>
      <c r="U11" s="38"/>
      <c r="V11" s="38"/>
      <c r="AJ11" s="0" t="s">
        <v>120</v>
      </c>
    </row>
    <row r="12" customFormat="false" ht="13.8" hidden="false" customHeight="false" outlineLevel="0" collapsed="false">
      <c r="A12" s="0" t="n">
        <v>6</v>
      </c>
      <c r="B12" s="0" t="s">
        <v>35</v>
      </c>
      <c r="C12" s="0" t="n">
        <f aca="false">45/100*50</f>
        <v>22.5</v>
      </c>
      <c r="D12" s="0" t="s">
        <v>109</v>
      </c>
      <c r="K12" s="0" t="s">
        <v>28</v>
      </c>
      <c r="L12" s="0" t="s">
        <v>174</v>
      </c>
      <c r="M12" s="0" t="s">
        <v>165</v>
      </c>
      <c r="N12" s="0" t="s">
        <v>27</v>
      </c>
      <c r="O12" s="0" t="s">
        <v>112</v>
      </c>
      <c r="P12" s="0" t="n">
        <v>500</v>
      </c>
      <c r="Q12" s="0" t="s">
        <v>113</v>
      </c>
      <c r="R12" s="0" t="n">
        <f aca="false">C12/1000</f>
        <v>0.0225</v>
      </c>
      <c r="S12" s="0" t="s">
        <v>114</v>
      </c>
      <c r="T12" s="38"/>
      <c r="U12" s="38"/>
      <c r="V12" s="38"/>
      <c r="AJ12" s="0" t="s">
        <v>136</v>
      </c>
    </row>
    <row r="13" customFormat="false" ht="13.8" hidden="false" customHeight="false" outlineLevel="0" collapsed="false">
      <c r="A13" s="0" t="n">
        <v>7</v>
      </c>
      <c r="B13" s="0" t="s">
        <v>213</v>
      </c>
      <c r="C13" s="0" t="n">
        <f aca="false">(69.38)+(33.75)</f>
        <v>103.13</v>
      </c>
      <c r="D13" s="0" t="s">
        <v>124</v>
      </c>
      <c r="K13" s="0" t="s">
        <v>37</v>
      </c>
      <c r="L13" s="0" t="s">
        <v>36</v>
      </c>
      <c r="M13" s="0" t="s">
        <v>165</v>
      </c>
      <c r="N13" s="0" t="s">
        <v>16</v>
      </c>
      <c r="O13" s="0" t="s">
        <v>119</v>
      </c>
      <c r="P13" s="0" t="n">
        <v>500</v>
      </c>
      <c r="Q13" s="0" t="s">
        <v>113</v>
      </c>
      <c r="R13" s="0" t="n">
        <f aca="false">500*(C13*0.035)/1000</f>
        <v>1.804775</v>
      </c>
      <c r="S13" s="0" t="s">
        <v>114</v>
      </c>
      <c r="T13" s="38"/>
      <c r="U13" s="38"/>
      <c r="V13" s="38"/>
      <c r="AJ13" s="0" t="s">
        <v>120</v>
      </c>
    </row>
    <row r="14" customFormat="false" ht="13.8" hidden="false" customHeight="false" outlineLevel="0" collapsed="false">
      <c r="A14" s="0" t="n">
        <v>8</v>
      </c>
      <c r="B14" s="0" t="s">
        <v>214</v>
      </c>
      <c r="C14" s="57" t="n">
        <f aca="false">0.012*20.67</f>
        <v>0.24804</v>
      </c>
      <c r="D14" s="0" t="s">
        <v>117</v>
      </c>
      <c r="K14" s="0" t="s">
        <v>39</v>
      </c>
      <c r="L14" s="0" t="s">
        <v>38</v>
      </c>
      <c r="M14" s="0" t="s">
        <v>170</v>
      </c>
      <c r="N14" s="0" t="s">
        <v>31</v>
      </c>
      <c r="O14" s="0" t="s">
        <v>119</v>
      </c>
      <c r="P14" s="0" t="n">
        <v>500</v>
      </c>
      <c r="Q14" s="0" t="s">
        <v>113</v>
      </c>
      <c r="R14" s="0" t="n">
        <f aca="false">640*C14/1000</f>
        <v>0.1587456</v>
      </c>
      <c r="S14" s="0" t="s">
        <v>114</v>
      </c>
      <c r="T14" s="38"/>
      <c r="U14" s="38"/>
      <c r="V14" s="38"/>
      <c r="AJ14" s="0" t="s">
        <v>120</v>
      </c>
    </row>
    <row r="15" customFormat="false" ht="13.8" hidden="false" customHeight="false" outlineLevel="0" collapsed="false">
      <c r="A15" s="0" t="n">
        <v>9</v>
      </c>
      <c r="B15" s="0" t="s">
        <v>215</v>
      </c>
      <c r="C15" s="0" t="n">
        <f aca="false">(0.26*100)+(0.26*0.05*25*2)</f>
        <v>26.65</v>
      </c>
      <c r="D15" s="0" t="s">
        <v>109</v>
      </c>
      <c r="K15" s="0" t="s">
        <v>41</v>
      </c>
      <c r="L15" s="0" t="s">
        <v>187</v>
      </c>
      <c r="M15" s="0" t="s">
        <v>165</v>
      </c>
      <c r="N15" s="0" t="s">
        <v>27</v>
      </c>
      <c r="O15" s="0" t="s">
        <v>112</v>
      </c>
      <c r="P15" s="0" t="n">
        <v>500</v>
      </c>
      <c r="Q15" s="0" t="s">
        <v>113</v>
      </c>
      <c r="R15" s="0" t="n">
        <f aca="false">C15/1000</f>
        <v>0.02665</v>
      </c>
      <c r="S15" s="0" t="s">
        <v>114</v>
      </c>
      <c r="T15" s="38"/>
      <c r="U15" s="38"/>
      <c r="V15" s="38"/>
      <c r="AJ15" s="0" t="s">
        <v>115</v>
      </c>
    </row>
    <row r="16" customFormat="false" ht="13.8" hidden="false" customHeight="false" outlineLevel="0" collapsed="false">
      <c r="A16" s="0" t="n">
        <v>10</v>
      </c>
      <c r="B16" s="0" t="s">
        <v>216</v>
      </c>
      <c r="C16" s="0" t="n">
        <f aca="false">0.29*1</f>
        <v>0.29</v>
      </c>
      <c r="D16" s="0" t="s">
        <v>109</v>
      </c>
      <c r="K16" s="2" t="s">
        <v>43</v>
      </c>
      <c r="L16" s="0" t="s">
        <v>42</v>
      </c>
      <c r="M16" s="0" t="s">
        <v>165</v>
      </c>
      <c r="N16" s="0" t="s">
        <v>27</v>
      </c>
      <c r="T16" s="38"/>
      <c r="U16" s="38"/>
      <c r="V16" s="38"/>
      <c r="AJ16" s="0" t="s">
        <v>115</v>
      </c>
    </row>
    <row r="17" customFormat="false" ht="13.8" hidden="false" customHeight="false" outlineLevel="0" collapsed="false">
      <c r="A17" s="0" t="n">
        <v>11</v>
      </c>
      <c r="B17" s="0" t="s">
        <v>217</v>
      </c>
      <c r="C17" s="0" t="n">
        <f aca="false">4.5*29</f>
        <v>130.5</v>
      </c>
      <c r="D17" s="0" t="s">
        <v>109</v>
      </c>
      <c r="K17" s="2" t="s">
        <v>45</v>
      </c>
      <c r="L17" s="0" t="s">
        <v>44</v>
      </c>
      <c r="M17" s="0" t="s">
        <v>165</v>
      </c>
      <c r="N17" s="0" t="s">
        <v>27</v>
      </c>
      <c r="O17" s="0" t="s">
        <v>112</v>
      </c>
      <c r="P17" s="0" t="n">
        <v>500</v>
      </c>
      <c r="Q17" s="0" t="s">
        <v>113</v>
      </c>
      <c r="R17" s="0" t="n">
        <f aca="false">C17/1000</f>
        <v>0.1305</v>
      </c>
      <c r="S17" s="0" t="s">
        <v>114</v>
      </c>
      <c r="T17" s="38"/>
      <c r="U17" s="38"/>
      <c r="V17" s="38"/>
      <c r="AJ17" s="0" t="s">
        <v>120</v>
      </c>
    </row>
    <row r="18" customFormat="false" ht="13.8" hidden="false" customHeight="false" outlineLevel="0" collapsed="false">
      <c r="A18" s="0" t="n">
        <v>12</v>
      </c>
      <c r="B18" s="0" t="s">
        <v>46</v>
      </c>
      <c r="C18" s="57" t="n">
        <f aca="false">(0.045*0.145*169.8)+(0.045*0.195*95.4)+(0.045*0.245*24.6)+(8*0.021*2.44*1.22)</f>
        <v>2.7163974</v>
      </c>
      <c r="D18" s="0" t="s">
        <v>117</v>
      </c>
      <c r="K18" s="2" t="s">
        <v>47</v>
      </c>
      <c r="L18" s="0" t="s">
        <v>46</v>
      </c>
      <c r="M18" s="0" t="s">
        <v>170</v>
      </c>
      <c r="N18" s="0" t="s">
        <v>31</v>
      </c>
      <c r="O18" s="0" t="s">
        <v>119</v>
      </c>
      <c r="P18" s="0" t="n">
        <v>500</v>
      </c>
      <c r="Q18" s="0" t="s">
        <v>113</v>
      </c>
      <c r="R18" s="0" t="n">
        <f aca="false">640*C18/1000</f>
        <v>1.738494336</v>
      </c>
      <c r="S18" s="0" t="s">
        <v>114</v>
      </c>
      <c r="T18" s="38"/>
      <c r="U18" s="38"/>
      <c r="V18" s="38"/>
      <c r="AJ18" s="0" t="s">
        <v>115</v>
      </c>
    </row>
    <row r="19" customFormat="false" ht="14.25" hidden="false" customHeight="false" outlineLevel="0" collapsed="false">
      <c r="A19" s="0" t="n">
        <v>13</v>
      </c>
      <c r="B19" s="0" t="s">
        <v>143</v>
      </c>
      <c r="C19" s="0" t="n">
        <v>630</v>
      </c>
      <c r="D19" s="0" t="s">
        <v>109</v>
      </c>
      <c r="E19" s="43" t="s">
        <v>218</v>
      </c>
      <c r="K19" s="0" t="s">
        <v>49</v>
      </c>
      <c r="L19" s="0" t="s">
        <v>48</v>
      </c>
      <c r="M19" s="0" t="s">
        <v>181</v>
      </c>
      <c r="N19" s="0" t="s">
        <v>27</v>
      </c>
      <c r="O19" s="0" t="s">
        <v>112</v>
      </c>
      <c r="P19" s="0" t="n">
        <v>380</v>
      </c>
      <c r="Q19" s="0" t="s">
        <v>113</v>
      </c>
      <c r="R19" s="0" t="n">
        <f aca="false">C19/1000</f>
        <v>0.63</v>
      </c>
      <c r="S19" s="0" t="s">
        <v>114</v>
      </c>
      <c r="T19" s="38"/>
      <c r="U19" s="38"/>
      <c r="V19" s="38"/>
      <c r="AJ19" s="0" t="s">
        <v>115</v>
      </c>
    </row>
    <row r="20" customFormat="false" ht="13.8" hidden="false" customHeight="false" outlineLevel="0" collapsed="false">
      <c r="A20" s="0" t="n">
        <v>14</v>
      </c>
      <c r="B20" s="0" t="s">
        <v>219</v>
      </c>
      <c r="C20" s="0" t="n">
        <v>2</v>
      </c>
      <c r="D20" s="0" t="s">
        <v>109</v>
      </c>
      <c r="E20" s="43"/>
      <c r="K20" s="0" t="s">
        <v>51</v>
      </c>
      <c r="L20" s="0" t="s">
        <v>50</v>
      </c>
      <c r="M20" s="0" t="s">
        <v>165</v>
      </c>
      <c r="N20" s="0" t="s">
        <v>27</v>
      </c>
      <c r="T20" s="38"/>
      <c r="U20" s="38"/>
      <c r="V20" s="38"/>
    </row>
    <row r="21" customFormat="false" ht="13.8" hidden="false" customHeight="false" outlineLevel="0" collapsed="false">
      <c r="A21" s="0" t="n">
        <v>15</v>
      </c>
      <c r="B21" s="0" t="s">
        <v>220</v>
      </c>
      <c r="C21" s="0" t="n">
        <f aca="false">25*0.6</f>
        <v>15</v>
      </c>
      <c r="D21" s="0" t="s">
        <v>128</v>
      </c>
      <c r="E21" s="43"/>
      <c r="K21" s="0" t="s">
        <v>53</v>
      </c>
      <c r="L21" s="2" t="s">
        <v>221</v>
      </c>
      <c r="M21" s="0" t="s">
        <v>170</v>
      </c>
      <c r="N21" s="0" t="s">
        <v>27</v>
      </c>
      <c r="T21" s="38"/>
      <c r="U21" s="38"/>
      <c r="V21" s="38"/>
    </row>
    <row r="22" customFormat="false" ht="13.8" hidden="false" customHeight="false" outlineLevel="0" collapsed="false">
      <c r="A22" s="0" t="n">
        <v>16</v>
      </c>
      <c r="B22" s="0" t="s">
        <v>222</v>
      </c>
      <c r="C22" s="0" t="n">
        <f aca="false">23*0.6</f>
        <v>13.8</v>
      </c>
      <c r="D22" s="0" t="s">
        <v>128</v>
      </c>
      <c r="E22" s="43"/>
      <c r="K22" s="0" t="s">
        <v>54</v>
      </c>
      <c r="L22" s="0" t="s">
        <v>223</v>
      </c>
      <c r="M22" s="0" t="s">
        <v>170</v>
      </c>
      <c r="N22" s="0" t="s">
        <v>27</v>
      </c>
      <c r="T22" s="38"/>
      <c r="U22" s="38"/>
      <c r="V22" s="38"/>
    </row>
    <row r="23" customFormat="false" ht="13.8" hidden="false" customHeight="false" outlineLevel="0" collapsed="false">
      <c r="B23" s="0" t="s">
        <v>192</v>
      </c>
      <c r="C23" s="4" t="n">
        <v>7.98</v>
      </c>
      <c r="D23" s="0" t="s">
        <v>124</v>
      </c>
      <c r="F23" s="0" t="s">
        <v>224</v>
      </c>
      <c r="K23" s="2" t="s">
        <v>56</v>
      </c>
      <c r="L23" s="0" t="s">
        <v>55</v>
      </c>
      <c r="M23" s="0" t="s">
        <v>165</v>
      </c>
      <c r="N23" s="0" t="s">
        <v>16</v>
      </c>
      <c r="O23" s="0" t="s">
        <v>112</v>
      </c>
      <c r="P23" s="0" t="n">
        <v>500</v>
      </c>
      <c r="Q23" s="0" t="s">
        <v>113</v>
      </c>
      <c r="S23" s="0" t="s">
        <v>114</v>
      </c>
      <c r="T23" s="38"/>
      <c r="U23" s="38"/>
      <c r="V23" s="38"/>
      <c r="AJ23" s="0" t="s">
        <v>149</v>
      </c>
    </row>
    <row r="24" customFormat="false" ht="13.8" hidden="false" customHeight="false" outlineLevel="0" collapsed="false">
      <c r="B24" s="0" t="s">
        <v>193</v>
      </c>
      <c r="C24" s="4" t="n">
        <f aca="false">0.05*((4*(1.8+1.09))+(2*(2.115+0.985))+(2*(1.26+2.3))+(2*(1.09+1.08)))</f>
        <v>1.461</v>
      </c>
      <c r="D24" s="0" t="s">
        <v>124</v>
      </c>
      <c r="F24" s="0" t="s">
        <v>224</v>
      </c>
      <c r="K24" s="44" t="s">
        <v>59</v>
      </c>
      <c r="L24" s="2" t="s">
        <v>58</v>
      </c>
      <c r="M24" s="0" t="s">
        <v>165</v>
      </c>
      <c r="N24" s="0" t="s">
        <v>16</v>
      </c>
    </row>
    <row r="25" customFormat="false" ht="13.8" hidden="false" customHeight="false" outlineLevel="0" collapsed="false">
      <c r="B25" s="0" t="s">
        <v>194</v>
      </c>
      <c r="C25" s="0" t="n">
        <v>2</v>
      </c>
      <c r="D25" s="0" t="s">
        <v>124</v>
      </c>
      <c r="K25" s="0" t="s">
        <v>63</v>
      </c>
      <c r="L25" s="0" t="s">
        <v>62</v>
      </c>
      <c r="M25" s="0" t="s">
        <v>165</v>
      </c>
      <c r="N25" s="0" t="s">
        <v>16</v>
      </c>
    </row>
    <row r="26" customFormat="false" ht="13.8" hidden="false" customHeight="false" outlineLevel="0" collapsed="false">
      <c r="B26" s="0" t="s">
        <v>195</v>
      </c>
      <c r="C26" s="0" t="n">
        <f aca="false">(12+3)*9</f>
        <v>135</v>
      </c>
      <c r="D26" s="0" t="s">
        <v>109</v>
      </c>
      <c r="K26" s="0" t="s">
        <v>28</v>
      </c>
      <c r="L26" s="0" t="s">
        <v>174</v>
      </c>
      <c r="M26" s="0" t="s">
        <v>165</v>
      </c>
      <c r="N26" s="0" t="s">
        <v>27</v>
      </c>
    </row>
    <row r="27" customFormat="false" ht="13.8" hidden="false" customHeight="false" outlineLevel="0" collapsed="false">
      <c r="O27" s="45" t="s">
        <v>112</v>
      </c>
      <c r="P27" s="45"/>
      <c r="Q27" s="45"/>
      <c r="R27" s="45" t="n">
        <f aca="false">P6*R6+P7*R7+P10*R10+P11*R11+P12*R12+P15*R15+P17*R17+P19*R19+P23*R23</f>
        <v>650.72279</v>
      </c>
      <c r="S27" s="45" t="s">
        <v>158</v>
      </c>
    </row>
    <row r="28" customFormat="false" ht="13.8" hidden="false" customHeight="false" outlineLevel="0" collapsed="false">
      <c r="O28" s="45" t="s">
        <v>119</v>
      </c>
      <c r="P28" s="45"/>
      <c r="Q28" s="45"/>
      <c r="R28" s="45" t="n">
        <f aca="false">P8*R8+P13*R13+P14*R14+P18*R18</f>
        <v>2688.188368</v>
      </c>
      <c r="S28" s="45" t="s">
        <v>158</v>
      </c>
    </row>
  </sheetData>
  <mergeCells count="13">
    <mergeCell ref="E3:N3"/>
    <mergeCell ref="O3:V3"/>
    <mergeCell ref="W3:Z3"/>
    <mergeCell ref="AA3:AJ3"/>
    <mergeCell ref="E4:F4"/>
    <mergeCell ref="H4:I4"/>
    <mergeCell ref="K4:L4"/>
    <mergeCell ref="O4:P4"/>
    <mergeCell ref="T4:U4"/>
    <mergeCell ref="X4:Y4"/>
    <mergeCell ref="AA4:AB4"/>
    <mergeCell ref="AD4:AE4"/>
    <mergeCell ref="AG4:AH4"/>
  </mergeCells>
  <hyperlinks>
    <hyperlink ref="E9" r:id="rId2" display="https://www.gyproc.dk/sites/gypsum.nordic.master/files/gyproc-site/document-files/Environmental-DK/EPD-DK-Gyproc-Normal-Standardgipsplade.pdf"/>
    <hyperlink ref="E19" r:id="rId3" display="https://www.isoleringdanmark.dk/CustomerData/Files/Folders/30-pdf-2/714_epd-papirisolering.pdf"/>
  </hyperlink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4"/>
  <legacyDrawing r:id="rId5"/>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N32"/>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pane xSplit="2" ySplit="7" topLeftCell="C8" activePane="bottomRight" state="frozen"/>
      <selection pane="topLeft" activeCell="A1" activeCellId="0" sqref="A1"/>
      <selection pane="topRight" activeCell="C1" activeCellId="0" sqref="C1"/>
      <selection pane="bottomLeft" activeCell="A8" activeCellId="0" sqref="A8"/>
      <selection pane="bottomRight" activeCell="A1" activeCellId="0" sqref="A1"/>
    </sheetView>
  </sheetViews>
  <sheetFormatPr defaultColWidth="10.54296875" defaultRowHeight="14.25" zeroHeight="false" outlineLevelRow="0" outlineLevelCol="0"/>
  <cols>
    <col collapsed="false" customWidth="true" hidden="false" outlineLevel="0" max="1" min="1" style="0" width="7.54"/>
    <col collapsed="false" customWidth="true" hidden="false" outlineLevel="0" max="2" min="2" style="0" width="26.45"/>
    <col collapsed="false" customWidth="true" hidden="false" outlineLevel="0" max="3" min="3" style="0" width="8.45"/>
    <col collapsed="false" customWidth="true" hidden="false" outlineLevel="0" max="4" min="4" style="0" width="6.18"/>
    <col collapsed="false" customWidth="true" hidden="false" outlineLevel="0" max="5" min="5" style="0" width="11.36"/>
    <col collapsed="false" customWidth="true" hidden="false" outlineLevel="0" max="6" min="6" style="0" width="3.91"/>
    <col collapsed="false" customWidth="true" hidden="false" outlineLevel="0" max="10" min="7" style="0" width="4.73"/>
    <col collapsed="false" customWidth="true" hidden="false" outlineLevel="0" max="11" min="11" style="0" width="56"/>
    <col collapsed="false" customWidth="true" hidden="false" outlineLevel="0" max="12" min="12" style="0" width="14.63"/>
    <col collapsed="false" customWidth="true" hidden="false" outlineLevel="0" max="13" min="13" style="0" width="5.73"/>
    <col collapsed="false" customWidth="true" hidden="false" outlineLevel="0" max="14" min="14" style="0" width="20.37"/>
    <col collapsed="false" customWidth="true" hidden="false" outlineLevel="0" max="15" min="15" style="0" width="7.46"/>
    <col collapsed="false" customWidth="true" hidden="false" outlineLevel="0" max="16" min="16" style="0" width="5.18"/>
    <col collapsed="false" customWidth="true" hidden="false" outlineLevel="0" max="17" min="17" style="0" width="6.64"/>
    <col collapsed="false" customWidth="true" hidden="false" outlineLevel="0" max="19" min="18" style="0" width="5.18"/>
    <col collapsed="false" customWidth="true" hidden="false" outlineLevel="0" max="20" min="20" style="0" width="12.27"/>
    <col collapsed="false" customWidth="true" hidden="false" outlineLevel="0" max="21" min="21" style="0" width="4.54"/>
    <col collapsed="false" customWidth="true" hidden="false" outlineLevel="0" max="22" min="22" style="0" width="5.18"/>
    <col collapsed="false" customWidth="true" hidden="false" outlineLevel="0" max="23" min="23" style="0" width="11.63"/>
    <col collapsed="false" customWidth="true" hidden="false" outlineLevel="0" max="24" min="24" style="0" width="8.45"/>
    <col collapsed="false" customWidth="true" hidden="false" outlineLevel="0" max="25" min="25" style="0" width="17.91"/>
    <col collapsed="false" customWidth="true" hidden="false" outlineLevel="0" max="26" min="26" style="0" width="8.82"/>
    <col collapsed="false" customWidth="true" hidden="false" outlineLevel="0" max="27" min="27" style="0" width="5.18"/>
    <col collapsed="false" customWidth="true" hidden="false" outlineLevel="0" max="28" min="28" style="0" width="12.63"/>
    <col collapsed="false" customWidth="true" hidden="false" outlineLevel="0" max="29" min="29" style="0" width="7.36"/>
    <col collapsed="false" customWidth="true" hidden="false" outlineLevel="0" max="30" min="30" style="0" width="4.73"/>
    <col collapsed="false" customWidth="true" hidden="false" outlineLevel="0" max="31" min="31" style="0" width="12.36"/>
    <col collapsed="false" customWidth="true" hidden="false" outlineLevel="0" max="32" min="32" style="0" width="7.73"/>
    <col collapsed="false" customWidth="true" hidden="false" outlineLevel="0" max="33" min="33" style="0" width="4.73"/>
    <col collapsed="false" customWidth="true" hidden="false" outlineLevel="0" max="34" min="34" style="0" width="9.36"/>
    <col collapsed="false" customWidth="true" hidden="false" outlineLevel="0" max="35" min="35" style="0" width="7.82"/>
    <col collapsed="false" customWidth="true" hidden="false" outlineLevel="0" max="36" min="36" style="0" width="4.73"/>
    <col collapsed="false" customWidth="true" hidden="false" outlineLevel="0" max="37" min="37" style="0" width="21.72"/>
    <col collapsed="false" customWidth="true" hidden="false" outlineLevel="0" max="38" min="38" style="0" width="7.36"/>
    <col collapsed="false" customWidth="true" hidden="false" outlineLevel="0" max="39" min="39" style="0" width="4.73"/>
    <col collapsed="false" customWidth="true" hidden="false" outlineLevel="0" max="40" min="40" style="0" width="14.72"/>
  </cols>
  <sheetData>
    <row r="1" customFormat="false" ht="19.7" hidden="false" customHeight="false" outlineLevel="0" collapsed="false">
      <c r="A1" s="0" t="s">
        <v>84</v>
      </c>
      <c r="B1" s="12"/>
    </row>
    <row r="2" customFormat="false" ht="21" hidden="false" customHeight="false" outlineLevel="0" collapsed="false">
      <c r="B2" s="12" t="s">
        <v>225</v>
      </c>
      <c r="K2" s="0" t="s">
        <v>226</v>
      </c>
    </row>
    <row r="3" customFormat="false" ht="21" hidden="false" customHeight="false" outlineLevel="0" collapsed="false">
      <c r="B3" s="12"/>
    </row>
    <row r="4" customFormat="false" ht="15" hidden="false" customHeight="false" outlineLevel="0" collapsed="false">
      <c r="B4" s="63" t="s">
        <v>227</v>
      </c>
      <c r="C4" s="64" t="s">
        <v>228</v>
      </c>
      <c r="L4" s="43" t="s">
        <v>229</v>
      </c>
    </row>
    <row r="5" customFormat="false" ht="15" hidden="false" customHeight="false" outlineLevel="0" collapsed="false">
      <c r="B5" s="63" t="s">
        <v>230</v>
      </c>
      <c r="C5" s="64" t="s">
        <v>231</v>
      </c>
      <c r="L5" s="0" t="s">
        <v>232</v>
      </c>
    </row>
    <row r="6" customFormat="false" ht="15" hidden="false" customHeight="false" outlineLevel="0" collapsed="false">
      <c r="B6" s="63" t="s">
        <v>233</v>
      </c>
    </row>
    <row r="7" customFormat="false" ht="18" hidden="false" customHeight="false" outlineLevel="0" collapsed="false">
      <c r="E7" s="13" t="s">
        <v>86</v>
      </c>
      <c r="F7" s="13"/>
      <c r="G7" s="13"/>
      <c r="H7" s="13"/>
      <c r="I7" s="13"/>
      <c r="J7" s="13"/>
      <c r="K7" s="13"/>
      <c r="L7" s="13"/>
      <c r="M7" s="13"/>
      <c r="N7" s="14" t="s">
        <v>87</v>
      </c>
      <c r="O7" s="14"/>
      <c r="P7" s="14"/>
      <c r="Q7" s="14"/>
      <c r="R7" s="14"/>
      <c r="S7" s="14"/>
      <c r="T7" s="14"/>
      <c r="U7" s="14"/>
      <c r="V7" s="14"/>
      <c r="W7" s="65"/>
      <c r="X7" s="15" t="s">
        <v>88</v>
      </c>
      <c r="Y7" s="15"/>
      <c r="Z7" s="15"/>
      <c r="AA7" s="15"/>
      <c r="AB7" s="16" t="s">
        <v>89</v>
      </c>
      <c r="AC7" s="16"/>
      <c r="AD7" s="16"/>
      <c r="AE7" s="16"/>
      <c r="AF7" s="16"/>
      <c r="AG7" s="16"/>
      <c r="AH7" s="16"/>
      <c r="AI7" s="16"/>
      <c r="AJ7" s="16"/>
      <c r="AK7" s="16"/>
      <c r="AL7" s="17"/>
      <c r="AM7" s="17"/>
    </row>
    <row r="8" customFormat="false" ht="28.5" hidden="false" customHeight="true" outlineLevel="0" collapsed="false">
      <c r="A8" s="9" t="s">
        <v>90</v>
      </c>
      <c r="B8" s="9" t="s">
        <v>91</v>
      </c>
      <c r="C8" s="9" t="s">
        <v>92</v>
      </c>
      <c r="D8" s="18" t="s">
        <v>93</v>
      </c>
      <c r="E8" s="19" t="s">
        <v>94</v>
      </c>
      <c r="F8" s="19"/>
      <c r="G8" s="20" t="s">
        <v>93</v>
      </c>
      <c r="H8" s="19" t="s">
        <v>95</v>
      </c>
      <c r="I8" s="19"/>
      <c r="J8" s="20" t="s">
        <v>93</v>
      </c>
      <c r="K8" s="21" t="s">
        <v>96</v>
      </c>
      <c r="L8" s="21"/>
      <c r="M8" s="20" t="s">
        <v>93</v>
      </c>
      <c r="N8" s="22" t="s">
        <v>97</v>
      </c>
      <c r="O8" s="22"/>
      <c r="P8" s="23" t="s">
        <v>93</v>
      </c>
      <c r="Q8" s="23"/>
      <c r="R8" s="23" t="s">
        <v>93</v>
      </c>
      <c r="S8" s="23"/>
      <c r="T8" s="24" t="s">
        <v>98</v>
      </c>
      <c r="U8" s="24"/>
      <c r="V8" s="23" t="s">
        <v>93</v>
      </c>
      <c r="W8" s="66" t="s">
        <v>234</v>
      </c>
      <c r="X8" s="25" t="s">
        <v>99</v>
      </c>
      <c r="Y8" s="26" t="s">
        <v>100</v>
      </c>
      <c r="Z8" s="26"/>
      <c r="AA8" s="27" t="s">
        <v>93</v>
      </c>
      <c r="AB8" s="28" t="s">
        <v>101</v>
      </c>
      <c r="AC8" s="28"/>
      <c r="AD8" s="29" t="s">
        <v>93</v>
      </c>
      <c r="AE8" s="28" t="s">
        <v>102</v>
      </c>
      <c r="AF8" s="28"/>
      <c r="AG8" s="29" t="s">
        <v>93</v>
      </c>
      <c r="AH8" s="28" t="s">
        <v>103</v>
      </c>
      <c r="AI8" s="28"/>
      <c r="AJ8" s="29" t="s">
        <v>93</v>
      </c>
      <c r="AK8" s="30" t="s">
        <v>104</v>
      </c>
      <c r="AL8" s="31"/>
      <c r="AM8" s="23"/>
      <c r="AN8" s="9"/>
    </row>
    <row r="9" s="2" customFormat="true" ht="15" hidden="false" customHeight="true" outlineLevel="0" collapsed="false">
      <c r="B9" s="2" t="s">
        <v>235</v>
      </c>
      <c r="C9" s="2" t="n">
        <v>60</v>
      </c>
      <c r="D9" s="2" t="s">
        <v>236</v>
      </c>
      <c r="S9" s="2" t="s">
        <v>158</v>
      </c>
      <c r="T9" s="2" t="s">
        <v>237</v>
      </c>
    </row>
    <row r="10" s="2" customFormat="true" ht="15" hidden="false" customHeight="true" outlineLevel="0" collapsed="false">
      <c r="C10" s="67" t="n">
        <f aca="false">0.942*1.59</f>
        <v>1.49778</v>
      </c>
      <c r="D10" s="2" t="s">
        <v>238</v>
      </c>
      <c r="K10" s="2" t="s">
        <v>239</v>
      </c>
      <c r="M10" s="2" t="s">
        <v>124</v>
      </c>
      <c r="N10" s="2" t="s">
        <v>240</v>
      </c>
      <c r="O10" s="2" t="n">
        <v>15000</v>
      </c>
      <c r="P10" s="2" t="s">
        <v>113</v>
      </c>
      <c r="Q10" s="2" t="n">
        <f aca="false">C11/1000</f>
        <v>0.0185</v>
      </c>
      <c r="R10" s="2" t="s">
        <v>114</v>
      </c>
      <c r="S10" s="2" t="n">
        <f aca="false">O10*Q10</f>
        <v>277.5</v>
      </c>
    </row>
    <row r="11" s="2" customFormat="true" ht="15" hidden="false" customHeight="true" outlineLevel="0" collapsed="false">
      <c r="C11" s="67" t="n">
        <v>18.5</v>
      </c>
      <c r="D11" s="2" t="s">
        <v>109</v>
      </c>
      <c r="N11" s="2" t="s">
        <v>112</v>
      </c>
      <c r="O11" s="2" t="n">
        <v>770</v>
      </c>
      <c r="P11" s="2" t="s">
        <v>113</v>
      </c>
      <c r="Q11" s="2" t="n">
        <f aca="false">C11/1000</f>
        <v>0.0185</v>
      </c>
      <c r="R11" s="2" t="s">
        <v>114</v>
      </c>
      <c r="S11" s="2" t="n">
        <f aca="false">O11*Q11</f>
        <v>14.245</v>
      </c>
    </row>
    <row r="12" customFormat="false" ht="14.25" hidden="false" customHeight="false" outlineLevel="0" collapsed="false">
      <c r="A12" s="2"/>
      <c r="B12" s="2" t="s">
        <v>241</v>
      </c>
      <c r="C12" s="68" t="n">
        <v>1.5</v>
      </c>
      <c r="D12" s="69" t="s">
        <v>238</v>
      </c>
      <c r="E12" s="69"/>
      <c r="F12" s="3"/>
      <c r="G12" s="3"/>
      <c r="H12" s="3"/>
      <c r="I12" s="3"/>
      <c r="J12" s="3"/>
      <c r="K12" s="69" t="s">
        <v>242</v>
      </c>
      <c r="L12" s="2"/>
      <c r="M12" s="69" t="s">
        <v>124</v>
      </c>
      <c r="N12" s="2"/>
      <c r="O12" s="2"/>
      <c r="P12" s="2"/>
      <c r="Q12" s="2"/>
      <c r="R12" s="2"/>
      <c r="S12" s="2"/>
      <c r="T12" s="2"/>
      <c r="U12" s="2"/>
      <c r="V12" s="2"/>
      <c r="W12" s="2"/>
      <c r="X12" s="2"/>
      <c r="Y12" s="2"/>
      <c r="Z12" s="2"/>
      <c r="AA12" s="2"/>
      <c r="AB12" s="2"/>
      <c r="AC12" s="2"/>
      <c r="AD12" s="2"/>
      <c r="AE12" s="2"/>
      <c r="AF12" s="2"/>
      <c r="AG12" s="2"/>
      <c r="AH12" s="2"/>
      <c r="AI12" s="2"/>
      <c r="AJ12" s="2"/>
      <c r="AK12" s="2"/>
      <c r="AL12" s="2"/>
    </row>
    <row r="13" customFormat="false" ht="14.25" hidden="false" customHeight="false" outlineLevel="0" collapsed="false">
      <c r="A13" s="2"/>
      <c r="B13" s="2" t="s">
        <v>243</v>
      </c>
      <c r="C13" s="68"/>
      <c r="D13" s="69"/>
      <c r="E13" s="69"/>
      <c r="F13" s="3"/>
      <c r="G13" s="3"/>
      <c r="H13" s="3"/>
      <c r="I13" s="3"/>
      <c r="J13" s="3"/>
      <c r="K13" s="69"/>
      <c r="L13" s="2"/>
      <c r="M13" s="69"/>
      <c r="N13" s="2"/>
      <c r="O13" s="2"/>
      <c r="P13" s="2"/>
      <c r="Q13" s="2"/>
      <c r="R13" s="2"/>
      <c r="S13" s="2"/>
      <c r="T13" s="2"/>
      <c r="U13" s="2"/>
      <c r="V13" s="2"/>
      <c r="W13" s="2"/>
      <c r="X13" s="2"/>
      <c r="Y13" s="2"/>
      <c r="Z13" s="2"/>
      <c r="AA13" s="2"/>
      <c r="AB13" s="2"/>
      <c r="AC13" s="2"/>
      <c r="AD13" s="2"/>
      <c r="AE13" s="2"/>
      <c r="AF13" s="2"/>
      <c r="AG13" s="2"/>
      <c r="AH13" s="2"/>
      <c r="AI13" s="2"/>
      <c r="AJ13" s="2"/>
      <c r="AK13" s="2"/>
      <c r="AL13" s="2"/>
    </row>
    <row r="14" customFormat="false" ht="14.25" hidden="false" customHeight="true" outlineLevel="0" collapsed="false">
      <c r="A14" s="2"/>
      <c r="B14" s="2" t="s">
        <v>244</v>
      </c>
      <c r="C14" s="68" t="n">
        <v>0.5</v>
      </c>
      <c r="D14" s="70" t="s">
        <v>245</v>
      </c>
      <c r="E14" s="3"/>
      <c r="F14" s="3"/>
      <c r="G14" s="3"/>
      <c r="H14" s="3"/>
      <c r="I14" s="3"/>
      <c r="J14" s="3"/>
      <c r="K14" s="69" t="s">
        <v>246</v>
      </c>
      <c r="L14" s="2"/>
      <c r="M14" s="69" t="s">
        <v>245</v>
      </c>
      <c r="N14" s="2"/>
      <c r="O14" s="2"/>
      <c r="P14" s="2"/>
      <c r="Q14" s="2"/>
      <c r="R14" s="2"/>
      <c r="S14" s="2"/>
      <c r="T14" s="2"/>
      <c r="U14" s="2"/>
      <c r="V14" s="2"/>
      <c r="W14" s="2"/>
      <c r="X14" s="2"/>
      <c r="Y14" s="2"/>
      <c r="Z14" s="2"/>
      <c r="AA14" s="2"/>
      <c r="AB14" s="2"/>
      <c r="AC14" s="2"/>
      <c r="AD14" s="2"/>
      <c r="AE14" s="2"/>
      <c r="AF14" s="2"/>
      <c r="AG14" s="2"/>
      <c r="AH14" s="2"/>
      <c r="AI14" s="2"/>
      <c r="AJ14" s="2"/>
      <c r="AK14" s="2"/>
      <c r="AL14" s="2"/>
    </row>
    <row r="15" customFormat="false" ht="14.25" hidden="false" customHeight="false" outlineLevel="0" collapsed="false">
      <c r="A15" s="37"/>
      <c r="B15" s="2" t="s">
        <v>247</v>
      </c>
      <c r="C15" s="68"/>
      <c r="D15" s="70"/>
      <c r="E15" s="3"/>
      <c r="F15" s="3"/>
      <c r="G15" s="3"/>
      <c r="H15" s="3"/>
      <c r="I15" s="3"/>
      <c r="J15" s="3"/>
      <c r="K15" s="69"/>
      <c r="L15" s="2"/>
      <c r="M15" s="69"/>
      <c r="N15" s="2"/>
      <c r="O15" s="2"/>
      <c r="P15" s="2"/>
      <c r="Q15" s="2"/>
      <c r="R15" s="2"/>
      <c r="S15" s="2"/>
      <c r="T15" s="2"/>
      <c r="U15" s="2"/>
      <c r="V15" s="2"/>
      <c r="W15" s="2"/>
      <c r="X15" s="2"/>
      <c r="Y15" s="2"/>
      <c r="Z15" s="2"/>
      <c r="AA15" s="2"/>
      <c r="AB15" s="2"/>
      <c r="AC15" s="2"/>
      <c r="AD15" s="2"/>
      <c r="AE15" s="2"/>
      <c r="AF15" s="2"/>
      <c r="AG15" s="2"/>
      <c r="AH15" s="2"/>
      <c r="AI15" s="2"/>
      <c r="AJ15" s="2"/>
      <c r="AK15" s="2"/>
      <c r="AL15" s="2"/>
    </row>
    <row r="16" customFormat="false" ht="14.25" hidden="false" customHeight="false" outlineLevel="0" collapsed="false">
      <c r="A16" s="2"/>
      <c r="B16" s="2" t="s">
        <v>248</v>
      </c>
      <c r="C16" s="68"/>
      <c r="D16" s="70"/>
      <c r="E16" s="3"/>
      <c r="F16" s="3"/>
      <c r="G16" s="3"/>
      <c r="H16" s="3"/>
      <c r="I16" s="3"/>
      <c r="J16" s="3"/>
      <c r="K16" s="69"/>
      <c r="L16" s="2"/>
      <c r="M16" s="69"/>
      <c r="N16" s="2"/>
      <c r="O16" s="2"/>
      <c r="P16" s="2"/>
      <c r="Q16" s="2"/>
      <c r="R16" s="2"/>
      <c r="S16" s="2"/>
      <c r="T16" s="2"/>
      <c r="U16" s="2"/>
      <c r="V16" s="2"/>
      <c r="W16" s="2"/>
      <c r="X16" s="2"/>
      <c r="Y16" s="2"/>
      <c r="Z16" s="2"/>
      <c r="AA16" s="2"/>
      <c r="AB16" s="2"/>
      <c r="AC16" s="2"/>
      <c r="AD16" s="2"/>
      <c r="AE16" s="2"/>
      <c r="AF16" s="2"/>
      <c r="AG16" s="2"/>
      <c r="AH16" s="2"/>
      <c r="AI16" s="2"/>
      <c r="AJ16" s="2"/>
      <c r="AK16" s="2"/>
      <c r="AL16" s="2"/>
    </row>
    <row r="17" customFormat="false" ht="14.25" hidden="false" customHeight="false" outlineLevel="0" collapsed="false">
      <c r="A17" s="2"/>
      <c r="B17" s="2"/>
      <c r="C17" s="2"/>
      <c r="D17" s="2"/>
      <c r="E17" s="2"/>
      <c r="F17" s="2"/>
      <c r="G17" s="2"/>
      <c r="H17" s="2"/>
      <c r="I17" s="2"/>
      <c r="J17" s="2"/>
      <c r="K17" s="2"/>
      <c r="L17" s="2"/>
      <c r="M17" s="2"/>
      <c r="N17" s="2"/>
      <c r="O17" s="2"/>
      <c r="P17" s="2"/>
      <c r="Q17" s="2"/>
      <c r="R17" s="2"/>
      <c r="S17" s="2"/>
      <c r="T17" s="2"/>
      <c r="U17" s="2"/>
      <c r="V17" s="2"/>
      <c r="W17" s="2"/>
      <c r="X17" s="2"/>
      <c r="Y17" s="2"/>
      <c r="Z17" s="2"/>
      <c r="AA17" s="2"/>
      <c r="AB17" s="2"/>
      <c r="AC17" s="2"/>
      <c r="AD17" s="2"/>
      <c r="AE17" s="2"/>
      <c r="AF17" s="2"/>
      <c r="AG17" s="2"/>
      <c r="AH17" s="2"/>
      <c r="AI17" s="2"/>
      <c r="AJ17" s="2"/>
      <c r="AK17" s="2"/>
      <c r="AL17" s="2"/>
    </row>
    <row r="18" customFormat="false" ht="14.25" hidden="false" customHeight="false" outlineLevel="0" collapsed="false">
      <c r="A18" s="2"/>
      <c r="B18" s="2"/>
      <c r="C18" s="2"/>
      <c r="D18" s="2"/>
      <c r="E18" s="2"/>
      <c r="F18" s="2"/>
      <c r="G18" s="2"/>
      <c r="H18" s="2"/>
      <c r="I18" s="2"/>
      <c r="J18" s="2"/>
      <c r="K18" s="2"/>
      <c r="L18" s="2"/>
      <c r="M18" s="2"/>
      <c r="N18" s="2"/>
      <c r="O18" s="2"/>
      <c r="P18" s="2"/>
      <c r="Q18" s="2"/>
      <c r="R18" s="2"/>
      <c r="S18" s="2"/>
      <c r="T18" s="2"/>
      <c r="U18" s="2"/>
      <c r="V18" s="2"/>
      <c r="W18" s="2"/>
      <c r="X18" s="2"/>
      <c r="Y18" s="2"/>
      <c r="Z18" s="2"/>
      <c r="AA18" s="2"/>
      <c r="AB18" s="2"/>
      <c r="AC18" s="2"/>
      <c r="AD18" s="2"/>
      <c r="AE18" s="2"/>
      <c r="AF18" s="2"/>
      <c r="AG18" s="2"/>
      <c r="AH18" s="2"/>
      <c r="AI18" s="2"/>
      <c r="AJ18" s="2"/>
      <c r="AK18" s="2"/>
      <c r="AL18" s="2"/>
    </row>
    <row r="19" customFormat="false" ht="14.25" hidden="false" customHeight="false" outlineLevel="0" collapsed="false">
      <c r="A19" s="2"/>
      <c r="B19" s="2" t="s">
        <v>230</v>
      </c>
      <c r="C19" s="2" t="n">
        <v>26.5</v>
      </c>
      <c r="D19" s="2" t="s">
        <v>109</v>
      </c>
      <c r="E19" s="2"/>
      <c r="F19" s="2"/>
      <c r="G19" s="2"/>
      <c r="H19" s="2"/>
      <c r="I19" s="2"/>
      <c r="J19" s="2"/>
      <c r="K19" s="2" t="s">
        <v>249</v>
      </c>
      <c r="L19" s="2"/>
      <c r="M19" s="2" t="s">
        <v>109</v>
      </c>
      <c r="N19" s="2" t="s">
        <v>240</v>
      </c>
      <c r="O19" s="2" t="n">
        <v>22500</v>
      </c>
      <c r="P19" s="2" t="s">
        <v>113</v>
      </c>
      <c r="Q19" s="2" t="n">
        <f aca="false">C19/1000</f>
        <v>0.0265</v>
      </c>
      <c r="R19" s="2" t="s">
        <v>114</v>
      </c>
      <c r="S19" s="2" t="n">
        <f aca="false">O19*Q19</f>
        <v>596.25</v>
      </c>
      <c r="T19" s="2"/>
      <c r="U19" s="2"/>
      <c r="V19" s="2"/>
      <c r="W19" s="2"/>
      <c r="X19" s="2"/>
      <c r="Y19" s="2"/>
      <c r="Z19" s="2"/>
      <c r="AA19" s="2"/>
      <c r="AB19" s="2"/>
      <c r="AC19" s="2"/>
      <c r="AD19" s="2"/>
      <c r="AE19" s="2"/>
      <c r="AF19" s="2"/>
      <c r="AG19" s="2"/>
      <c r="AH19" s="2"/>
      <c r="AI19" s="2"/>
      <c r="AJ19" s="2"/>
      <c r="AK19" s="2"/>
      <c r="AL19" s="2"/>
    </row>
    <row r="20" customFormat="false" ht="14.25" hidden="false" customHeight="false" outlineLevel="0" collapsed="false">
      <c r="A20" s="2"/>
      <c r="B20" s="2"/>
      <c r="C20" s="2"/>
      <c r="D20" s="2"/>
      <c r="E20" s="2"/>
      <c r="F20" s="2"/>
      <c r="G20" s="2"/>
      <c r="H20" s="2"/>
      <c r="I20" s="2"/>
      <c r="J20" s="2"/>
      <c r="K20" s="2"/>
      <c r="L20" s="2"/>
      <c r="M20" s="2"/>
      <c r="N20" s="2"/>
      <c r="O20" s="2"/>
      <c r="P20" s="2"/>
      <c r="Q20" s="2"/>
      <c r="R20" s="2"/>
      <c r="S20" s="2"/>
      <c r="T20" s="2"/>
      <c r="U20" s="2"/>
      <c r="V20" s="2"/>
      <c r="W20" s="2"/>
      <c r="X20" s="2"/>
      <c r="Y20" s="2"/>
      <c r="Z20" s="2"/>
      <c r="AA20" s="2"/>
      <c r="AB20" s="2"/>
      <c r="AC20" s="2"/>
      <c r="AD20" s="2"/>
      <c r="AE20" s="2"/>
      <c r="AF20" s="2"/>
      <c r="AG20" s="2"/>
      <c r="AH20" s="2"/>
      <c r="AI20" s="2"/>
      <c r="AJ20" s="2"/>
      <c r="AK20" s="2"/>
      <c r="AL20" s="2"/>
    </row>
    <row r="21" customFormat="false" ht="14.25" hidden="false" customHeight="false" outlineLevel="0" collapsed="false">
      <c r="A21" s="37"/>
      <c r="B21" s="0" t="s">
        <v>233</v>
      </c>
      <c r="C21" s="0" t="n">
        <v>1</v>
      </c>
      <c r="D21" s="0" t="s">
        <v>250</v>
      </c>
      <c r="K21" s="0" t="s">
        <v>251</v>
      </c>
      <c r="L21" s="2"/>
      <c r="M21" s="2" t="s">
        <v>245</v>
      </c>
      <c r="N21" s="0" t="s">
        <v>112</v>
      </c>
      <c r="O21" s="2" t="n">
        <v>500</v>
      </c>
      <c r="P21" s="2" t="s">
        <v>113</v>
      </c>
      <c r="Q21" s="2" t="n">
        <f aca="false">5/1000</f>
        <v>0.005</v>
      </c>
      <c r="R21" s="2" t="s">
        <v>114</v>
      </c>
      <c r="S21" s="2" t="n">
        <f aca="false">O21*Q21</f>
        <v>2.5</v>
      </c>
      <c r="T21" s="2"/>
      <c r="U21" s="2"/>
      <c r="V21" s="2"/>
      <c r="W21" s="2"/>
      <c r="X21" s="2"/>
      <c r="Y21" s="2"/>
      <c r="Z21" s="2"/>
      <c r="AA21" s="2"/>
      <c r="AB21" s="2"/>
      <c r="AC21" s="2"/>
      <c r="AD21" s="2"/>
      <c r="AE21" s="2"/>
      <c r="AF21" s="2"/>
      <c r="AG21" s="2"/>
      <c r="AH21" s="2"/>
      <c r="AI21" s="2"/>
      <c r="AJ21" s="2"/>
      <c r="AK21" s="2"/>
      <c r="AL21" s="2"/>
    </row>
    <row r="22" customFormat="false" ht="14.25" hidden="false" customHeight="false" outlineLevel="0" collapsed="false">
      <c r="A22" s="2"/>
      <c r="B22" s="2"/>
      <c r="C22" s="2"/>
      <c r="D22" s="2"/>
      <c r="E22" s="2"/>
      <c r="F22" s="2"/>
      <c r="G22" s="2"/>
      <c r="H22" s="2"/>
      <c r="I22" s="2"/>
      <c r="J22" s="2"/>
      <c r="K22" s="2"/>
      <c r="L22" s="2"/>
      <c r="M22" s="2"/>
      <c r="N22" s="2"/>
      <c r="O22" s="2"/>
      <c r="P22" s="2"/>
      <c r="Q22" s="2"/>
      <c r="R22" s="2"/>
      <c r="S22" s="2"/>
      <c r="T22" s="2"/>
      <c r="U22" s="2"/>
      <c r="V22" s="2"/>
      <c r="W22" s="2"/>
      <c r="X22" s="2"/>
      <c r="Y22" s="2"/>
      <c r="Z22" s="2"/>
      <c r="AA22" s="2"/>
      <c r="AB22" s="2"/>
      <c r="AC22" s="2"/>
      <c r="AD22" s="2"/>
      <c r="AE22" s="2"/>
      <c r="AF22" s="2"/>
      <c r="AG22" s="2"/>
      <c r="AH22" s="2"/>
      <c r="AI22" s="2"/>
      <c r="AJ22" s="2"/>
      <c r="AK22" s="2"/>
      <c r="AL22" s="2"/>
    </row>
    <row r="23" customFormat="false" ht="14.25" hidden="false" customHeight="false" outlineLevel="0" collapsed="false">
      <c r="A23" s="2"/>
      <c r="B23" s="2"/>
      <c r="C23" s="2"/>
      <c r="D23" s="2"/>
      <c r="E23" s="2"/>
      <c r="F23" s="2"/>
      <c r="G23" s="2"/>
      <c r="H23" s="2"/>
      <c r="I23" s="2"/>
      <c r="J23" s="2"/>
      <c r="K23" s="2"/>
      <c r="L23" s="2"/>
      <c r="M23" s="2"/>
      <c r="N23" s="2"/>
      <c r="O23" s="2"/>
      <c r="P23" s="2"/>
      <c r="Q23" s="2"/>
      <c r="R23" s="2"/>
      <c r="S23" s="2"/>
      <c r="T23" s="2"/>
      <c r="U23" s="2"/>
      <c r="V23" s="2"/>
      <c r="W23" s="2"/>
      <c r="X23" s="2"/>
      <c r="Y23" s="2"/>
      <c r="Z23" s="2"/>
      <c r="AA23" s="2"/>
      <c r="AB23" s="2"/>
      <c r="AC23" s="2"/>
      <c r="AD23" s="2"/>
      <c r="AE23" s="2"/>
      <c r="AF23" s="2"/>
      <c r="AG23" s="2"/>
      <c r="AH23" s="2"/>
      <c r="AI23" s="2"/>
      <c r="AJ23" s="2"/>
      <c r="AK23" s="2"/>
      <c r="AL23" s="2"/>
    </row>
    <row r="24" customFormat="false" ht="14.25" hidden="false" customHeight="false" outlineLevel="0" collapsed="false">
      <c r="A24" s="2"/>
      <c r="B24" s="2"/>
      <c r="C24" s="2"/>
      <c r="D24" s="2"/>
      <c r="E24" s="2"/>
      <c r="F24" s="2"/>
      <c r="G24" s="2"/>
      <c r="H24" s="2"/>
      <c r="I24" s="2"/>
      <c r="J24" s="2"/>
      <c r="K24" s="2"/>
      <c r="L24" s="2"/>
      <c r="M24" s="2"/>
      <c r="N24" s="2"/>
      <c r="O24" s="2"/>
      <c r="P24" s="2"/>
      <c r="Q24" s="2"/>
      <c r="R24" s="2"/>
      <c r="S24" s="2"/>
      <c r="T24" s="2"/>
      <c r="U24" s="2"/>
      <c r="V24" s="2"/>
      <c r="W24" s="2"/>
      <c r="X24" s="2"/>
      <c r="Y24" s="2"/>
      <c r="Z24" s="2"/>
      <c r="AA24" s="2"/>
      <c r="AB24" s="2"/>
      <c r="AC24" s="2"/>
      <c r="AD24" s="2"/>
      <c r="AE24" s="2"/>
      <c r="AF24" s="2"/>
      <c r="AG24" s="2"/>
      <c r="AH24" s="2"/>
      <c r="AI24" s="2"/>
      <c r="AJ24" s="2"/>
      <c r="AK24" s="2"/>
      <c r="AL24" s="2"/>
    </row>
    <row r="25" customFormat="false" ht="14.25" hidden="false" customHeight="false" outlineLevel="0" collapsed="false">
      <c r="A25" s="2"/>
      <c r="B25" s="2"/>
      <c r="C25" s="2"/>
      <c r="D25" s="2"/>
      <c r="E25" s="2"/>
      <c r="F25" s="2"/>
      <c r="G25" s="2"/>
      <c r="H25" s="2"/>
      <c r="I25" s="2"/>
      <c r="J25" s="2"/>
      <c r="K25" s="2"/>
      <c r="L25" s="2"/>
      <c r="M25" s="2"/>
      <c r="N25" s="2"/>
      <c r="O25" s="2"/>
      <c r="P25" s="2"/>
      <c r="Q25" s="2"/>
      <c r="R25" s="2"/>
      <c r="S25" s="2"/>
      <c r="T25" s="2"/>
      <c r="U25" s="2"/>
      <c r="V25" s="2"/>
      <c r="W25" s="2"/>
      <c r="X25" s="2"/>
      <c r="Y25" s="2"/>
      <c r="Z25" s="2"/>
      <c r="AA25" s="2"/>
      <c r="AB25" s="2"/>
      <c r="AC25" s="2"/>
      <c r="AD25" s="2"/>
      <c r="AE25" s="2"/>
      <c r="AF25" s="2"/>
      <c r="AG25" s="2"/>
      <c r="AH25" s="2"/>
      <c r="AI25" s="2"/>
      <c r="AJ25" s="2"/>
      <c r="AK25" s="2"/>
      <c r="AL25" s="2"/>
    </row>
    <row r="26" customFormat="false" ht="14.25" hidden="false" customHeight="false" outlineLevel="0" collapsed="false">
      <c r="A26" s="2"/>
      <c r="B26" s="2"/>
      <c r="C26" s="2"/>
      <c r="D26" s="2"/>
      <c r="E26" s="2"/>
      <c r="F26" s="2"/>
      <c r="G26" s="2"/>
      <c r="H26" s="2"/>
      <c r="I26" s="2"/>
      <c r="J26" s="2"/>
      <c r="K26" s="2"/>
      <c r="L26" s="2"/>
      <c r="M26" s="2"/>
      <c r="N26" s="2"/>
      <c r="O26" s="2"/>
      <c r="P26" s="2"/>
      <c r="Q26" s="2"/>
      <c r="R26" s="2"/>
      <c r="S26" s="2"/>
      <c r="T26" s="2"/>
      <c r="U26" s="2"/>
      <c r="V26" s="2"/>
      <c r="W26" s="2"/>
      <c r="X26" s="2"/>
      <c r="Y26" s="2"/>
      <c r="Z26" s="2"/>
      <c r="AA26" s="2"/>
      <c r="AB26" s="2"/>
      <c r="AC26" s="2"/>
      <c r="AD26" s="2"/>
      <c r="AE26" s="2"/>
      <c r="AF26" s="2"/>
      <c r="AG26" s="2"/>
      <c r="AH26" s="2"/>
      <c r="AI26" s="2"/>
      <c r="AJ26" s="2"/>
      <c r="AK26" s="2"/>
      <c r="AL26" s="2"/>
    </row>
    <row r="27" customFormat="false" ht="14.25" hidden="false" customHeight="false" outlineLevel="0" collapsed="false">
      <c r="A27" s="2"/>
      <c r="B27" s="2" t="s">
        <v>252</v>
      </c>
      <c r="C27" s="2" t="n">
        <v>2</v>
      </c>
      <c r="D27" s="2" t="s">
        <v>245</v>
      </c>
      <c r="E27" s="2"/>
      <c r="F27" s="2"/>
      <c r="G27" s="2"/>
      <c r="H27" s="2"/>
      <c r="I27" s="2"/>
      <c r="J27" s="2"/>
      <c r="K27" s="2"/>
      <c r="L27" s="2"/>
      <c r="M27" s="2"/>
      <c r="N27" s="2"/>
      <c r="O27" s="2"/>
      <c r="P27" s="2"/>
      <c r="Q27" s="2"/>
      <c r="R27" s="2"/>
      <c r="S27" s="2"/>
      <c r="T27" s="2"/>
      <c r="U27" s="2"/>
      <c r="V27" s="2"/>
      <c r="W27" s="2"/>
      <c r="X27" s="2"/>
      <c r="Y27" s="2"/>
      <c r="Z27" s="2"/>
      <c r="AA27" s="2"/>
      <c r="AB27" s="2"/>
      <c r="AC27" s="2"/>
      <c r="AD27" s="2"/>
      <c r="AE27" s="2"/>
      <c r="AF27" s="2"/>
      <c r="AG27" s="2"/>
      <c r="AH27" s="2"/>
      <c r="AI27" s="2"/>
      <c r="AJ27" s="2"/>
      <c r="AK27" s="2"/>
      <c r="AL27" s="2"/>
    </row>
    <row r="28" customFormat="false" ht="14.25" hidden="false" customHeight="false" outlineLevel="0" collapsed="false">
      <c r="A28" s="2"/>
      <c r="B28" s="2" t="s">
        <v>253</v>
      </c>
      <c r="C28" s="2" t="n">
        <v>2</v>
      </c>
      <c r="D28" s="2" t="s">
        <v>245</v>
      </c>
      <c r="E28" s="2"/>
      <c r="F28" s="2"/>
      <c r="G28" s="2"/>
      <c r="H28" s="2"/>
      <c r="I28" s="2"/>
      <c r="J28" s="2"/>
      <c r="K28" s="2"/>
      <c r="L28" s="2"/>
      <c r="M28" s="2"/>
      <c r="N28" s="2"/>
      <c r="O28" s="2"/>
      <c r="P28" s="2"/>
      <c r="Q28" s="2"/>
      <c r="R28" s="2"/>
      <c r="S28" s="2"/>
      <c r="T28" s="2"/>
      <c r="U28" s="2"/>
      <c r="V28" s="2"/>
      <c r="W28" s="2"/>
      <c r="X28" s="2"/>
      <c r="Y28" s="2"/>
      <c r="Z28" s="2"/>
      <c r="AA28" s="2"/>
      <c r="AB28" s="2"/>
      <c r="AC28" s="2"/>
      <c r="AD28" s="2"/>
      <c r="AE28" s="2"/>
      <c r="AF28" s="2"/>
      <c r="AG28" s="2"/>
      <c r="AH28" s="2"/>
      <c r="AI28" s="2"/>
      <c r="AJ28" s="2"/>
      <c r="AK28" s="2"/>
      <c r="AL28" s="2"/>
    </row>
    <row r="29" customFormat="false" ht="14.25" hidden="false" customHeight="false" outlineLevel="0" collapsed="false">
      <c r="A29" s="2"/>
      <c r="B29" s="2"/>
      <c r="C29" s="2"/>
      <c r="D29" s="2"/>
      <c r="E29" s="2"/>
      <c r="F29" s="2"/>
      <c r="G29" s="2"/>
      <c r="H29" s="2"/>
      <c r="I29" s="2"/>
      <c r="J29" s="2"/>
      <c r="K29" s="2"/>
      <c r="L29" s="2"/>
      <c r="M29" s="2"/>
      <c r="N29" s="2"/>
      <c r="O29" s="2"/>
      <c r="P29" s="2"/>
      <c r="Q29" s="2"/>
      <c r="R29" s="2"/>
      <c r="S29" s="2"/>
      <c r="T29" s="2"/>
      <c r="U29" s="2"/>
      <c r="V29" s="2"/>
      <c r="W29" s="2"/>
      <c r="X29" s="2"/>
      <c r="Y29" s="2"/>
      <c r="Z29" s="2"/>
      <c r="AA29" s="2"/>
      <c r="AB29" s="2"/>
      <c r="AC29" s="2"/>
      <c r="AD29" s="2"/>
      <c r="AE29" s="2"/>
      <c r="AF29" s="2"/>
      <c r="AG29" s="2"/>
      <c r="AH29" s="2"/>
      <c r="AI29" s="2"/>
      <c r="AJ29" s="2"/>
      <c r="AK29" s="2"/>
      <c r="AL29" s="2"/>
    </row>
    <row r="30" customFormat="false" ht="14.25" hidden="false" customHeight="false" outlineLevel="0" collapsed="false">
      <c r="A30" s="2"/>
      <c r="B30" s="2"/>
      <c r="C30" s="2"/>
      <c r="D30" s="2"/>
      <c r="E30" s="2"/>
      <c r="F30" s="2"/>
      <c r="G30" s="2"/>
      <c r="H30" s="2"/>
      <c r="I30" s="2"/>
      <c r="J30" s="2"/>
      <c r="K30" s="2"/>
      <c r="L30" s="2"/>
      <c r="M30" s="2"/>
      <c r="N30" s="2"/>
      <c r="O30" s="2"/>
      <c r="P30" s="2"/>
      <c r="Q30" s="2"/>
      <c r="R30" s="2"/>
      <c r="S30" s="2"/>
      <c r="T30" s="2"/>
      <c r="U30" s="2"/>
      <c r="V30" s="2"/>
      <c r="W30" s="2"/>
      <c r="X30" s="2"/>
      <c r="Y30" s="2"/>
      <c r="Z30" s="2"/>
      <c r="AA30" s="2"/>
      <c r="AB30" s="2"/>
      <c r="AC30" s="2"/>
      <c r="AD30" s="2"/>
      <c r="AE30" s="2"/>
      <c r="AF30" s="2"/>
      <c r="AG30" s="2"/>
      <c r="AH30" s="2"/>
      <c r="AI30" s="2"/>
      <c r="AJ30" s="2"/>
      <c r="AK30" s="2"/>
      <c r="AL30" s="2"/>
    </row>
    <row r="31" customFormat="false" ht="14.25" hidden="false" customHeight="false" outlineLevel="0" collapsed="false">
      <c r="A31" s="2"/>
      <c r="B31" s="2"/>
      <c r="C31" s="2"/>
      <c r="D31" s="2"/>
      <c r="E31" s="2"/>
      <c r="F31" s="2"/>
      <c r="G31" s="2"/>
      <c r="H31" s="2"/>
      <c r="I31" s="2"/>
      <c r="J31" s="2"/>
      <c r="K31" s="2"/>
      <c r="L31" s="2"/>
      <c r="M31" s="2"/>
      <c r="N31" s="2"/>
      <c r="O31" s="2"/>
      <c r="P31" s="2"/>
      <c r="Q31" s="2"/>
      <c r="R31" s="2"/>
      <c r="S31" s="2"/>
      <c r="T31" s="2"/>
      <c r="U31" s="2"/>
      <c r="V31" s="2"/>
      <c r="W31" s="2"/>
      <c r="X31" s="2"/>
      <c r="Y31" s="2"/>
      <c r="Z31" s="2"/>
      <c r="AA31" s="2"/>
      <c r="AB31" s="2"/>
      <c r="AC31" s="2"/>
      <c r="AD31" s="2"/>
      <c r="AE31" s="2"/>
      <c r="AF31" s="2"/>
      <c r="AG31" s="2"/>
      <c r="AH31" s="2"/>
      <c r="AI31" s="2"/>
      <c r="AJ31" s="2"/>
      <c r="AK31" s="2"/>
      <c r="AL31" s="2"/>
    </row>
    <row r="32" customFormat="false" ht="14.25" hidden="false" customHeight="false" outlineLevel="0" collapsed="false">
      <c r="B32" s="9"/>
      <c r="C32" s="9"/>
      <c r="D32" s="9"/>
      <c r="E32" s="9"/>
      <c r="F32" s="9"/>
      <c r="G32" s="9"/>
      <c r="H32" s="9"/>
      <c r="I32" s="9"/>
      <c r="J32" s="9"/>
      <c r="K32" s="9"/>
      <c r="L32" s="9"/>
      <c r="M32" s="9"/>
      <c r="N32" s="9"/>
      <c r="O32" s="9"/>
      <c r="P32" s="9"/>
      <c r="Q32" s="9"/>
      <c r="R32" s="9"/>
      <c r="S32" s="9"/>
      <c r="T32" s="9"/>
      <c r="U32" s="9"/>
      <c r="V32" s="9"/>
      <c r="W32" s="9"/>
      <c r="X32" s="9"/>
      <c r="Y32" s="9"/>
      <c r="Z32" s="9"/>
      <c r="AA32" s="9"/>
      <c r="AB32" s="9"/>
      <c r="AC32" s="9"/>
      <c r="AD32" s="9"/>
      <c r="AE32" s="9"/>
      <c r="AF32" s="9"/>
      <c r="AG32" s="9"/>
      <c r="AH32" s="9"/>
      <c r="AI32" s="9"/>
      <c r="AJ32" s="9"/>
      <c r="AK32" s="9"/>
    </row>
  </sheetData>
  <mergeCells count="21">
    <mergeCell ref="E7:M7"/>
    <mergeCell ref="N7:V7"/>
    <mergeCell ref="X7:AA7"/>
    <mergeCell ref="AB7:AK7"/>
    <mergeCell ref="E8:F8"/>
    <mergeCell ref="H8:I8"/>
    <mergeCell ref="K8:L8"/>
    <mergeCell ref="N8:O8"/>
    <mergeCell ref="T8:U8"/>
    <mergeCell ref="Y8:Z8"/>
    <mergeCell ref="AB8:AC8"/>
    <mergeCell ref="AE8:AF8"/>
    <mergeCell ref="AH8:AI8"/>
    <mergeCell ref="C12:C13"/>
    <mergeCell ref="D12:E13"/>
    <mergeCell ref="K12:K13"/>
    <mergeCell ref="M12:M13"/>
    <mergeCell ref="C14:C16"/>
    <mergeCell ref="D14:D16"/>
    <mergeCell ref="K14:K16"/>
    <mergeCell ref="M14:M16"/>
  </mergeCells>
  <hyperlinks>
    <hyperlink ref="L4" r:id="rId2" display="https://www.weamerisolar.eu/wp-content/uploads/2017/03/AS-6P30-Module-Specification.pdf"/>
    <hyperlink ref="T9" r:id="rId3" display="negligible"/>
  </hyperlink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4"/>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L31"/>
  <sheetViews>
    <sheetView showFormulas="false" showGridLines="true" showRowColHeaders="true" showZeros="true" rightToLeft="false" tabSelected="false" showOutlineSymbols="true" defaultGridColor="true" view="normal" topLeftCell="B1" colorId="64" zoomScale="90" zoomScaleNormal="90" zoomScalePageLayoutView="100" workbookViewId="0">
      <selection pane="topLeft" activeCell="B2" activeCellId="0" sqref="B2"/>
    </sheetView>
  </sheetViews>
  <sheetFormatPr defaultColWidth="10.54296875" defaultRowHeight="14.25" zeroHeight="false" outlineLevelRow="0" outlineLevelCol="0"/>
  <cols>
    <col collapsed="false" customWidth="true" hidden="false" outlineLevel="0" max="1" min="1" style="0" width="7.54"/>
    <col collapsed="false" customWidth="true" hidden="false" outlineLevel="0" max="2" min="2" style="0" width="26.45"/>
    <col collapsed="false" customWidth="true" hidden="false" outlineLevel="0" max="3" min="3" style="0" width="8.45"/>
    <col collapsed="false" customWidth="true" hidden="false" outlineLevel="0" max="4" min="4" style="0" width="4.91"/>
    <col collapsed="false" customWidth="true" hidden="false" outlineLevel="0" max="5" min="5" style="0" width="11.36"/>
    <col collapsed="false" customWidth="true" hidden="false" outlineLevel="0" max="6" min="6" style="0" width="3.91"/>
    <col collapsed="false" customWidth="true" hidden="false" outlineLevel="0" max="10" min="7" style="0" width="4.73"/>
    <col collapsed="false" customWidth="true" hidden="false" outlineLevel="0" max="11" min="11" style="0" width="56"/>
    <col collapsed="false" customWidth="true" hidden="false" outlineLevel="0" max="12" min="12" style="0" width="14.63"/>
    <col collapsed="false" customWidth="true" hidden="false" outlineLevel="0" max="13" min="13" style="0" width="4.73"/>
    <col collapsed="false" customWidth="true" hidden="false" outlineLevel="0" max="14" min="14" style="0" width="19.09"/>
    <col collapsed="false" customWidth="true" hidden="false" outlineLevel="0" max="15" min="15" style="0" width="7.46"/>
    <col collapsed="false" customWidth="true" hidden="false" outlineLevel="0" max="16" min="16" style="0" width="4"/>
    <col collapsed="false" customWidth="true" hidden="false" outlineLevel="0" max="17" min="17" style="0" width="7.46"/>
    <col collapsed="false" customWidth="true" hidden="false" outlineLevel="0" max="18" min="18" style="0" width="5.18"/>
    <col collapsed="false" customWidth="true" hidden="false" outlineLevel="0" max="19" min="19" style="0" width="16.63"/>
    <col collapsed="false" customWidth="true" hidden="false" outlineLevel="0" max="21" min="21" style="0" width="5.18"/>
    <col collapsed="false" customWidth="true" hidden="false" outlineLevel="0" max="22" min="22" style="0" width="11.82"/>
    <col collapsed="false" customWidth="true" hidden="false" outlineLevel="0" max="23" min="23" style="0" width="17.91"/>
    <col collapsed="false" customWidth="true" hidden="false" outlineLevel="0" max="24" min="24" style="0" width="8.82"/>
    <col collapsed="false" customWidth="true" hidden="false" outlineLevel="0" max="25" min="25" style="0" width="5.18"/>
    <col collapsed="false" customWidth="true" hidden="false" outlineLevel="0" max="26" min="26" style="0" width="12.63"/>
    <col collapsed="false" customWidth="true" hidden="false" outlineLevel="0" max="27" min="27" style="0" width="7.36"/>
    <col collapsed="false" customWidth="true" hidden="false" outlineLevel="0" max="28" min="28" style="0" width="4.73"/>
    <col collapsed="false" customWidth="true" hidden="false" outlineLevel="0" max="29" min="29" style="0" width="12.36"/>
    <col collapsed="false" customWidth="true" hidden="false" outlineLevel="0" max="30" min="30" style="0" width="7.73"/>
    <col collapsed="false" customWidth="true" hidden="false" outlineLevel="0" max="31" min="31" style="0" width="4.73"/>
    <col collapsed="false" customWidth="true" hidden="false" outlineLevel="0" max="32" min="32" style="0" width="9.36"/>
    <col collapsed="false" customWidth="true" hidden="false" outlineLevel="0" max="33" min="33" style="0" width="7.82"/>
    <col collapsed="false" customWidth="true" hidden="false" outlineLevel="0" max="34" min="34" style="0" width="4.73"/>
    <col collapsed="false" customWidth="true" hidden="false" outlineLevel="0" max="35" min="35" style="0" width="21.72"/>
    <col collapsed="false" customWidth="true" hidden="false" outlineLevel="0" max="36" min="36" style="0" width="7.36"/>
    <col collapsed="false" customWidth="true" hidden="false" outlineLevel="0" max="37" min="37" style="0" width="4.73"/>
    <col collapsed="false" customWidth="true" hidden="false" outlineLevel="0" max="38" min="38" style="0" width="14.72"/>
  </cols>
  <sheetData>
    <row r="1" customFormat="false" ht="19.7" hidden="false" customHeight="false" outlineLevel="0" collapsed="false">
      <c r="B1" s="12" t="s">
        <v>84</v>
      </c>
    </row>
    <row r="2" customFormat="false" ht="21" hidden="false" customHeight="false" outlineLevel="0" collapsed="false">
      <c r="B2" s="12" t="s">
        <v>254</v>
      </c>
    </row>
    <row r="3" customFormat="false" ht="21" hidden="false" customHeight="false" outlineLevel="0" collapsed="false">
      <c r="B3" s="12"/>
    </row>
    <row r="4" customFormat="false" ht="15" hidden="false" customHeight="false" outlineLevel="0" collapsed="false">
      <c r="B4" s="63" t="s">
        <v>255</v>
      </c>
      <c r="C4" s="64" t="s">
        <v>256</v>
      </c>
    </row>
    <row r="5" customFormat="false" ht="15" hidden="false" customHeight="false" outlineLevel="0" collapsed="false">
      <c r="B5" s="71" t="s">
        <v>257</v>
      </c>
      <c r="C5" s="72" t="s">
        <v>258</v>
      </c>
      <c r="D5" s="58"/>
      <c r="E5" s="58"/>
      <c r="F5" s="58"/>
      <c r="G5" s="58"/>
      <c r="H5" s="58"/>
      <c r="I5" s="58"/>
      <c r="J5" s="58"/>
      <c r="K5" s="58"/>
      <c r="L5" s="0" t="s">
        <v>259</v>
      </c>
    </row>
    <row r="6" customFormat="false" ht="15" hidden="false" customHeight="false" outlineLevel="0" collapsed="false">
      <c r="B6" s="63" t="s">
        <v>260</v>
      </c>
      <c r="C6" s="64" t="s">
        <v>258</v>
      </c>
      <c r="L6" s="43" t="s">
        <v>261</v>
      </c>
    </row>
    <row r="7" customFormat="false" ht="15" hidden="false" customHeight="false" outlineLevel="0" collapsed="false">
      <c r="B7" s="71" t="s">
        <v>262</v>
      </c>
      <c r="C7" s="72" t="s">
        <v>263</v>
      </c>
      <c r="D7" s="58"/>
      <c r="E7" s="58"/>
      <c r="F7" s="58"/>
      <c r="G7" s="58"/>
      <c r="H7" s="58"/>
      <c r="I7" s="58"/>
      <c r="J7" s="58"/>
      <c r="K7" s="58"/>
      <c r="L7" s="43" t="s">
        <v>264</v>
      </c>
    </row>
    <row r="8" customFormat="false" ht="15" hidden="false" customHeight="false" outlineLevel="0" collapsed="false">
      <c r="B8" s="63" t="s">
        <v>265</v>
      </c>
      <c r="C8" s="64" t="s">
        <v>263</v>
      </c>
      <c r="L8" s="43" t="s">
        <v>266</v>
      </c>
      <c r="T8" s="0" t="s">
        <v>267</v>
      </c>
    </row>
    <row r="9" customFormat="false" ht="18" hidden="false" customHeight="false" outlineLevel="0" collapsed="false">
      <c r="E9" s="13" t="s">
        <v>86</v>
      </c>
      <c r="F9" s="13"/>
      <c r="G9" s="13"/>
      <c r="H9" s="13"/>
      <c r="I9" s="13"/>
      <c r="J9" s="13"/>
      <c r="K9" s="13"/>
      <c r="L9" s="13"/>
      <c r="M9" s="13"/>
      <c r="N9" s="14" t="s">
        <v>87</v>
      </c>
      <c r="O9" s="14"/>
      <c r="P9" s="14"/>
      <c r="Q9" s="14"/>
      <c r="R9" s="14"/>
      <c r="S9" s="14"/>
      <c r="T9" s="14"/>
      <c r="U9" s="14"/>
      <c r="V9" s="15" t="s">
        <v>88</v>
      </c>
      <c r="W9" s="15"/>
      <c r="X9" s="15"/>
      <c r="Y9" s="15"/>
      <c r="Z9" s="16" t="s">
        <v>89</v>
      </c>
      <c r="AA9" s="16"/>
      <c r="AB9" s="16"/>
      <c r="AC9" s="16"/>
      <c r="AD9" s="16"/>
      <c r="AE9" s="16"/>
      <c r="AF9" s="16"/>
      <c r="AG9" s="16"/>
      <c r="AH9" s="16"/>
      <c r="AI9" s="16"/>
      <c r="AJ9" s="17"/>
      <c r="AK9" s="17"/>
    </row>
    <row r="10" customFormat="false" ht="28.5" hidden="false" customHeight="true" outlineLevel="0" collapsed="false">
      <c r="A10" s="9" t="s">
        <v>90</v>
      </c>
      <c r="B10" s="9" t="s">
        <v>91</v>
      </c>
      <c r="C10" s="9" t="s">
        <v>92</v>
      </c>
      <c r="D10" s="18" t="s">
        <v>93</v>
      </c>
      <c r="E10" s="19" t="s">
        <v>94</v>
      </c>
      <c r="F10" s="19"/>
      <c r="G10" s="20" t="s">
        <v>93</v>
      </c>
      <c r="H10" s="19" t="s">
        <v>95</v>
      </c>
      <c r="I10" s="19"/>
      <c r="J10" s="20" t="s">
        <v>93</v>
      </c>
      <c r="K10" s="21" t="s">
        <v>96</v>
      </c>
      <c r="L10" s="21"/>
      <c r="M10" s="20" t="s">
        <v>93</v>
      </c>
      <c r="N10" s="22" t="s">
        <v>97</v>
      </c>
      <c r="O10" s="22"/>
      <c r="P10" s="23" t="s">
        <v>93</v>
      </c>
      <c r="Q10" s="73"/>
      <c r="R10" s="23" t="s">
        <v>93</v>
      </c>
      <c r="S10" s="24" t="s">
        <v>98</v>
      </c>
      <c r="T10" s="24"/>
      <c r="U10" s="23" t="s">
        <v>93</v>
      </c>
      <c r="V10" s="25" t="s">
        <v>268</v>
      </c>
      <c r="W10" s="26" t="s">
        <v>100</v>
      </c>
      <c r="X10" s="26"/>
      <c r="Y10" s="27" t="s">
        <v>93</v>
      </c>
      <c r="Z10" s="28" t="s">
        <v>101</v>
      </c>
      <c r="AA10" s="28"/>
      <c r="AB10" s="29" t="s">
        <v>93</v>
      </c>
      <c r="AC10" s="28" t="s">
        <v>102</v>
      </c>
      <c r="AD10" s="28"/>
      <c r="AE10" s="29" t="s">
        <v>93</v>
      </c>
      <c r="AF10" s="28" t="s">
        <v>103</v>
      </c>
      <c r="AG10" s="28"/>
      <c r="AH10" s="29" t="s">
        <v>93</v>
      </c>
      <c r="AI10" s="30" t="s">
        <v>104</v>
      </c>
      <c r="AJ10" s="31"/>
      <c r="AK10" s="23"/>
      <c r="AL10" s="9"/>
    </row>
    <row r="11" s="2" customFormat="true" ht="15" hidden="false" customHeight="true" outlineLevel="0" collapsed="false">
      <c r="B11" s="2" t="s">
        <v>255</v>
      </c>
      <c r="K11" s="2" t="s">
        <v>269</v>
      </c>
    </row>
    <row r="12" customFormat="false" ht="14.25" hidden="false" customHeight="false" outlineLevel="0" collapsed="false">
      <c r="A12" s="2"/>
      <c r="B12" s="2"/>
      <c r="C12" s="2"/>
      <c r="D12" s="2"/>
      <c r="E12" s="2"/>
      <c r="F12" s="2"/>
      <c r="G12" s="2"/>
      <c r="H12" s="2"/>
      <c r="I12" s="2"/>
      <c r="J12" s="2"/>
      <c r="K12" s="2"/>
      <c r="L12" s="2"/>
      <c r="M12" s="2"/>
      <c r="N12" s="2"/>
      <c r="O12" s="2"/>
      <c r="P12" s="2"/>
      <c r="Q12" s="2"/>
      <c r="R12" s="2"/>
      <c r="S12" s="2"/>
      <c r="T12" s="2"/>
      <c r="U12" s="2"/>
      <c r="V12" s="2"/>
      <c r="W12" s="2"/>
      <c r="X12" s="2"/>
      <c r="Y12" s="2"/>
      <c r="Z12" s="2"/>
      <c r="AA12" s="2"/>
      <c r="AB12" s="2"/>
      <c r="AC12" s="2"/>
      <c r="AD12" s="2"/>
      <c r="AE12" s="2"/>
      <c r="AF12" s="2"/>
      <c r="AG12" s="2"/>
      <c r="AH12" s="2"/>
      <c r="AI12" s="2"/>
      <c r="AJ12" s="2"/>
    </row>
    <row r="13" customFormat="false" ht="14.25" hidden="false" customHeight="false" outlineLevel="0" collapsed="false">
      <c r="A13" s="2"/>
      <c r="B13" s="2" t="s">
        <v>257</v>
      </c>
      <c r="C13" s="2"/>
      <c r="D13" s="2"/>
      <c r="E13" s="2"/>
      <c r="F13" s="2"/>
      <c r="G13" s="2"/>
      <c r="H13" s="2"/>
      <c r="I13" s="2"/>
      <c r="J13" s="2"/>
      <c r="K13" s="2"/>
      <c r="L13" s="2"/>
      <c r="M13" s="2"/>
      <c r="N13" s="0" t="s">
        <v>119</v>
      </c>
      <c r="O13" s="2" t="n">
        <f aca="false">960/1000</f>
        <v>0.96</v>
      </c>
      <c r="P13" s="2" t="s">
        <v>114</v>
      </c>
      <c r="Q13" s="2"/>
      <c r="R13" s="2" t="s">
        <v>113</v>
      </c>
      <c r="S13" s="2"/>
      <c r="T13" s="2"/>
      <c r="U13" s="2"/>
      <c r="V13" s="2" t="n">
        <v>20</v>
      </c>
      <c r="W13" s="2"/>
      <c r="X13" s="2"/>
      <c r="Y13" s="2"/>
      <c r="Z13" s="2"/>
      <c r="AA13" s="2"/>
      <c r="AB13" s="2"/>
      <c r="AC13" s="2"/>
      <c r="AD13" s="2"/>
      <c r="AE13" s="2"/>
      <c r="AF13" s="2"/>
      <c r="AG13" s="2"/>
      <c r="AH13" s="2"/>
      <c r="AI13" s="2"/>
      <c r="AJ13" s="2"/>
    </row>
    <row r="14" customFormat="false" ht="14.25" hidden="false" customHeight="false" outlineLevel="0" collapsed="false">
      <c r="A14" s="2"/>
      <c r="B14" s="2"/>
      <c r="C14" s="2"/>
      <c r="D14" s="2"/>
      <c r="E14" s="2"/>
      <c r="F14" s="2"/>
      <c r="G14" s="2"/>
      <c r="H14" s="2"/>
      <c r="I14" s="2"/>
      <c r="J14" s="2"/>
      <c r="K14" s="2"/>
      <c r="L14" s="2"/>
      <c r="M14" s="2"/>
      <c r="N14" s="2"/>
      <c r="O14" s="2"/>
      <c r="P14" s="2"/>
      <c r="Q14" s="2"/>
      <c r="R14" s="2"/>
      <c r="S14" s="2"/>
      <c r="T14" s="2"/>
      <c r="U14" s="2"/>
      <c r="W14" s="2"/>
      <c r="X14" s="2"/>
      <c r="Y14" s="2"/>
      <c r="Z14" s="2"/>
      <c r="AA14" s="2"/>
      <c r="AB14" s="2"/>
      <c r="AC14" s="2"/>
      <c r="AD14" s="2"/>
      <c r="AE14" s="2"/>
      <c r="AF14" s="2"/>
      <c r="AG14" s="2"/>
      <c r="AH14" s="2"/>
      <c r="AI14" s="2"/>
      <c r="AJ14" s="2"/>
    </row>
    <row r="15" customFormat="false" ht="14.25" hidden="false" customHeight="false" outlineLevel="0" collapsed="false">
      <c r="A15" s="37"/>
      <c r="B15" s="2" t="s">
        <v>262</v>
      </c>
      <c r="C15" s="2"/>
      <c r="D15" s="2"/>
      <c r="E15" s="2"/>
      <c r="F15" s="2"/>
      <c r="G15" s="2"/>
      <c r="H15" s="2"/>
      <c r="I15" s="2"/>
      <c r="J15" s="2"/>
      <c r="K15" s="2"/>
      <c r="L15" s="2"/>
      <c r="M15" s="2"/>
      <c r="N15" s="0" t="s">
        <v>119</v>
      </c>
      <c r="O15" s="2" t="n">
        <f aca="false">60/1000</f>
        <v>0.06</v>
      </c>
      <c r="P15" s="2" t="s">
        <v>114</v>
      </c>
      <c r="Q15" s="2"/>
      <c r="R15" s="2" t="s">
        <v>113</v>
      </c>
      <c r="S15" s="2"/>
      <c r="T15" s="2"/>
      <c r="U15" s="2"/>
      <c r="V15" s="2" t="n">
        <v>20</v>
      </c>
      <c r="W15" s="2"/>
      <c r="X15" s="2"/>
      <c r="Y15" s="2"/>
      <c r="Z15" s="2"/>
      <c r="AA15" s="2"/>
      <c r="AB15" s="2"/>
      <c r="AC15" s="2"/>
      <c r="AD15" s="2"/>
      <c r="AE15" s="2"/>
      <c r="AF15" s="2"/>
      <c r="AG15" s="2"/>
      <c r="AH15" s="2"/>
      <c r="AI15" s="2"/>
      <c r="AJ15" s="2"/>
    </row>
    <row r="16" customFormat="false" ht="14.25" hidden="false" customHeight="false" outlineLevel="0" collapsed="false">
      <c r="A16" s="2"/>
      <c r="B16" s="2"/>
      <c r="C16" s="2"/>
      <c r="D16" s="2"/>
      <c r="E16" s="2"/>
      <c r="F16" s="2"/>
      <c r="G16" s="2"/>
      <c r="H16" s="2"/>
      <c r="I16" s="2"/>
      <c r="J16" s="2"/>
      <c r="K16" s="2"/>
      <c r="L16" s="2"/>
      <c r="M16" s="2"/>
      <c r="N16" s="2"/>
      <c r="O16" s="2"/>
      <c r="P16" s="2"/>
      <c r="Q16" s="2"/>
      <c r="R16" s="2"/>
      <c r="S16" s="2"/>
      <c r="T16" s="2"/>
      <c r="U16" s="2"/>
      <c r="V16" s="2"/>
      <c r="W16" s="2"/>
      <c r="X16" s="2"/>
      <c r="Y16" s="2"/>
      <c r="Z16" s="2"/>
      <c r="AA16" s="2"/>
      <c r="AB16" s="2"/>
      <c r="AC16" s="2"/>
      <c r="AD16" s="2"/>
      <c r="AE16" s="2"/>
      <c r="AF16" s="2"/>
      <c r="AG16" s="2"/>
      <c r="AH16" s="2"/>
      <c r="AI16" s="2"/>
      <c r="AJ16" s="2"/>
    </row>
    <row r="17" customFormat="false" ht="14.25" hidden="false" customHeight="false" outlineLevel="0" collapsed="false">
      <c r="A17" s="2"/>
      <c r="B17" s="2"/>
      <c r="C17" s="2"/>
      <c r="D17" s="2"/>
      <c r="E17" s="2"/>
      <c r="F17" s="2"/>
      <c r="G17" s="2"/>
      <c r="H17" s="2"/>
      <c r="I17" s="2"/>
      <c r="J17" s="2"/>
      <c r="K17" s="2"/>
      <c r="L17" s="2"/>
      <c r="M17" s="2"/>
      <c r="N17" s="2"/>
      <c r="O17" s="2"/>
      <c r="P17" s="2"/>
      <c r="Q17" s="2"/>
      <c r="R17" s="2"/>
      <c r="S17" s="2"/>
      <c r="T17" s="2"/>
      <c r="U17" s="2"/>
      <c r="V17" s="2"/>
      <c r="W17" s="2"/>
      <c r="X17" s="2"/>
      <c r="Y17" s="2"/>
      <c r="Z17" s="2"/>
      <c r="AA17" s="2"/>
      <c r="AB17" s="2"/>
      <c r="AC17" s="2"/>
      <c r="AD17" s="2"/>
      <c r="AE17" s="2"/>
      <c r="AF17" s="2"/>
      <c r="AG17" s="2"/>
      <c r="AH17" s="2"/>
      <c r="AI17" s="2"/>
      <c r="AJ17" s="2"/>
    </row>
    <row r="18" customFormat="false" ht="14.25" hidden="false" customHeight="false" outlineLevel="0" collapsed="false">
      <c r="A18" s="2"/>
      <c r="B18" s="2"/>
      <c r="C18" s="2"/>
      <c r="D18" s="2"/>
      <c r="E18" s="2"/>
      <c r="F18" s="2"/>
      <c r="G18" s="2"/>
      <c r="H18" s="2"/>
      <c r="I18" s="2"/>
      <c r="J18" s="2"/>
      <c r="K18" s="2" t="s">
        <v>270</v>
      </c>
      <c r="L18" s="2" t="n">
        <v>0.05</v>
      </c>
      <c r="M18" s="2" t="s">
        <v>271</v>
      </c>
      <c r="N18" s="2"/>
      <c r="O18" s="2"/>
      <c r="P18" s="2"/>
      <c r="Q18" s="2"/>
      <c r="R18" s="2"/>
      <c r="S18" s="2"/>
      <c r="T18" s="2"/>
      <c r="U18" s="2"/>
      <c r="V18" s="2"/>
      <c r="W18" s="2"/>
      <c r="X18" s="2"/>
      <c r="Y18" s="2"/>
      <c r="Z18" s="2"/>
      <c r="AA18" s="2"/>
      <c r="AB18" s="2"/>
      <c r="AC18" s="2"/>
      <c r="AD18" s="2"/>
      <c r="AE18" s="2"/>
      <c r="AF18" s="2"/>
      <c r="AG18" s="2"/>
      <c r="AH18" s="2"/>
      <c r="AI18" s="2"/>
      <c r="AJ18" s="2"/>
    </row>
    <row r="19" customFormat="false" ht="14.25" hidden="false" customHeight="false" outlineLevel="0" collapsed="false">
      <c r="A19" s="2"/>
      <c r="B19" s="2"/>
      <c r="C19" s="2"/>
      <c r="D19" s="2"/>
      <c r="E19" s="2"/>
      <c r="F19" s="2"/>
      <c r="G19" s="2"/>
      <c r="H19" s="2"/>
      <c r="I19" s="2"/>
      <c r="J19" s="2"/>
      <c r="K19" s="2"/>
      <c r="L19" s="2"/>
      <c r="M19" s="2"/>
      <c r="N19" s="2"/>
      <c r="O19" s="2"/>
      <c r="P19" s="2"/>
      <c r="Q19" s="2"/>
      <c r="R19" s="2"/>
      <c r="S19" s="2"/>
      <c r="T19" s="2"/>
      <c r="U19" s="2"/>
      <c r="V19" s="2"/>
      <c r="W19" s="2"/>
      <c r="X19" s="2"/>
      <c r="Y19" s="2"/>
      <c r="Z19" s="2"/>
      <c r="AA19" s="2"/>
      <c r="AB19" s="2"/>
      <c r="AC19" s="2"/>
      <c r="AD19" s="2"/>
      <c r="AE19" s="2"/>
      <c r="AF19" s="2"/>
      <c r="AG19" s="2"/>
      <c r="AH19" s="2"/>
      <c r="AI19" s="2"/>
      <c r="AJ19" s="2"/>
    </row>
    <row r="20" customFormat="false" ht="14.25" hidden="false" customHeight="false" outlineLevel="0" collapsed="false">
      <c r="A20" s="37"/>
      <c r="B20" s="2"/>
      <c r="C20" s="2"/>
      <c r="D20" s="2"/>
      <c r="E20" s="2"/>
      <c r="F20" s="2"/>
      <c r="G20" s="2"/>
      <c r="H20" s="2"/>
      <c r="I20" s="2"/>
      <c r="J20" s="2"/>
      <c r="K20" s="2"/>
      <c r="L20" s="2"/>
      <c r="M20" s="2"/>
      <c r="N20" s="2"/>
      <c r="O20" s="2"/>
      <c r="P20" s="2"/>
      <c r="Q20" s="2"/>
      <c r="R20" s="2"/>
      <c r="S20" s="2"/>
      <c r="T20" s="2"/>
      <c r="U20" s="2"/>
      <c r="V20" s="2"/>
      <c r="W20" s="2"/>
      <c r="X20" s="2"/>
      <c r="Y20" s="2"/>
      <c r="Z20" s="2"/>
      <c r="AA20" s="2"/>
      <c r="AB20" s="2"/>
      <c r="AC20" s="2"/>
      <c r="AD20" s="2"/>
      <c r="AE20" s="2"/>
      <c r="AF20" s="2"/>
      <c r="AG20" s="2"/>
      <c r="AH20" s="2"/>
      <c r="AI20" s="2"/>
      <c r="AJ20" s="2"/>
    </row>
    <row r="21" customFormat="false" ht="14.25" hidden="false" customHeight="false" outlineLevel="0" collapsed="false">
      <c r="A21" s="2"/>
      <c r="B21" s="2"/>
      <c r="C21" s="2"/>
      <c r="D21" s="2"/>
      <c r="E21" s="2"/>
      <c r="F21" s="2"/>
      <c r="G21" s="2"/>
      <c r="H21" s="2"/>
      <c r="I21" s="2"/>
      <c r="J21" s="2"/>
      <c r="K21" s="2"/>
      <c r="L21" s="2"/>
      <c r="M21" s="2"/>
      <c r="N21" s="2"/>
      <c r="O21" s="2"/>
      <c r="P21" s="2"/>
      <c r="Q21" s="2"/>
      <c r="R21" s="2"/>
      <c r="S21" s="2"/>
      <c r="T21" s="2"/>
      <c r="U21" s="2"/>
      <c r="V21" s="2"/>
      <c r="W21" s="2"/>
      <c r="X21" s="2"/>
      <c r="Y21" s="2"/>
      <c r="Z21" s="2"/>
      <c r="AA21" s="2"/>
      <c r="AB21" s="2"/>
      <c r="AC21" s="2"/>
      <c r="AD21" s="2"/>
      <c r="AE21" s="2"/>
      <c r="AF21" s="2"/>
      <c r="AG21" s="2"/>
      <c r="AH21" s="2"/>
      <c r="AI21" s="2"/>
      <c r="AJ21" s="2"/>
    </row>
    <row r="22" customFormat="false" ht="14.25" hidden="false" customHeight="false" outlineLevel="0" collapsed="false">
      <c r="A22" s="2"/>
      <c r="B22" s="2"/>
      <c r="C22" s="2"/>
      <c r="D22" s="2"/>
      <c r="E22" s="2"/>
      <c r="F22" s="2"/>
      <c r="G22" s="2"/>
      <c r="H22" s="2"/>
      <c r="I22" s="2"/>
      <c r="J22" s="2"/>
      <c r="K22" s="2"/>
      <c r="L22" s="2"/>
      <c r="M22" s="2"/>
      <c r="N22" s="2"/>
      <c r="O22" s="2"/>
      <c r="P22" s="2"/>
      <c r="Q22" s="2"/>
      <c r="R22" s="2"/>
      <c r="S22" s="2"/>
      <c r="T22" s="2"/>
      <c r="U22" s="2"/>
      <c r="V22" s="2"/>
      <c r="W22" s="2"/>
      <c r="X22" s="2"/>
      <c r="Y22" s="2"/>
      <c r="Z22" s="2"/>
      <c r="AA22" s="2"/>
      <c r="AB22" s="2"/>
      <c r="AC22" s="2"/>
      <c r="AD22" s="2"/>
      <c r="AE22" s="2"/>
      <c r="AF22" s="2"/>
      <c r="AG22" s="2"/>
      <c r="AH22" s="2"/>
      <c r="AI22" s="2"/>
      <c r="AJ22" s="2"/>
    </row>
    <row r="23" customFormat="false" ht="14.25" hidden="false" customHeight="false" outlineLevel="0" collapsed="false">
      <c r="A23" s="2"/>
      <c r="B23" s="2"/>
      <c r="C23" s="2"/>
      <c r="D23" s="2"/>
      <c r="E23" s="2"/>
      <c r="F23" s="2"/>
      <c r="G23" s="2"/>
      <c r="H23" s="2"/>
      <c r="I23" s="2"/>
      <c r="J23" s="2"/>
      <c r="K23" s="2"/>
      <c r="L23" s="2"/>
      <c r="M23" s="2"/>
      <c r="N23" s="2"/>
      <c r="O23" s="2"/>
      <c r="P23" s="2"/>
      <c r="Q23" s="2"/>
      <c r="R23" s="2"/>
      <c r="S23" s="2"/>
      <c r="T23" s="2"/>
      <c r="U23" s="2"/>
      <c r="V23" s="2"/>
      <c r="W23" s="2"/>
      <c r="X23" s="2"/>
      <c r="Y23" s="2"/>
      <c r="Z23" s="2"/>
      <c r="AA23" s="2"/>
      <c r="AB23" s="2"/>
      <c r="AC23" s="2"/>
      <c r="AD23" s="2"/>
      <c r="AE23" s="2"/>
      <c r="AF23" s="2"/>
      <c r="AG23" s="2"/>
      <c r="AH23" s="2"/>
      <c r="AI23" s="2"/>
      <c r="AJ23" s="2"/>
    </row>
    <row r="24" customFormat="false" ht="14.25" hidden="false" customHeight="false" outlineLevel="0" collapsed="false">
      <c r="A24" s="2"/>
      <c r="B24" s="2"/>
      <c r="C24" s="2"/>
      <c r="D24" s="2"/>
      <c r="E24" s="2"/>
      <c r="F24" s="2"/>
      <c r="G24" s="2"/>
      <c r="H24" s="2"/>
      <c r="I24" s="2"/>
      <c r="J24" s="2"/>
      <c r="K24" s="2"/>
      <c r="L24" s="2"/>
      <c r="M24" s="2"/>
      <c r="N24" s="2"/>
      <c r="O24" s="2"/>
      <c r="P24" s="2"/>
      <c r="Q24" s="2"/>
      <c r="R24" s="2"/>
      <c r="S24" s="2"/>
      <c r="T24" s="2"/>
      <c r="U24" s="2"/>
      <c r="V24" s="2"/>
      <c r="W24" s="2"/>
      <c r="X24" s="2"/>
      <c r="Y24" s="2"/>
      <c r="Z24" s="2"/>
      <c r="AA24" s="2"/>
      <c r="AB24" s="2"/>
      <c r="AC24" s="2"/>
      <c r="AD24" s="2"/>
      <c r="AE24" s="2"/>
      <c r="AF24" s="2"/>
      <c r="AG24" s="2"/>
      <c r="AH24" s="2"/>
      <c r="AI24" s="2"/>
      <c r="AJ24" s="2"/>
    </row>
    <row r="25" customFormat="false" ht="14.25" hidden="false" customHeight="false" outlineLevel="0" collapsed="false">
      <c r="A25" s="2"/>
      <c r="B25" s="2"/>
      <c r="C25" s="2"/>
      <c r="D25" s="2"/>
      <c r="E25" s="2"/>
      <c r="F25" s="2"/>
      <c r="G25" s="2"/>
      <c r="H25" s="2"/>
      <c r="I25" s="2"/>
      <c r="J25" s="2"/>
      <c r="K25" s="2"/>
      <c r="L25" s="2"/>
      <c r="M25" s="2"/>
      <c r="N25" s="2"/>
      <c r="O25" s="2"/>
      <c r="P25" s="2"/>
      <c r="Q25" s="2"/>
      <c r="R25" s="2"/>
      <c r="S25" s="2"/>
      <c r="T25" s="2"/>
      <c r="U25" s="2"/>
      <c r="V25" s="2"/>
      <c r="W25" s="2"/>
      <c r="X25" s="2"/>
      <c r="Y25" s="2"/>
      <c r="Z25" s="2"/>
      <c r="AA25" s="2"/>
      <c r="AB25" s="2"/>
      <c r="AC25" s="2"/>
      <c r="AD25" s="2"/>
      <c r="AE25" s="2"/>
      <c r="AF25" s="2"/>
      <c r="AG25" s="2"/>
      <c r="AH25" s="2"/>
      <c r="AI25" s="2"/>
      <c r="AJ25" s="2"/>
    </row>
    <row r="26" customFormat="false" ht="14.25" hidden="false" customHeight="false" outlineLevel="0" collapsed="false">
      <c r="A26" s="2"/>
      <c r="B26" s="2"/>
      <c r="C26" s="2"/>
      <c r="D26" s="2"/>
      <c r="E26" s="2"/>
      <c r="F26" s="2"/>
      <c r="G26" s="2"/>
      <c r="H26" s="2"/>
      <c r="I26" s="2"/>
      <c r="J26" s="2"/>
      <c r="K26" s="2"/>
      <c r="L26" s="2"/>
      <c r="M26" s="2"/>
      <c r="N26" s="2"/>
      <c r="O26" s="2"/>
      <c r="P26" s="2"/>
      <c r="Q26" s="2"/>
      <c r="R26" s="2"/>
      <c r="S26" s="2"/>
      <c r="T26" s="2"/>
      <c r="U26" s="2"/>
      <c r="V26" s="2"/>
      <c r="W26" s="2"/>
      <c r="X26" s="2"/>
      <c r="Y26" s="2"/>
      <c r="Z26" s="2"/>
      <c r="AA26" s="2"/>
      <c r="AB26" s="2"/>
      <c r="AC26" s="2"/>
      <c r="AD26" s="2"/>
      <c r="AE26" s="2"/>
      <c r="AF26" s="2"/>
      <c r="AG26" s="2"/>
      <c r="AH26" s="2"/>
      <c r="AI26" s="2"/>
      <c r="AJ26" s="2"/>
    </row>
    <row r="27" customFormat="false" ht="14.25" hidden="false" customHeight="false" outlineLevel="0" collapsed="false">
      <c r="A27" s="2"/>
      <c r="B27" s="2"/>
      <c r="C27" s="2"/>
      <c r="D27" s="2"/>
      <c r="E27" s="2"/>
      <c r="F27" s="2"/>
      <c r="G27" s="2"/>
      <c r="H27" s="2"/>
      <c r="I27" s="2"/>
      <c r="J27" s="2"/>
      <c r="K27" s="2"/>
      <c r="L27" s="2"/>
      <c r="M27" s="2"/>
      <c r="N27" s="2"/>
      <c r="O27" s="2"/>
      <c r="P27" s="2"/>
      <c r="Q27" s="2"/>
      <c r="R27" s="2"/>
      <c r="S27" s="2"/>
      <c r="T27" s="2"/>
      <c r="U27" s="2"/>
      <c r="V27" s="2"/>
      <c r="W27" s="2"/>
      <c r="X27" s="2"/>
      <c r="Y27" s="2"/>
      <c r="Z27" s="2"/>
      <c r="AA27" s="2"/>
      <c r="AB27" s="2"/>
      <c r="AC27" s="2"/>
      <c r="AD27" s="2"/>
      <c r="AE27" s="2"/>
      <c r="AF27" s="2"/>
      <c r="AG27" s="2"/>
      <c r="AH27" s="2"/>
      <c r="AI27" s="2"/>
      <c r="AJ27" s="2"/>
    </row>
    <row r="28" customFormat="false" ht="14.25" hidden="false" customHeight="false" outlineLevel="0" collapsed="false">
      <c r="A28" s="2"/>
      <c r="B28" s="2"/>
      <c r="C28" s="2"/>
      <c r="D28" s="2"/>
      <c r="E28" s="2"/>
      <c r="F28" s="2"/>
      <c r="G28" s="2"/>
      <c r="H28" s="2"/>
      <c r="I28" s="2"/>
      <c r="J28" s="2"/>
      <c r="K28" s="2"/>
      <c r="L28" s="2"/>
      <c r="M28" s="2"/>
      <c r="N28" s="2"/>
      <c r="O28" s="2"/>
      <c r="P28" s="2"/>
      <c r="Q28" s="2"/>
      <c r="R28" s="2"/>
      <c r="S28" s="2"/>
      <c r="T28" s="2"/>
      <c r="U28" s="2"/>
      <c r="V28" s="2"/>
      <c r="W28" s="2"/>
      <c r="X28" s="2"/>
      <c r="Y28" s="2"/>
      <c r="Z28" s="2"/>
      <c r="AA28" s="2"/>
      <c r="AB28" s="2"/>
      <c r="AC28" s="2"/>
      <c r="AD28" s="2"/>
      <c r="AE28" s="2"/>
      <c r="AF28" s="2"/>
      <c r="AG28" s="2"/>
      <c r="AH28" s="2"/>
      <c r="AI28" s="2"/>
      <c r="AJ28" s="2"/>
    </row>
    <row r="29" customFormat="false" ht="14.25" hidden="false" customHeight="false" outlineLevel="0" collapsed="false">
      <c r="A29" s="2"/>
      <c r="B29" s="2"/>
      <c r="C29" s="2"/>
      <c r="D29" s="2"/>
      <c r="E29" s="2"/>
      <c r="F29" s="2"/>
      <c r="G29" s="2"/>
      <c r="H29" s="2"/>
      <c r="I29" s="2"/>
      <c r="J29" s="2"/>
      <c r="K29" s="2"/>
      <c r="L29" s="2"/>
      <c r="M29" s="2"/>
      <c r="N29" s="2"/>
      <c r="O29" s="2"/>
      <c r="P29" s="2"/>
      <c r="Q29" s="2"/>
      <c r="R29" s="2"/>
      <c r="S29" s="2"/>
      <c r="T29" s="2"/>
      <c r="U29" s="2"/>
      <c r="V29" s="2"/>
      <c r="W29" s="2"/>
      <c r="X29" s="2"/>
      <c r="Y29" s="2"/>
      <c r="Z29" s="2"/>
      <c r="AA29" s="2"/>
      <c r="AB29" s="2"/>
      <c r="AC29" s="2"/>
      <c r="AD29" s="2"/>
      <c r="AE29" s="2"/>
      <c r="AF29" s="2"/>
      <c r="AG29" s="2"/>
      <c r="AH29" s="2"/>
      <c r="AI29" s="2"/>
      <c r="AJ29" s="2"/>
    </row>
    <row r="30" customFormat="false" ht="14.25" hidden="false" customHeight="false" outlineLevel="0" collapsed="false">
      <c r="A30" s="2"/>
      <c r="B30" s="2"/>
      <c r="C30" s="2"/>
      <c r="D30" s="2"/>
      <c r="E30" s="2"/>
      <c r="F30" s="2"/>
      <c r="G30" s="2"/>
      <c r="H30" s="2"/>
      <c r="I30" s="2"/>
      <c r="J30" s="2"/>
      <c r="K30" s="2"/>
      <c r="L30" s="2"/>
      <c r="M30" s="2"/>
      <c r="N30" s="2"/>
      <c r="O30" s="2"/>
      <c r="P30" s="2"/>
      <c r="Q30" s="2"/>
      <c r="R30" s="2"/>
      <c r="S30" s="2"/>
      <c r="T30" s="2"/>
      <c r="U30" s="2"/>
      <c r="V30" s="2"/>
      <c r="W30" s="2"/>
      <c r="X30" s="2"/>
      <c r="Y30" s="2"/>
      <c r="Z30" s="2"/>
      <c r="AA30" s="2"/>
      <c r="AB30" s="2"/>
      <c r="AC30" s="2"/>
      <c r="AD30" s="2"/>
      <c r="AE30" s="2"/>
      <c r="AF30" s="2"/>
      <c r="AG30" s="2"/>
      <c r="AH30" s="2"/>
      <c r="AI30" s="2"/>
      <c r="AJ30" s="2"/>
    </row>
    <row r="31" customFormat="false" ht="14.25" hidden="false" customHeight="false" outlineLevel="0" collapsed="false">
      <c r="B31" s="9"/>
      <c r="C31" s="9"/>
      <c r="D31" s="9"/>
      <c r="E31" s="9"/>
      <c r="F31" s="9"/>
      <c r="G31" s="9"/>
      <c r="H31" s="9"/>
      <c r="I31" s="9"/>
      <c r="J31" s="9"/>
      <c r="K31" s="9"/>
      <c r="L31" s="9"/>
      <c r="M31" s="9"/>
      <c r="N31" s="9"/>
      <c r="O31" s="9"/>
      <c r="P31" s="9"/>
      <c r="Q31" s="9"/>
      <c r="R31" s="9"/>
      <c r="S31" s="9"/>
      <c r="T31" s="9"/>
      <c r="U31" s="9"/>
      <c r="V31" s="9"/>
      <c r="W31" s="9"/>
      <c r="X31" s="9"/>
      <c r="Y31" s="9"/>
      <c r="Z31" s="9"/>
      <c r="AA31" s="9"/>
      <c r="AB31" s="9"/>
      <c r="AC31" s="9"/>
      <c r="AD31" s="9"/>
      <c r="AE31" s="9"/>
      <c r="AF31" s="9"/>
      <c r="AG31" s="9"/>
      <c r="AH31" s="9"/>
      <c r="AI31" s="9"/>
    </row>
  </sheetData>
  <mergeCells count="13">
    <mergeCell ref="E9:M9"/>
    <mergeCell ref="N9:U9"/>
    <mergeCell ref="V9:Y9"/>
    <mergeCell ref="Z9:AI9"/>
    <mergeCell ref="E10:F10"/>
    <mergeCell ref="H10:I10"/>
    <mergeCell ref="K10:L10"/>
    <mergeCell ref="N10:O10"/>
    <mergeCell ref="S10:T10"/>
    <mergeCell ref="W10:X10"/>
    <mergeCell ref="Z10:AA10"/>
    <mergeCell ref="AC10:AD10"/>
    <mergeCell ref="AF10:AG10"/>
  </mergeCells>
  <hyperlinks>
    <hyperlink ref="L6" r:id="rId2" display="https://www.windturbinestar.com/10kwh-aeolos-wind-turbine.html"/>
    <hyperlink ref="L8" r:id="rId3" display="https://www.windturbinestar.com/300w-vertical-wind-turbine.html"/>
  </hyperlink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4"/>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J29"/>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F2" activeCellId="0" sqref="F2"/>
    </sheetView>
  </sheetViews>
  <sheetFormatPr defaultColWidth="10.54296875" defaultRowHeight="14.25" zeroHeight="false" outlineLevelRow="0" outlineLevelCol="0"/>
  <cols>
    <col collapsed="false" customWidth="true" hidden="false" outlineLevel="0" max="1" min="1" style="0" width="7.54"/>
    <col collapsed="false" customWidth="true" hidden="false" outlineLevel="0" max="2" min="2" style="0" width="26.45"/>
    <col collapsed="false" customWidth="true" hidden="false" outlineLevel="0" max="3" min="3" style="0" width="8.45"/>
    <col collapsed="false" customWidth="true" hidden="false" outlineLevel="0" max="4" min="4" style="0" width="4.91"/>
    <col collapsed="false" customWidth="true" hidden="false" outlineLevel="0" max="5" min="5" style="0" width="11.36"/>
    <col collapsed="false" customWidth="true" hidden="false" outlineLevel="0" max="6" min="6" style="0" width="3.91"/>
    <col collapsed="false" customWidth="true" hidden="false" outlineLevel="0" max="10" min="7" style="0" width="4.73"/>
    <col collapsed="false" customWidth="true" hidden="false" outlineLevel="0" max="11" min="11" style="0" width="56"/>
    <col collapsed="false" customWidth="true" hidden="false" outlineLevel="0" max="12" min="12" style="0" width="14.63"/>
    <col collapsed="false" customWidth="true" hidden="false" outlineLevel="0" max="13" min="13" style="0" width="4.73"/>
    <col collapsed="false" customWidth="true" hidden="false" outlineLevel="0" max="14" min="14" style="0" width="33.47"/>
    <col collapsed="false" customWidth="true" hidden="false" outlineLevel="0" max="15" min="15" style="0" width="7.46"/>
    <col collapsed="false" customWidth="true" hidden="false" outlineLevel="0" max="16" min="16" style="0" width="5.18"/>
    <col collapsed="false" customWidth="true" hidden="false" outlineLevel="0" max="17" min="17" style="0" width="16.63"/>
    <col collapsed="false" customWidth="true" hidden="false" outlineLevel="0" max="19" min="19" style="0" width="5.18"/>
    <col collapsed="false" customWidth="true" hidden="false" outlineLevel="0" max="20" min="20" style="0" width="11.82"/>
    <col collapsed="false" customWidth="true" hidden="false" outlineLevel="0" max="21" min="21" style="0" width="17.91"/>
    <col collapsed="false" customWidth="true" hidden="false" outlineLevel="0" max="22" min="22" style="0" width="8.82"/>
    <col collapsed="false" customWidth="true" hidden="false" outlineLevel="0" max="23" min="23" style="0" width="5.18"/>
    <col collapsed="false" customWidth="true" hidden="false" outlineLevel="0" max="24" min="24" style="0" width="12.63"/>
    <col collapsed="false" customWidth="true" hidden="false" outlineLevel="0" max="25" min="25" style="0" width="7.36"/>
    <col collapsed="false" customWidth="true" hidden="false" outlineLevel="0" max="26" min="26" style="0" width="4.73"/>
    <col collapsed="false" customWidth="true" hidden="false" outlineLevel="0" max="27" min="27" style="0" width="12.36"/>
    <col collapsed="false" customWidth="true" hidden="false" outlineLevel="0" max="28" min="28" style="0" width="7.73"/>
    <col collapsed="false" customWidth="true" hidden="false" outlineLevel="0" max="29" min="29" style="0" width="4.73"/>
    <col collapsed="false" customWidth="true" hidden="false" outlineLevel="0" max="30" min="30" style="0" width="9.36"/>
    <col collapsed="false" customWidth="true" hidden="false" outlineLevel="0" max="31" min="31" style="0" width="7.82"/>
    <col collapsed="false" customWidth="true" hidden="false" outlineLevel="0" max="32" min="32" style="0" width="4.73"/>
    <col collapsed="false" customWidth="true" hidden="false" outlineLevel="0" max="33" min="33" style="0" width="21.72"/>
    <col collapsed="false" customWidth="true" hidden="false" outlineLevel="0" max="34" min="34" style="0" width="7.36"/>
    <col collapsed="false" customWidth="true" hidden="false" outlineLevel="0" max="35" min="35" style="0" width="4.73"/>
    <col collapsed="false" customWidth="true" hidden="false" outlineLevel="0" max="36" min="36" style="0" width="14.72"/>
  </cols>
  <sheetData>
    <row r="1" customFormat="false" ht="19.7" hidden="false" customHeight="false" outlineLevel="0" collapsed="false">
      <c r="A1" s="0" t="s">
        <v>84</v>
      </c>
      <c r="B1" s="12"/>
      <c r="F1" s="0" t="s">
        <v>84</v>
      </c>
    </row>
    <row r="2" customFormat="false" ht="21" hidden="false" customHeight="false" outlineLevel="0" collapsed="false">
      <c r="B2" s="12" t="s">
        <v>272</v>
      </c>
      <c r="D2" s="0" t="s">
        <v>273</v>
      </c>
      <c r="L2" s="0" t="s">
        <v>274</v>
      </c>
    </row>
    <row r="3" customFormat="false" ht="21" hidden="false" customHeight="false" outlineLevel="0" collapsed="false">
      <c r="B3" s="12"/>
    </row>
    <row r="4" customFormat="false" ht="15" hidden="false" customHeight="false" outlineLevel="0" collapsed="false">
      <c r="B4" s="63" t="s">
        <v>275</v>
      </c>
      <c r="C4" s="64" t="s">
        <v>276</v>
      </c>
    </row>
    <row r="5" customFormat="false" ht="15" hidden="false" customHeight="false" outlineLevel="0" collapsed="false">
      <c r="B5" s="63" t="s">
        <v>277</v>
      </c>
      <c r="C5" s="64"/>
    </row>
    <row r="6" customFormat="false" ht="21" hidden="false" customHeight="false" outlineLevel="0" collapsed="false">
      <c r="B6" s="12"/>
    </row>
    <row r="7" customFormat="false" ht="18" hidden="false" customHeight="false" outlineLevel="0" collapsed="false">
      <c r="E7" s="13" t="s">
        <v>86</v>
      </c>
      <c r="F7" s="13"/>
      <c r="G7" s="13"/>
      <c r="H7" s="13"/>
      <c r="I7" s="13"/>
      <c r="J7" s="13"/>
      <c r="K7" s="13"/>
      <c r="L7" s="13"/>
      <c r="M7" s="13"/>
      <c r="N7" s="14" t="s">
        <v>87</v>
      </c>
      <c r="O7" s="14"/>
      <c r="P7" s="14"/>
      <c r="Q7" s="14"/>
      <c r="R7" s="14"/>
      <c r="S7" s="14"/>
      <c r="T7" s="15" t="s">
        <v>88</v>
      </c>
      <c r="U7" s="15"/>
      <c r="V7" s="15"/>
      <c r="W7" s="15"/>
      <c r="X7" s="16" t="s">
        <v>89</v>
      </c>
      <c r="Y7" s="16"/>
      <c r="Z7" s="16"/>
      <c r="AA7" s="16"/>
      <c r="AB7" s="16"/>
      <c r="AC7" s="16"/>
      <c r="AD7" s="16"/>
      <c r="AE7" s="16"/>
      <c r="AF7" s="16"/>
      <c r="AG7" s="16"/>
      <c r="AH7" s="17"/>
      <c r="AI7" s="17"/>
    </row>
    <row r="8" customFormat="false" ht="28.5" hidden="false" customHeight="true" outlineLevel="0" collapsed="false">
      <c r="A8" s="9" t="s">
        <v>90</v>
      </c>
      <c r="B8" s="9" t="s">
        <v>91</v>
      </c>
      <c r="C8" s="9" t="s">
        <v>92</v>
      </c>
      <c r="D8" s="18" t="s">
        <v>93</v>
      </c>
      <c r="E8" s="19" t="s">
        <v>94</v>
      </c>
      <c r="F8" s="19"/>
      <c r="G8" s="20" t="s">
        <v>93</v>
      </c>
      <c r="H8" s="19" t="s">
        <v>95</v>
      </c>
      <c r="I8" s="19"/>
      <c r="J8" s="20" t="s">
        <v>93</v>
      </c>
      <c r="K8" s="21" t="s">
        <v>96</v>
      </c>
      <c r="L8" s="21"/>
      <c r="M8" s="20" t="s">
        <v>93</v>
      </c>
      <c r="N8" s="22" t="s">
        <v>97</v>
      </c>
      <c r="O8" s="22"/>
      <c r="P8" s="23" t="s">
        <v>93</v>
      </c>
      <c r="Q8" s="24" t="s">
        <v>98</v>
      </c>
      <c r="R8" s="24"/>
      <c r="S8" s="23" t="s">
        <v>93</v>
      </c>
      <c r="T8" s="25" t="s">
        <v>99</v>
      </c>
      <c r="U8" s="26" t="s">
        <v>100</v>
      </c>
      <c r="V8" s="26"/>
      <c r="W8" s="27" t="s">
        <v>93</v>
      </c>
      <c r="X8" s="28" t="s">
        <v>101</v>
      </c>
      <c r="Y8" s="28"/>
      <c r="Z8" s="29" t="s">
        <v>93</v>
      </c>
      <c r="AA8" s="28" t="s">
        <v>102</v>
      </c>
      <c r="AB8" s="28"/>
      <c r="AC8" s="29" t="s">
        <v>93</v>
      </c>
      <c r="AD8" s="28" t="s">
        <v>103</v>
      </c>
      <c r="AE8" s="28"/>
      <c r="AF8" s="29" t="s">
        <v>93</v>
      </c>
      <c r="AG8" s="30" t="s">
        <v>104</v>
      </c>
      <c r="AH8" s="31"/>
      <c r="AI8" s="23"/>
      <c r="AJ8" s="9"/>
    </row>
    <row r="9" s="2" customFormat="true" ht="15" hidden="false" customHeight="true" outlineLevel="0" collapsed="false">
      <c r="B9" s="2" t="s">
        <v>278</v>
      </c>
      <c r="C9" s="2" t="n">
        <v>27</v>
      </c>
      <c r="D9" s="2" t="s">
        <v>279</v>
      </c>
      <c r="K9" s="58" t="s">
        <v>280</v>
      </c>
      <c r="N9" s="2" t="s">
        <v>112</v>
      </c>
      <c r="O9" s="2" t="n">
        <f aca="false">0.047/1000*500</f>
        <v>0.0235</v>
      </c>
      <c r="P9" s="2" t="s">
        <v>158</v>
      </c>
    </row>
    <row r="10" customFormat="false" ht="14.25" hidden="false" customHeight="false" outlineLevel="0" collapsed="false">
      <c r="A10" s="2"/>
      <c r="B10" s="2" t="s">
        <v>281</v>
      </c>
      <c r="C10" s="2" t="n">
        <v>15</v>
      </c>
      <c r="D10" s="2" t="s">
        <v>279</v>
      </c>
      <c r="E10" s="2"/>
      <c r="F10" s="2"/>
      <c r="G10" s="2"/>
      <c r="H10" s="2"/>
      <c r="I10" s="2"/>
      <c r="J10" s="2"/>
      <c r="K10" s="2" t="s">
        <v>282</v>
      </c>
      <c r="L10" s="2"/>
      <c r="M10" s="2"/>
      <c r="N10" s="2"/>
      <c r="O10" s="2"/>
      <c r="P10" s="2"/>
      <c r="Q10" s="2"/>
      <c r="R10" s="2"/>
      <c r="S10" s="2"/>
      <c r="T10" s="2"/>
      <c r="U10" s="2"/>
      <c r="V10" s="2"/>
      <c r="W10" s="2"/>
      <c r="X10" s="2"/>
      <c r="Y10" s="2"/>
      <c r="Z10" s="2"/>
      <c r="AA10" s="2"/>
      <c r="AB10" s="2"/>
      <c r="AC10" s="2"/>
      <c r="AD10" s="2"/>
      <c r="AE10" s="2"/>
      <c r="AF10" s="2"/>
      <c r="AG10" s="2"/>
      <c r="AH10" s="2"/>
    </row>
    <row r="11" customFormat="false" ht="14.25" hidden="false" customHeight="false" outlineLevel="0" collapsed="false">
      <c r="A11" s="2"/>
      <c r="B11" s="2" t="s">
        <v>283</v>
      </c>
      <c r="C11" s="2" t="n">
        <v>5</v>
      </c>
      <c r="D11" s="2" t="s">
        <v>279</v>
      </c>
      <c r="E11" s="2"/>
      <c r="F11" s="2"/>
      <c r="G11" s="2"/>
      <c r="H11" s="2"/>
      <c r="I11" s="2"/>
      <c r="J11" s="2"/>
      <c r="K11" s="2" t="s">
        <v>284</v>
      </c>
      <c r="L11" s="2"/>
      <c r="M11" s="2"/>
      <c r="N11" s="2"/>
      <c r="O11" s="2"/>
      <c r="P11" s="2"/>
      <c r="Q11" s="2"/>
      <c r="R11" s="2"/>
      <c r="S11" s="2"/>
      <c r="T11" s="2"/>
      <c r="U11" s="2"/>
      <c r="V11" s="2"/>
      <c r="W11" s="2"/>
      <c r="X11" s="2"/>
      <c r="Y11" s="2"/>
      <c r="Z11" s="2"/>
      <c r="AA11" s="2"/>
      <c r="AB11" s="2"/>
      <c r="AC11" s="2"/>
      <c r="AD11" s="2"/>
      <c r="AE11" s="2"/>
      <c r="AF11" s="2"/>
      <c r="AG11" s="2"/>
      <c r="AH11" s="2"/>
    </row>
    <row r="12" customFormat="false" ht="14.25" hidden="false" customHeight="false" outlineLevel="0" collapsed="false">
      <c r="A12" s="2"/>
      <c r="B12" s="2" t="s">
        <v>285</v>
      </c>
      <c r="C12" s="74" t="n">
        <v>1E-010</v>
      </c>
      <c r="D12" s="2" t="s">
        <v>245</v>
      </c>
      <c r="E12" s="2"/>
      <c r="F12" s="2"/>
      <c r="G12" s="2"/>
      <c r="H12" s="2"/>
      <c r="I12" s="2"/>
      <c r="J12" s="2"/>
      <c r="K12" s="2" t="s">
        <v>286</v>
      </c>
      <c r="L12" s="2"/>
      <c r="M12" s="2"/>
      <c r="N12" s="2"/>
      <c r="O12" s="2"/>
      <c r="P12" s="2"/>
      <c r="Q12" s="2"/>
      <c r="R12" s="2"/>
      <c r="S12" s="2"/>
      <c r="T12" s="2"/>
      <c r="U12" s="2"/>
      <c r="V12" s="2"/>
      <c r="W12" s="2"/>
      <c r="X12" s="2"/>
      <c r="Y12" s="2"/>
      <c r="Z12" s="2"/>
      <c r="AA12" s="2"/>
      <c r="AB12" s="2"/>
      <c r="AC12" s="2"/>
      <c r="AD12" s="2"/>
      <c r="AE12" s="2"/>
      <c r="AF12" s="2"/>
      <c r="AG12" s="2"/>
      <c r="AH12" s="2"/>
    </row>
    <row r="13" customFormat="false" ht="14.25" hidden="false" customHeight="false" outlineLevel="0" collapsed="false">
      <c r="A13" s="37"/>
      <c r="B13" s="2" t="s">
        <v>287</v>
      </c>
      <c r="C13" s="2" t="n">
        <v>5</v>
      </c>
      <c r="D13" s="2" t="s">
        <v>167</v>
      </c>
      <c r="E13" s="2"/>
      <c r="F13" s="2"/>
      <c r="G13" s="2"/>
      <c r="H13" s="2"/>
      <c r="I13" s="2"/>
      <c r="J13" s="2"/>
      <c r="K13" s="2" t="s">
        <v>288</v>
      </c>
      <c r="L13" s="2"/>
      <c r="M13" s="2"/>
      <c r="N13" s="2"/>
      <c r="O13" s="2"/>
      <c r="P13" s="2"/>
      <c r="Q13" s="2"/>
      <c r="R13" s="2"/>
      <c r="S13" s="2"/>
      <c r="T13" s="2"/>
      <c r="U13" s="2"/>
      <c r="V13" s="2"/>
      <c r="W13" s="2"/>
      <c r="X13" s="2"/>
      <c r="Y13" s="2"/>
      <c r="Z13" s="2"/>
      <c r="AA13" s="2"/>
      <c r="AB13" s="2"/>
      <c r="AC13" s="2"/>
      <c r="AD13" s="2"/>
      <c r="AE13" s="2"/>
      <c r="AF13" s="2"/>
      <c r="AG13" s="2"/>
      <c r="AH13" s="2"/>
    </row>
    <row r="14" customFormat="false" ht="14.25" hidden="false" customHeight="false" outlineLevel="0" collapsed="false">
      <c r="A14" s="2"/>
      <c r="B14" s="2"/>
      <c r="C14" s="2"/>
      <c r="D14" s="2"/>
      <c r="E14" s="2"/>
      <c r="F14" s="2"/>
      <c r="G14" s="2"/>
      <c r="H14" s="2"/>
      <c r="I14" s="2"/>
      <c r="J14" s="2"/>
      <c r="K14" s="2"/>
      <c r="L14" s="2"/>
      <c r="M14" s="2"/>
      <c r="N14" s="2"/>
      <c r="O14" s="2"/>
      <c r="P14" s="2"/>
      <c r="Q14" s="2"/>
      <c r="R14" s="2"/>
      <c r="S14" s="2"/>
      <c r="T14" s="2"/>
      <c r="U14" s="2"/>
      <c r="V14" s="2"/>
      <c r="W14" s="2"/>
      <c r="X14" s="2"/>
      <c r="Y14" s="2"/>
      <c r="Z14" s="2"/>
      <c r="AA14" s="2"/>
      <c r="AB14" s="2"/>
      <c r="AC14" s="2"/>
      <c r="AD14" s="2"/>
      <c r="AE14" s="2"/>
      <c r="AF14" s="2"/>
      <c r="AG14" s="2"/>
      <c r="AH14" s="2"/>
    </row>
    <row r="15" customFormat="false" ht="14.25" hidden="false" customHeight="false" outlineLevel="0" collapsed="false">
      <c r="A15" s="2"/>
      <c r="B15" s="2"/>
      <c r="C15" s="2"/>
      <c r="D15" s="2"/>
      <c r="E15" s="2"/>
      <c r="F15" s="2"/>
      <c r="G15" s="2"/>
      <c r="H15" s="2"/>
      <c r="I15" s="2"/>
      <c r="J15" s="2"/>
      <c r="K15" s="2"/>
      <c r="L15" s="2"/>
      <c r="M15" s="2"/>
      <c r="N15" s="2"/>
      <c r="O15" s="2"/>
      <c r="P15" s="2"/>
      <c r="Q15" s="2"/>
      <c r="R15" s="2"/>
      <c r="S15" s="2"/>
      <c r="T15" s="2"/>
      <c r="U15" s="2"/>
      <c r="V15" s="2"/>
      <c r="W15" s="2"/>
      <c r="X15" s="2"/>
      <c r="Y15" s="2"/>
      <c r="Z15" s="2"/>
      <c r="AA15" s="2"/>
      <c r="AB15" s="2"/>
      <c r="AC15" s="2"/>
      <c r="AD15" s="2"/>
      <c r="AE15" s="2"/>
      <c r="AF15" s="2"/>
      <c r="AG15" s="2"/>
      <c r="AH15" s="2"/>
    </row>
    <row r="16" customFormat="false" ht="14.25" hidden="false" customHeight="false" outlineLevel="0" collapsed="false">
      <c r="A16" s="2"/>
      <c r="B16" s="2"/>
      <c r="C16" s="2"/>
      <c r="D16" s="2"/>
      <c r="E16" s="2"/>
      <c r="F16" s="2"/>
      <c r="G16" s="2"/>
      <c r="H16" s="2"/>
      <c r="I16" s="2"/>
      <c r="J16" s="2"/>
      <c r="K16" s="2"/>
      <c r="L16" s="2"/>
      <c r="M16" s="2"/>
      <c r="N16" s="2"/>
      <c r="O16" s="2"/>
      <c r="P16" s="2"/>
      <c r="Q16" s="2"/>
      <c r="R16" s="2"/>
      <c r="S16" s="2"/>
      <c r="T16" s="2"/>
      <c r="U16" s="2"/>
      <c r="V16" s="2"/>
      <c r="W16" s="2"/>
      <c r="X16" s="2"/>
      <c r="Y16" s="2"/>
      <c r="Z16" s="2"/>
      <c r="AA16" s="2"/>
      <c r="AB16" s="2"/>
      <c r="AC16" s="2"/>
      <c r="AD16" s="2"/>
      <c r="AE16" s="2"/>
      <c r="AF16" s="2"/>
      <c r="AG16" s="2"/>
      <c r="AH16" s="2"/>
    </row>
    <row r="17" customFormat="false" ht="14.25" hidden="false" customHeight="false" outlineLevel="0" collapsed="false">
      <c r="A17" s="2"/>
      <c r="B17" s="2"/>
      <c r="C17" s="2"/>
      <c r="D17" s="2"/>
      <c r="E17" s="2"/>
      <c r="F17" s="2"/>
      <c r="G17" s="2"/>
      <c r="H17" s="2"/>
      <c r="I17" s="2"/>
      <c r="J17" s="2"/>
      <c r="K17" s="2"/>
      <c r="L17" s="2"/>
      <c r="M17" s="2"/>
      <c r="N17" s="2"/>
      <c r="O17" s="2"/>
      <c r="P17" s="2"/>
      <c r="Q17" s="2"/>
      <c r="R17" s="2"/>
      <c r="S17" s="2"/>
      <c r="T17" s="2"/>
      <c r="U17" s="2"/>
      <c r="V17" s="2"/>
      <c r="W17" s="2"/>
      <c r="X17" s="2"/>
      <c r="Y17" s="2"/>
      <c r="Z17" s="2"/>
      <c r="AA17" s="2"/>
      <c r="AB17" s="2"/>
      <c r="AC17" s="2"/>
      <c r="AD17" s="2"/>
      <c r="AE17" s="2"/>
      <c r="AF17" s="2"/>
      <c r="AG17" s="2"/>
      <c r="AH17" s="2"/>
    </row>
    <row r="18" customFormat="false" ht="14.25" hidden="false" customHeight="false" outlineLevel="0" collapsed="false">
      <c r="A18" s="37"/>
      <c r="B18" s="2"/>
      <c r="C18" s="2"/>
      <c r="D18" s="2"/>
      <c r="E18" s="2"/>
      <c r="F18" s="2"/>
      <c r="G18" s="2"/>
      <c r="H18" s="2"/>
      <c r="I18" s="2"/>
      <c r="J18" s="2"/>
      <c r="K18" s="2"/>
      <c r="L18" s="2"/>
      <c r="M18" s="2"/>
      <c r="N18" s="2"/>
      <c r="O18" s="2"/>
      <c r="P18" s="2"/>
      <c r="Q18" s="2"/>
      <c r="R18" s="2"/>
      <c r="S18" s="2"/>
      <c r="T18" s="2"/>
      <c r="U18" s="2"/>
      <c r="V18" s="2"/>
      <c r="W18" s="2"/>
      <c r="X18" s="2"/>
      <c r="Y18" s="2"/>
      <c r="Z18" s="2"/>
      <c r="AA18" s="2"/>
      <c r="AB18" s="2"/>
      <c r="AC18" s="2"/>
      <c r="AD18" s="2"/>
      <c r="AE18" s="2"/>
      <c r="AF18" s="2"/>
      <c r="AG18" s="2"/>
      <c r="AH18" s="2"/>
    </row>
    <row r="19" customFormat="false" ht="14.25" hidden="false" customHeight="false" outlineLevel="0" collapsed="false">
      <c r="A19" s="2"/>
      <c r="B19" s="2"/>
      <c r="C19" s="2"/>
      <c r="D19" s="2"/>
      <c r="E19" s="2"/>
      <c r="F19" s="2"/>
      <c r="G19" s="2"/>
      <c r="H19" s="2"/>
      <c r="I19" s="2"/>
      <c r="J19" s="2"/>
      <c r="K19" s="2"/>
      <c r="L19" s="2"/>
      <c r="M19" s="2"/>
      <c r="N19" s="2"/>
      <c r="O19" s="2"/>
      <c r="P19" s="2"/>
      <c r="Q19" s="2"/>
      <c r="R19" s="2"/>
      <c r="S19" s="2"/>
      <c r="T19" s="2"/>
      <c r="U19" s="2"/>
      <c r="V19" s="2"/>
      <c r="W19" s="2"/>
      <c r="X19" s="2"/>
      <c r="Y19" s="2"/>
      <c r="Z19" s="2"/>
      <c r="AA19" s="2"/>
      <c r="AB19" s="2"/>
      <c r="AC19" s="2"/>
      <c r="AD19" s="2"/>
      <c r="AE19" s="2"/>
      <c r="AF19" s="2"/>
      <c r="AG19" s="2"/>
      <c r="AH19" s="2"/>
    </row>
    <row r="20" customFormat="false" ht="14.25" hidden="false" customHeight="false" outlineLevel="0" collapsed="false">
      <c r="A20" s="2"/>
      <c r="B20" s="2"/>
      <c r="C20" s="2"/>
      <c r="D20" s="2"/>
      <c r="E20" s="2"/>
      <c r="F20" s="2"/>
      <c r="G20" s="2"/>
      <c r="H20" s="2"/>
      <c r="I20" s="2"/>
      <c r="J20" s="2"/>
      <c r="K20" s="2"/>
      <c r="L20" s="2"/>
      <c r="M20" s="2"/>
      <c r="N20" s="2"/>
      <c r="O20" s="2"/>
      <c r="P20" s="2"/>
      <c r="Q20" s="2"/>
      <c r="R20" s="2"/>
      <c r="S20" s="2"/>
      <c r="T20" s="2"/>
      <c r="U20" s="2"/>
      <c r="V20" s="2"/>
      <c r="W20" s="2"/>
      <c r="X20" s="2"/>
      <c r="Y20" s="2"/>
      <c r="Z20" s="2"/>
      <c r="AA20" s="2"/>
      <c r="AB20" s="2"/>
      <c r="AC20" s="2"/>
      <c r="AD20" s="2"/>
      <c r="AE20" s="2"/>
      <c r="AF20" s="2"/>
      <c r="AG20" s="2"/>
      <c r="AH20" s="2"/>
    </row>
    <row r="21" customFormat="false" ht="14.25" hidden="false" customHeight="false" outlineLevel="0" collapsed="false">
      <c r="A21" s="2"/>
      <c r="B21" s="2"/>
      <c r="C21" s="2"/>
      <c r="D21" s="2"/>
      <c r="E21" s="2"/>
      <c r="F21" s="2"/>
      <c r="G21" s="2"/>
      <c r="H21" s="2"/>
      <c r="I21" s="2"/>
      <c r="J21" s="2"/>
      <c r="K21" s="2"/>
      <c r="L21" s="2"/>
      <c r="M21" s="2"/>
      <c r="N21" s="2"/>
      <c r="O21" s="2"/>
      <c r="P21" s="2"/>
      <c r="Q21" s="2"/>
      <c r="R21" s="2"/>
      <c r="S21" s="2"/>
      <c r="T21" s="2"/>
      <c r="U21" s="2"/>
      <c r="V21" s="2"/>
      <c r="W21" s="2"/>
      <c r="X21" s="2"/>
      <c r="Y21" s="2"/>
      <c r="Z21" s="2"/>
      <c r="AA21" s="2"/>
      <c r="AB21" s="2"/>
      <c r="AC21" s="2"/>
      <c r="AD21" s="2"/>
      <c r="AE21" s="2"/>
      <c r="AF21" s="2"/>
      <c r="AG21" s="2"/>
      <c r="AH21" s="2"/>
    </row>
    <row r="22" customFormat="false" ht="14.25" hidden="false" customHeight="false" outlineLevel="0" collapsed="false">
      <c r="A22" s="2"/>
      <c r="B22" s="2"/>
      <c r="C22" s="2"/>
      <c r="D22" s="2"/>
      <c r="E22" s="2"/>
      <c r="F22" s="2"/>
      <c r="G22" s="2"/>
      <c r="H22" s="2"/>
      <c r="I22" s="2"/>
      <c r="J22" s="2"/>
      <c r="K22" s="2"/>
      <c r="L22" s="2"/>
      <c r="M22" s="2"/>
      <c r="N22" s="2"/>
      <c r="O22" s="2"/>
      <c r="P22" s="2"/>
      <c r="Q22" s="2"/>
      <c r="R22" s="2"/>
      <c r="S22" s="2"/>
      <c r="T22" s="2"/>
      <c r="U22" s="2"/>
      <c r="V22" s="2"/>
      <c r="W22" s="2"/>
      <c r="X22" s="2"/>
      <c r="Y22" s="2"/>
      <c r="Z22" s="2"/>
      <c r="AA22" s="2"/>
      <c r="AB22" s="2"/>
      <c r="AC22" s="2"/>
      <c r="AD22" s="2"/>
      <c r="AE22" s="2"/>
      <c r="AF22" s="2"/>
      <c r="AG22" s="2"/>
      <c r="AH22" s="2"/>
    </row>
    <row r="23" customFormat="false" ht="14.25" hidden="false" customHeight="false" outlineLevel="0" collapsed="false">
      <c r="A23" s="2"/>
      <c r="B23" s="2"/>
      <c r="C23" s="2"/>
      <c r="D23" s="2"/>
      <c r="E23" s="2"/>
      <c r="F23" s="2"/>
      <c r="G23" s="2"/>
      <c r="H23" s="2"/>
      <c r="I23" s="2"/>
      <c r="J23" s="2"/>
      <c r="K23" s="2"/>
      <c r="L23" s="2"/>
      <c r="M23" s="2"/>
      <c r="N23" s="2"/>
      <c r="O23" s="2"/>
      <c r="P23" s="2"/>
      <c r="Q23" s="2"/>
      <c r="R23" s="2"/>
      <c r="S23" s="2"/>
      <c r="T23" s="2"/>
      <c r="U23" s="2"/>
      <c r="V23" s="2"/>
      <c r="W23" s="2"/>
      <c r="X23" s="2"/>
      <c r="Y23" s="2"/>
      <c r="Z23" s="2"/>
      <c r="AA23" s="2"/>
      <c r="AB23" s="2"/>
      <c r="AC23" s="2"/>
      <c r="AD23" s="2"/>
      <c r="AE23" s="2"/>
      <c r="AF23" s="2"/>
      <c r="AG23" s="2"/>
      <c r="AH23" s="2"/>
    </row>
    <row r="24" customFormat="false" ht="14.25" hidden="false" customHeight="false" outlineLevel="0" collapsed="false">
      <c r="A24" s="2"/>
      <c r="B24" s="2"/>
      <c r="C24" s="2"/>
      <c r="D24" s="2"/>
      <c r="E24" s="2"/>
      <c r="F24" s="2"/>
      <c r="G24" s="2"/>
      <c r="H24" s="2"/>
      <c r="I24" s="2"/>
      <c r="J24" s="2"/>
      <c r="K24" s="2"/>
      <c r="L24" s="2"/>
      <c r="M24" s="2"/>
      <c r="N24" s="2"/>
      <c r="O24" s="2"/>
      <c r="P24" s="2"/>
      <c r="Q24" s="2"/>
      <c r="R24" s="2"/>
      <c r="S24" s="2"/>
      <c r="T24" s="2"/>
      <c r="U24" s="2"/>
      <c r="V24" s="2"/>
      <c r="W24" s="2"/>
      <c r="X24" s="2"/>
      <c r="Y24" s="2"/>
      <c r="Z24" s="2"/>
      <c r="AA24" s="2"/>
      <c r="AB24" s="2"/>
      <c r="AC24" s="2"/>
      <c r="AD24" s="2"/>
      <c r="AE24" s="2"/>
      <c r="AF24" s="2"/>
      <c r="AG24" s="2"/>
      <c r="AH24" s="2"/>
    </row>
    <row r="25" customFormat="false" ht="14.25" hidden="false" customHeight="false" outlineLevel="0" collapsed="false">
      <c r="A25" s="2"/>
      <c r="B25" s="2"/>
      <c r="C25" s="2"/>
      <c r="D25" s="2"/>
      <c r="E25" s="2"/>
      <c r="F25" s="2"/>
      <c r="G25" s="2"/>
      <c r="H25" s="2"/>
      <c r="I25" s="2"/>
      <c r="J25" s="2"/>
      <c r="K25" s="2"/>
      <c r="L25" s="2"/>
      <c r="M25" s="2"/>
      <c r="N25" s="2"/>
      <c r="O25" s="2"/>
      <c r="P25" s="2"/>
      <c r="Q25" s="2"/>
      <c r="R25" s="2"/>
      <c r="S25" s="2"/>
      <c r="T25" s="2"/>
      <c r="U25" s="2"/>
      <c r="V25" s="2"/>
      <c r="W25" s="2"/>
      <c r="X25" s="2"/>
      <c r="Y25" s="2"/>
      <c r="Z25" s="2"/>
      <c r="AA25" s="2"/>
      <c r="AB25" s="2"/>
      <c r="AC25" s="2"/>
      <c r="AD25" s="2"/>
      <c r="AE25" s="2"/>
      <c r="AF25" s="2"/>
      <c r="AG25" s="2"/>
      <c r="AH25" s="2"/>
    </row>
    <row r="26" customFormat="false" ht="14.25" hidden="false" customHeight="false" outlineLevel="0" collapsed="false">
      <c r="A26" s="2"/>
      <c r="B26" s="2"/>
      <c r="C26" s="2"/>
      <c r="D26" s="2"/>
      <c r="E26" s="2"/>
      <c r="F26" s="2"/>
      <c r="G26" s="2"/>
      <c r="H26" s="2"/>
      <c r="I26" s="2"/>
      <c r="J26" s="2"/>
      <c r="K26" s="2"/>
      <c r="L26" s="2"/>
      <c r="M26" s="2"/>
      <c r="N26" s="2"/>
      <c r="O26" s="2"/>
      <c r="P26" s="2"/>
      <c r="Q26" s="2"/>
      <c r="R26" s="2"/>
      <c r="S26" s="2"/>
      <c r="T26" s="2"/>
      <c r="U26" s="2"/>
      <c r="V26" s="2"/>
      <c r="W26" s="2"/>
      <c r="X26" s="2"/>
      <c r="Y26" s="2"/>
      <c r="Z26" s="2"/>
      <c r="AA26" s="2"/>
      <c r="AB26" s="2"/>
      <c r="AC26" s="2"/>
      <c r="AD26" s="2"/>
      <c r="AE26" s="2"/>
      <c r="AF26" s="2"/>
      <c r="AG26" s="2"/>
      <c r="AH26" s="2"/>
    </row>
    <row r="27" customFormat="false" ht="14.25" hidden="false" customHeight="false" outlineLevel="0" collapsed="false">
      <c r="A27" s="2"/>
      <c r="B27" s="2"/>
      <c r="C27" s="2"/>
      <c r="D27" s="2"/>
      <c r="E27" s="2"/>
      <c r="F27" s="2"/>
      <c r="G27" s="2"/>
      <c r="H27" s="2"/>
      <c r="I27" s="2"/>
      <c r="J27" s="2"/>
      <c r="K27" s="2"/>
      <c r="L27" s="2"/>
      <c r="M27" s="2"/>
      <c r="N27" s="2"/>
      <c r="O27" s="2"/>
      <c r="P27" s="2"/>
      <c r="Q27" s="2"/>
      <c r="R27" s="2"/>
      <c r="S27" s="2"/>
      <c r="T27" s="2"/>
      <c r="U27" s="2"/>
      <c r="V27" s="2"/>
      <c r="W27" s="2"/>
      <c r="X27" s="2"/>
      <c r="Y27" s="2"/>
      <c r="Z27" s="2"/>
      <c r="AA27" s="2"/>
      <c r="AB27" s="2"/>
      <c r="AC27" s="2"/>
      <c r="AD27" s="2"/>
      <c r="AE27" s="2"/>
      <c r="AF27" s="2"/>
      <c r="AG27" s="2"/>
      <c r="AH27" s="2"/>
    </row>
    <row r="28" customFormat="false" ht="14.25" hidden="false" customHeight="false" outlineLevel="0" collapsed="false">
      <c r="A28" s="2"/>
      <c r="B28" s="2"/>
      <c r="C28" s="2"/>
      <c r="D28" s="2"/>
      <c r="E28" s="2"/>
      <c r="F28" s="2"/>
      <c r="G28" s="2"/>
      <c r="H28" s="2"/>
      <c r="I28" s="2"/>
      <c r="J28" s="2"/>
      <c r="K28" s="2"/>
      <c r="L28" s="2"/>
      <c r="M28" s="2"/>
      <c r="N28" s="2"/>
      <c r="O28" s="2"/>
      <c r="P28" s="2"/>
      <c r="Q28" s="2"/>
      <c r="R28" s="2"/>
      <c r="S28" s="2"/>
      <c r="T28" s="2"/>
      <c r="U28" s="2"/>
      <c r="V28" s="2"/>
      <c r="W28" s="2"/>
      <c r="X28" s="2"/>
      <c r="Y28" s="2"/>
      <c r="Z28" s="2"/>
      <c r="AA28" s="2"/>
      <c r="AB28" s="2"/>
      <c r="AC28" s="2"/>
      <c r="AD28" s="2"/>
      <c r="AE28" s="2"/>
      <c r="AF28" s="2"/>
      <c r="AG28" s="2"/>
      <c r="AH28" s="2"/>
    </row>
    <row r="29" customFormat="false" ht="14.25" hidden="false" customHeight="false" outlineLevel="0" collapsed="false">
      <c r="B29" s="9"/>
      <c r="C29" s="9"/>
      <c r="D29" s="9"/>
      <c r="E29" s="9"/>
      <c r="F29" s="9"/>
      <c r="G29" s="9"/>
      <c r="H29" s="9"/>
      <c r="I29" s="9"/>
      <c r="J29" s="9"/>
      <c r="K29" s="9"/>
      <c r="L29" s="9"/>
      <c r="M29" s="9"/>
      <c r="N29" s="9"/>
      <c r="O29" s="9"/>
      <c r="P29" s="9"/>
      <c r="Q29" s="9"/>
      <c r="R29" s="9"/>
      <c r="S29" s="9"/>
      <c r="T29" s="9"/>
      <c r="U29" s="9"/>
      <c r="V29" s="9"/>
      <c r="W29" s="9"/>
      <c r="X29" s="9"/>
      <c r="Y29" s="9"/>
      <c r="Z29" s="9"/>
      <c r="AA29" s="9"/>
      <c r="AB29" s="9"/>
      <c r="AC29" s="9"/>
      <c r="AD29" s="9"/>
      <c r="AE29" s="9"/>
      <c r="AF29" s="9"/>
      <c r="AG29" s="9"/>
    </row>
  </sheetData>
  <mergeCells count="13">
    <mergeCell ref="E7:M7"/>
    <mergeCell ref="N7:S7"/>
    <mergeCell ref="T7:W7"/>
    <mergeCell ref="X7:AG7"/>
    <mergeCell ref="E8:F8"/>
    <mergeCell ref="H8:I8"/>
    <mergeCell ref="K8:L8"/>
    <mergeCell ref="N8:O8"/>
    <mergeCell ref="Q8:R8"/>
    <mergeCell ref="U8:V8"/>
    <mergeCell ref="X8:Y8"/>
    <mergeCell ref="AA8:AB8"/>
    <mergeCell ref="AD8:AE8"/>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20"/>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2" activeCellId="0" sqref="A2"/>
    </sheetView>
  </sheetViews>
  <sheetFormatPr defaultColWidth="10.54296875" defaultRowHeight="14.25" zeroHeight="false" outlineLevelRow="0" outlineLevelCol="0"/>
  <cols>
    <col collapsed="false" customWidth="true" hidden="false" outlineLevel="0" max="2" min="2" style="0" width="25.27"/>
    <col collapsed="false" customWidth="true" hidden="false" outlineLevel="0" max="4" min="4" style="0" width="23.72"/>
  </cols>
  <sheetData>
    <row r="1" customFormat="false" ht="19.7" hidden="false" customHeight="false" outlineLevel="0" collapsed="false">
      <c r="A1" s="0" t="s">
        <v>84</v>
      </c>
      <c r="B1" s="12"/>
    </row>
    <row r="2" customFormat="false" ht="21" hidden="false" customHeight="false" outlineLevel="0" collapsed="false">
      <c r="B2" s="12" t="s">
        <v>289</v>
      </c>
    </row>
    <row r="4" customFormat="false" ht="14.25" hidden="false" customHeight="false" outlineLevel="0" collapsed="false">
      <c r="A4" s="0" t="s">
        <v>290</v>
      </c>
      <c r="C4" s="0" t="n">
        <v>50</v>
      </c>
    </row>
    <row r="5" customFormat="false" ht="14.25" hidden="false" customHeight="false" outlineLevel="0" collapsed="false">
      <c r="D5" s="75" t="s">
        <v>291</v>
      </c>
      <c r="E5" s="75"/>
    </row>
    <row r="6" customFormat="false" ht="14.25" hidden="false" customHeight="false" outlineLevel="0" collapsed="false">
      <c r="B6" s="9" t="s">
        <v>292</v>
      </c>
      <c r="C6" s="9" t="s">
        <v>268</v>
      </c>
      <c r="D6" s="9" t="s">
        <v>92</v>
      </c>
      <c r="E6" s="9" t="s">
        <v>93</v>
      </c>
    </row>
    <row r="7" customFormat="false" ht="14.25" hidden="false" customHeight="false" outlineLevel="0" collapsed="false">
      <c r="B7" s="0" t="s">
        <v>293</v>
      </c>
      <c r="C7" s="0" t="n">
        <v>30</v>
      </c>
      <c r="D7" s="4" t="n">
        <f aca="false">C4/C7-1</f>
        <v>0.666666666666667</v>
      </c>
      <c r="E7" s="0" t="s">
        <v>294</v>
      </c>
    </row>
    <row r="8" customFormat="false" ht="14.25" hidden="false" customHeight="false" outlineLevel="0" collapsed="false">
      <c r="B8" s="0" t="s">
        <v>230</v>
      </c>
      <c r="C8" s="0" t="n">
        <v>13</v>
      </c>
      <c r="D8" s="4" t="n">
        <f aca="false">C4/C8-1</f>
        <v>2.84615384615385</v>
      </c>
      <c r="E8" s="0" t="s">
        <v>294</v>
      </c>
    </row>
    <row r="9" customFormat="false" ht="14.25" hidden="false" customHeight="false" outlineLevel="0" collapsed="false">
      <c r="B9" s="0" t="s">
        <v>295</v>
      </c>
      <c r="C9" s="0" t="n">
        <v>20</v>
      </c>
      <c r="D9" s="4" t="n">
        <f aca="false">C4/C9-1</f>
        <v>1.5</v>
      </c>
      <c r="E9" s="0" t="s">
        <v>294</v>
      </c>
    </row>
    <row r="10" customFormat="false" ht="14.25" hidden="false" customHeight="false" outlineLevel="0" collapsed="false">
      <c r="B10" s="0" t="s">
        <v>296</v>
      </c>
      <c r="C10" s="0" t="n">
        <v>20</v>
      </c>
      <c r="D10" s="4" t="n">
        <f aca="false">C4/C10-1</f>
        <v>1.5</v>
      </c>
      <c r="E10" s="0" t="s">
        <v>294</v>
      </c>
    </row>
    <row r="11" customFormat="false" ht="14.25" hidden="false" customHeight="false" outlineLevel="0" collapsed="false">
      <c r="B11" s="0" t="s">
        <v>297</v>
      </c>
      <c r="C11" s="0" t="n">
        <v>50</v>
      </c>
      <c r="D11" s="4" t="n">
        <f aca="false">C4/C11-1</f>
        <v>0</v>
      </c>
      <c r="E11" s="0" t="s">
        <v>294</v>
      </c>
    </row>
    <row r="12" customFormat="false" ht="14.25" hidden="false" customHeight="false" outlineLevel="0" collapsed="false">
      <c r="B12" s="0" t="s">
        <v>298</v>
      </c>
      <c r="C12" s="0" t="n">
        <v>25</v>
      </c>
      <c r="D12" s="4" t="n">
        <f aca="false">C4/C12-1</f>
        <v>1</v>
      </c>
      <c r="E12" s="0" t="s">
        <v>294</v>
      </c>
    </row>
    <row r="13" customFormat="false" ht="14.25" hidden="false" customHeight="false" outlineLevel="0" collapsed="false">
      <c r="F13" s="9" t="s">
        <v>181</v>
      </c>
      <c r="G13" s="9" t="s">
        <v>299</v>
      </c>
      <c r="H13" s="9" t="s">
        <v>300</v>
      </c>
    </row>
    <row r="14" customFormat="false" ht="14.25" hidden="false" customHeight="false" outlineLevel="0" collapsed="false">
      <c r="B14" s="0" t="s">
        <v>301</v>
      </c>
      <c r="C14" s="0" t="s">
        <v>302</v>
      </c>
      <c r="D14" s="76" t="n">
        <v>0.1</v>
      </c>
      <c r="F14" s="4" t="n">
        <f aca="false">D14*CH50m²!C7</f>
        <v>0.18708552</v>
      </c>
      <c r="G14" s="4" t="n">
        <f aca="false">D14*EH!C7</f>
        <v>0.7388184</v>
      </c>
      <c r="H14" s="4" t="n">
        <f aca="false">D14*TH!C8</f>
        <v>0.33487236</v>
      </c>
      <c r="I14" s="0" t="s">
        <v>117</v>
      </c>
    </row>
    <row r="15" customFormat="false" ht="14.25" hidden="false" customHeight="false" outlineLevel="0" collapsed="false">
      <c r="B15" s="0" t="s">
        <v>303</v>
      </c>
      <c r="C15" s="0" t="s">
        <v>302</v>
      </c>
      <c r="D15" s="76" t="n">
        <v>0.1</v>
      </c>
      <c r="F15" s="4" t="n">
        <v>0</v>
      </c>
      <c r="G15" s="4" t="n">
        <v>0</v>
      </c>
      <c r="H15" s="4" t="n">
        <f aca="false">D15*(TH!C11+TH!C13)</f>
        <v>12.305</v>
      </c>
      <c r="I15" s="0" t="s">
        <v>124</v>
      </c>
    </row>
    <row r="16" customFormat="false" ht="14.25" hidden="false" customHeight="false" outlineLevel="0" collapsed="false">
      <c r="B16" s="0" t="s">
        <v>304</v>
      </c>
      <c r="C16" s="0" t="s">
        <v>302</v>
      </c>
      <c r="D16" s="76" t="n">
        <v>0.1</v>
      </c>
      <c r="F16" s="4" t="n">
        <f aca="false">D16*CH50m²!C8</f>
        <v>0.360696</v>
      </c>
      <c r="G16" s="4" t="n">
        <f aca="false">D16*EH!C9</f>
        <v>0.8136</v>
      </c>
      <c r="H16" s="4" t="n">
        <f aca="false">D16*TH!C14</f>
        <v>0.024804</v>
      </c>
      <c r="I16" s="0" t="s">
        <v>117</v>
      </c>
    </row>
    <row r="17" customFormat="false" ht="14.25" hidden="false" customHeight="false" outlineLevel="0" collapsed="false">
      <c r="B17" s="0" t="s">
        <v>305</v>
      </c>
      <c r="D17" s="76" t="n">
        <v>0.1</v>
      </c>
      <c r="F17" s="4" t="n">
        <v>0</v>
      </c>
      <c r="G17" s="4" t="n">
        <v>0</v>
      </c>
      <c r="H17" s="4" t="n">
        <f aca="false">D17*TH!C18</f>
        <v>0.27163974</v>
      </c>
      <c r="I17" s="0" t="s">
        <v>117</v>
      </c>
    </row>
    <row r="18" customFormat="false" ht="14.25" hidden="false" customHeight="false" outlineLevel="0" collapsed="false">
      <c r="B18" s="0" t="s">
        <v>209</v>
      </c>
      <c r="C18" s="0" t="n">
        <v>50</v>
      </c>
      <c r="D18" s="0" t="s">
        <v>302</v>
      </c>
    </row>
    <row r="19" customFormat="false" ht="14.25" hidden="false" customHeight="false" outlineLevel="0" collapsed="false">
      <c r="B19" s="0" t="s">
        <v>306</v>
      </c>
      <c r="C19" s="0" t="n">
        <v>50</v>
      </c>
      <c r="D19" s="0" t="s">
        <v>302</v>
      </c>
    </row>
    <row r="20" customFormat="false" ht="14.25" hidden="false" customHeight="false" outlineLevel="0" collapsed="false">
      <c r="B20" s="0" t="s">
        <v>307</v>
      </c>
      <c r="C20" s="0" t="n">
        <v>50</v>
      </c>
      <c r="D20" s="0" t="s">
        <v>302</v>
      </c>
    </row>
  </sheetData>
  <mergeCells count="1">
    <mergeCell ref="D5:E5"/>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33"/>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17" activeCellId="0" sqref="A17"/>
    </sheetView>
  </sheetViews>
  <sheetFormatPr defaultColWidth="9.6171875" defaultRowHeight="12" zeroHeight="false" outlineLevelRow="0" outlineLevelCol="0"/>
  <cols>
    <col collapsed="false" customWidth="true" hidden="false" outlineLevel="0" max="2" min="2" style="0" width="14.93"/>
    <col collapsed="false" customWidth="true" hidden="false" outlineLevel="0" max="3" min="3" style="0" width="14.51"/>
    <col collapsed="false" customWidth="true" hidden="false" outlineLevel="0" max="4" min="4" style="0" width="12.36"/>
    <col collapsed="false" customWidth="true" hidden="false" outlineLevel="0" max="5" min="5" style="0" width="13.35"/>
    <col collapsed="false" customWidth="true" hidden="false" outlineLevel="0" max="6" min="6" style="0" width="11.3"/>
    <col collapsed="false" customWidth="true" hidden="false" outlineLevel="0" max="7" min="7" style="0" width="11.87"/>
    <col collapsed="false" customWidth="true" hidden="false" outlineLevel="0" max="8" min="8" style="0" width="12.28"/>
    <col collapsed="false" customWidth="true" hidden="false" outlineLevel="0" max="9" min="9" style="0" width="14.74"/>
  </cols>
  <sheetData>
    <row r="1" customFormat="false" ht="12.8" hidden="false" customHeight="true" outlineLevel="0" collapsed="false">
      <c r="A1" s="77" t="s">
        <v>84</v>
      </c>
      <c r="B1" s="77"/>
      <c r="C1" s="77"/>
    </row>
    <row r="2" customFormat="false" ht="24.75" hidden="false" customHeight="true" outlineLevel="0" collapsed="false">
      <c r="A2" s="77" t="s">
        <v>308</v>
      </c>
      <c r="B2" s="77"/>
      <c r="C2" s="77"/>
    </row>
    <row r="5" customFormat="false" ht="27" hidden="false" customHeight="true" outlineLevel="0" collapsed="false">
      <c r="A5" s="0" t="s">
        <v>309</v>
      </c>
      <c r="B5" s="0" t="s">
        <v>310</v>
      </c>
      <c r="C5" s="0" t="s">
        <v>311</v>
      </c>
      <c r="D5" s="0" t="s">
        <v>312</v>
      </c>
      <c r="E5" s="0" t="s">
        <v>313</v>
      </c>
      <c r="F5" s="0" t="s">
        <v>314</v>
      </c>
      <c r="H5" s="0" t="s">
        <v>315</v>
      </c>
      <c r="I5" s="0" t="s">
        <v>316</v>
      </c>
    </row>
    <row r="6" customFormat="false" ht="12" hidden="false" customHeight="false" outlineLevel="0" collapsed="false">
      <c r="A6" s="0" t="n">
        <v>2.9</v>
      </c>
      <c r="B6" s="0" t="n">
        <v>0.4</v>
      </c>
      <c r="C6" s="0" t="n">
        <v>18.5</v>
      </c>
      <c r="D6" s="0" t="n">
        <f aca="false">A6*B6*C6</f>
        <v>21.46</v>
      </c>
      <c r="E6" s="0" t="n">
        <v>110</v>
      </c>
      <c r="F6" s="0" t="n">
        <f aca="false">D6*E6</f>
        <v>2360.6</v>
      </c>
      <c r="H6" s="0" t="n">
        <v>0.8</v>
      </c>
      <c r="I6" s="78" t="n">
        <f aca="false">C6/H6</f>
        <v>23.125</v>
      </c>
    </row>
    <row r="11" customFormat="false" ht="12.75" hidden="false" customHeight="false" outlineLevel="0" collapsed="false">
      <c r="A11" s="79" t="s">
        <v>317</v>
      </c>
    </row>
    <row r="13" customFormat="false" ht="37.5" hidden="false" customHeight="false" outlineLevel="0" collapsed="false">
      <c r="A13" s="0" t="s">
        <v>309</v>
      </c>
      <c r="B13" s="0" t="s">
        <v>310</v>
      </c>
      <c r="C13" s="0" t="s">
        <v>311</v>
      </c>
      <c r="D13" s="0" t="s">
        <v>318</v>
      </c>
      <c r="E13" s="0" t="s">
        <v>319</v>
      </c>
      <c r="F13" s="0" t="s">
        <v>320</v>
      </c>
      <c r="G13" s="0" t="s">
        <v>321</v>
      </c>
      <c r="H13" s="0" t="s">
        <v>314</v>
      </c>
      <c r="I13" s="0" t="s">
        <v>322</v>
      </c>
    </row>
    <row r="14" customFormat="false" ht="12" hidden="false" customHeight="false" outlineLevel="0" collapsed="false">
      <c r="A14" s="0" t="n">
        <v>2.9</v>
      </c>
      <c r="B14" s="0" t="n">
        <v>0.4</v>
      </c>
      <c r="C14" s="0" t="n">
        <v>0.8</v>
      </c>
      <c r="D14" s="80" t="n">
        <f aca="false">(4*0.045*0.095*2.9)+(4*0.045*0.095*(0.8-0.09))+(4*0.045*0.045*0.4)+(2*0.02*(0.4-(2*0.095))*(0.8-(2*0.045)))</f>
        <v>0.070935</v>
      </c>
      <c r="E14" s="0" t="n">
        <f aca="false">2*0.012*0.8*0.4</f>
        <v>0.00768</v>
      </c>
      <c r="F14" s="0" t="n">
        <v>500</v>
      </c>
      <c r="G14" s="81" t="n">
        <f aca="false">D14*F14</f>
        <v>35.4675</v>
      </c>
      <c r="H14" s="81" t="n">
        <f aca="false">A14*B14*(C14-0.045)*E6</f>
        <v>96.338</v>
      </c>
      <c r="I14" s="81" t="n">
        <f aca="false">G14+H14+G17+H17</f>
        <v>224.81894</v>
      </c>
    </row>
    <row r="16" customFormat="false" ht="24.75" hidden="false" customHeight="false" outlineLevel="0" collapsed="false">
      <c r="D16" s="0" t="s">
        <v>323</v>
      </c>
      <c r="E16" s="0" t="s">
        <v>324</v>
      </c>
      <c r="G16" s="0" t="s">
        <v>325</v>
      </c>
      <c r="H16" s="0" t="s">
        <v>326</v>
      </c>
    </row>
    <row r="17" customFormat="false" ht="13.8" hidden="false" customHeight="false" outlineLevel="0" collapsed="false">
      <c r="D17" s="0" t="n">
        <f aca="false">A14*C14</f>
        <v>2.32</v>
      </c>
      <c r="E17" s="0" t="n">
        <f aca="false">A14*C14*0.08</f>
        <v>0.1856</v>
      </c>
      <c r="G17" s="0" t="n">
        <f aca="false">D17*0.092</f>
        <v>0.21344</v>
      </c>
      <c r="H17" s="0" t="n">
        <f aca="false">E17*F14</f>
        <v>92.8</v>
      </c>
    </row>
    <row r="22" customFormat="false" ht="12.75" hidden="false" customHeight="false" outlineLevel="0" collapsed="false">
      <c r="R22" s="79" t="s">
        <v>327</v>
      </c>
    </row>
    <row r="23" customFormat="false" ht="25.5" hidden="false" customHeight="false" outlineLevel="0" collapsed="false">
      <c r="A23" s="82" t="s">
        <v>328</v>
      </c>
      <c r="B23" s="82" t="s">
        <v>329</v>
      </c>
      <c r="C23" s="82" t="s">
        <v>330</v>
      </c>
      <c r="D23" s="82" t="s">
        <v>331</v>
      </c>
      <c r="E23" s="82" t="s">
        <v>332</v>
      </c>
      <c r="R23" s="83" t="s">
        <v>333</v>
      </c>
    </row>
    <row r="24" customFormat="false" ht="12" hidden="false" customHeight="false" outlineLevel="0" collapsed="false">
      <c r="A24" s="0" t="n">
        <v>100</v>
      </c>
      <c r="B24" s="84" t="n">
        <f aca="false">I14/1000*A24</f>
        <v>22.481894</v>
      </c>
      <c r="C24" s="0" t="n">
        <v>50</v>
      </c>
      <c r="D24" s="0" t="n">
        <v>1500</v>
      </c>
      <c r="E24" s="84" t="n">
        <f aca="false">I14/1000*D24</f>
        <v>337.22841</v>
      </c>
      <c r="R24" s="85" t="s">
        <v>334</v>
      </c>
    </row>
    <row r="30" customFormat="false" ht="12.75" hidden="false" customHeight="false" outlineLevel="0" collapsed="false">
      <c r="A30" s="79" t="s">
        <v>335</v>
      </c>
    </row>
    <row r="31" customFormat="false" ht="12" hidden="false" customHeight="false" outlineLevel="0" collapsed="false">
      <c r="B31" s="0" t="s">
        <v>168</v>
      </c>
      <c r="C31" s="0" t="s">
        <v>46</v>
      </c>
      <c r="D31" s="0" t="s">
        <v>77</v>
      </c>
      <c r="E31" s="0" t="s">
        <v>336</v>
      </c>
      <c r="G31" s="0" t="s">
        <v>337</v>
      </c>
    </row>
    <row r="32" customFormat="false" ht="24.75" hidden="false" customHeight="false" outlineLevel="0" collapsed="false">
      <c r="A32" s="0" t="s">
        <v>338</v>
      </c>
      <c r="B32" s="0" t="n">
        <v>1.59</v>
      </c>
      <c r="C32" s="0" t="n">
        <v>1.69</v>
      </c>
      <c r="D32" s="0" t="n">
        <v>1.34</v>
      </c>
      <c r="E32" s="0" t="n">
        <v>1.4</v>
      </c>
    </row>
    <row r="33" customFormat="false" ht="24.75" hidden="false" customHeight="false" outlineLevel="0" collapsed="false">
      <c r="A33" s="0" t="s">
        <v>339</v>
      </c>
      <c r="B33" s="84" t="n">
        <f aca="false">B32*G14</f>
        <v>56.393325</v>
      </c>
      <c r="C33" s="84" t="n">
        <f aca="false">E14*600*C32</f>
        <v>7.78752</v>
      </c>
      <c r="D33" s="84" t="n">
        <f aca="false">D32*H14</f>
        <v>129.09292</v>
      </c>
      <c r="E33" s="0" t="n">
        <f aca="false">E32*H17</f>
        <v>129.92</v>
      </c>
      <c r="G33" s="84" t="n">
        <f aca="false">SUM(B33:E33)</f>
        <v>323.193765</v>
      </c>
    </row>
  </sheetData>
  <mergeCells count="1">
    <mergeCell ref="A2:C2"/>
  </mergeCells>
  <hyperlinks>
    <hyperlink ref="R23" r:id="rId2" display="https://ecococon.eu/assets/legal/general-information-(en).pdf"/>
  </hyperlink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drawing r:id="rId3"/>
  <legacyDrawing r:id="rId4"/>
</worksheet>
</file>

<file path=docProps/app.xml><?xml version="1.0" encoding="utf-8"?>
<Properties xmlns="http://schemas.openxmlformats.org/officeDocument/2006/extended-properties" xmlns:vt="http://schemas.openxmlformats.org/officeDocument/2006/docPropsVTypes">
  <Template/>
  <TotalTime>247</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2020-01-17T09:54:13Z</dcterms:created>
  <dc:creator>Annika Zindel</dc:creator>
  <dc:description/>
  <dc:language>en-GB</dc:language>
  <cp:lastModifiedBy/>
  <dcterms:modified xsi:type="dcterms:W3CDTF">2024-11-13T13:30:35Z</dcterms:modified>
  <cp:revision>44</cp:revision>
  <dc:subject/>
  <dc:title/>
</cp:coreProperties>
</file>

<file path=docProps/custom.xml><?xml version="1.0" encoding="utf-8"?>
<Properties xmlns="http://schemas.openxmlformats.org/officeDocument/2006/custom-properties" xmlns:vt="http://schemas.openxmlformats.org/officeDocument/2006/docPropsVTypes"/>
</file>