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e7ed87cf4d827f/Documenti/"/>
    </mc:Choice>
  </mc:AlternateContent>
  <xr:revisionPtr revIDLastSave="0" documentId="8_{A359084D-422A-4859-9DDE-D7AAD8184B69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AD23" i="1"/>
  <c r="AD20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Z14" i="1"/>
  <c r="Y14" i="1"/>
  <c r="X4" i="1"/>
  <c r="V4" i="1"/>
  <c r="T4" i="1"/>
  <c r="R4" i="1"/>
  <c r="P4" i="1"/>
  <c r="N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L11" i="1"/>
  <c r="K11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L17" i="1"/>
  <c r="K17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M20" i="1"/>
  <c r="L20" i="1"/>
  <c r="N20" i="1"/>
  <c r="K20" i="1"/>
  <c r="L18" i="1"/>
  <c r="M18" i="1"/>
  <c r="K18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K19" i="1"/>
  <c r="J23" i="1"/>
  <c r="I23" i="1"/>
  <c r="H23" i="1"/>
  <c r="G23" i="1"/>
  <c r="F23" i="1"/>
  <c r="E23" i="1"/>
  <c r="P22" i="1"/>
  <c r="Q22" i="1"/>
  <c r="R22" i="1"/>
  <c r="S22" i="1"/>
  <c r="T22" i="1"/>
  <c r="U22" i="1"/>
  <c r="V22" i="1"/>
  <c r="W22" i="1"/>
  <c r="X22" i="1"/>
  <c r="O22" i="1"/>
  <c r="N22" i="1"/>
  <c r="M22" i="1"/>
  <c r="L22" i="1"/>
  <c r="L21" i="1"/>
  <c r="J21" i="1"/>
  <c r="I21" i="1"/>
  <c r="H21" i="1"/>
  <c r="G21" i="1"/>
  <c r="F21" i="1"/>
  <c r="E21" i="1"/>
  <c r="J17" i="1"/>
  <c r="I17" i="1"/>
  <c r="H17" i="1"/>
  <c r="G17" i="1"/>
  <c r="F17" i="1"/>
  <c r="E17" i="1"/>
  <c r="I20" i="1"/>
  <c r="E18" i="1"/>
  <c r="F19" i="1"/>
  <c r="H18" i="1"/>
  <c r="I19" i="1"/>
  <c r="J18" i="1"/>
  <c r="G18" i="1"/>
  <c r="G19" i="1"/>
  <c r="I18" i="1"/>
  <c r="F9" i="1"/>
  <c r="F13" i="1"/>
  <c r="F7" i="1"/>
  <c r="F6" i="1"/>
  <c r="F5" i="1"/>
  <c r="F20" i="1"/>
  <c r="E11" i="1"/>
  <c r="F11" i="1"/>
  <c r="H13" i="1"/>
  <c r="H10" i="1"/>
  <c r="H9" i="1"/>
  <c r="H7" i="1"/>
  <c r="H6" i="1"/>
  <c r="H5" i="1"/>
  <c r="H20" i="1"/>
  <c r="J13" i="1"/>
  <c r="J9" i="1"/>
  <c r="J7" i="1"/>
  <c r="J6" i="1"/>
  <c r="J5" i="1"/>
  <c r="J20" i="1"/>
  <c r="G11" i="1"/>
  <c r="H11" i="1"/>
  <c r="E8" i="1"/>
  <c r="E12" i="1"/>
  <c r="E14" i="1"/>
  <c r="G8" i="1"/>
  <c r="I11" i="1"/>
  <c r="J11" i="1"/>
  <c r="I8" i="1"/>
  <c r="E9" i="2"/>
  <c r="H8" i="2"/>
  <c r="AD24" i="1"/>
  <c r="AD26" i="1"/>
  <c r="AD28" i="1"/>
  <c r="M11" i="1"/>
  <c r="K21" i="1"/>
  <c r="N17" i="1"/>
  <c r="M17" i="1"/>
  <c r="O20" i="1"/>
  <c r="P20" i="1"/>
  <c r="N18" i="1"/>
  <c r="M21" i="1"/>
  <c r="I12" i="1"/>
  <c r="I14" i="1"/>
  <c r="E20" i="1"/>
  <c r="G20" i="1"/>
  <c r="J8" i="1"/>
  <c r="J12" i="1"/>
  <c r="J14" i="1"/>
  <c r="H19" i="1"/>
  <c r="J19" i="1"/>
  <c r="F8" i="1"/>
  <c r="F12" i="1"/>
  <c r="H8" i="1"/>
  <c r="H12" i="1"/>
  <c r="H14" i="1"/>
  <c r="G12" i="1"/>
  <c r="G14" i="1"/>
  <c r="N11" i="1"/>
  <c r="P17" i="1"/>
  <c r="O17" i="1"/>
  <c r="R20" i="1"/>
  <c r="Q20" i="1"/>
  <c r="T20" i="1"/>
  <c r="S20" i="1"/>
  <c r="O18" i="1"/>
  <c r="N21" i="1"/>
  <c r="F14" i="1"/>
  <c r="O11" i="1"/>
  <c r="R17" i="1"/>
  <c r="S17" i="1"/>
  <c r="Q17" i="1"/>
  <c r="U20" i="1"/>
  <c r="P18" i="1"/>
  <c r="O21" i="1"/>
  <c r="P11" i="1"/>
  <c r="T17" i="1"/>
  <c r="U17" i="1"/>
  <c r="V17" i="1"/>
  <c r="V20" i="1"/>
  <c r="P21" i="1"/>
  <c r="Q18" i="1"/>
  <c r="R11" i="1"/>
  <c r="Q11" i="1"/>
  <c r="W17" i="1"/>
  <c r="X17" i="1"/>
  <c r="W20" i="1"/>
  <c r="X20" i="1"/>
  <c r="Q21" i="1"/>
  <c r="R18" i="1"/>
  <c r="S11" i="1"/>
  <c r="R21" i="1"/>
  <c r="S18" i="1"/>
  <c r="T11" i="1"/>
  <c r="T18" i="1"/>
  <c r="S21" i="1"/>
  <c r="U11" i="1"/>
  <c r="V11" i="1"/>
  <c r="U18" i="1"/>
  <c r="T21" i="1"/>
  <c r="W11" i="1"/>
  <c r="X11" i="1"/>
  <c r="V18" i="1"/>
  <c r="U21" i="1"/>
  <c r="W18" i="1"/>
  <c r="V21" i="1"/>
  <c r="X18" i="1"/>
  <c r="W21" i="1"/>
  <c r="X21" i="1"/>
</calcChain>
</file>

<file path=xl/sharedStrings.xml><?xml version="1.0" encoding="utf-8"?>
<sst xmlns="http://schemas.openxmlformats.org/spreadsheetml/2006/main" count="45" uniqueCount="44">
  <si>
    <t>Model</t>
  </si>
  <si>
    <t>Main</t>
  </si>
  <si>
    <t>price</t>
  </si>
  <si>
    <t>shares</t>
  </si>
  <si>
    <t>MC</t>
  </si>
  <si>
    <t>cash</t>
  </si>
  <si>
    <t>debt</t>
  </si>
  <si>
    <t>EV</t>
  </si>
  <si>
    <t>netcash</t>
  </si>
  <si>
    <t>for some reason in the balance sheet, well the balance was not balancing as it</t>
  </si>
  <si>
    <t>was missing equity stake, I guess the practice for stocks in LSE is net asset</t>
  </si>
  <si>
    <t>H1 2021</t>
  </si>
  <si>
    <t>H2 2021</t>
  </si>
  <si>
    <t>H1 2022</t>
  </si>
  <si>
    <t>H2 2022</t>
  </si>
  <si>
    <t>H1 2023</t>
  </si>
  <si>
    <t>H2 2023</t>
  </si>
  <si>
    <t>RE Revenue</t>
  </si>
  <si>
    <t>COGS</t>
  </si>
  <si>
    <t>G&amp;A</t>
  </si>
  <si>
    <t>RE Income</t>
  </si>
  <si>
    <t>RE change</t>
  </si>
  <si>
    <t>Financing</t>
  </si>
  <si>
    <t>EBIT</t>
  </si>
  <si>
    <t>taxes</t>
  </si>
  <si>
    <t>Net Income</t>
  </si>
  <si>
    <t>Others</t>
  </si>
  <si>
    <t>300 miss</t>
  </si>
  <si>
    <t>RE assets</t>
  </si>
  <si>
    <t>Re growth %</t>
  </si>
  <si>
    <t>ROI</t>
  </si>
  <si>
    <t>gross marginss</t>
  </si>
  <si>
    <t>Val gain</t>
  </si>
  <si>
    <t>europe outlook re</t>
  </si>
  <si>
    <t>taxrate</t>
  </si>
  <si>
    <t>discount rate</t>
  </si>
  <si>
    <t>NPV cash</t>
  </si>
  <si>
    <t>net cash</t>
  </si>
  <si>
    <t xml:space="preserve">rate RE </t>
  </si>
  <si>
    <t>NPVre</t>
  </si>
  <si>
    <t>total npv</t>
  </si>
  <si>
    <t>future price</t>
  </si>
  <si>
    <t>current</t>
  </si>
  <si>
    <t>possible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</si>
</sst>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3" fontId="0" fillId="0" borderId="0" xfId="0" applyNumberFormat="1"/>
    <xf numFmtId="3" fontId="0" fillId="0" borderId="1" xfId="0" applyNumberFormat="1" applyBorder="1"/>
    <xf numFmtId="3" fontId="1" fillId="0" borderId="1" xfId="0" applyNumberFormat="1" applyFont="1" applyBorder="1"/>
    <xf numFmtId="3" fontId="0" fillId="0" borderId="0" xfId="0" applyNumberFormat="1" applyFont="1"/>
    <xf numFmtId="3" fontId="0" fillId="0" borderId="1" xfId="0" applyNumberFormat="1" applyFont="1" applyBorder="1"/>
    <xf numFmtId="164" fontId="0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tabSelected="1" topLeftCell="BH1" workbookViewId="0">
      <selection activeCell="I20" sqref="I20"/>
    </sheetView>
  </sheetViews>
  <sheetFormatPr defaultRowHeight="14.4" x14ac:dyDescent="0.3"/>
  <cols>
    <col min="1" max="9" width="8.88671875" style="2"/>
    <col min="10" max="10" width="9.109375" style="2" bestFit="1" customWidth="1"/>
    <col min="11" max="16384" width="8.88671875" style="2"/>
  </cols>
  <sheetData>
    <row r="1" spans="1:83" x14ac:dyDescent="0.3">
      <c r="A1" s="1" t="s">
        <v>0</v>
      </c>
      <c r="D1" s="3"/>
      <c r="J1" s="3"/>
    </row>
    <row r="2" spans="1:83" x14ac:dyDescent="0.3">
      <c r="D2" s="3"/>
      <c r="J2" s="3"/>
    </row>
    <row r="3" spans="1:83" x14ac:dyDescent="0.3">
      <c r="D3" s="3"/>
      <c r="J3" s="3"/>
    </row>
    <row r="4" spans="1:83" x14ac:dyDescent="0.3">
      <c r="D4" s="3"/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3" t="s">
        <v>16</v>
      </c>
      <c r="L4" s="2">
        <v>2024</v>
      </c>
      <c r="N4" s="2">
        <f>L4+1</f>
        <v>2025</v>
      </c>
      <c r="P4" s="2">
        <f>N4+1</f>
        <v>2026</v>
      </c>
      <c r="R4" s="2">
        <f>P4+1</f>
        <v>2027</v>
      </c>
      <c r="T4" s="2">
        <f>R4+1</f>
        <v>2028</v>
      </c>
      <c r="V4" s="2">
        <f>T4+1</f>
        <v>2029</v>
      </c>
      <c r="X4" s="2">
        <f>V4+1</f>
        <v>2030</v>
      </c>
    </row>
    <row r="5" spans="1:83" x14ac:dyDescent="0.3">
      <c r="C5" s="1" t="s">
        <v>17</v>
      </c>
      <c r="D5" s="4"/>
      <c r="E5" s="1">
        <v>88100</v>
      </c>
      <c r="F5" s="1">
        <f>186800-E5</f>
        <v>98700</v>
      </c>
      <c r="G5" s="1">
        <v>101000</v>
      </c>
      <c r="H5" s="1">
        <f>212500-G5</f>
        <v>111500</v>
      </c>
      <c r="I5" s="1">
        <v>110100</v>
      </c>
      <c r="J5" s="4">
        <f>224200-I5</f>
        <v>114100</v>
      </c>
      <c r="K5" s="1">
        <f>K18*K20</f>
        <v>121214.09663732667</v>
      </c>
      <c r="L5" s="1">
        <f t="shared" ref="L5:X5" si="0">L18*L20</f>
        <v>122857.77416823963</v>
      </c>
      <c r="M5" s="1">
        <f t="shared" si="0"/>
        <v>123309.67566376875</v>
      </c>
      <c r="N5" s="1">
        <f t="shared" si="0"/>
        <v>124871.83652968855</v>
      </c>
      <c r="O5" s="1">
        <f t="shared" si="0"/>
        <v>126307.19575974558</v>
      </c>
      <c r="P5" s="1">
        <f t="shared" si="0"/>
        <v>126622.53098242619</v>
      </c>
      <c r="Q5" s="1">
        <f t="shared" si="0"/>
        <v>126885.7854502651</v>
      </c>
      <c r="R5" s="1">
        <f t="shared" si="0"/>
        <v>127306.63041621771</v>
      </c>
      <c r="S5" s="1">
        <f t="shared" si="0"/>
        <v>127579.29785381029</v>
      </c>
      <c r="T5" s="1">
        <f t="shared" si="0"/>
        <v>127658.58960082926</v>
      </c>
      <c r="U5" s="1">
        <f t="shared" si="0"/>
        <v>127750.27721037166</v>
      </c>
      <c r="V5" s="1">
        <f t="shared" si="0"/>
        <v>127849.12333465858</v>
      </c>
      <c r="W5" s="1">
        <f t="shared" si="0"/>
        <v>127902.32715709315</v>
      </c>
      <c r="X5" s="1">
        <f t="shared" si="0"/>
        <v>127925.24361337993</v>
      </c>
    </row>
    <row r="6" spans="1:83" x14ac:dyDescent="0.3">
      <c r="C6" s="2" t="s">
        <v>18</v>
      </c>
      <c r="D6" s="3"/>
      <c r="E6" s="2">
        <v>27700</v>
      </c>
      <c r="F6" s="2">
        <f>56900-E6</f>
        <v>29200</v>
      </c>
      <c r="G6" s="2">
        <v>29100</v>
      </c>
      <c r="H6" s="2">
        <f>63000-G6</f>
        <v>33900</v>
      </c>
      <c r="I6" s="2">
        <v>34500</v>
      </c>
      <c r="J6" s="3">
        <f>69900-I6</f>
        <v>35400</v>
      </c>
    </row>
    <row r="7" spans="1:83" x14ac:dyDescent="0.3">
      <c r="C7" s="2" t="s">
        <v>19</v>
      </c>
      <c r="D7" s="3"/>
      <c r="E7" s="2">
        <v>14900</v>
      </c>
      <c r="F7" s="2">
        <f>34000-E7</f>
        <v>19100</v>
      </c>
      <c r="G7" s="2">
        <v>13400</v>
      </c>
      <c r="H7" s="2">
        <f>27100-G7</f>
        <v>13700</v>
      </c>
      <c r="I7" s="2">
        <v>8000</v>
      </c>
      <c r="J7" s="3">
        <f>17700-I7</f>
        <v>9700</v>
      </c>
    </row>
    <row r="8" spans="1:83" x14ac:dyDescent="0.3">
      <c r="C8" s="1" t="s">
        <v>20</v>
      </c>
      <c r="D8" s="4"/>
      <c r="E8" s="1">
        <f t="shared" ref="E8:J8" si="1">E5-E6-E7</f>
        <v>45500</v>
      </c>
      <c r="F8" s="1">
        <f t="shared" si="1"/>
        <v>50400</v>
      </c>
      <c r="G8" s="1">
        <f t="shared" si="1"/>
        <v>58500</v>
      </c>
      <c r="H8" s="1">
        <f t="shared" si="1"/>
        <v>63900</v>
      </c>
      <c r="I8" s="1">
        <f t="shared" si="1"/>
        <v>67600</v>
      </c>
      <c r="J8" s="4">
        <f t="shared" si="1"/>
        <v>69000</v>
      </c>
      <c r="K8" s="1">
        <f>K5*K17</f>
        <v>71850.324462519522</v>
      </c>
      <c r="L8" s="1">
        <f t="shared" ref="L8:X8" si="2">L5*L17</f>
        <v>73240.730250665787</v>
      </c>
      <c r="M8" s="1">
        <f t="shared" si="2"/>
        <v>74220.645805384745</v>
      </c>
      <c r="N8" s="1">
        <f t="shared" si="2"/>
        <v>74783.716831231999</v>
      </c>
      <c r="O8" s="1">
        <f t="shared" si="2"/>
        <v>75458.640147276572</v>
      </c>
      <c r="P8" s="1">
        <f t="shared" si="2"/>
        <v>75794.734315266483</v>
      </c>
      <c r="Q8" s="1">
        <f t="shared" si="2"/>
        <v>76029.894461883494</v>
      </c>
      <c r="R8" s="1">
        <f t="shared" si="2"/>
        <v>76195.972983148924</v>
      </c>
      <c r="S8" s="1">
        <f t="shared" si="2"/>
        <v>76347.670593851304</v>
      </c>
      <c r="T8" s="1">
        <f t="shared" si="2"/>
        <v>76427.403760352885</v>
      </c>
      <c r="U8" s="1">
        <f t="shared" si="2"/>
        <v>76485.422371165638</v>
      </c>
      <c r="V8" s="1">
        <f t="shared" si="2"/>
        <v>76528.971718785629</v>
      </c>
      <c r="W8" s="1">
        <f t="shared" si="2"/>
        <v>76562.895794273893</v>
      </c>
      <c r="X8" s="1">
        <f t="shared" si="2"/>
        <v>76582.093113291805</v>
      </c>
    </row>
    <row r="9" spans="1:83" x14ac:dyDescent="0.3">
      <c r="C9" s="5" t="s">
        <v>21</v>
      </c>
      <c r="D9" s="6"/>
      <c r="E9" s="5">
        <v>127700</v>
      </c>
      <c r="F9" s="5">
        <f>321100-E9</f>
        <v>193400</v>
      </c>
      <c r="G9" s="5">
        <v>223900</v>
      </c>
      <c r="H9" s="5">
        <f>381600-G9</f>
        <v>157700</v>
      </c>
      <c r="I9" s="5">
        <v>47300</v>
      </c>
      <c r="J9" s="6">
        <f>93800-I9</f>
        <v>46500</v>
      </c>
      <c r="K9" s="5">
        <f>K18*K22</f>
        <v>54518.708571428579</v>
      </c>
      <c r="L9" s="5">
        <f t="shared" ref="L9:X9" si="3">L18*L22</f>
        <v>51716.446950857156</v>
      </c>
      <c r="M9" s="5">
        <f t="shared" si="3"/>
        <v>47196.429487352245</v>
      </c>
      <c r="N9" s="5">
        <f t="shared" si="3"/>
        <v>44322.827681585317</v>
      </c>
      <c r="O9" s="5">
        <f t="shared" si="3"/>
        <v>44626.882279480989</v>
      </c>
      <c r="P9" s="5">
        <f t="shared" si="3"/>
        <v>44841.180568187054</v>
      </c>
      <c r="Q9" s="5">
        <f t="shared" si="3"/>
        <v>44991.909712548957</v>
      </c>
      <c r="R9" s="5">
        <f t="shared" si="3"/>
        <v>45097.774776264392</v>
      </c>
      <c r="S9" s="5">
        <f t="shared" si="3"/>
        <v>45172.054689729528</v>
      </c>
      <c r="T9" s="5">
        <f t="shared" si="3"/>
        <v>45224.136270939009</v>
      </c>
      <c r="U9" s="5">
        <f t="shared" si="3"/>
        <v>45260.635411378847</v>
      </c>
      <c r="V9" s="5">
        <f t="shared" si="3"/>
        <v>45286.205429894304</v>
      </c>
      <c r="W9" s="5">
        <f t="shared" si="3"/>
        <v>45304.114554911408</v>
      </c>
      <c r="X9" s="5">
        <f t="shared" si="3"/>
        <v>45316.655900130245</v>
      </c>
    </row>
    <row r="10" spans="1:83" x14ac:dyDescent="0.3">
      <c r="C10" s="2" t="s">
        <v>26</v>
      </c>
      <c r="D10" s="3"/>
      <c r="E10" s="2">
        <v>0</v>
      </c>
      <c r="F10" s="2">
        <v>0</v>
      </c>
      <c r="G10" s="2">
        <v>10500</v>
      </c>
      <c r="H10" s="2">
        <f>10800-G10</f>
        <v>300</v>
      </c>
      <c r="I10" s="2">
        <v>0</v>
      </c>
      <c r="J10" s="3">
        <v>0</v>
      </c>
    </row>
    <row r="11" spans="1:83" x14ac:dyDescent="0.3">
      <c r="C11" s="2" t="s">
        <v>22</v>
      </c>
      <c r="D11" s="3"/>
      <c r="E11" s="2">
        <f>200-6100</f>
        <v>-5900</v>
      </c>
      <c r="F11" s="2">
        <f>600-13000-E11</f>
        <v>-6500</v>
      </c>
      <c r="G11" s="2">
        <f>700-8100</f>
        <v>-7400</v>
      </c>
      <c r="H11" s="2">
        <f>2000-17700-G11</f>
        <v>-8300</v>
      </c>
      <c r="I11" s="2">
        <f>500-12000</f>
        <v>-11500</v>
      </c>
      <c r="J11" s="3">
        <f>800-23400-I11</f>
        <v>-11100</v>
      </c>
      <c r="K11" s="2">
        <f>AVERAGE(I11:J11)</f>
        <v>-11300</v>
      </c>
      <c r="L11" s="2">
        <f t="shared" ref="L11:X11" si="4">AVERAGE(J11:K11)</f>
        <v>-11200</v>
      </c>
      <c r="M11" s="2">
        <f t="shared" si="4"/>
        <v>-11250</v>
      </c>
      <c r="N11" s="2">
        <f t="shared" si="4"/>
        <v>-11225</v>
      </c>
      <c r="O11" s="2">
        <f t="shared" si="4"/>
        <v>-11237.5</v>
      </c>
      <c r="P11" s="2">
        <f t="shared" si="4"/>
        <v>-11231.25</v>
      </c>
      <c r="Q11" s="2">
        <f t="shared" si="4"/>
        <v>-11234.375</v>
      </c>
      <c r="R11" s="2">
        <f t="shared" si="4"/>
        <v>-11232.8125</v>
      </c>
      <c r="S11" s="2">
        <f t="shared" si="4"/>
        <v>-11233.59375</v>
      </c>
      <c r="T11" s="2">
        <f t="shared" si="4"/>
        <v>-11233.203125</v>
      </c>
      <c r="U11" s="2">
        <f t="shared" si="4"/>
        <v>-11233.3984375</v>
      </c>
      <c r="V11" s="2">
        <f t="shared" si="4"/>
        <v>-11233.30078125</v>
      </c>
      <c r="W11" s="2">
        <f t="shared" si="4"/>
        <v>-11233.349609375</v>
      </c>
      <c r="X11" s="2">
        <f t="shared" si="4"/>
        <v>-11233.3251953125</v>
      </c>
    </row>
    <row r="12" spans="1:83" x14ac:dyDescent="0.3">
      <c r="C12" s="1" t="s">
        <v>23</v>
      </c>
      <c r="D12" s="4"/>
      <c r="E12" s="1">
        <f t="shared" ref="E12:J12" si="5">SUM(E8:E11)</f>
        <v>167300</v>
      </c>
      <c r="F12" s="1">
        <f t="shared" si="5"/>
        <v>237300</v>
      </c>
      <c r="G12" s="1">
        <f t="shared" si="5"/>
        <v>285500</v>
      </c>
      <c r="H12" s="1">
        <f t="shared" si="5"/>
        <v>213600</v>
      </c>
      <c r="I12" s="1">
        <f t="shared" si="5"/>
        <v>103400</v>
      </c>
      <c r="J12" s="4">
        <f t="shared" si="5"/>
        <v>104400</v>
      </c>
      <c r="K12" s="4">
        <f t="shared" ref="K12:X12" si="6">SUM(K8:K11)</f>
        <v>115069.0330339481</v>
      </c>
      <c r="L12" s="4">
        <f t="shared" si="6"/>
        <v>113757.17720152295</v>
      </c>
      <c r="M12" s="4">
        <f t="shared" si="6"/>
        <v>110167.07529273699</v>
      </c>
      <c r="N12" s="4">
        <f t="shared" si="6"/>
        <v>107881.54451281732</v>
      </c>
      <c r="O12" s="4">
        <f t="shared" si="6"/>
        <v>108848.02242675755</v>
      </c>
      <c r="P12" s="4">
        <f t="shared" si="6"/>
        <v>109404.66488345354</v>
      </c>
      <c r="Q12" s="4">
        <f t="shared" si="6"/>
        <v>109787.42917443244</v>
      </c>
      <c r="R12" s="4">
        <f t="shared" si="6"/>
        <v>110060.93525941332</v>
      </c>
      <c r="S12" s="4">
        <f t="shared" si="6"/>
        <v>110286.13153358083</v>
      </c>
      <c r="T12" s="4">
        <f t="shared" si="6"/>
        <v>110418.33690629189</v>
      </c>
      <c r="U12" s="4">
        <f t="shared" si="6"/>
        <v>110512.65934504449</v>
      </c>
      <c r="V12" s="4">
        <f t="shared" si="6"/>
        <v>110581.87636742994</v>
      </c>
      <c r="W12" s="4">
        <f t="shared" si="6"/>
        <v>110633.66073981029</v>
      </c>
      <c r="X12" s="4">
        <f t="shared" si="6"/>
        <v>110665.42381810956</v>
      </c>
    </row>
    <row r="13" spans="1:83" x14ac:dyDescent="0.3">
      <c r="C13" s="2" t="s">
        <v>24</v>
      </c>
      <c r="D13" s="3"/>
      <c r="E13" s="2">
        <v>9000</v>
      </c>
      <c r="F13" s="2">
        <f>22600-E13</f>
        <v>13600</v>
      </c>
      <c r="G13" s="2">
        <v>15200</v>
      </c>
      <c r="H13" s="2">
        <f>35900-G13</f>
        <v>20700</v>
      </c>
      <c r="I13" s="2">
        <v>10600</v>
      </c>
      <c r="J13" s="3">
        <f>7600-I13</f>
        <v>-3000</v>
      </c>
      <c r="K13" s="2">
        <f>K12*K23</f>
        <v>23013.806606789622</v>
      </c>
      <c r="L13" s="2">
        <f t="shared" ref="L13:X13" si="7">L12*L23</f>
        <v>22751.435440304591</v>
      </c>
      <c r="M13" s="2">
        <f t="shared" si="7"/>
        <v>22033.415058547398</v>
      </c>
      <c r="N13" s="2">
        <f t="shared" si="7"/>
        <v>21576.308902563465</v>
      </c>
      <c r="O13" s="2">
        <f t="shared" si="7"/>
        <v>21769.604485351512</v>
      </c>
      <c r="P13" s="2">
        <f t="shared" si="7"/>
        <v>21880.93297669071</v>
      </c>
      <c r="Q13" s="2">
        <f t="shared" si="7"/>
        <v>21957.485834886491</v>
      </c>
      <c r="R13" s="2">
        <f t="shared" si="7"/>
        <v>22012.187051882665</v>
      </c>
      <c r="S13" s="2">
        <f t="shared" si="7"/>
        <v>22057.226306716169</v>
      </c>
      <c r="T13" s="2">
        <f t="shared" si="7"/>
        <v>22083.667381258379</v>
      </c>
      <c r="U13" s="2">
        <f t="shared" si="7"/>
        <v>22102.531869008901</v>
      </c>
      <c r="V13" s="2">
        <f t="shared" si="7"/>
        <v>22116.375273485988</v>
      </c>
      <c r="W13" s="2">
        <f t="shared" si="7"/>
        <v>22126.732147962059</v>
      </c>
      <c r="X13" s="2">
        <f t="shared" si="7"/>
        <v>22133.084763621911</v>
      </c>
    </row>
    <row r="14" spans="1:83" x14ac:dyDescent="0.3">
      <c r="C14" s="1" t="s">
        <v>25</v>
      </c>
      <c r="D14" s="4"/>
      <c r="E14" s="1">
        <f t="shared" ref="E14:J14" si="8">E12-E13</f>
        <v>158300</v>
      </c>
      <c r="F14" s="1">
        <f t="shared" si="8"/>
        <v>223700</v>
      </c>
      <c r="G14" s="1">
        <f t="shared" si="8"/>
        <v>270300</v>
      </c>
      <c r="H14" s="1">
        <f t="shared" si="8"/>
        <v>192900</v>
      </c>
      <c r="I14" s="1">
        <f t="shared" si="8"/>
        <v>92800</v>
      </c>
      <c r="J14" s="4">
        <f t="shared" si="8"/>
        <v>107400</v>
      </c>
      <c r="K14" s="4">
        <f t="shared" ref="K14:X14" si="9">K12-K13</f>
        <v>92055.226427158486</v>
      </c>
      <c r="L14" s="4">
        <f t="shared" si="9"/>
        <v>91005.741761218364</v>
      </c>
      <c r="M14" s="4">
        <f t="shared" si="9"/>
        <v>88133.660234189592</v>
      </c>
      <c r="N14" s="4">
        <f t="shared" si="9"/>
        <v>86305.235610253847</v>
      </c>
      <c r="O14" s="4">
        <f t="shared" si="9"/>
        <v>87078.417941406049</v>
      </c>
      <c r="P14" s="4">
        <f t="shared" si="9"/>
        <v>87523.731906762841</v>
      </c>
      <c r="Q14" s="4">
        <f t="shared" si="9"/>
        <v>87829.943339545949</v>
      </c>
      <c r="R14" s="4">
        <f t="shared" si="9"/>
        <v>88048.748207530662</v>
      </c>
      <c r="S14" s="4">
        <f t="shared" si="9"/>
        <v>88228.905226864663</v>
      </c>
      <c r="T14" s="4">
        <f t="shared" si="9"/>
        <v>88334.669525033518</v>
      </c>
      <c r="U14" s="4">
        <f t="shared" si="9"/>
        <v>88410.127476035588</v>
      </c>
      <c r="V14" s="4">
        <f t="shared" si="9"/>
        <v>88465.501093943953</v>
      </c>
      <c r="W14" s="4">
        <f t="shared" si="9"/>
        <v>88506.928591848235</v>
      </c>
      <c r="X14" s="4">
        <f t="shared" si="9"/>
        <v>88532.339054487646</v>
      </c>
      <c r="Y14" s="2">
        <f>X14</f>
        <v>88532.339054487646</v>
      </c>
      <c r="Z14" s="2">
        <f t="shared" ref="Z14:CE14" si="10">Y14</f>
        <v>88532.339054487646</v>
      </c>
      <c r="AA14" s="2">
        <f t="shared" si="10"/>
        <v>88532.339054487646</v>
      </c>
      <c r="AB14" s="2">
        <f t="shared" si="10"/>
        <v>88532.339054487646</v>
      </c>
      <c r="AC14" s="2">
        <f t="shared" si="10"/>
        <v>88532.339054487646</v>
      </c>
      <c r="AD14" s="2">
        <f t="shared" si="10"/>
        <v>88532.339054487646</v>
      </c>
      <c r="AE14" s="2">
        <f t="shared" si="10"/>
        <v>88532.339054487646</v>
      </c>
      <c r="AF14" s="2">
        <f t="shared" si="10"/>
        <v>88532.339054487646</v>
      </c>
      <c r="AG14" s="2">
        <f t="shared" si="10"/>
        <v>88532.339054487646</v>
      </c>
      <c r="AH14" s="2">
        <f t="shared" si="10"/>
        <v>88532.339054487646</v>
      </c>
      <c r="AI14" s="2">
        <f t="shared" si="10"/>
        <v>88532.339054487646</v>
      </c>
      <c r="AJ14" s="2">
        <f t="shared" si="10"/>
        <v>88532.339054487646</v>
      </c>
      <c r="AK14" s="2">
        <f t="shared" si="10"/>
        <v>88532.339054487646</v>
      </c>
      <c r="AL14" s="2">
        <f t="shared" si="10"/>
        <v>88532.339054487646</v>
      </c>
      <c r="AM14" s="2">
        <f t="shared" si="10"/>
        <v>88532.339054487646</v>
      </c>
      <c r="AN14" s="2">
        <f t="shared" si="10"/>
        <v>88532.339054487646</v>
      </c>
      <c r="AO14" s="2">
        <f t="shared" si="10"/>
        <v>88532.339054487646</v>
      </c>
      <c r="AP14" s="2">
        <f t="shared" si="10"/>
        <v>88532.339054487646</v>
      </c>
      <c r="AQ14" s="2">
        <f t="shared" si="10"/>
        <v>88532.339054487646</v>
      </c>
      <c r="AR14" s="2">
        <f t="shared" si="10"/>
        <v>88532.339054487646</v>
      </c>
      <c r="AS14" s="2">
        <f t="shared" si="10"/>
        <v>88532.339054487646</v>
      </c>
      <c r="AT14" s="2">
        <f t="shared" si="10"/>
        <v>88532.339054487646</v>
      </c>
      <c r="AU14" s="2">
        <f t="shared" si="10"/>
        <v>88532.339054487646</v>
      </c>
      <c r="AV14" s="2">
        <f t="shared" si="10"/>
        <v>88532.339054487646</v>
      </c>
      <c r="AW14" s="2">
        <f t="shared" si="10"/>
        <v>88532.339054487646</v>
      </c>
      <c r="AX14" s="2">
        <f t="shared" si="10"/>
        <v>88532.339054487646</v>
      </c>
      <c r="AY14" s="2">
        <f t="shared" si="10"/>
        <v>88532.339054487646</v>
      </c>
      <c r="AZ14" s="2">
        <f t="shared" si="10"/>
        <v>88532.339054487646</v>
      </c>
      <c r="BA14" s="2">
        <f t="shared" si="10"/>
        <v>88532.339054487646</v>
      </c>
      <c r="BB14" s="2">
        <f t="shared" si="10"/>
        <v>88532.339054487646</v>
      </c>
      <c r="BC14" s="2">
        <f t="shared" si="10"/>
        <v>88532.339054487646</v>
      </c>
      <c r="BD14" s="2">
        <f t="shared" si="10"/>
        <v>88532.339054487646</v>
      </c>
      <c r="BE14" s="2">
        <f t="shared" si="10"/>
        <v>88532.339054487646</v>
      </c>
      <c r="BF14" s="2">
        <f t="shared" si="10"/>
        <v>88532.339054487646</v>
      </c>
      <c r="BG14" s="2">
        <f t="shared" si="10"/>
        <v>88532.339054487646</v>
      </c>
      <c r="BH14" s="2">
        <f t="shared" si="10"/>
        <v>88532.339054487646</v>
      </c>
      <c r="BI14" s="2">
        <f t="shared" si="10"/>
        <v>88532.339054487646</v>
      </c>
      <c r="BJ14" s="2">
        <f t="shared" si="10"/>
        <v>88532.339054487646</v>
      </c>
      <c r="BK14" s="2">
        <f t="shared" si="10"/>
        <v>88532.339054487646</v>
      </c>
      <c r="BL14" s="2">
        <f t="shared" si="10"/>
        <v>88532.339054487646</v>
      </c>
      <c r="BM14" s="2">
        <f t="shared" si="10"/>
        <v>88532.339054487646</v>
      </c>
      <c r="BN14" s="2">
        <f t="shared" si="10"/>
        <v>88532.339054487646</v>
      </c>
      <c r="BO14" s="2">
        <f t="shared" si="10"/>
        <v>88532.339054487646</v>
      </c>
      <c r="BP14" s="2">
        <f t="shared" si="10"/>
        <v>88532.339054487646</v>
      </c>
      <c r="BQ14" s="2">
        <f t="shared" si="10"/>
        <v>88532.339054487646</v>
      </c>
      <c r="BR14" s="2">
        <f t="shared" si="10"/>
        <v>88532.339054487646</v>
      </c>
      <c r="BS14" s="2">
        <f t="shared" si="10"/>
        <v>88532.339054487646</v>
      </c>
      <c r="BT14" s="2">
        <f t="shared" si="10"/>
        <v>88532.339054487646</v>
      </c>
      <c r="BU14" s="2">
        <f t="shared" si="10"/>
        <v>88532.339054487646</v>
      </c>
      <c r="BV14" s="2">
        <f t="shared" si="10"/>
        <v>88532.339054487646</v>
      </c>
      <c r="BW14" s="2">
        <f t="shared" si="10"/>
        <v>88532.339054487646</v>
      </c>
      <c r="BX14" s="2">
        <f t="shared" si="10"/>
        <v>88532.339054487646</v>
      </c>
      <c r="BY14" s="2">
        <f t="shared" si="10"/>
        <v>88532.339054487646</v>
      </c>
      <c r="BZ14" s="2">
        <f t="shared" si="10"/>
        <v>88532.339054487646</v>
      </c>
      <c r="CA14" s="2">
        <f t="shared" si="10"/>
        <v>88532.339054487646</v>
      </c>
      <c r="CB14" s="2">
        <f t="shared" si="10"/>
        <v>88532.339054487646</v>
      </c>
      <c r="CC14" s="2">
        <f t="shared" si="10"/>
        <v>88532.339054487646</v>
      </c>
      <c r="CD14" s="2">
        <f t="shared" si="10"/>
        <v>88532.339054487646</v>
      </c>
      <c r="CE14" s="2">
        <f t="shared" si="10"/>
        <v>88532.339054487646</v>
      </c>
    </row>
    <row r="15" spans="1:83" x14ac:dyDescent="0.3">
      <c r="D15" s="3"/>
      <c r="G15" s="2" t="s">
        <v>27</v>
      </c>
      <c r="J15" s="3"/>
    </row>
    <row r="16" spans="1:83" x14ac:dyDescent="0.3">
      <c r="C16" s="1"/>
      <c r="D16" s="4"/>
      <c r="E16" s="1"/>
      <c r="F16" s="1"/>
      <c r="G16" s="1"/>
      <c r="H16" s="1"/>
      <c r="I16" s="1"/>
      <c r="J16" s="4"/>
      <c r="K16" s="1"/>
      <c r="L16" s="1"/>
      <c r="M16" s="1"/>
      <c r="N16" s="1"/>
      <c r="O16" s="1"/>
      <c r="P16" s="1"/>
      <c r="Q16" s="1"/>
      <c r="R16" s="1"/>
    </row>
    <row r="17" spans="3:30" x14ac:dyDescent="0.3">
      <c r="C17" s="5" t="s">
        <v>31</v>
      </c>
      <c r="D17" s="6"/>
      <c r="E17" s="7">
        <f>E8/E5</f>
        <v>0.51645856980703742</v>
      </c>
      <c r="F17" s="7">
        <f t="shared" ref="F17:J17" si="11">F8/F5</f>
        <v>0.51063829787234039</v>
      </c>
      <c r="G17" s="7">
        <f t="shared" si="11"/>
        <v>0.57920792079207917</v>
      </c>
      <c r="H17" s="7">
        <f t="shared" si="11"/>
        <v>0.57309417040358746</v>
      </c>
      <c r="I17" s="7">
        <f t="shared" si="11"/>
        <v>0.61398728428701177</v>
      </c>
      <c r="J17" s="7">
        <f t="shared" si="11"/>
        <v>0.6047326906222612</v>
      </c>
      <c r="K17" s="7">
        <f>AVERAGE(G17:J17)</f>
        <v>0.59275551652623493</v>
      </c>
      <c r="L17" s="7">
        <f t="shared" ref="L17:X17" si="12">AVERAGE(H17:K17)</f>
        <v>0.59614241545977387</v>
      </c>
      <c r="M17" s="7">
        <f t="shared" si="12"/>
        <v>0.60190447672382041</v>
      </c>
      <c r="N17" s="7">
        <f t="shared" si="12"/>
        <v>0.59888377483302258</v>
      </c>
      <c r="O17" s="7">
        <f t="shared" si="12"/>
        <v>0.59742154588571295</v>
      </c>
      <c r="P17" s="7">
        <f t="shared" si="12"/>
        <v>0.59858805322558239</v>
      </c>
      <c r="Q17" s="7">
        <f t="shared" si="12"/>
        <v>0.59919946266703461</v>
      </c>
      <c r="R17" s="7">
        <f t="shared" si="12"/>
        <v>0.59852320915283808</v>
      </c>
      <c r="S17" s="7">
        <f t="shared" si="12"/>
        <v>0.59843306773279203</v>
      </c>
      <c r="T17" s="7">
        <f t="shared" si="12"/>
        <v>0.59868594819456178</v>
      </c>
      <c r="U17" s="7">
        <f t="shared" si="12"/>
        <v>0.59871042193680668</v>
      </c>
      <c r="V17" s="7">
        <f t="shared" si="12"/>
        <v>0.59858816175424967</v>
      </c>
      <c r="W17" s="7">
        <f t="shared" si="12"/>
        <v>0.59860439990460257</v>
      </c>
      <c r="X17" s="7">
        <f t="shared" si="12"/>
        <v>0.59864723294755517</v>
      </c>
    </row>
    <row r="18" spans="3:30" x14ac:dyDescent="0.3">
      <c r="C18" s="2" t="s">
        <v>28</v>
      </c>
      <c r="D18" s="6"/>
      <c r="E18" s="5">
        <f>1683800+18200</f>
        <v>1702000</v>
      </c>
      <c r="F18" s="5">
        <v>2031300</v>
      </c>
      <c r="G18" s="5">
        <f>2271100+60900</f>
        <v>2332000</v>
      </c>
      <c r="H18" s="5">
        <f>2457800+94500</f>
        <v>2552300</v>
      </c>
      <c r="I18" s="5">
        <f>2586600+93700</f>
        <v>2680300</v>
      </c>
      <c r="J18" s="6">
        <f>2681100+108600</f>
        <v>2789700</v>
      </c>
      <c r="K18" s="5">
        <f>J18+J18*K19</f>
        <v>2869405.7142857146</v>
      </c>
      <c r="L18" s="5">
        <f t="shared" ref="L18:X18" si="13">K18+K18*L19</f>
        <v>2926793.828571429</v>
      </c>
      <c r="M18" s="5">
        <f t="shared" si="13"/>
        <v>2967768.9421714293</v>
      </c>
      <c r="N18" s="5">
        <f t="shared" si="13"/>
        <v>2996853.0778047093</v>
      </c>
      <c r="O18" s="5">
        <f t="shared" si="13"/>
        <v>3017411.4899184494</v>
      </c>
      <c r="P18" s="5">
        <f t="shared" si="13"/>
        <v>3031901.0998930377</v>
      </c>
      <c r="Q18" s="5">
        <f t="shared" si="13"/>
        <v>3042092.5322502181</v>
      </c>
      <c r="R18" s="5">
        <f t="shared" si="13"/>
        <v>3049250.5151367523</v>
      </c>
      <c r="S18" s="5">
        <f t="shared" si="13"/>
        <v>3054272.8929707268</v>
      </c>
      <c r="T18" s="5">
        <f t="shared" si="13"/>
        <v>3057794.348056261</v>
      </c>
      <c r="U18" s="5">
        <f t="shared" si="13"/>
        <v>3060262.2086844267</v>
      </c>
      <c r="V18" s="5">
        <f t="shared" si="13"/>
        <v>3061991.1053432338</v>
      </c>
      <c r="W18" s="5">
        <f t="shared" si="13"/>
        <v>3063202.0167231183</v>
      </c>
      <c r="X18" s="5">
        <f t="shared" si="13"/>
        <v>3064049.9899004814</v>
      </c>
      <c r="Y18" s="1"/>
      <c r="Z18" s="1"/>
    </row>
    <row r="19" spans="3:30" x14ac:dyDescent="0.3">
      <c r="C19" s="5" t="s">
        <v>29</v>
      </c>
      <c r="D19" s="6"/>
      <c r="E19" s="7"/>
      <c r="F19" s="7">
        <f>F18/E18-1</f>
        <v>0.19347826086956532</v>
      </c>
      <c r="G19" s="7">
        <f t="shared" ref="G19:J19" si="14">G18/F18-1</f>
        <v>0.1480332791808201</v>
      </c>
      <c r="H19" s="7">
        <f t="shared" si="14"/>
        <v>9.4468267581475196E-2</v>
      </c>
      <c r="I19" s="7">
        <f t="shared" si="14"/>
        <v>5.0150844336480871E-2</v>
      </c>
      <c r="J19" s="7">
        <f t="shared" si="14"/>
        <v>4.081632653061229E-2</v>
      </c>
      <c r="K19" s="7">
        <f>J19*0.7</f>
        <v>2.8571428571428602E-2</v>
      </c>
      <c r="L19" s="7">
        <f t="shared" ref="L19:X19" si="15">K19*0.7</f>
        <v>2.0000000000000021E-2</v>
      </c>
      <c r="M19" s="7">
        <f t="shared" si="15"/>
        <v>1.4000000000000014E-2</v>
      </c>
      <c r="N19" s="7">
        <f t="shared" si="15"/>
        <v>9.8000000000000101E-3</v>
      </c>
      <c r="O19" s="7">
        <f t="shared" si="15"/>
        <v>6.8600000000000067E-3</v>
      </c>
      <c r="P19" s="7">
        <f t="shared" si="15"/>
        <v>4.8020000000000042E-3</v>
      </c>
      <c r="Q19" s="7">
        <f t="shared" si="15"/>
        <v>3.3614000000000027E-3</v>
      </c>
      <c r="R19" s="7">
        <f t="shared" si="15"/>
        <v>2.3529800000000019E-3</v>
      </c>
      <c r="S19" s="7">
        <f t="shared" si="15"/>
        <v>1.6470860000000012E-3</v>
      </c>
      <c r="T19" s="7">
        <f t="shared" si="15"/>
        <v>1.1529602000000007E-3</v>
      </c>
      <c r="U19" s="7">
        <f t="shared" si="15"/>
        <v>8.0707214000000046E-4</v>
      </c>
      <c r="V19" s="7">
        <f t="shared" si="15"/>
        <v>5.6495049800000033E-4</v>
      </c>
      <c r="W19" s="7">
        <f t="shared" si="15"/>
        <v>3.9546534860000022E-4</v>
      </c>
      <c r="X19" s="7">
        <f t="shared" si="15"/>
        <v>2.7682574402000014E-4</v>
      </c>
      <c r="Y19" s="5"/>
      <c r="AB19" s="2" t="s">
        <v>35</v>
      </c>
      <c r="AD19" s="8">
        <v>7.0000000000000007E-2</v>
      </c>
    </row>
    <row r="20" spans="3:30" x14ac:dyDescent="0.3">
      <c r="C20" s="2" t="s">
        <v>30</v>
      </c>
      <c r="D20" s="3"/>
      <c r="E20" s="8">
        <f>E5/E18</f>
        <v>5.1762632197414803E-2</v>
      </c>
      <c r="F20" s="8">
        <f t="shared" ref="F20:J20" si="16">F5/F18</f>
        <v>4.8589573179737111E-2</v>
      </c>
      <c r="G20" s="8">
        <f t="shared" si="16"/>
        <v>4.3310463121783875E-2</v>
      </c>
      <c r="H20" s="8">
        <f t="shared" si="16"/>
        <v>4.3686087058731338E-2</v>
      </c>
      <c r="I20" s="8">
        <f t="shared" si="16"/>
        <v>4.1077491325597883E-2</v>
      </c>
      <c r="J20" s="8">
        <f t="shared" si="16"/>
        <v>4.0900455246083808E-2</v>
      </c>
      <c r="K20" s="8">
        <f>AVERAGE(G20:J20)</f>
        <v>4.2243624188049222E-2</v>
      </c>
      <c r="L20" s="8">
        <f t="shared" ref="L20:X20" si="17">AVERAGE(H20:K20)</f>
        <v>4.1976914454615558E-2</v>
      </c>
      <c r="M20" s="8">
        <f t="shared" si="17"/>
        <v>4.1549621303586623E-2</v>
      </c>
      <c r="N20" s="8">
        <f t="shared" si="17"/>
        <v>4.1667653798083806E-2</v>
      </c>
      <c r="O20" s="8">
        <f t="shared" si="17"/>
        <v>4.1859453436083799E-2</v>
      </c>
      <c r="P20" s="8">
        <f t="shared" si="17"/>
        <v>4.1763410748092443E-2</v>
      </c>
      <c r="Q20" s="8">
        <f t="shared" si="17"/>
        <v>4.171003482146167E-2</v>
      </c>
      <c r="R20" s="8">
        <f t="shared" si="17"/>
        <v>4.1750138200930431E-2</v>
      </c>
      <c r="S20" s="8">
        <f t="shared" si="17"/>
        <v>4.1770759301642091E-2</v>
      </c>
      <c r="T20" s="8">
        <f t="shared" si="17"/>
        <v>4.1748585768031657E-2</v>
      </c>
      <c r="U20" s="8">
        <f t="shared" si="17"/>
        <v>4.1744879523016462E-2</v>
      </c>
      <c r="V20" s="8">
        <f t="shared" si="17"/>
        <v>4.175359069840516E-2</v>
      </c>
      <c r="W20" s="8">
        <f t="shared" si="17"/>
        <v>4.1754453822773846E-2</v>
      </c>
      <c r="X20" s="8">
        <f t="shared" si="17"/>
        <v>4.1750377453056785E-2</v>
      </c>
      <c r="AB20" s="2" t="s">
        <v>36</v>
      </c>
      <c r="AD20" s="2">
        <f>NPV(AD19,K14:CE14)</f>
        <v>1256327.5285490002</v>
      </c>
    </row>
    <row r="21" spans="3:30" x14ac:dyDescent="0.3">
      <c r="C21" s="2" t="s">
        <v>32</v>
      </c>
      <c r="D21" s="3"/>
      <c r="E21" s="8">
        <f>E9/E18</f>
        <v>7.502937720329024E-2</v>
      </c>
      <c r="F21" s="8">
        <f t="shared" ref="F21:X21" si="18">F9/F18</f>
        <v>9.5209964062423075E-2</v>
      </c>
      <c r="G21" s="8">
        <f t="shared" si="18"/>
        <v>9.6012006861063467E-2</v>
      </c>
      <c r="H21" s="8">
        <f t="shared" si="18"/>
        <v>6.1787407436429888E-2</v>
      </c>
      <c r="I21" s="8">
        <f t="shared" si="18"/>
        <v>1.7647278289743686E-2</v>
      </c>
      <c r="J21" s="8">
        <f t="shared" si="18"/>
        <v>1.6668458974083235E-2</v>
      </c>
      <c r="K21" s="8">
        <f t="shared" si="18"/>
        <v>1.9E-2</v>
      </c>
      <c r="L21" s="8">
        <f t="shared" si="18"/>
        <v>1.7670000000000002E-2</v>
      </c>
      <c r="M21" s="8">
        <f t="shared" si="18"/>
        <v>1.5903E-2</v>
      </c>
      <c r="N21" s="8">
        <f t="shared" si="18"/>
        <v>1.4789790000000002E-2</v>
      </c>
      <c r="O21" s="8">
        <f t="shared" si="18"/>
        <v>1.4789790000000002E-2</v>
      </c>
      <c r="P21" s="8">
        <f t="shared" si="18"/>
        <v>1.4789790000000001E-2</v>
      </c>
      <c r="Q21" s="8">
        <f t="shared" si="18"/>
        <v>1.4789790000000001E-2</v>
      </c>
      <c r="R21" s="8">
        <f t="shared" si="18"/>
        <v>1.4789790000000002E-2</v>
      </c>
      <c r="S21" s="8">
        <f t="shared" si="18"/>
        <v>1.4789790000000001E-2</v>
      </c>
      <c r="T21" s="8">
        <f t="shared" si="18"/>
        <v>1.4789790000000001E-2</v>
      </c>
      <c r="U21" s="8">
        <f t="shared" si="18"/>
        <v>1.4789790000000001E-2</v>
      </c>
      <c r="V21" s="8">
        <f t="shared" si="18"/>
        <v>1.4789789999999999E-2</v>
      </c>
      <c r="W21" s="8">
        <f t="shared" si="18"/>
        <v>1.4789790000000001E-2</v>
      </c>
      <c r="X21" s="8">
        <f t="shared" si="18"/>
        <v>1.4789790000000001E-2</v>
      </c>
      <c r="AB21" s="2" t="s">
        <v>37</v>
      </c>
      <c r="AD21" s="2">
        <v>-675900</v>
      </c>
    </row>
    <row r="22" spans="3:30" x14ac:dyDescent="0.3">
      <c r="C22" s="2" t="s">
        <v>33</v>
      </c>
      <c r="D22" s="3"/>
      <c r="F22" s="1"/>
      <c r="H22" s="1"/>
      <c r="J22" s="9"/>
      <c r="K22" s="8">
        <v>1.9E-2</v>
      </c>
      <c r="L22" s="8">
        <f>K22*0.93</f>
        <v>1.7670000000000002E-2</v>
      </c>
      <c r="M22" s="8">
        <f>L22*0.9</f>
        <v>1.5903E-2</v>
      </c>
      <c r="N22" s="8">
        <f>M22*0.93</f>
        <v>1.4789790000000001E-2</v>
      </c>
      <c r="O22" s="8">
        <f>N22</f>
        <v>1.4789790000000001E-2</v>
      </c>
      <c r="P22" s="8">
        <f t="shared" ref="P22:X22" si="19">O22</f>
        <v>1.4789790000000001E-2</v>
      </c>
      <c r="Q22" s="8">
        <f t="shared" si="19"/>
        <v>1.4789790000000001E-2</v>
      </c>
      <c r="R22" s="8">
        <f t="shared" si="19"/>
        <v>1.4789790000000001E-2</v>
      </c>
      <c r="S22" s="8">
        <f t="shared" si="19"/>
        <v>1.4789790000000001E-2</v>
      </c>
      <c r="T22" s="8">
        <f t="shared" si="19"/>
        <v>1.4789790000000001E-2</v>
      </c>
      <c r="U22" s="8">
        <f t="shared" si="19"/>
        <v>1.4789790000000001E-2</v>
      </c>
      <c r="V22" s="8">
        <f t="shared" si="19"/>
        <v>1.4789790000000001E-2</v>
      </c>
      <c r="W22" s="8">
        <f t="shared" si="19"/>
        <v>1.4789790000000001E-2</v>
      </c>
      <c r="X22" s="8">
        <f t="shared" si="19"/>
        <v>1.4789790000000001E-2</v>
      </c>
      <c r="AB22" s="2" t="s">
        <v>38</v>
      </c>
      <c r="AD22" s="8">
        <v>0.13</v>
      </c>
    </row>
    <row r="23" spans="3:30" x14ac:dyDescent="0.3">
      <c r="C23" s="2" t="s">
        <v>34</v>
      </c>
      <c r="D23" s="3"/>
      <c r="E23" s="8">
        <f t="shared" ref="E23:J23" si="20">E13/E8</f>
        <v>0.19780219780219779</v>
      </c>
      <c r="F23" s="8">
        <f t="shared" si="20"/>
        <v>0.26984126984126983</v>
      </c>
      <c r="G23" s="8">
        <f t="shared" si="20"/>
        <v>0.25982905982905985</v>
      </c>
      <c r="H23" s="8">
        <f t="shared" si="20"/>
        <v>0.323943661971831</v>
      </c>
      <c r="I23" s="8">
        <f t="shared" si="20"/>
        <v>0.15680473372781065</v>
      </c>
      <c r="J23" s="8">
        <f t="shared" si="20"/>
        <v>-4.3478260869565216E-2</v>
      </c>
      <c r="K23" s="8">
        <v>0.2</v>
      </c>
      <c r="L23" s="8">
        <v>0.2</v>
      </c>
      <c r="M23" s="8">
        <v>0.2</v>
      </c>
      <c r="N23" s="8">
        <v>0.2</v>
      </c>
      <c r="O23" s="8">
        <v>0.2</v>
      </c>
      <c r="P23" s="8">
        <v>0.2</v>
      </c>
      <c r="Q23" s="8">
        <v>0.2</v>
      </c>
      <c r="R23" s="8">
        <v>0.2</v>
      </c>
      <c r="S23" s="8">
        <v>0.2</v>
      </c>
      <c r="T23" s="8">
        <v>0.2</v>
      </c>
      <c r="U23" s="8">
        <v>0.2</v>
      </c>
      <c r="V23" s="8">
        <v>0.2</v>
      </c>
      <c r="W23" s="8">
        <v>0.2</v>
      </c>
      <c r="X23" s="8">
        <v>0.2</v>
      </c>
      <c r="AB23" s="2" t="s">
        <v>39</v>
      </c>
      <c r="AD23" s="2">
        <f>X18-X18*AD22</f>
        <v>2665723.491213419</v>
      </c>
    </row>
    <row r="24" spans="3:30" x14ac:dyDescent="0.3">
      <c r="D24" s="3"/>
      <c r="F24" s="1"/>
      <c r="H24" s="1"/>
      <c r="J24" s="4"/>
      <c r="AB24" s="2" t="s">
        <v>40</v>
      </c>
      <c r="AD24" s="2">
        <f>AD23+AD21+AD20</f>
        <v>3246151.0197624192</v>
      </c>
    </row>
    <row r="25" spans="3:30" x14ac:dyDescent="0.3">
      <c r="D25" s="3"/>
      <c r="F25" s="1"/>
      <c r="H25" s="1"/>
      <c r="J25" s="4"/>
      <c r="AB25" s="2" t="s">
        <v>3</v>
      </c>
      <c r="AD25" s="2">
        <v>2145</v>
      </c>
    </row>
    <row r="26" spans="3:30" x14ac:dyDescent="0.3">
      <c r="D26" s="3"/>
      <c r="F26" s="1"/>
      <c r="H26" s="1"/>
      <c r="J26" s="4"/>
      <c r="AB26" s="2" t="s">
        <v>41</v>
      </c>
      <c r="AD26" s="2">
        <f>AD24/AD25</f>
        <v>1513.3571187703585</v>
      </c>
    </row>
    <row r="27" spans="3:30" x14ac:dyDescent="0.3">
      <c r="D27" s="3"/>
      <c r="J27" s="3"/>
      <c r="AB27" s="2" t="s">
        <v>42</v>
      </c>
      <c r="AD27" s="2">
        <v>829</v>
      </c>
    </row>
    <row r="28" spans="3:30" x14ac:dyDescent="0.3">
      <c r="D28" s="3"/>
      <c r="J28" s="3"/>
      <c r="AB28" s="2" t="s">
        <v>43</v>
      </c>
      <c r="AD28" s="8">
        <f>AD26/AD27-1</f>
        <v>0.82552125304023938</v>
      </c>
    </row>
    <row r="29" spans="3:30" x14ac:dyDescent="0.3">
      <c r="D29" s="3"/>
      <c r="J29" s="3"/>
    </row>
    <row r="30" spans="3:30" x14ac:dyDescent="0.3">
      <c r="D30" s="3"/>
      <c r="J30" s="3"/>
    </row>
    <row r="31" spans="3:30" x14ac:dyDescent="0.3">
      <c r="D31" s="3"/>
      <c r="J31" s="3"/>
    </row>
    <row r="32" spans="3:30" x14ac:dyDescent="0.3">
      <c r="D32" s="3"/>
      <c r="J32" s="3"/>
    </row>
    <row r="33" spans="4:10" x14ac:dyDescent="0.3">
      <c r="D33" s="3"/>
      <c r="J33" s="3"/>
    </row>
    <row r="34" spans="4:10" x14ac:dyDescent="0.3">
      <c r="D34" s="3"/>
      <c r="J34" s="3"/>
    </row>
    <row r="35" spans="4:10" x14ac:dyDescent="0.3">
      <c r="D35" s="3"/>
      <c r="J35" s="3"/>
    </row>
    <row r="36" spans="4:10" x14ac:dyDescent="0.3">
      <c r="D36" s="3"/>
      <c r="J36" s="3"/>
    </row>
    <row r="37" spans="4:10" x14ac:dyDescent="0.3">
      <c r="D37" s="3"/>
      <c r="J37" s="3"/>
    </row>
    <row r="38" spans="4:10" x14ac:dyDescent="0.3">
      <c r="D38" s="3"/>
      <c r="J38" s="3"/>
    </row>
    <row r="39" spans="4:10" x14ac:dyDescent="0.3">
      <c r="D39" s="3"/>
      <c r="J39" s="3"/>
    </row>
    <row r="40" spans="4:10" x14ac:dyDescent="0.3">
      <c r="D40" s="3"/>
      <c r="J40" s="3"/>
    </row>
    <row r="41" spans="4:10" x14ac:dyDescent="0.3">
      <c r="J41" s="3"/>
    </row>
    <row r="42" spans="4:10" x14ac:dyDescent="0.3">
      <c r="J42" s="3"/>
    </row>
    <row r="43" spans="4:10" x14ac:dyDescent="0.3">
      <c r="J43" s="3"/>
    </row>
    <row r="44" spans="4:10" x14ac:dyDescent="0.3">
      <c r="J44" s="3"/>
    </row>
    <row r="45" spans="4:10" x14ac:dyDescent="0.3">
      <c r="J45" s="3"/>
    </row>
    <row r="46" spans="4:10" x14ac:dyDescent="0.3">
      <c r="J46" s="3"/>
    </row>
    <row r="47" spans="4:10" x14ac:dyDescent="0.3">
      <c r="J47" s="3"/>
    </row>
    <row r="48" spans="4:10" x14ac:dyDescent="0.3">
      <c r="J48" s="3"/>
    </row>
    <row r="49" spans="10:10" x14ac:dyDescent="0.3">
      <c r="J49" s="3"/>
    </row>
    <row r="50" spans="10:10" x14ac:dyDescent="0.3">
      <c r="J50" s="3"/>
    </row>
    <row r="51" spans="10:10" x14ac:dyDescent="0.3">
      <c r="J51" s="3"/>
    </row>
    <row r="52" spans="10:10" x14ac:dyDescent="0.3">
      <c r="J52" s="3"/>
    </row>
    <row r="53" spans="10:10" x14ac:dyDescent="0.3">
      <c r="J53" s="3"/>
    </row>
    <row r="54" spans="10:10" x14ac:dyDescent="0.3">
      <c r="J54" s="3"/>
    </row>
    <row r="55" spans="10:10" x14ac:dyDescent="0.3">
      <c r="J55" s="3"/>
    </row>
    <row r="56" spans="10:10" x14ac:dyDescent="0.3">
      <c r="J56" s="3"/>
    </row>
    <row r="57" spans="10:10" x14ac:dyDescent="0.3">
      <c r="J57" s="3"/>
    </row>
    <row r="58" spans="10:10" x14ac:dyDescent="0.3">
      <c r="J58" s="3"/>
    </row>
    <row r="59" spans="10:10" x14ac:dyDescent="0.3">
      <c r="J59" s="3"/>
    </row>
    <row r="60" spans="10:10" x14ac:dyDescent="0.3">
      <c r="J60" s="3"/>
    </row>
    <row r="61" spans="10:10" x14ac:dyDescent="0.3">
      <c r="J61" s="3"/>
    </row>
    <row r="62" spans="10:10" x14ac:dyDescent="0.3">
      <c r="J62" s="3"/>
    </row>
    <row r="63" spans="10:10" x14ac:dyDescent="0.3">
      <c r="J63" s="3"/>
    </row>
    <row r="64" spans="10:10" x14ac:dyDescent="0.3">
      <c r="J64" s="3"/>
    </row>
    <row r="65" spans="10:10" x14ac:dyDescent="0.3">
      <c r="J65" s="3"/>
    </row>
    <row r="66" spans="10:10" x14ac:dyDescent="0.3">
      <c r="J66" s="3"/>
    </row>
    <row r="67" spans="10:10" x14ac:dyDescent="0.3">
      <c r="J67" s="3"/>
    </row>
    <row r="68" spans="10:10" x14ac:dyDescent="0.3">
      <c r="J68" s="3"/>
    </row>
    <row r="69" spans="10:10" x14ac:dyDescent="0.3">
      <c r="J69" s="3"/>
    </row>
    <row r="70" spans="10:10" x14ac:dyDescent="0.3">
      <c r="J70" s="3"/>
    </row>
    <row r="71" spans="10:10" x14ac:dyDescent="0.3">
      <c r="J71" s="3"/>
    </row>
    <row r="72" spans="10:10" x14ac:dyDescent="0.3">
      <c r="J72" s="3"/>
    </row>
    <row r="73" spans="10:10" x14ac:dyDescent="0.3">
      <c r="J73" s="3"/>
    </row>
    <row r="74" spans="10:10" x14ac:dyDescent="0.3">
      <c r="J74" s="3"/>
    </row>
    <row r="75" spans="10:10" x14ac:dyDescent="0.3">
      <c r="J75" s="3"/>
    </row>
    <row r="76" spans="10:10" x14ac:dyDescent="0.3">
      <c r="J76" s="3"/>
    </row>
    <row r="77" spans="10:10" x14ac:dyDescent="0.3">
      <c r="J77" s="3"/>
    </row>
    <row r="78" spans="10:10" x14ac:dyDescent="0.3">
      <c r="J78" s="3"/>
    </row>
    <row r="79" spans="10:10" x14ac:dyDescent="0.3">
      <c r="J79" s="3"/>
    </row>
    <row r="80" spans="10:10" x14ac:dyDescent="0.3">
      <c r="J80" s="3"/>
    </row>
    <row r="81" spans="10:10" x14ac:dyDescent="0.3">
      <c r="J81" s="3"/>
    </row>
    <row r="82" spans="10:10" x14ac:dyDescent="0.3">
      <c r="J82" s="3"/>
    </row>
    <row r="83" spans="10:10" x14ac:dyDescent="0.3">
      <c r="J83" s="3"/>
    </row>
    <row r="84" spans="10:10" x14ac:dyDescent="0.3">
      <c r="J84" s="3"/>
    </row>
    <row r="85" spans="10:10" x14ac:dyDescent="0.3">
      <c r="J85" s="3"/>
    </row>
    <row r="86" spans="10:10" x14ac:dyDescent="0.3">
      <c r="J86" s="3"/>
    </row>
    <row r="87" spans="10:10" x14ac:dyDescent="0.3">
      <c r="J87" s="3"/>
    </row>
    <row r="88" spans="10:10" x14ac:dyDescent="0.3">
      <c r="J88" s="3"/>
    </row>
    <row r="89" spans="10:10" x14ac:dyDescent="0.3">
      <c r="J8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5" sqref="E5"/>
    </sheetView>
  </sheetViews>
  <sheetFormatPr defaultRowHeight="14.4" x14ac:dyDescent="0.3"/>
  <cols>
    <col min="1" max="4" width="8.88671875" style="2"/>
    <col min="5" max="5" width="10.88671875" style="2" bestFit="1" customWidth="1"/>
    <col min="6" max="16384" width="8.88671875" style="2"/>
  </cols>
  <sheetData>
    <row r="1" spans="1:8" x14ac:dyDescent="0.3">
      <c r="A1" s="1" t="s">
        <v>1</v>
      </c>
    </row>
    <row r="4" spans="1:8" x14ac:dyDescent="0.3">
      <c r="D4" s="2" t="s">
        <v>2</v>
      </c>
      <c r="E4" s="2">
        <v>829</v>
      </c>
    </row>
    <row r="5" spans="1:8" x14ac:dyDescent="0.3">
      <c r="D5" s="2" t="s">
        <v>3</v>
      </c>
      <c r="E5" s="2">
        <f>E6/E4</f>
        <v>2145.4402895054282</v>
      </c>
    </row>
    <row r="6" spans="1:8" x14ac:dyDescent="0.3">
      <c r="D6" s="2" t="s">
        <v>4</v>
      </c>
      <c r="E6" s="2">
        <v>1778570</v>
      </c>
    </row>
    <row r="7" spans="1:8" x14ac:dyDescent="0.3">
      <c r="D7" s="2" t="s">
        <v>5</v>
      </c>
      <c r="E7" s="2">
        <v>50100</v>
      </c>
    </row>
    <row r="8" spans="1:8" x14ac:dyDescent="0.3">
      <c r="D8" s="2" t="s">
        <v>6</v>
      </c>
      <c r="E8" s="2">
        <v>726000</v>
      </c>
      <c r="G8" s="2" t="s">
        <v>8</v>
      </c>
      <c r="H8" s="2">
        <f>E7-E8</f>
        <v>-675900</v>
      </c>
    </row>
    <row r="9" spans="1:8" x14ac:dyDescent="0.3">
      <c r="D9" s="2" t="s">
        <v>7</v>
      </c>
      <c r="E9" s="2">
        <f>E6-E7+E8</f>
        <v>2454470</v>
      </c>
    </row>
    <row r="13" spans="1:8" x14ac:dyDescent="0.3">
      <c r="D13" s="2" t="s">
        <v>9</v>
      </c>
    </row>
    <row r="14" spans="1:8" x14ac:dyDescent="0.3">
      <c r="D14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Simeone</dc:creator>
  <cp:lastModifiedBy>Giulio Simeone</cp:lastModifiedBy>
  <dcterms:created xsi:type="dcterms:W3CDTF">2024-01-26T14:22:44Z</dcterms:created>
  <dcterms:modified xsi:type="dcterms:W3CDTF">2024-01-26T16:26:45Z</dcterms:modified>
</cp:coreProperties>
</file>