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23" i="1" l="1"/>
  <c r="C26" i="1"/>
  <c r="H34" i="1"/>
  <c r="H37" i="1" s="1"/>
  <c r="H35" i="1"/>
  <c r="C47" i="1" l="1"/>
  <c r="H51" i="1"/>
  <c r="H50" i="1"/>
  <c r="H49" i="1"/>
  <c r="H48" i="1"/>
  <c r="H47" i="1"/>
  <c r="H36" i="1" l="1"/>
  <c r="H25" i="1"/>
  <c r="H24" i="1"/>
  <c r="H15" i="1"/>
  <c r="H14" i="1"/>
  <c r="H13" i="1"/>
  <c r="H12" i="1"/>
  <c r="H26" i="1" l="1"/>
  <c r="C12" i="1"/>
  <c r="N14" i="1"/>
  <c r="N12" i="1"/>
  <c r="N8" i="1"/>
  <c r="N11" i="1"/>
  <c r="N13" i="1" s="1"/>
  <c r="N10" i="1"/>
  <c r="C40" i="1"/>
  <c r="D38" i="1"/>
  <c r="C41" i="1" l="1"/>
  <c r="C23" i="1"/>
  <c r="C45" i="1" l="1"/>
  <c r="C42" i="1"/>
  <c r="C43" i="1" s="1"/>
  <c r="C44" i="1" s="1"/>
  <c r="C27" i="1"/>
  <c r="C28" i="1" s="1"/>
  <c r="C29" i="1" s="1"/>
  <c r="C14" i="1"/>
  <c r="C13" i="1" l="1"/>
  <c r="C15" i="1"/>
  <c r="C16" i="1" s="1"/>
</calcChain>
</file>

<file path=xl/sharedStrings.xml><?xml version="1.0" encoding="utf-8"?>
<sst xmlns="http://schemas.openxmlformats.org/spreadsheetml/2006/main" count="181" uniqueCount="46">
  <si>
    <t>Mehrfachgegenkopplung</t>
  </si>
  <si>
    <t>a</t>
  </si>
  <si>
    <t>b</t>
  </si>
  <si>
    <t>C1</t>
  </si>
  <si>
    <t>C2</t>
  </si>
  <si>
    <t>R1</t>
  </si>
  <si>
    <t>R2</t>
  </si>
  <si>
    <t>R3</t>
  </si>
  <si>
    <t>Wert</t>
  </si>
  <si>
    <t>Einheit</t>
  </si>
  <si>
    <t>Ohm</t>
  </si>
  <si>
    <t>A0</t>
  </si>
  <si>
    <t>gewählt</t>
  </si>
  <si>
    <t>fg</t>
  </si>
  <si>
    <t>F</t>
  </si>
  <si>
    <t>Einfachmitkopplung</t>
  </si>
  <si>
    <t>Tiefpass:</t>
  </si>
  <si>
    <t>Hochpass:</t>
  </si>
  <si>
    <t>C3</t>
  </si>
  <si>
    <t>V0</t>
  </si>
  <si>
    <t>Hz</t>
  </si>
  <si>
    <t>C1 = C3</t>
  </si>
  <si>
    <t>Koeffizienten</t>
  </si>
  <si>
    <t>Bandpass:</t>
  </si>
  <si>
    <t>Q</t>
  </si>
  <si>
    <t>fm</t>
  </si>
  <si>
    <t>fgo</t>
  </si>
  <si>
    <t>fgu</t>
  </si>
  <si>
    <t>Ar</t>
  </si>
  <si>
    <t>B</t>
  </si>
  <si>
    <t>R</t>
  </si>
  <si>
    <t>C</t>
  </si>
  <si>
    <t>Vo OPV</t>
  </si>
  <si>
    <t>mindest Leerlaufverstärkung des OPVs</t>
  </si>
  <si>
    <t>Aktiver T-Bandsperrfilter</t>
  </si>
  <si>
    <t>k</t>
  </si>
  <si>
    <t>OHM</t>
  </si>
  <si>
    <t>mit V0</t>
  </si>
  <si>
    <t>α</t>
  </si>
  <si>
    <t>ohne V0</t>
  </si>
  <si>
    <t>rot… eingeben</t>
  </si>
  <si>
    <t>grün… wird berechnet</t>
  </si>
  <si>
    <t>C1 = C2</t>
  </si>
  <si>
    <t>fr</t>
  </si>
  <si>
    <t>-</t>
  </si>
  <si>
    <t>fT…Transientenfrequenz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</si>
</sst>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6" fontId="1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tabSelected="1" topLeftCell="B7" zoomScale="85" zoomScaleNormal="85" workbookViewId="0">
      <selection activeCell="H22" sqref="H22"/>
    </sheetView>
  </sheetViews>
  <sheetFormatPr baseColWidth="10" defaultColWidth="9.109375" defaultRowHeight="14.4" x14ac:dyDescent="0.3"/>
  <cols>
    <col min="2" max="2" width="44.44140625" customWidth="1"/>
    <col min="3" max="3" width="29.33203125" bestFit="1" customWidth="1"/>
    <col min="4" max="4" width="18.33203125" customWidth="1"/>
    <col min="7" max="7" width="27.109375" customWidth="1"/>
    <col min="8" max="8" width="26.88671875" customWidth="1"/>
    <col min="9" max="9" width="21" customWidth="1"/>
    <col min="10" max="10" width="18.33203125" customWidth="1"/>
    <col min="13" max="13" width="32" customWidth="1"/>
    <col min="14" max="14" width="23.109375" customWidth="1"/>
    <col min="15" max="15" width="14.33203125" customWidth="1"/>
  </cols>
  <sheetData>
    <row r="2" spans="2:16" x14ac:dyDescent="0.3">
      <c r="B2" t="s">
        <v>40</v>
      </c>
      <c r="C2" t="s">
        <v>41</v>
      </c>
    </row>
    <row r="3" spans="2:16" ht="15.6" x14ac:dyDescent="0.3">
      <c r="F3" s="1"/>
      <c r="G3" s="1"/>
      <c r="H3" s="1"/>
      <c r="I3" s="6"/>
      <c r="J3" s="6"/>
      <c r="K3" s="6"/>
      <c r="L3" s="6"/>
      <c r="M3" s="6" t="s">
        <v>34</v>
      </c>
      <c r="N3" s="1"/>
      <c r="O3" s="1"/>
      <c r="P3" s="1"/>
    </row>
    <row r="4" spans="2:16" ht="15.6" x14ac:dyDescent="0.3">
      <c r="B4" s="6" t="s">
        <v>0</v>
      </c>
      <c r="C4" s="1"/>
      <c r="D4" s="1"/>
      <c r="E4" s="1"/>
      <c r="F4" s="1"/>
      <c r="G4" s="6" t="s">
        <v>15</v>
      </c>
      <c r="H4" s="1"/>
      <c r="I4" s="1"/>
      <c r="J4" s="1"/>
      <c r="K4" s="1"/>
      <c r="L4" s="1"/>
      <c r="M4" s="6" t="s">
        <v>22</v>
      </c>
      <c r="N4" s="6" t="s">
        <v>8</v>
      </c>
      <c r="O4" s="6" t="s">
        <v>9</v>
      </c>
    </row>
    <row r="5" spans="2:16" ht="15.6" x14ac:dyDescent="0.3">
      <c r="B5" s="6" t="s">
        <v>16</v>
      </c>
      <c r="C5" s="6"/>
      <c r="D5" s="6"/>
      <c r="E5" s="6"/>
      <c r="F5" s="1"/>
      <c r="G5" s="6" t="s">
        <v>16</v>
      </c>
      <c r="H5" s="6" t="s">
        <v>37</v>
      </c>
      <c r="I5" s="6"/>
      <c r="J5" s="6"/>
      <c r="K5" s="1"/>
      <c r="L5" s="1"/>
      <c r="M5" s="7" t="s">
        <v>25</v>
      </c>
      <c r="N5" s="1">
        <v>1000</v>
      </c>
      <c r="O5" s="1" t="s">
        <v>20</v>
      </c>
    </row>
    <row r="6" spans="2:16" ht="15.6" x14ac:dyDescent="0.3">
      <c r="B6" s="6" t="s">
        <v>22</v>
      </c>
      <c r="C6" s="6" t="s">
        <v>8</v>
      </c>
      <c r="D6" s="6" t="s">
        <v>12</v>
      </c>
      <c r="E6" s="6" t="s">
        <v>9</v>
      </c>
      <c r="F6" s="1"/>
      <c r="G6" s="6" t="s">
        <v>22</v>
      </c>
      <c r="H6" s="6" t="s">
        <v>8</v>
      </c>
      <c r="I6" s="6" t="s">
        <v>12</v>
      </c>
      <c r="J6" s="6" t="s">
        <v>9</v>
      </c>
      <c r="K6" s="1"/>
      <c r="L6" s="1"/>
      <c r="M6" s="7" t="s">
        <v>26</v>
      </c>
      <c r="N6" s="1">
        <v>750</v>
      </c>
      <c r="O6" s="1" t="s">
        <v>20</v>
      </c>
    </row>
    <row r="7" spans="2:16" ht="15" x14ac:dyDescent="0.3">
      <c r="B7" s="2" t="s">
        <v>1</v>
      </c>
      <c r="C7" s="3">
        <v>0.77429999999999999</v>
      </c>
      <c r="D7" s="1"/>
      <c r="E7" s="3"/>
      <c r="F7" s="1"/>
      <c r="G7" s="2" t="s">
        <v>1</v>
      </c>
      <c r="H7" s="3">
        <v>1.0649999999999999</v>
      </c>
      <c r="I7" s="1"/>
      <c r="J7" s="1"/>
      <c r="K7" s="1"/>
      <c r="L7" s="1"/>
      <c r="M7" s="7" t="s">
        <v>27</v>
      </c>
      <c r="N7" s="1">
        <v>1250</v>
      </c>
      <c r="O7" s="1" t="s">
        <v>20</v>
      </c>
    </row>
    <row r="8" spans="2:16" ht="15" x14ac:dyDescent="0.3">
      <c r="B8" s="2" t="s">
        <v>2</v>
      </c>
      <c r="C8" s="3">
        <v>0.38900000000000001</v>
      </c>
      <c r="D8" s="1"/>
      <c r="E8" s="3"/>
      <c r="F8" s="1"/>
      <c r="G8" s="2" t="s">
        <v>2</v>
      </c>
      <c r="H8" s="3">
        <v>1.9305000000000001</v>
      </c>
      <c r="I8" s="1"/>
      <c r="J8" s="1"/>
      <c r="K8" s="1"/>
      <c r="L8" s="1"/>
      <c r="M8" s="7" t="s">
        <v>31</v>
      </c>
      <c r="N8" s="1">
        <f>0.0000001</f>
        <v>9.9999999999999995E-8</v>
      </c>
      <c r="O8" s="1" t="s">
        <v>14</v>
      </c>
    </row>
    <row r="9" spans="2:16" ht="15" x14ac:dyDescent="0.3">
      <c r="B9" s="2" t="s">
        <v>3</v>
      </c>
      <c r="C9" s="5">
        <v>1E-8</v>
      </c>
      <c r="D9" s="1"/>
      <c r="E9" s="3" t="s">
        <v>14</v>
      </c>
      <c r="F9" s="1"/>
      <c r="G9" s="2" t="s">
        <v>13</v>
      </c>
      <c r="H9" s="1">
        <v>1000</v>
      </c>
      <c r="I9" s="1"/>
      <c r="J9" s="1" t="s">
        <v>14</v>
      </c>
      <c r="K9" s="1"/>
      <c r="L9" s="1"/>
      <c r="M9" s="8" t="s">
        <v>5</v>
      </c>
      <c r="N9" s="1">
        <v>10000</v>
      </c>
      <c r="O9" s="1" t="s">
        <v>36</v>
      </c>
    </row>
    <row r="10" spans="2:16" ht="15" x14ac:dyDescent="0.3">
      <c r="B10" s="2" t="s">
        <v>11</v>
      </c>
      <c r="C10" s="3">
        <v>1</v>
      </c>
      <c r="D10" s="1"/>
      <c r="E10" s="3"/>
      <c r="F10" s="1"/>
      <c r="G10" s="2" t="s">
        <v>31</v>
      </c>
      <c r="H10" s="1">
        <v>9.9999999999999995E-8</v>
      </c>
      <c r="I10" s="1"/>
      <c r="J10" s="1" t="s">
        <v>20</v>
      </c>
      <c r="K10" s="1"/>
      <c r="L10" s="1"/>
      <c r="M10" s="8" t="s">
        <v>29</v>
      </c>
      <c r="N10" s="1">
        <f>N7-N6</f>
        <v>500</v>
      </c>
      <c r="O10" s="1" t="s">
        <v>20</v>
      </c>
    </row>
    <row r="11" spans="2:16" ht="15" x14ac:dyDescent="0.3">
      <c r="B11" s="2" t="s">
        <v>13</v>
      </c>
      <c r="C11" s="3">
        <v>2000</v>
      </c>
      <c r="D11" s="1"/>
      <c r="E11" s="1" t="s">
        <v>20</v>
      </c>
      <c r="F11" s="1"/>
      <c r="G11" s="7" t="s">
        <v>5</v>
      </c>
      <c r="H11" s="1">
        <v>10000</v>
      </c>
      <c r="I11" s="1"/>
      <c r="J11" s="1" t="s">
        <v>10</v>
      </c>
      <c r="K11" s="1"/>
      <c r="L11" s="1"/>
      <c r="M11" s="8" t="s">
        <v>24</v>
      </c>
      <c r="N11" s="1">
        <f>N5/N10</f>
        <v>2</v>
      </c>
      <c r="O11" s="1"/>
    </row>
    <row r="12" spans="2:16" ht="15" x14ac:dyDescent="0.3">
      <c r="B12" s="4" t="s">
        <v>4</v>
      </c>
      <c r="C12" s="5">
        <f>4*C8*C9*(1+C10)/(C7*C7)</f>
        <v>5.1906419197809318E-8</v>
      </c>
      <c r="D12" s="5">
        <v>5.5999999999999999E-8</v>
      </c>
      <c r="E12" s="3" t="s">
        <v>14</v>
      </c>
      <c r="F12" s="1"/>
      <c r="G12" s="4" t="s">
        <v>38</v>
      </c>
      <c r="H12" s="10">
        <f>3-(H7/(SQRT(H8)))</f>
        <v>2.2334955071696334</v>
      </c>
      <c r="I12" s="1"/>
      <c r="J12" s="1"/>
      <c r="K12" s="1"/>
      <c r="L12" s="1"/>
      <c r="M12" s="8" t="s">
        <v>30</v>
      </c>
      <c r="N12" s="1">
        <f>1/(2*3.1459*N8*N5)</f>
        <v>1589.3702914905114</v>
      </c>
      <c r="O12" s="1" t="s">
        <v>10</v>
      </c>
    </row>
    <row r="13" spans="2:16" ht="15" x14ac:dyDescent="0.3">
      <c r="B13" s="4" t="s">
        <v>5</v>
      </c>
      <c r="C13" s="3">
        <f>C14/C10</f>
        <v>2247.8781028717422</v>
      </c>
      <c r="D13" s="1"/>
      <c r="E13" s="3" t="s">
        <v>10</v>
      </c>
      <c r="F13" s="1"/>
      <c r="G13" s="8" t="s">
        <v>6</v>
      </c>
      <c r="H13" s="1">
        <f>(H12-1)*H11</f>
        <v>12334.955071696335</v>
      </c>
      <c r="I13" s="1"/>
      <c r="J13" s="1" t="s">
        <v>10</v>
      </c>
      <c r="K13" s="1"/>
      <c r="L13" s="1"/>
      <c r="M13" s="8" t="s">
        <v>35</v>
      </c>
      <c r="N13" s="1">
        <f>(1/(2*N11))+2</f>
        <v>2.25</v>
      </c>
      <c r="O13" s="1"/>
    </row>
    <row r="14" spans="2:16" ht="15" x14ac:dyDescent="0.3">
      <c r="B14" s="4" t="s">
        <v>6</v>
      </c>
      <c r="C14" s="3">
        <f>(C7*D12-SQRT(C7*C7*D12*D12-4*C9*D12*C8*(1+C10)))/(4*3.14159*C11*C9*D12)</f>
        <v>2247.8781028717422</v>
      </c>
      <c r="D14" s="1"/>
      <c r="E14" s="3" t="s">
        <v>10</v>
      </c>
      <c r="F14" s="1"/>
      <c r="G14" s="4" t="s">
        <v>30</v>
      </c>
      <c r="H14" s="1">
        <f>SQRT(H8)/(2*3.1459*H9*H10)</f>
        <v>2208.3097702233531</v>
      </c>
      <c r="I14" s="1"/>
      <c r="J14" s="1" t="s">
        <v>10</v>
      </c>
      <c r="K14" s="1"/>
      <c r="L14" s="1"/>
      <c r="M14" s="8" t="s">
        <v>6</v>
      </c>
      <c r="N14" s="1">
        <f>(N13-1)*N9</f>
        <v>12500</v>
      </c>
      <c r="O14" s="1" t="s">
        <v>10</v>
      </c>
    </row>
    <row r="15" spans="2:16" ht="15.6" x14ac:dyDescent="0.3">
      <c r="B15" s="4" t="s">
        <v>7</v>
      </c>
      <c r="C15" s="3">
        <f>C8/(4*3.14159*3.14159*C11*C11*C9*D12*C14)</f>
        <v>1956.9053617434422</v>
      </c>
      <c r="D15" s="1"/>
      <c r="E15" s="3" t="s">
        <v>10</v>
      </c>
      <c r="F15" s="1"/>
      <c r="G15" s="9" t="s">
        <v>24</v>
      </c>
      <c r="H15" s="1">
        <f>SQRT(H8)/H7</f>
        <v>1.3046237945813421</v>
      </c>
      <c r="I15" s="1"/>
      <c r="J15" s="1"/>
      <c r="K15" s="1"/>
      <c r="L15" s="1"/>
      <c r="M15" s="1"/>
      <c r="N15" s="1"/>
    </row>
    <row r="16" spans="2:16" ht="15" x14ac:dyDescent="0.3">
      <c r="B16" s="8" t="s">
        <v>24</v>
      </c>
      <c r="C16" s="1">
        <f>(SQRT(C14*C15*C9*D12))/(C15*C9*(1+C10)+C14*C9)</f>
        <v>0.80549999377567749</v>
      </c>
      <c r="D16" s="1"/>
      <c r="E16" s="1"/>
      <c r="F16" s="1"/>
      <c r="K16" s="1"/>
      <c r="L16" s="1"/>
      <c r="M16" s="1"/>
      <c r="N16" s="1"/>
    </row>
    <row r="17" spans="2:14" ht="15.6" x14ac:dyDescent="0.3">
      <c r="G17" s="6" t="s">
        <v>16</v>
      </c>
      <c r="H17" s="6" t="s">
        <v>39</v>
      </c>
      <c r="I17" s="6"/>
      <c r="J17" s="6"/>
      <c r="K17" s="1"/>
      <c r="L17" s="1"/>
      <c r="M17" s="1"/>
      <c r="N17" s="1"/>
    </row>
    <row r="18" spans="2:14" ht="15.6" x14ac:dyDescent="0.3">
      <c r="B18" s="6" t="s">
        <v>17</v>
      </c>
      <c r="C18" s="6" t="s">
        <v>21</v>
      </c>
      <c r="D18" s="6"/>
      <c r="E18" s="6"/>
      <c r="F18" s="1"/>
      <c r="G18" s="6" t="s">
        <v>22</v>
      </c>
      <c r="H18" s="6" t="s">
        <v>8</v>
      </c>
      <c r="I18" s="6" t="s">
        <v>12</v>
      </c>
      <c r="J18" s="6" t="s">
        <v>9</v>
      </c>
      <c r="K18" s="1"/>
      <c r="L18" s="1"/>
      <c r="M18" s="1"/>
      <c r="N18" s="1"/>
    </row>
    <row r="19" spans="2:14" ht="15.6" x14ac:dyDescent="0.3">
      <c r="B19" s="6" t="s">
        <v>22</v>
      </c>
      <c r="C19" s="6" t="s">
        <v>8</v>
      </c>
      <c r="D19" s="6" t="s">
        <v>12</v>
      </c>
      <c r="E19" s="6" t="s">
        <v>9</v>
      </c>
      <c r="F19" s="1"/>
      <c r="G19" s="2" t="s">
        <v>1</v>
      </c>
      <c r="H19" s="1">
        <v>1.3616999999999999</v>
      </c>
      <c r="I19" s="1"/>
      <c r="J19" s="1"/>
      <c r="K19" s="1"/>
      <c r="L19" s="1"/>
      <c r="M19" s="1"/>
      <c r="N19" s="1"/>
    </row>
    <row r="20" spans="2:14" ht="15" x14ac:dyDescent="0.3">
      <c r="B20" s="2" t="s">
        <v>1</v>
      </c>
      <c r="C20" s="3">
        <v>1.3613999999999999</v>
      </c>
      <c r="D20" s="1"/>
      <c r="E20" s="3"/>
      <c r="F20" s="1"/>
      <c r="G20" s="2" t="s">
        <v>2</v>
      </c>
      <c r="H20" s="1">
        <v>0.61799999999999999</v>
      </c>
      <c r="I20" s="1"/>
      <c r="J20" s="1"/>
      <c r="K20" s="1"/>
      <c r="L20" s="1"/>
      <c r="M20" s="1"/>
      <c r="N20" s="1"/>
    </row>
    <row r="21" spans="2:14" ht="15" x14ac:dyDescent="0.3">
      <c r="B21" s="2" t="s">
        <v>2</v>
      </c>
      <c r="C21" s="3">
        <v>1.3827</v>
      </c>
      <c r="D21" s="1"/>
      <c r="E21" s="3"/>
      <c r="F21" s="1"/>
      <c r="G21" s="2" t="s">
        <v>13</v>
      </c>
      <c r="H21" s="1">
        <v>3000</v>
      </c>
      <c r="I21" s="1"/>
      <c r="J21" s="1" t="s">
        <v>20</v>
      </c>
      <c r="K21" s="1"/>
      <c r="L21" s="1"/>
      <c r="M21" s="1"/>
      <c r="N21" s="1"/>
    </row>
    <row r="22" spans="2:14" ht="15" x14ac:dyDescent="0.3">
      <c r="B22" s="2" t="s">
        <v>3</v>
      </c>
      <c r="C22" s="5">
        <v>9.9999999999999995E-8</v>
      </c>
      <c r="D22" s="1"/>
      <c r="E22" s="3" t="s">
        <v>14</v>
      </c>
      <c r="F22" s="1"/>
      <c r="G22" s="2" t="s">
        <v>3</v>
      </c>
      <c r="H22" s="1">
        <v>1.0000000000000001E-9</v>
      </c>
      <c r="I22" s="1"/>
      <c r="J22" s="1" t="s">
        <v>14</v>
      </c>
      <c r="K22" s="1"/>
      <c r="L22" s="1"/>
      <c r="M22" s="1"/>
      <c r="N22" s="1"/>
    </row>
    <row r="23" spans="2:14" ht="15" x14ac:dyDescent="0.3">
      <c r="B23" s="2" t="s">
        <v>18</v>
      </c>
      <c r="C23" s="5">
        <f>C22</f>
        <v>9.9999999999999995E-8</v>
      </c>
      <c r="D23" s="1"/>
      <c r="E23" s="1" t="s">
        <v>14</v>
      </c>
      <c r="F23" s="1"/>
      <c r="G23" s="4" t="s">
        <v>4</v>
      </c>
      <c r="H23" s="5">
        <f>(4*H20*H22)/(H19*H19)</f>
        <v>1.3331701817785635E-9</v>
      </c>
      <c r="I23" s="1">
        <v>1.5E-9</v>
      </c>
      <c r="J23" s="1" t="s">
        <v>14</v>
      </c>
      <c r="K23" s="1"/>
      <c r="L23" s="1"/>
      <c r="M23" s="1"/>
      <c r="N23" s="1"/>
    </row>
    <row r="24" spans="2:14" ht="15" x14ac:dyDescent="0.3">
      <c r="B24" s="2" t="s">
        <v>19</v>
      </c>
      <c r="C24" s="5">
        <v>10</v>
      </c>
      <c r="D24" s="5"/>
      <c r="E24" s="3"/>
      <c r="F24" s="1"/>
      <c r="G24" s="4" t="s">
        <v>5</v>
      </c>
      <c r="H24" s="10">
        <f>(H19*I23-SQRT(H19*H19*I23*I23-4*H20*H22*I23))/(4*3.1459*H21*H22*I23)</f>
        <v>24041.288949393074</v>
      </c>
      <c r="I24" s="1"/>
      <c r="J24" s="1" t="s">
        <v>10</v>
      </c>
      <c r="K24" s="1"/>
      <c r="L24" s="1"/>
      <c r="M24" s="1"/>
      <c r="N24" s="1"/>
    </row>
    <row r="25" spans="2:14" ht="15" x14ac:dyDescent="0.3">
      <c r="B25" s="2" t="s">
        <v>13</v>
      </c>
      <c r="C25" s="3">
        <v>50</v>
      </c>
      <c r="D25" s="1"/>
      <c r="E25" s="3" t="s">
        <v>20</v>
      </c>
      <c r="F25" s="1"/>
      <c r="G25" s="8" t="s">
        <v>6</v>
      </c>
      <c r="H25" s="1">
        <f>(H19*I23+SQRT(H19*H19*I23*I23-4*H20*H22*I23))/(4*3.1459*H21*H22*I23)</f>
        <v>48100.228581361225</v>
      </c>
      <c r="I25" s="1"/>
      <c r="J25" s="1" t="s">
        <v>10</v>
      </c>
      <c r="K25" s="1"/>
      <c r="L25" s="1"/>
      <c r="M25" s="1"/>
      <c r="N25" s="1"/>
    </row>
    <row r="26" spans="2:14" ht="15" x14ac:dyDescent="0.3">
      <c r="B26" s="4" t="s">
        <v>4</v>
      </c>
      <c r="C26" s="5">
        <f>C22/C24</f>
        <v>1E-8</v>
      </c>
      <c r="D26" s="1"/>
      <c r="E26" s="3" t="s">
        <v>14</v>
      </c>
      <c r="F26" s="1"/>
      <c r="G26" s="4" t="s">
        <v>24</v>
      </c>
      <c r="H26" s="1">
        <f>SQRT((H24*H25*I23)/(H22*(H24+H25)*(H24+H25)))</f>
        <v>0.57731494476121159</v>
      </c>
      <c r="I26" s="1"/>
      <c r="J26" s="1"/>
      <c r="K26" s="1"/>
      <c r="L26" s="1"/>
      <c r="M26" s="1"/>
      <c r="N26" s="1"/>
    </row>
    <row r="27" spans="2:14" ht="15" x14ac:dyDescent="0.3">
      <c r="B27" s="4" t="s">
        <v>6</v>
      </c>
      <c r="C27" s="3">
        <f>C20/(C21*2*3.14159*C25*(C22+C26+C23))</f>
        <v>14924.128605645286</v>
      </c>
      <c r="D27" s="1"/>
      <c r="E27" s="3" t="s">
        <v>10</v>
      </c>
      <c r="F27" s="1"/>
      <c r="K27" s="1"/>
      <c r="L27" s="1"/>
      <c r="M27" s="1"/>
      <c r="N27" s="1"/>
    </row>
    <row r="28" spans="2:14" ht="15.6" x14ac:dyDescent="0.3">
      <c r="B28" s="4" t="s">
        <v>5</v>
      </c>
      <c r="C28" s="3">
        <f>1/(C21*2*3.14159*C25*2*3.14159*C25*C27*C26*C23)</f>
        <v>491002.88350421673</v>
      </c>
      <c r="D28" s="1"/>
      <c r="E28" s="3" t="s">
        <v>10</v>
      </c>
      <c r="F28" s="1"/>
      <c r="G28" s="6" t="s">
        <v>17</v>
      </c>
      <c r="H28" s="6" t="s">
        <v>39</v>
      </c>
      <c r="I28" s="6" t="s">
        <v>42</v>
      </c>
      <c r="J28" s="6"/>
      <c r="K28" s="1"/>
      <c r="L28" s="1"/>
      <c r="M28" s="1"/>
      <c r="N28" s="1"/>
    </row>
    <row r="29" spans="2:14" ht="15.6" x14ac:dyDescent="0.3">
      <c r="B29" s="8" t="s">
        <v>24</v>
      </c>
      <c r="C29" s="1">
        <f>(SQRT(C28*C27*C26*C23))/(C27*(C22+C26+C23))</f>
        <v>0.86373045923749003</v>
      </c>
      <c r="D29" s="1"/>
      <c r="E29" s="1"/>
      <c r="F29" s="1"/>
      <c r="G29" s="6" t="s">
        <v>22</v>
      </c>
      <c r="H29" s="6" t="s">
        <v>8</v>
      </c>
      <c r="I29" s="6" t="s">
        <v>12</v>
      </c>
      <c r="J29" s="6" t="s">
        <v>9</v>
      </c>
      <c r="K29" s="1"/>
      <c r="L29" s="1"/>
      <c r="M29" s="1"/>
      <c r="N29" s="1"/>
    </row>
    <row r="30" spans="2:14" ht="15" x14ac:dyDescent="0.3">
      <c r="G30" s="2" t="s">
        <v>1</v>
      </c>
      <c r="H30" s="1">
        <v>1.3616999999999999</v>
      </c>
      <c r="I30" s="1"/>
      <c r="J30" s="1"/>
      <c r="K30" s="1"/>
      <c r="L30" s="1"/>
      <c r="M30" s="1"/>
      <c r="N30" s="1"/>
    </row>
    <row r="31" spans="2:14" ht="15.6" x14ac:dyDescent="0.3">
      <c r="B31" s="6" t="s">
        <v>23</v>
      </c>
      <c r="C31" s="1"/>
      <c r="D31" s="1"/>
      <c r="E31" s="1"/>
      <c r="F31" s="1"/>
      <c r="G31" s="2" t="s">
        <v>2</v>
      </c>
      <c r="H31" s="1">
        <v>0.61799999999999999</v>
      </c>
      <c r="I31" s="1"/>
      <c r="J31" s="1"/>
      <c r="K31" s="1"/>
      <c r="L31" s="1"/>
      <c r="M31" s="1"/>
      <c r="N31" s="1"/>
    </row>
    <row r="32" spans="2:14" ht="15.6" x14ac:dyDescent="0.3">
      <c r="B32" s="6" t="s">
        <v>22</v>
      </c>
      <c r="C32" s="6" t="s">
        <v>8</v>
      </c>
      <c r="D32" s="6" t="s">
        <v>12</v>
      </c>
      <c r="E32" s="6" t="s">
        <v>9</v>
      </c>
      <c r="F32" s="1"/>
      <c r="G32" s="2" t="s">
        <v>13</v>
      </c>
      <c r="H32" s="1">
        <v>350</v>
      </c>
      <c r="I32" s="1"/>
      <c r="J32" s="1" t="s">
        <v>20</v>
      </c>
      <c r="K32" s="1"/>
      <c r="L32" s="1"/>
      <c r="M32" s="1"/>
      <c r="N32" s="1"/>
    </row>
    <row r="33" spans="2:14" ht="15" x14ac:dyDescent="0.3">
      <c r="B33" s="7" t="s">
        <v>1</v>
      </c>
      <c r="C33" s="1">
        <v>1.4141999999999999</v>
      </c>
      <c r="D33" s="1"/>
      <c r="E33" s="1"/>
      <c r="F33" s="1"/>
      <c r="G33" s="2" t="s">
        <v>3</v>
      </c>
      <c r="H33" s="1">
        <v>1.2E-8</v>
      </c>
      <c r="I33" s="1"/>
      <c r="J33" s="1" t="s">
        <v>14</v>
      </c>
      <c r="K33" s="1"/>
      <c r="L33" s="1"/>
      <c r="M33" s="1"/>
      <c r="N33" s="1"/>
    </row>
    <row r="34" spans="2:14" ht="15" x14ac:dyDescent="0.3">
      <c r="B34" s="7" t="s">
        <v>2</v>
      </c>
      <c r="C34" s="1">
        <v>1</v>
      </c>
      <c r="D34" s="1"/>
      <c r="E34" s="1"/>
      <c r="F34" s="1"/>
      <c r="G34" s="8" t="s">
        <v>4</v>
      </c>
      <c r="H34" s="1">
        <f>H33</f>
        <v>1.2E-8</v>
      </c>
      <c r="I34" s="1"/>
      <c r="J34" s="1" t="s">
        <v>14</v>
      </c>
      <c r="K34" s="1"/>
      <c r="L34" s="1"/>
      <c r="M34" s="1"/>
      <c r="N34" s="1"/>
    </row>
    <row r="35" spans="2:14" ht="15" x14ac:dyDescent="0.3">
      <c r="B35" s="7" t="s">
        <v>25</v>
      </c>
      <c r="C35" s="1">
        <v>1000</v>
      </c>
      <c r="D35" s="1"/>
      <c r="E35" s="1" t="s">
        <v>20</v>
      </c>
      <c r="F35" s="1"/>
      <c r="G35" s="8" t="s">
        <v>5</v>
      </c>
      <c r="H35" s="1">
        <f>1/(3.1459*H32*H33*H30)</f>
        <v>55580.744359834222</v>
      </c>
      <c r="I35" s="1"/>
      <c r="J35" s="1" t="s">
        <v>10</v>
      </c>
      <c r="K35" s="1"/>
      <c r="L35" s="1"/>
      <c r="M35" s="1"/>
      <c r="N35" s="1"/>
    </row>
    <row r="36" spans="2:14" ht="15" x14ac:dyDescent="0.3">
      <c r="B36" s="7" t="s">
        <v>26</v>
      </c>
      <c r="C36" s="1">
        <v>1050</v>
      </c>
      <c r="D36" s="1"/>
      <c r="E36" s="1" t="s">
        <v>20</v>
      </c>
      <c r="F36" s="1"/>
      <c r="G36" s="8" t="s">
        <v>6</v>
      </c>
      <c r="H36" s="1">
        <f>H30/(4*3.1459*H32*H33*H31)</f>
        <v>41690.659691836743</v>
      </c>
      <c r="I36" s="1"/>
      <c r="J36" s="1" t="s">
        <v>10</v>
      </c>
      <c r="K36" s="1"/>
      <c r="L36" s="1"/>
      <c r="M36" s="1"/>
      <c r="N36" s="1"/>
    </row>
    <row r="37" spans="2:14" ht="15" x14ac:dyDescent="0.3">
      <c r="B37" s="7" t="s">
        <v>27</v>
      </c>
      <c r="C37" s="1">
        <v>950</v>
      </c>
      <c r="D37" s="1"/>
      <c r="E37" s="1" t="s">
        <v>20</v>
      </c>
      <c r="F37" s="1"/>
      <c r="G37" s="8" t="s">
        <v>24</v>
      </c>
      <c r="H37" s="1">
        <f>(0.5*SQRT(H34/H33))</f>
        <v>0.5</v>
      </c>
      <c r="I37" s="1"/>
      <c r="J37" s="1"/>
      <c r="K37" s="1"/>
      <c r="L37" s="1"/>
      <c r="M37" s="1"/>
      <c r="N37" s="1"/>
    </row>
    <row r="38" spans="2:14" ht="15.6" x14ac:dyDescent="0.3">
      <c r="B38" s="7" t="s">
        <v>28</v>
      </c>
      <c r="C38" s="1">
        <v>10</v>
      </c>
      <c r="D38" s="1">
        <f>-C38</f>
        <v>-10</v>
      </c>
      <c r="E38" s="1"/>
      <c r="F38" s="1"/>
      <c r="G38" s="6"/>
      <c r="H38" s="6"/>
      <c r="I38" s="6"/>
      <c r="J38" s="6"/>
      <c r="K38" s="1"/>
      <c r="L38" s="1"/>
      <c r="M38" s="1"/>
      <c r="N38" s="1"/>
    </row>
    <row r="39" spans="2:14" ht="15.6" x14ac:dyDescent="0.3">
      <c r="B39" s="7" t="s">
        <v>31</v>
      </c>
      <c r="C39" s="1">
        <v>9.9999999999999995E-8</v>
      </c>
      <c r="D39" s="1"/>
      <c r="E39" s="1" t="s">
        <v>14</v>
      </c>
      <c r="F39" s="1"/>
      <c r="G39" s="6" t="s">
        <v>23</v>
      </c>
      <c r="H39" s="1"/>
      <c r="I39" s="1"/>
      <c r="J39" s="1"/>
      <c r="K39" s="1"/>
      <c r="L39" s="1"/>
      <c r="M39" s="1"/>
      <c r="N39" s="1"/>
    </row>
    <row r="40" spans="2:14" ht="15.6" x14ac:dyDescent="0.3">
      <c r="B40" s="8" t="s">
        <v>29</v>
      </c>
      <c r="C40" s="1">
        <f>C36-C37</f>
        <v>100</v>
      </c>
      <c r="D40" s="1"/>
      <c r="E40" s="1" t="s">
        <v>20</v>
      </c>
      <c r="F40" s="1"/>
      <c r="G40" s="6" t="s">
        <v>22</v>
      </c>
      <c r="H40" s="6" t="s">
        <v>8</v>
      </c>
      <c r="I40" s="6" t="s">
        <v>12</v>
      </c>
      <c r="J40" s="6" t="s">
        <v>9</v>
      </c>
      <c r="K40" s="1"/>
      <c r="L40" s="1"/>
      <c r="M40" s="1"/>
      <c r="N40" s="1"/>
    </row>
    <row r="41" spans="2:14" ht="15" x14ac:dyDescent="0.3">
      <c r="B41" s="8" t="s">
        <v>24</v>
      </c>
      <c r="C41" s="1">
        <f>C35/C40</f>
        <v>10</v>
      </c>
      <c r="D41" s="1"/>
      <c r="E41" s="1"/>
      <c r="F41" s="1"/>
      <c r="G41" s="2" t="s">
        <v>1</v>
      </c>
      <c r="H41" s="1" t="s">
        <v>44</v>
      </c>
      <c r="I41" s="1"/>
      <c r="J41" s="1"/>
      <c r="K41" s="1"/>
      <c r="L41" s="1"/>
      <c r="M41" s="1"/>
      <c r="N41" s="1"/>
    </row>
    <row r="42" spans="2:14" ht="15" x14ac:dyDescent="0.3">
      <c r="B42" s="8" t="s">
        <v>6</v>
      </c>
      <c r="C42" s="1">
        <f>C41/(3.1459*C35*C39)</f>
        <v>31787.405829810228</v>
      </c>
      <c r="D42" s="1"/>
      <c r="E42" s="1" t="s">
        <v>10</v>
      </c>
      <c r="F42" s="1"/>
      <c r="G42" s="2" t="s">
        <v>2</v>
      </c>
      <c r="H42" s="1" t="s">
        <v>44</v>
      </c>
      <c r="I42" s="1"/>
      <c r="J42" s="1"/>
      <c r="K42" s="1"/>
      <c r="L42" s="1"/>
      <c r="M42" s="1"/>
      <c r="N42" s="1"/>
    </row>
    <row r="43" spans="2:14" ht="15" x14ac:dyDescent="0.3">
      <c r="B43" s="8" t="s">
        <v>5</v>
      </c>
      <c r="C43" s="1">
        <f>C42/(-D38*2)</f>
        <v>1589.3702914905114</v>
      </c>
      <c r="D43" s="1"/>
      <c r="E43" s="1" t="s">
        <v>10</v>
      </c>
      <c r="F43" s="1"/>
      <c r="G43" s="7" t="s">
        <v>43</v>
      </c>
      <c r="H43" s="1">
        <v>1000</v>
      </c>
      <c r="I43" s="1"/>
      <c r="J43" s="1" t="s">
        <v>20</v>
      </c>
      <c r="K43" s="1"/>
      <c r="L43" s="1"/>
      <c r="M43" s="1"/>
      <c r="N43" s="1"/>
    </row>
    <row r="44" spans="2:14" ht="15" x14ac:dyDescent="0.3">
      <c r="B44" s="8" t="s">
        <v>7</v>
      </c>
      <c r="C44" s="1">
        <f>(-D38*C43)/(2*C41*C41+D38)</f>
        <v>83.651067973184809</v>
      </c>
      <c r="D44" s="1"/>
      <c r="E44" s="1" t="s">
        <v>10</v>
      </c>
      <c r="F44" s="1"/>
      <c r="G44" s="7" t="s">
        <v>29</v>
      </c>
      <c r="H44" s="1">
        <v>500</v>
      </c>
      <c r="I44" s="1"/>
      <c r="J44" s="1" t="s">
        <v>20</v>
      </c>
      <c r="K44" s="1"/>
      <c r="L44" s="1"/>
      <c r="M44" s="1"/>
      <c r="N44" s="1"/>
    </row>
    <row r="45" spans="2:14" ht="15" x14ac:dyDescent="0.3">
      <c r="B45" s="4" t="s">
        <v>32</v>
      </c>
      <c r="C45" s="3">
        <f>2*C41*C41</f>
        <v>200</v>
      </c>
      <c r="D45" s="1"/>
      <c r="E45" s="3"/>
      <c r="F45" s="1"/>
      <c r="G45" s="7" t="s">
        <v>31</v>
      </c>
      <c r="H45" s="1">
        <v>9.9999999999999995E-8</v>
      </c>
      <c r="I45" s="1"/>
      <c r="J45" s="1" t="s">
        <v>14</v>
      </c>
      <c r="K45" s="1"/>
      <c r="L45" s="1"/>
      <c r="M45" s="1"/>
      <c r="N45" s="1"/>
    </row>
    <row r="46" spans="2:14" ht="15" x14ac:dyDescent="0.3">
      <c r="B46" s="4" t="s">
        <v>33</v>
      </c>
      <c r="C46" s="3"/>
      <c r="D46" s="1"/>
      <c r="E46" s="3"/>
      <c r="F46" s="1"/>
      <c r="G46" s="7" t="s">
        <v>5</v>
      </c>
      <c r="H46" s="1">
        <v>10000</v>
      </c>
      <c r="I46" s="1"/>
      <c r="J46" s="1" t="s">
        <v>10</v>
      </c>
      <c r="K46" s="1"/>
      <c r="L46" s="1"/>
      <c r="M46" s="1"/>
      <c r="N46" s="1"/>
    </row>
    <row r="47" spans="2:14" ht="15" x14ac:dyDescent="0.3">
      <c r="B47" s="8" t="s">
        <v>45</v>
      </c>
      <c r="C47" s="1">
        <f>100*C38*(C35/C33)*SQRT((C41^2-0.5)/(C41^2-0.25))</f>
        <v>706226.89931516408</v>
      </c>
      <c r="D47" s="1"/>
      <c r="E47" s="1" t="s">
        <v>20</v>
      </c>
      <c r="F47" s="1"/>
      <c r="G47" s="8" t="s">
        <v>30</v>
      </c>
      <c r="H47" s="1">
        <f>1/(2*3.1459*H43*H45)</f>
        <v>1589.3702914905114</v>
      </c>
      <c r="I47" s="1"/>
      <c r="J47" s="1" t="s">
        <v>10</v>
      </c>
      <c r="K47" s="1"/>
      <c r="L47" s="1"/>
      <c r="M47" s="1"/>
      <c r="N47" s="1"/>
    </row>
    <row r="48" spans="2:14" ht="15" x14ac:dyDescent="0.3">
      <c r="B48" s="8"/>
      <c r="C48" s="1"/>
      <c r="D48" s="1"/>
      <c r="E48" s="1"/>
      <c r="F48" s="1"/>
      <c r="G48" s="8" t="s">
        <v>24</v>
      </c>
      <c r="H48" s="1">
        <f>H43/H44</f>
        <v>2</v>
      </c>
      <c r="I48" s="1"/>
      <c r="J48" s="1"/>
      <c r="K48" s="1"/>
      <c r="L48" s="1"/>
      <c r="M48" s="1"/>
      <c r="N48" s="1"/>
    </row>
    <row r="49" spans="3:10" ht="15" x14ac:dyDescent="0.3">
      <c r="G49" s="8" t="s">
        <v>35</v>
      </c>
      <c r="H49" s="1">
        <f>(1/H48)+3</f>
        <v>3.5</v>
      </c>
      <c r="I49" s="1"/>
      <c r="J49" s="1"/>
    </row>
    <row r="50" spans="3:10" ht="15" x14ac:dyDescent="0.3">
      <c r="G50" s="8" t="s">
        <v>28</v>
      </c>
      <c r="H50" s="1">
        <f>H49/(3-H49)*-1</f>
        <v>7</v>
      </c>
      <c r="I50" s="1"/>
      <c r="J50" s="1"/>
    </row>
    <row r="51" spans="3:10" ht="15" x14ac:dyDescent="0.3">
      <c r="G51" s="8" t="s">
        <v>6</v>
      </c>
      <c r="H51" s="1">
        <f>(H49-1)*H46</f>
        <v>25000</v>
      </c>
      <c r="I51" s="1"/>
      <c r="J51" s="1" t="s">
        <v>10</v>
      </c>
    </row>
    <row r="57" spans="3:10" ht="15" x14ac:dyDescent="0.3">
      <c r="C57" s="3"/>
      <c r="D57" s="1"/>
      <c r="E5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2020-01-06T11:13:29Z</dcterms:modified>
</cp:coreProperties>
</file>