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storage\выполнение\8 Выполнение 2021г\1 Январь\ГП\"/>
    </mc:Choice>
  </mc:AlternateContent>
  <bookViews>
    <workbookView xWindow="0" yWindow="0" windowWidth="10230" windowHeight="6810" activeTab="1"/>
  </bookViews>
  <sheets>
    <sheet name="Январь (3)" sheetId="11" r:id="rId1"/>
    <sheet name="Январь (2)" sheetId="10" r:id="rId2"/>
    <sheet name="Январь" sheetId="9" r:id="rId3"/>
  </sheets>
  <definedNames>
    <definedName name="_xlnm._FilterDatabase" localSheetId="2" hidden="1">Январь!$A$4:$L$70</definedName>
    <definedName name="_xlnm._FilterDatabase" localSheetId="1" hidden="1">'Январь (2)'!$A$4:$O$41</definedName>
    <definedName name="_xlnm._FilterDatabase" localSheetId="0" hidden="1">'Январь (3)'!$A$4:$O$29</definedName>
    <definedName name="_xlnm.Print_Area" localSheetId="2">Январь!$A$1:$L$81</definedName>
    <definedName name="_xlnm.Print_Area" localSheetId="1">'Январь (2)'!$A$1:$L$52</definedName>
    <definedName name="_xlnm.Print_Area" localSheetId="0">'Январь (3)'!$A$1:$L$40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5" i="10" l="1"/>
  <c r="H65" i="10"/>
  <c r="I65" i="10"/>
  <c r="J65" i="10"/>
  <c r="K65" i="10"/>
  <c r="F65" i="10"/>
  <c r="K60" i="10"/>
  <c r="J60" i="10"/>
  <c r="I60" i="10"/>
  <c r="G60" i="10"/>
  <c r="F60" i="10"/>
  <c r="K58" i="10"/>
  <c r="J58" i="10"/>
  <c r="I58" i="10"/>
  <c r="G58" i="10"/>
  <c r="F58" i="10"/>
  <c r="K62" i="10"/>
  <c r="J62" i="10"/>
  <c r="I62" i="10"/>
  <c r="G62" i="10"/>
  <c r="F62" i="10"/>
  <c r="K63" i="10"/>
  <c r="J63" i="10"/>
  <c r="I63" i="10"/>
  <c r="G63" i="10"/>
  <c r="K61" i="10"/>
  <c r="J61" i="10"/>
  <c r="I61" i="10"/>
  <c r="G61" i="10"/>
  <c r="K66" i="10"/>
  <c r="J66" i="10"/>
  <c r="I66" i="10"/>
  <c r="G66" i="10"/>
  <c r="F66" i="10"/>
  <c r="F63" i="10"/>
  <c r="I31" i="10" l="1"/>
  <c r="J31" i="10" s="1"/>
  <c r="K31" i="10" s="1"/>
  <c r="G31" i="10"/>
  <c r="K24" i="11" l="1"/>
  <c r="J22" i="11"/>
  <c r="K22" i="11" s="1"/>
  <c r="I22" i="11"/>
  <c r="G22" i="11"/>
  <c r="J21" i="11"/>
  <c r="K21" i="11" s="1"/>
  <c r="I21" i="11"/>
  <c r="G21" i="11"/>
  <c r="J20" i="11"/>
  <c r="K20" i="11" s="1"/>
  <c r="I20" i="11"/>
  <c r="G20" i="11"/>
  <c r="J19" i="11"/>
  <c r="K19" i="11" s="1"/>
  <c r="I19" i="11"/>
  <c r="G19" i="11"/>
  <c r="J18" i="11"/>
  <c r="K18" i="11" s="1"/>
  <c r="I18" i="11"/>
  <c r="G18" i="11"/>
  <c r="J17" i="11" l="1"/>
  <c r="I17" i="11"/>
  <c r="K17" i="11" s="1"/>
  <c r="G17" i="11"/>
  <c r="J16" i="11"/>
  <c r="I16" i="11"/>
  <c r="K16" i="11" s="1"/>
  <c r="G16" i="11"/>
  <c r="J15" i="11"/>
  <c r="I15" i="11"/>
  <c r="K15" i="11" s="1"/>
  <c r="G15" i="11"/>
  <c r="J14" i="11"/>
  <c r="I14" i="11"/>
  <c r="K14" i="11" s="1"/>
  <c r="G14" i="11"/>
  <c r="J13" i="11"/>
  <c r="I13" i="11"/>
  <c r="K13" i="11" s="1"/>
  <c r="G13" i="11"/>
  <c r="J12" i="11"/>
  <c r="I12" i="11"/>
  <c r="K12" i="11" s="1"/>
  <c r="G12" i="11"/>
  <c r="J11" i="11"/>
  <c r="I11" i="11"/>
  <c r="K11" i="11" s="1"/>
  <c r="G11" i="11"/>
  <c r="J10" i="11"/>
  <c r="I10" i="11"/>
  <c r="K10" i="11" s="1"/>
  <c r="G10" i="11"/>
  <c r="J9" i="11"/>
  <c r="I9" i="11"/>
  <c r="K9" i="11" s="1"/>
  <c r="G9" i="11"/>
  <c r="J8" i="11"/>
  <c r="I8" i="11"/>
  <c r="K8" i="11" s="1"/>
  <c r="G8" i="11"/>
  <c r="J7" i="11"/>
  <c r="I7" i="11"/>
  <c r="K7" i="11" s="1"/>
  <c r="G7" i="11"/>
  <c r="J6" i="11"/>
  <c r="I6" i="11"/>
  <c r="K6" i="11" s="1"/>
  <c r="G6" i="11"/>
  <c r="J5" i="11"/>
  <c r="I5" i="11"/>
  <c r="K5" i="11" s="1"/>
  <c r="G5" i="11"/>
  <c r="F36" i="10"/>
  <c r="H36" i="10"/>
  <c r="G38" i="10"/>
  <c r="J38" i="10"/>
  <c r="K38" i="10" s="1"/>
  <c r="F61" i="10" l="1"/>
  <c r="K75" i="11" l="1"/>
  <c r="J75" i="11"/>
  <c r="I75" i="11"/>
  <c r="H75" i="11"/>
  <c r="G75" i="11"/>
  <c r="F75" i="11"/>
  <c r="H73" i="11"/>
  <c r="F73" i="11"/>
  <c r="H71" i="11"/>
  <c r="F71" i="11"/>
  <c r="K69" i="11"/>
  <c r="J69" i="11"/>
  <c r="I69" i="11"/>
  <c r="H69" i="11"/>
  <c r="G69" i="11"/>
  <c r="F69" i="11"/>
  <c r="K68" i="11"/>
  <c r="J68" i="11"/>
  <c r="I68" i="11"/>
  <c r="H68" i="11"/>
  <c r="G68" i="11"/>
  <c r="F68" i="11"/>
  <c r="K63" i="11"/>
  <c r="J63" i="11"/>
  <c r="I63" i="11"/>
  <c r="H63" i="11"/>
  <c r="G63" i="11"/>
  <c r="F63" i="11"/>
  <c r="H59" i="11"/>
  <c r="H77" i="11" s="1"/>
  <c r="F59" i="11"/>
  <c r="F77" i="11" s="1"/>
  <c r="K54" i="11"/>
  <c r="J54" i="11"/>
  <c r="I54" i="11"/>
  <c r="H54" i="11"/>
  <c r="G54" i="11"/>
  <c r="F54" i="11"/>
  <c r="K53" i="11"/>
  <c r="J53" i="11"/>
  <c r="I53" i="11"/>
  <c r="H53" i="11"/>
  <c r="G53" i="11"/>
  <c r="F53" i="11"/>
  <c r="H51" i="11"/>
  <c r="F51" i="11"/>
  <c r="H50" i="11"/>
  <c r="F50" i="11"/>
  <c r="K49" i="11"/>
  <c r="J49" i="11"/>
  <c r="I49" i="11"/>
  <c r="H49" i="11"/>
  <c r="G49" i="11"/>
  <c r="F49" i="11"/>
  <c r="H48" i="11"/>
  <c r="F48" i="11"/>
  <c r="H46" i="11"/>
  <c r="F46" i="11"/>
  <c r="K45" i="11"/>
  <c r="K55" i="11" s="1"/>
  <c r="J45" i="11"/>
  <c r="J55" i="11" s="1"/>
  <c r="I45" i="11"/>
  <c r="I55" i="11" s="1"/>
  <c r="H45" i="11"/>
  <c r="H55" i="11" s="1"/>
  <c r="G45" i="11"/>
  <c r="G55" i="11" s="1"/>
  <c r="F45" i="11"/>
  <c r="F55" i="11" s="1"/>
  <c r="I28" i="11"/>
  <c r="H28" i="11"/>
  <c r="F28" i="11"/>
  <c r="J27" i="11"/>
  <c r="K27" i="11" s="1"/>
  <c r="G27" i="11"/>
  <c r="M27" i="11" s="1"/>
  <c r="J26" i="11"/>
  <c r="G26" i="11"/>
  <c r="H24" i="11"/>
  <c r="F24" i="11"/>
  <c r="I23" i="11"/>
  <c r="J23" i="11" s="1"/>
  <c r="G23" i="11"/>
  <c r="I71" i="11"/>
  <c r="G71" i="11"/>
  <c r="I73" i="11"/>
  <c r="G73" i="11"/>
  <c r="G59" i="11"/>
  <c r="G77" i="11" s="1"/>
  <c r="I50" i="11"/>
  <c r="N2" i="11"/>
  <c r="J28" i="11" l="1"/>
  <c r="F80" i="11"/>
  <c r="G28" i="11"/>
  <c r="K26" i="11"/>
  <c r="K28" i="11" s="1"/>
  <c r="G24" i="11"/>
  <c r="I59" i="11"/>
  <c r="J73" i="11"/>
  <c r="H80" i="11"/>
  <c r="I48" i="11"/>
  <c r="G46" i="11"/>
  <c r="G51" i="11"/>
  <c r="I51" i="11"/>
  <c r="O24" i="11"/>
  <c r="K23" i="11"/>
  <c r="I24" i="11"/>
  <c r="I29" i="11" s="1"/>
  <c r="H29" i="11"/>
  <c r="J48" i="11"/>
  <c r="H56" i="11"/>
  <c r="I46" i="11"/>
  <c r="G48" i="11"/>
  <c r="G50" i="11"/>
  <c r="J71" i="11"/>
  <c r="F29" i="11"/>
  <c r="F56" i="11"/>
  <c r="I33" i="10"/>
  <c r="G33" i="10"/>
  <c r="I28" i="10"/>
  <c r="G28" i="10"/>
  <c r="I25" i="10"/>
  <c r="G25" i="10"/>
  <c r="I24" i="10"/>
  <c r="G24" i="10"/>
  <c r="I20" i="10"/>
  <c r="G20" i="10"/>
  <c r="I14" i="10"/>
  <c r="J14" i="10" s="1"/>
  <c r="G14" i="10"/>
  <c r="I8" i="10"/>
  <c r="G8" i="10"/>
  <c r="G29" i="11" l="1"/>
  <c r="G56" i="11"/>
  <c r="G80" i="11"/>
  <c r="J51" i="11"/>
  <c r="N24" i="11"/>
  <c r="K59" i="11"/>
  <c r="K77" i="11" s="1"/>
  <c r="K71" i="11"/>
  <c r="J46" i="11"/>
  <c r="J24" i="11"/>
  <c r="J50" i="11"/>
  <c r="K51" i="11"/>
  <c r="J59" i="11"/>
  <c r="J77" i="11" s="1"/>
  <c r="K73" i="11"/>
  <c r="K48" i="11"/>
  <c r="K50" i="11"/>
  <c r="K46" i="11"/>
  <c r="J33" i="10"/>
  <c r="K33" i="10" s="1"/>
  <c r="J28" i="10"/>
  <c r="K28" i="10" s="1"/>
  <c r="J24" i="10"/>
  <c r="K24" i="10" s="1"/>
  <c r="J25" i="10"/>
  <c r="K25" i="10" s="1"/>
  <c r="J20" i="10"/>
  <c r="K20" i="10" s="1"/>
  <c r="K14" i="10"/>
  <c r="J8" i="10"/>
  <c r="K8" i="10" s="1"/>
  <c r="K80" i="11" l="1"/>
  <c r="K56" i="11"/>
  <c r="K29" i="11"/>
  <c r="J29" i="11"/>
  <c r="J80" i="11"/>
  <c r="J56" i="11"/>
  <c r="K87" i="10"/>
  <c r="J87" i="10"/>
  <c r="I87" i="10"/>
  <c r="H87" i="10"/>
  <c r="G87" i="10"/>
  <c r="F87" i="10"/>
  <c r="H85" i="10"/>
  <c r="F85" i="10"/>
  <c r="H83" i="10"/>
  <c r="F83" i="10"/>
  <c r="H81" i="10"/>
  <c r="F81" i="10"/>
  <c r="K80" i="10"/>
  <c r="J80" i="10"/>
  <c r="I80" i="10"/>
  <c r="H80" i="10"/>
  <c r="G80" i="10"/>
  <c r="F80" i="10"/>
  <c r="K75" i="10"/>
  <c r="J75" i="10"/>
  <c r="I75" i="10"/>
  <c r="H75" i="10"/>
  <c r="G75" i="10"/>
  <c r="F75" i="10"/>
  <c r="H71" i="10"/>
  <c r="H89" i="10" s="1"/>
  <c r="F71" i="10"/>
  <c r="F89" i="10" s="1"/>
  <c r="H66" i="10"/>
  <c r="H63" i="10"/>
  <c r="H62" i="10"/>
  <c r="H61" i="10"/>
  <c r="H60" i="10"/>
  <c r="H58" i="10"/>
  <c r="K67" i="10"/>
  <c r="J67" i="10"/>
  <c r="I67" i="10"/>
  <c r="H67" i="10"/>
  <c r="G67" i="10"/>
  <c r="F67" i="10"/>
  <c r="I40" i="10"/>
  <c r="H40" i="10"/>
  <c r="F40" i="10"/>
  <c r="J39" i="10"/>
  <c r="K39" i="10" s="1"/>
  <c r="G39" i="10"/>
  <c r="M39" i="10" s="1"/>
  <c r="H41" i="10"/>
  <c r="I13" i="10"/>
  <c r="J13" i="10" s="1"/>
  <c r="K13" i="10" s="1"/>
  <c r="G13" i="10"/>
  <c r="I35" i="10"/>
  <c r="J35" i="10" s="1"/>
  <c r="K35" i="10" s="1"/>
  <c r="G35" i="10"/>
  <c r="I34" i="10"/>
  <c r="J34" i="10" s="1"/>
  <c r="K34" i="10" s="1"/>
  <c r="G34" i="10"/>
  <c r="I32" i="10"/>
  <c r="J32" i="10" s="1"/>
  <c r="G32" i="10"/>
  <c r="I30" i="10"/>
  <c r="J30" i="10" s="1"/>
  <c r="K30" i="10" s="1"/>
  <c r="G30" i="10"/>
  <c r="I29" i="10"/>
  <c r="J29" i="10" s="1"/>
  <c r="K29" i="10" s="1"/>
  <c r="G29" i="10"/>
  <c r="I27" i="10"/>
  <c r="J27" i="10" s="1"/>
  <c r="K27" i="10" s="1"/>
  <c r="G27" i="10"/>
  <c r="I26" i="10"/>
  <c r="J26" i="10" s="1"/>
  <c r="K26" i="10" s="1"/>
  <c r="G26" i="10"/>
  <c r="I23" i="10"/>
  <c r="J23" i="10" s="1"/>
  <c r="K23" i="10" s="1"/>
  <c r="G23" i="10"/>
  <c r="I22" i="10"/>
  <c r="J22" i="10" s="1"/>
  <c r="K22" i="10" s="1"/>
  <c r="G22" i="10"/>
  <c r="I21" i="10"/>
  <c r="G21" i="10"/>
  <c r="I83" i="10"/>
  <c r="G83" i="10"/>
  <c r="I19" i="10"/>
  <c r="J19" i="10" s="1"/>
  <c r="K19" i="10" s="1"/>
  <c r="G19" i="10"/>
  <c r="I18" i="10"/>
  <c r="G18" i="10"/>
  <c r="I17" i="10"/>
  <c r="J17" i="10" s="1"/>
  <c r="K17" i="10" s="1"/>
  <c r="G17" i="10"/>
  <c r="I16" i="10"/>
  <c r="G16" i="10"/>
  <c r="G85" i="10" s="1"/>
  <c r="I15" i="10"/>
  <c r="J15" i="10" s="1"/>
  <c r="K15" i="10" s="1"/>
  <c r="G15" i="10"/>
  <c r="G81" i="10"/>
  <c r="I12" i="10"/>
  <c r="J12" i="10" s="1"/>
  <c r="G12" i="10"/>
  <c r="I11" i="10"/>
  <c r="J11" i="10" s="1"/>
  <c r="K11" i="10" s="1"/>
  <c r="G11" i="10"/>
  <c r="I10" i="10"/>
  <c r="J10" i="10" s="1"/>
  <c r="K10" i="10" s="1"/>
  <c r="G10" i="10"/>
  <c r="I9" i="10"/>
  <c r="J9" i="10" s="1"/>
  <c r="K9" i="10" s="1"/>
  <c r="G9" i="10"/>
  <c r="I7" i="10"/>
  <c r="G7" i="10"/>
  <c r="I6" i="10"/>
  <c r="J6" i="10" s="1"/>
  <c r="K6" i="10" s="1"/>
  <c r="G6" i="10"/>
  <c r="I5" i="10"/>
  <c r="G5" i="10"/>
  <c r="N2" i="10"/>
  <c r="I63" i="9"/>
  <c r="G63" i="9"/>
  <c r="G62" i="9"/>
  <c r="I62" i="9"/>
  <c r="I61" i="9"/>
  <c r="G61" i="9"/>
  <c r="J7" i="10" l="1"/>
  <c r="K7" i="10" s="1"/>
  <c r="G36" i="10"/>
  <c r="I36" i="10"/>
  <c r="I41" i="10" s="1"/>
  <c r="J40" i="10"/>
  <c r="G40" i="10"/>
  <c r="K40" i="10"/>
  <c r="K12" i="10"/>
  <c r="K32" i="10"/>
  <c r="I81" i="10"/>
  <c r="G71" i="10"/>
  <c r="G89" i="10" s="1"/>
  <c r="F92" i="10"/>
  <c r="H68" i="10"/>
  <c r="H92" i="10"/>
  <c r="N15" i="10"/>
  <c r="O15" i="10" s="1"/>
  <c r="N13" i="10"/>
  <c r="N18" i="10"/>
  <c r="N16" i="10"/>
  <c r="N14" i="10"/>
  <c r="N17" i="10"/>
  <c r="O17" i="10" s="1"/>
  <c r="J18" i="10"/>
  <c r="K18" i="10" s="1"/>
  <c r="O18" i="10" s="1"/>
  <c r="I85" i="10"/>
  <c r="J16" i="10"/>
  <c r="K16" i="10" s="1"/>
  <c r="I71" i="10"/>
  <c r="J5" i="10"/>
  <c r="J21" i="10"/>
  <c r="F41" i="10"/>
  <c r="F68" i="10"/>
  <c r="K63" i="9"/>
  <c r="J63" i="9"/>
  <c r="J62" i="9"/>
  <c r="K62" i="9" s="1"/>
  <c r="J61" i="9"/>
  <c r="K61" i="9" s="1"/>
  <c r="G59" i="9"/>
  <c r="I59" i="9"/>
  <c r="J36" i="10" l="1"/>
  <c r="G41" i="10"/>
  <c r="G92" i="10"/>
  <c r="G68" i="10"/>
  <c r="O14" i="10"/>
  <c r="J81" i="10"/>
  <c r="N36" i="10"/>
  <c r="K21" i="10"/>
  <c r="K85" i="10"/>
  <c r="O16" i="10"/>
  <c r="K5" i="10"/>
  <c r="K36" i="10" s="1"/>
  <c r="J83" i="10"/>
  <c r="K83" i="10"/>
  <c r="J71" i="10"/>
  <c r="J89" i="10" s="1"/>
  <c r="J85" i="10"/>
  <c r="J59" i="9"/>
  <c r="K59" i="9" s="1"/>
  <c r="G60" i="9"/>
  <c r="I60" i="9"/>
  <c r="G58" i="9"/>
  <c r="I58" i="9"/>
  <c r="I57" i="9"/>
  <c r="G57" i="9"/>
  <c r="J41" i="10" l="1"/>
  <c r="J92" i="10"/>
  <c r="J68" i="10"/>
  <c r="K81" i="10"/>
  <c r="O13" i="10"/>
  <c r="O36" i="10" s="1"/>
  <c r="K71" i="10"/>
  <c r="K89" i="10" s="1"/>
  <c r="J60" i="9"/>
  <c r="K60" i="9" s="1"/>
  <c r="J58" i="9"/>
  <c r="K58" i="9" s="1"/>
  <c r="J57" i="9"/>
  <c r="K57" i="9" s="1"/>
  <c r="G56" i="9"/>
  <c r="I56" i="9"/>
  <c r="K92" i="10" l="1"/>
  <c r="K68" i="10"/>
  <c r="K41" i="10"/>
  <c r="J56" i="9"/>
  <c r="K56" i="9" s="1"/>
  <c r="I55" i="9"/>
  <c r="G55" i="9"/>
  <c r="G54" i="9"/>
  <c r="I54" i="9"/>
  <c r="I53" i="9"/>
  <c r="G53" i="9"/>
  <c r="I52" i="9"/>
  <c r="G52" i="9"/>
  <c r="J55" i="9" l="1"/>
  <c r="K55" i="9" s="1"/>
  <c r="J54" i="9"/>
  <c r="K54" i="9" s="1"/>
  <c r="J53" i="9"/>
  <c r="K53" i="9" s="1"/>
  <c r="J52" i="9"/>
  <c r="K52" i="9" s="1"/>
  <c r="I51" i="9"/>
  <c r="G51" i="9"/>
  <c r="I50" i="9"/>
  <c r="G50" i="9"/>
  <c r="G49" i="9"/>
  <c r="I49" i="9"/>
  <c r="I48" i="9"/>
  <c r="G48" i="9"/>
  <c r="I47" i="9"/>
  <c r="J47" i="9" s="1"/>
  <c r="G47" i="9"/>
  <c r="I46" i="9"/>
  <c r="J46" i="9" s="1"/>
  <c r="G46" i="9"/>
  <c r="G45" i="9"/>
  <c r="G44" i="9"/>
  <c r="I45" i="9"/>
  <c r="J45" i="9" s="1"/>
  <c r="I44" i="9"/>
  <c r="I43" i="9"/>
  <c r="G43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G42" i="9"/>
  <c r="J51" i="9" l="1"/>
  <c r="K51" i="9" s="1"/>
  <c r="J50" i="9"/>
  <c r="K50" i="9" s="1"/>
  <c r="J49" i="9"/>
  <c r="K49" i="9" s="1"/>
  <c r="J48" i="9"/>
  <c r="K48" i="9" s="1"/>
  <c r="K47" i="9"/>
  <c r="K46" i="9"/>
  <c r="K45" i="9"/>
  <c r="J44" i="9"/>
  <c r="K44" i="9" s="1"/>
  <c r="J43" i="9"/>
  <c r="K43" i="9" s="1"/>
  <c r="J42" i="9"/>
  <c r="K42" i="9" s="1"/>
  <c r="G41" i="9" l="1"/>
  <c r="G40" i="9"/>
  <c r="G39" i="9"/>
  <c r="G38" i="9"/>
  <c r="G37" i="9"/>
  <c r="G36" i="9"/>
  <c r="G35" i="9"/>
  <c r="G34" i="9"/>
  <c r="G33" i="9"/>
  <c r="G32" i="9"/>
  <c r="J41" i="9" l="1"/>
  <c r="K41" i="9" s="1"/>
  <c r="J40" i="9"/>
  <c r="K40" i="9" s="1"/>
  <c r="J39" i="9"/>
  <c r="K39" i="9" s="1"/>
  <c r="J38" i="9"/>
  <c r="K38" i="9" s="1"/>
  <c r="J37" i="9"/>
  <c r="K37" i="9" s="1"/>
  <c r="J36" i="9"/>
  <c r="K36" i="9" s="1"/>
  <c r="J35" i="9"/>
  <c r="K35" i="9" s="1"/>
  <c r="J34" i="9"/>
  <c r="K34" i="9" s="1"/>
  <c r="J33" i="9"/>
  <c r="K33" i="9" s="1"/>
  <c r="J32" i="9"/>
  <c r="K32" i="9" s="1"/>
  <c r="G31" i="9"/>
  <c r="J31" i="9" l="1"/>
  <c r="K31" i="9" s="1"/>
  <c r="G30" i="9" l="1"/>
  <c r="J30" i="9" l="1"/>
  <c r="K30" i="9" s="1"/>
  <c r="G29" i="9" l="1"/>
  <c r="G28" i="9"/>
  <c r="G27" i="9"/>
  <c r="G26" i="9"/>
  <c r="J29" i="9" l="1"/>
  <c r="K29" i="9" s="1"/>
  <c r="J28" i="9"/>
  <c r="K28" i="9" s="1"/>
  <c r="J27" i="9"/>
  <c r="K27" i="9" s="1"/>
  <c r="J26" i="9"/>
  <c r="K26" i="9" s="1"/>
  <c r="G25" i="9"/>
  <c r="G24" i="9"/>
  <c r="J25" i="9" l="1"/>
  <c r="K25" i="9" s="1"/>
  <c r="J24" i="9"/>
  <c r="K24" i="9" s="1"/>
  <c r="H87" i="9"/>
  <c r="F87" i="9"/>
  <c r="H95" i="9"/>
  <c r="F95" i="9"/>
  <c r="F94" i="9"/>
  <c r="H86" i="9"/>
  <c r="F86" i="9"/>
  <c r="F92" i="9"/>
  <c r="H90" i="9"/>
  <c r="F90" i="9"/>
  <c r="H91" i="9"/>
  <c r="F91" i="9"/>
  <c r="H89" i="9"/>
  <c r="F89" i="9"/>
  <c r="K86" i="9"/>
  <c r="G86" i="9"/>
  <c r="I19" i="9"/>
  <c r="J19" i="9" s="1"/>
  <c r="G19" i="9"/>
  <c r="F65" i="9"/>
  <c r="G64" i="9"/>
  <c r="I64" i="9" s="1"/>
  <c r="G23" i="9"/>
  <c r="I14" i="9"/>
  <c r="G14" i="9"/>
  <c r="I9" i="9"/>
  <c r="G9" i="9"/>
  <c r="I86" i="9" l="1"/>
  <c r="J86" i="9"/>
  <c r="K19" i="9"/>
  <c r="J23" i="9"/>
  <c r="K23" i="9" s="1"/>
  <c r="J64" i="9"/>
  <c r="K64" i="9" s="1"/>
  <c r="J14" i="9"/>
  <c r="K14" i="9" s="1"/>
  <c r="J9" i="9"/>
  <c r="K9" i="9" s="1"/>
  <c r="K116" i="9" l="1"/>
  <c r="J116" i="9"/>
  <c r="I116" i="9"/>
  <c r="H116" i="9"/>
  <c r="G116" i="9"/>
  <c r="F116" i="9"/>
  <c r="H114" i="9"/>
  <c r="F114" i="9"/>
  <c r="H112" i="9"/>
  <c r="F112" i="9"/>
  <c r="H110" i="9"/>
  <c r="F110" i="9"/>
  <c r="K109" i="9"/>
  <c r="J109" i="9"/>
  <c r="I109" i="9"/>
  <c r="H109" i="9"/>
  <c r="G109" i="9"/>
  <c r="F109" i="9"/>
  <c r="K104" i="9"/>
  <c r="J104" i="9"/>
  <c r="I104" i="9"/>
  <c r="H104" i="9"/>
  <c r="G104" i="9"/>
  <c r="F104" i="9"/>
  <c r="H100" i="9"/>
  <c r="H118" i="9" s="1"/>
  <c r="F100" i="9"/>
  <c r="F118" i="9" s="1"/>
  <c r="F96" i="9"/>
  <c r="I69" i="9"/>
  <c r="H69" i="9"/>
  <c r="F69" i="9"/>
  <c r="J68" i="9"/>
  <c r="K68" i="9" s="1"/>
  <c r="G68" i="9"/>
  <c r="M68" i="9" s="1"/>
  <c r="J67" i="9"/>
  <c r="G67" i="9"/>
  <c r="H92" i="9"/>
  <c r="G90" i="9"/>
  <c r="J22" i="9"/>
  <c r="G22" i="9"/>
  <c r="J21" i="9"/>
  <c r="G21" i="9"/>
  <c r="J20" i="9"/>
  <c r="G20" i="9"/>
  <c r="G112" i="9" s="1"/>
  <c r="I18" i="9"/>
  <c r="J18" i="9" s="1"/>
  <c r="G18" i="9"/>
  <c r="I17" i="9"/>
  <c r="J17" i="9" s="1"/>
  <c r="G17" i="9"/>
  <c r="I16" i="9"/>
  <c r="I114" i="9" s="1"/>
  <c r="G16" i="9"/>
  <c r="G114" i="9" s="1"/>
  <c r="I15" i="9"/>
  <c r="G15" i="9"/>
  <c r="I13" i="9"/>
  <c r="G13" i="9"/>
  <c r="I12" i="9"/>
  <c r="J12" i="9" s="1"/>
  <c r="K12" i="9" s="1"/>
  <c r="G12" i="9"/>
  <c r="I11" i="9"/>
  <c r="J11" i="9" s="1"/>
  <c r="K11" i="9" s="1"/>
  <c r="G11" i="9"/>
  <c r="I10" i="9"/>
  <c r="J10" i="9" s="1"/>
  <c r="K10" i="9" s="1"/>
  <c r="G10" i="9"/>
  <c r="I8" i="9"/>
  <c r="J8" i="9" s="1"/>
  <c r="G8" i="9"/>
  <c r="I7" i="9"/>
  <c r="J7" i="9" s="1"/>
  <c r="K7" i="9" s="1"/>
  <c r="G7" i="9"/>
  <c r="I6" i="9"/>
  <c r="J6" i="9" s="1"/>
  <c r="K6" i="9" s="1"/>
  <c r="G6" i="9"/>
  <c r="I5" i="9"/>
  <c r="J5" i="9" s="1"/>
  <c r="K5" i="9" s="1"/>
  <c r="G5" i="9"/>
  <c r="N2" i="9"/>
  <c r="N17" i="9" s="1"/>
  <c r="G87" i="9" l="1"/>
  <c r="J90" i="9"/>
  <c r="I90" i="9"/>
  <c r="I87" i="9"/>
  <c r="G95" i="9"/>
  <c r="I91" i="9"/>
  <c r="G94" i="9"/>
  <c r="I89" i="9"/>
  <c r="I95" i="9"/>
  <c r="G92" i="9"/>
  <c r="G91" i="9"/>
  <c r="G89" i="9"/>
  <c r="G65" i="9"/>
  <c r="H65" i="9"/>
  <c r="K8" i="9"/>
  <c r="I110" i="9"/>
  <c r="J69" i="9"/>
  <c r="K67" i="9"/>
  <c r="K69" i="9" s="1"/>
  <c r="G69" i="9"/>
  <c r="G100" i="9"/>
  <c r="G118" i="9" s="1"/>
  <c r="F121" i="9"/>
  <c r="I100" i="9"/>
  <c r="F70" i="9"/>
  <c r="J112" i="9"/>
  <c r="K20" i="9"/>
  <c r="K17" i="9"/>
  <c r="K21" i="9"/>
  <c r="K18" i="9"/>
  <c r="J13" i="9"/>
  <c r="N14" i="9"/>
  <c r="J15" i="9"/>
  <c r="N16" i="9"/>
  <c r="N18" i="9"/>
  <c r="K22" i="9"/>
  <c r="G110" i="9"/>
  <c r="N13" i="9"/>
  <c r="N15" i="9"/>
  <c r="J16" i="9"/>
  <c r="J114" i="9" s="1"/>
  <c r="K90" i="9"/>
  <c r="I112" i="9"/>
  <c r="I92" i="9"/>
  <c r="F97" i="9"/>
  <c r="J89" i="9" l="1"/>
  <c r="G96" i="9"/>
  <c r="G97" i="9" s="1"/>
  <c r="K91" i="9"/>
  <c r="J91" i="9"/>
  <c r="J95" i="9"/>
  <c r="H94" i="9"/>
  <c r="H96" i="9" s="1"/>
  <c r="H97" i="9" s="1"/>
  <c r="J87" i="9"/>
  <c r="J100" i="9"/>
  <c r="J118" i="9" s="1"/>
  <c r="O18" i="9"/>
  <c r="H121" i="9"/>
  <c r="H70" i="9"/>
  <c r="K16" i="9"/>
  <c r="K15" i="9"/>
  <c r="K87" i="9" s="1"/>
  <c r="K112" i="9"/>
  <c r="G121" i="9"/>
  <c r="G70" i="9"/>
  <c r="N65" i="9"/>
  <c r="K13" i="9"/>
  <c r="J110" i="9"/>
  <c r="O17" i="9"/>
  <c r="K95" i="9" l="1"/>
  <c r="K65" i="9"/>
  <c r="K89" i="9"/>
  <c r="I94" i="9"/>
  <c r="I96" i="9" s="1"/>
  <c r="I65" i="9"/>
  <c r="I70" i="9" s="1"/>
  <c r="J65" i="9"/>
  <c r="J70" i="9" s="1"/>
  <c r="J92" i="9"/>
  <c r="K92" i="9"/>
  <c r="K114" i="9"/>
  <c r="O16" i="9"/>
  <c r="K110" i="9"/>
  <c r="O13" i="9"/>
  <c r="K100" i="9"/>
  <c r="K118" i="9" s="1"/>
  <c r="O14" i="9"/>
  <c r="O15" i="9"/>
  <c r="J121" i="9" l="1"/>
  <c r="K94" i="9"/>
  <c r="K96" i="9" s="1"/>
  <c r="J94" i="9"/>
  <c r="J96" i="9" s="1"/>
  <c r="J97" i="9" s="1"/>
  <c r="O65" i="9"/>
  <c r="K121" i="9" l="1"/>
  <c r="K97" i="9"/>
  <c r="K70" i="9"/>
</calcChain>
</file>

<file path=xl/sharedStrings.xml><?xml version="1.0" encoding="utf-8"?>
<sst xmlns="http://schemas.openxmlformats.org/spreadsheetml/2006/main" count="519" uniqueCount="185">
  <si>
    <t>№ п/п</t>
  </si>
  <si>
    <t>№ акта</t>
  </si>
  <si>
    <t xml:space="preserve">прошлый № акта </t>
  </si>
  <si>
    <t xml:space="preserve">№ сметы </t>
  </si>
  <si>
    <t>Наименование сметы</t>
  </si>
  <si>
    <t>Сумма в ценах 2001 года</t>
  </si>
  <si>
    <t>Сумма в ценах 2001 года с зимним удорожанием</t>
  </si>
  <si>
    <t>Сумма в текущем уровне цен без НДС без понижающего</t>
  </si>
  <si>
    <t>Сумма в текущем уровне цен без НДС</t>
  </si>
  <si>
    <t>Сумма НДС (20%)</t>
  </si>
  <si>
    <t>Сумма в текущем уровне цен  с НДС</t>
  </si>
  <si>
    <t>Субподрядная организация</t>
  </si>
  <si>
    <t>СибСтройСервис</t>
  </si>
  <si>
    <t xml:space="preserve">ВСЕГО </t>
  </si>
  <si>
    <t xml:space="preserve">Гл.9 Прочие затраты </t>
  </si>
  <si>
    <t>Компенсация коммандировочных расходов субподрядных организаций</t>
  </si>
  <si>
    <t>Компенсация затрат на перевозку рабочих</t>
  </si>
  <si>
    <t>ВСЕГО СМР + Прочие</t>
  </si>
  <si>
    <t>Составил:</t>
  </si>
  <si>
    <t>Инженер-сметчик ООО "УС БАЭС"</t>
  </si>
  <si>
    <t>Р.Э. Смирнов</t>
  </si>
  <si>
    <t>Принял:</t>
  </si>
  <si>
    <t>Начальник отдела ПСО АО "СХК"</t>
  </si>
  <si>
    <t>Е.Л. Голубев</t>
  </si>
  <si>
    <t>№ пп</t>
  </si>
  <si>
    <t>Наименование</t>
  </si>
  <si>
    <t>Сумма в текущем уровне цен без НДС (К=7,63*1,03*0,9897 и  К=7,63*1,03*1,05*0,9897)</t>
  </si>
  <si>
    <t>Реформа Инжиниринг</t>
  </si>
  <si>
    <t>МСУ-111</t>
  </si>
  <si>
    <t>УС БАЭС</t>
  </si>
  <si>
    <t>Востокэнергострой</t>
  </si>
  <si>
    <t>НЭПТ</t>
  </si>
  <si>
    <t>ПО УЭМ</t>
  </si>
  <si>
    <t>ИТОГО:</t>
  </si>
  <si>
    <t xml:space="preserve">Здание 4 </t>
  </si>
  <si>
    <t>Генплан</t>
  </si>
  <si>
    <t>Здание 5</t>
  </si>
  <si>
    <t>Пешеходные галереи</t>
  </si>
  <si>
    <t>Здание 16</t>
  </si>
  <si>
    <t>Здание 15А</t>
  </si>
  <si>
    <t>Здание 22</t>
  </si>
  <si>
    <t>Здание 33</t>
  </si>
  <si>
    <t>Здание 34</t>
  </si>
  <si>
    <t>Сооружение 30</t>
  </si>
  <si>
    <t>Здание 4А</t>
  </si>
  <si>
    <t>Тепловые сети</t>
  </si>
  <si>
    <t>Наружные сети водопровода</t>
  </si>
  <si>
    <t>Сети электроснабжения</t>
  </si>
  <si>
    <t xml:space="preserve">Охранная зона </t>
  </si>
  <si>
    <t>И.о. главного инженера по капитальному строительству УКС ОДЭК</t>
  </si>
  <si>
    <t>УС БАЭС Уч.№ 3 (СК Север)</t>
  </si>
  <si>
    <t>УС БАЭС Уч.№ 1 (Энергозащита)</t>
  </si>
  <si>
    <t>УС БАЭС Уч. №2 (Строй Дизайн)</t>
  </si>
  <si>
    <t>Н.Г. Власова</t>
  </si>
  <si>
    <t>Е.В. Гуков</t>
  </si>
  <si>
    <t xml:space="preserve">Главный специалист ПСО АО "СХК" </t>
  </si>
  <si>
    <t>Сооружение 31</t>
  </si>
  <si>
    <t>Сооружение 21</t>
  </si>
  <si>
    <t>Реестр актов КС-2 за период 26.12.2020г.-15.01.2021г.</t>
  </si>
  <si>
    <t>02-01-3-360 ТМ</t>
  </si>
  <si>
    <t>Обвязка оборудования линии  сборки ТВЭЛОВ.  Участок дезактивации ТВЭЛОВ. (Взамен ЛС 3-331 инв. 17-02037). Инв.№ 18-00571, арх.№ 71449.</t>
  </si>
  <si>
    <t>УЭМ</t>
  </si>
  <si>
    <t>Участок технологического сопровождения. Трассировка трубопроводов газоснабжения. Здание 4. (Взамен ЛС 3-289 инв. 16-00673). Инв.№ 19-00242, арх.№ 74815</t>
  </si>
  <si>
    <t>02-01-3-421ТМ</t>
  </si>
  <si>
    <t>Линия изготовления таблеток СНУП-топлива. (Взамен ЛС № 02-01-3-457ТМ инв.№ 19-01271). Здание 4 - здание МФР. Инв.№ 20-00868, арх.№ 77723.</t>
  </si>
  <si>
    <t>02-01-3-483ТМ</t>
  </si>
  <si>
    <t>Облицовка на отм. -2,600. Конструкции металлические  (взамен л.с. 3-01-0014С-В5 инв. №17-01050). Инв.№19-00587.</t>
  </si>
  <si>
    <t>3-01-0014С-В6</t>
  </si>
  <si>
    <t>Договор №24/24-2140 от 12.12.2014г, ДС №11/2793-Д-39 от 30.12.2020</t>
  </si>
  <si>
    <t>Установка монтажных деталей для крепления облицовки стен.  Конструкции железобетонные.Здание 4А.(Взамен ЛС 3-01-0037С-В1, инв№ 18-01551, ЛС 3-01-0037С-В1-Д1, инв.№19-00026, ЛС 3-01-0037С-В-Д2, инв.№ 19-00217). Инв. № 19-00570.</t>
  </si>
  <si>
    <t>3-01-0037С-В2</t>
  </si>
  <si>
    <t>Установка монтажных деталей для крепления облицовки стен.  Конструкции железобетонные. (Доп. к ЛС 3-01-0037С-В2 инв. 19-00570). Инв.№ 19-00813, арх.№ 76089</t>
  </si>
  <si>
    <t>3-01-0037С-В2-Д1</t>
  </si>
  <si>
    <t>Облицовка на отм. 0.000 до + 9.600. Конструкции металлические.  (Взамен ЛС 3-01-0019С-В8 инв. 17-01051). Здание 4А. Инв.№ 19-00528, арх.№ 75140.</t>
  </si>
  <si>
    <t>3-01-0019С-В9</t>
  </si>
  <si>
    <t>УС БАЭС Уч.№ 2</t>
  </si>
  <si>
    <t>Перегородки на отм. +1.200, +1.500, +1.700. Здание 33 - Центральный материальный склад и склад химреагентов. Инв.№ 19-00285, арх.№ 75154.</t>
  </si>
  <si>
    <t>3-07-0005С</t>
  </si>
  <si>
    <t>1-1009</t>
  </si>
  <si>
    <t>Пешеходно-технологические галереи  22/4; 64/22. Земляные работы по устройству котлована галерей. Инв.№ 15-05936, арх.№ 66180.</t>
  </si>
  <si>
    <t>ВЭС</t>
  </si>
  <si>
    <t>06-017-1-1353</t>
  </si>
  <si>
    <t>Наружные сети. Устройство участка дренажа с подключением к колодцу К-207 производственно-дождевой канализации. Инв.№ 20-00080, арх.№ 76501.</t>
  </si>
  <si>
    <t>Фундаменты под опоры галереи. Пешеходно-технологическая галерея от здания 64 к зданию 22. Пешеходно-технологическая галерея от здания 22 к зданию 4. (Взамен ЛС 1-1058, инв. 15-04119). Инв.№ 19-00905, арх.№ 75895.</t>
  </si>
  <si>
    <t>3-05-0009C</t>
  </si>
  <si>
    <t>Архитектурные решения (Доп. К ЛС 1-1145 инв. 14-08249). Здание 4А - Здание переработки САО и НАО. Инв. № 18-00804, арх№ 74648.</t>
  </si>
  <si>
    <t>3-01-0033С-Д3</t>
  </si>
  <si>
    <t>Архитектурные решения (доп.к 2-01-0029С инв.№ 14-07208). Здание 4. Инв.№ 20-00536, арх.№ 78050</t>
  </si>
  <si>
    <t>2-01-0029С-Д14</t>
  </si>
  <si>
    <t>Архитектурные решения (доп.к 2-01-0029С инв.№ 14-07208). Здание 4. Инв.№ 18-01665, арх.№ 72896.</t>
  </si>
  <si>
    <t>2-01-0029С-Д6</t>
  </si>
  <si>
    <t>1-1045</t>
  </si>
  <si>
    <t>Канализационная насосная станция КНС -6. Фундаментная плита под канализационную насосную станцию. Конструкции ж/б. (взамен сметы 1-665 инв.№14-04910). Инв.№ 15-04431, арх.№ 67438.</t>
  </si>
  <si>
    <t>Архитектурные решения. (Доп. к ЛС № 6-01-0004С-В1,  инв.№ 18-01557). Взамен ЛС № 6-01-0004С-В1-Д1 инв.№ 18-01558). Сооружение 21 - Газобалонная. Инв.№ 19-00099, арх.№ 73937.</t>
  </si>
  <si>
    <t>6-01-0004С-В1-Д2</t>
  </si>
  <si>
    <t>Архитектурные решения. Здание 5. (Доп. К ЛС№ 1-1234 инв.№ 14-06564). Инв. № 18-01404,  арх.№ 73114</t>
  </si>
  <si>
    <t>3-02-0005С-В1-Д1</t>
  </si>
  <si>
    <t>3-01-0045С</t>
  </si>
  <si>
    <t>Набетонка на отметке -2,600. Конструкции железобетонные. Здание 4А. Инв.№ 20-00984, арх.№ 78441.</t>
  </si>
  <si>
    <t>Архитектурно-строительные работы. (доп. к ЛС 2-01-0029С инв.№ 14-07208). Здание 4. Инв.№ 19-00802, арх.№ 75889.</t>
  </si>
  <si>
    <t>2-01-0029С-Д10</t>
  </si>
  <si>
    <t>Наружные сети канализации нормативно-чистых вод от зданий 4, 4А, 38 до КНС №6. (взамен ЛС №2-925, инв №15-07564). Инв.№ 18-00662.</t>
  </si>
  <si>
    <t>6-17-2-1044</t>
  </si>
  <si>
    <t>Энергозащита</t>
  </si>
  <si>
    <t>Архитектурно-строительные работы (доп. к ЛС 2-01-0029С инв.14-07208). Здание 4. Инв.№ 19-00030, арх.№ 73619.</t>
  </si>
  <si>
    <t>2-01-0029С-Д7</t>
  </si>
  <si>
    <t>Архитектурные решения. Здание 4А - здания здания переработки САО и НАО.  Инв.№ 14-08249, арх.№ 67655.</t>
  </si>
  <si>
    <t>1-1145</t>
  </si>
  <si>
    <t>Перегородки на отм. +1.200, +1.500, +1.700. (Доп.к ЛС 3-07-0005С1 инв.19-00285). Здание 33 - Центральный материальный склад и склад химреагентов. Инв.№ 20-00519, арх.№ 77262.</t>
  </si>
  <si>
    <t>3-07-0005С-Д2</t>
  </si>
  <si>
    <t>03-01-3-442ТМ</t>
  </si>
  <si>
    <t>Технология обращения с РАО. Участок обращения с нетехнологическими ТРО между осями 2 - 6, Г- М. (Взамен ЛС 03-01-3-428ТМ  инв.19-00349). Инв.№ 19-00743, арх.№ 75327.</t>
  </si>
  <si>
    <t>Реформа-Инжиниринг</t>
  </si>
  <si>
    <t>Трассировка трубопроводов на отм. +5,250. Газовоздухоснабжение. (Взамен ЛС 3-293 инв. 15-03698) Инв.№ 20-00018, арх.№ 76431.</t>
  </si>
  <si>
    <t>02-01-3-459 ТМ</t>
  </si>
  <si>
    <t>СК Север</t>
  </si>
  <si>
    <t>1-941</t>
  </si>
  <si>
    <t>Лестница между осями Л-К у оси 1; Д-Г и 2-3; 1-2 у оси Б.   Конструкции ж/б. Здание 4А. Инв.№ 15-04160, арх.№ 65396.</t>
  </si>
  <si>
    <t>Стены в/о 1 - 3 на отметке +5.150. Опалубка и армирование. Конструкции железобетонные. Здание 4. (Доп. К ЛС 2-01-0013С-В3  инв. 17-00574, Взамен ЛС 2-01-0013С-В3-Д1 инв. 18-00844). Инв.№ 18-01225, арх.№ 73895.</t>
  </si>
  <si>
    <t>2-01-0013С-В3-Д2</t>
  </si>
  <si>
    <t>Установка монтажных деталей для крепления облицовки стен на отм. + 5.150 и + 10.850. Конструкции железобетонные. (Доп. к ЛС 2-01-0095С-В3, инв.19-00131). Инв.№ 20-00014, арх.№ 76337.</t>
  </si>
  <si>
    <t>2-01-0095С-В3-Д3</t>
  </si>
  <si>
    <t>Установка монтажных деталей для крепления облицовки стен на отм. + 5.150 и + 10.850. Конструкции железобетонные. (Доп. к ЛС 2-01-0095С-В3, инв.19-00131). Инв.№ 19-00268, арх.№ 74671.</t>
  </si>
  <si>
    <t>2-01-0095С-В3-Д1</t>
  </si>
  <si>
    <t>Металлоконструкции подкрановых путей кранов-штабелеров на отм. 0.000 и - 5.250 в/о 1-3,В — Е. Здание 4. Инв.№ 18-00671, арх.№ 73544.</t>
  </si>
  <si>
    <t>2-01-0152С</t>
  </si>
  <si>
    <t>Устройство накладных деталей для монтажа оборудования в помещении 20UFB10R024 на отм.+0,000. Здание 4. Инв.№ 19-00931, арх.№ 75798.</t>
  </si>
  <si>
    <t>2-01-0186С</t>
  </si>
  <si>
    <t>Устройство монтажных деталей для монтажа оборудования помещении 20UFB10R023 на отм.0,000. Здание 4. Инв.№ 19-00520, арх.№ 75796.</t>
  </si>
  <si>
    <t>2-01-0188С</t>
  </si>
  <si>
    <t>Устройство накладных  деталей для монтажа оборудования  в помещении  20 UFB10 R023 на отметке 0.000. Конструкции железобетонные. (Доп. к ЛС 2-01-0188С инв.19-00520). Здание 4. Инв.№ 19-01247, арх.№ 76088.</t>
  </si>
  <si>
    <t>2-01-0188С-Д1</t>
  </si>
  <si>
    <t>2-01-0188С-Д2</t>
  </si>
  <si>
    <t>Устройство накладных  деталей для монтажа оборудования  в помещении  20 UFB10 R023 на отметке 0.000. Конструкции железобетонные. (Доп. к ЛС 2-01-0188С инв.19-00520). Здание 4. Инв.№ 19-01296, арх.№ 77079.</t>
  </si>
  <si>
    <t>Каркас между осями 1´-9, Н-П , балки подвесных путей между осями 1-9, Н-П, ремонтная и переходные площадки между осями 8-9, Н-П. Конструкции металлические.  (Взамен ЛС 3-01-0002С инв.15-09103, ЛС 3-01-0002С-Д1 инв.19-01265). Здание 4А. Инв.№ 20-02729, арх.№ 78451.</t>
  </si>
  <si>
    <t>3-01-0002С-В1</t>
  </si>
  <si>
    <t>2-01-0141С-В1</t>
  </si>
  <si>
    <t>Монтажные марки в перекрытии на отм. +4.550 в помещении 20UFB10R021  для крепления боксов газоочистки. (Взамен ЛС 2-01-0141С  инв.18-01532). Здание 4. Инв.№ 19-00578, арх.№ 75210.</t>
  </si>
  <si>
    <t>2-01-0141С-В1-Д1</t>
  </si>
  <si>
    <t>Монтажные марки в перекрытии на отм. +4.550 в помещении 20UFB10R021  для крепления боксов газоочистки. (Доп. к ЛС 2-01-0141С-В1 инв. 19-00578). Здание 4. Инв.№ 19-00748, арх.№ 75552.</t>
  </si>
  <si>
    <t>2-01-0141С-В1-Д2</t>
  </si>
  <si>
    <t>Монтажные марки в перекрытии на отм. +4.550 в помещении 20UFB10R021  для крепления боксов газоочистки. (Доп. к ЛС 2-01-0141С-В1 инв. 19-00578). Здание 4. Инв.№ 20-00313, арх.№ 76851.</t>
  </si>
  <si>
    <t>2-01-0103С-В1</t>
  </si>
  <si>
    <t>Устройство доп. проемов для систем вентиляции в стенах на отм. - 5.900 в/о 21 - 28.( Взамен 2-01-0103 С инв. 18-00725). Здание 4. Инв.№ 18-01158, арх.№ 72163.</t>
  </si>
  <si>
    <t>Устройство дополнительных проемов для систем вентиляции в стенах на отм. - 0.300 в/о 21 - 28. (Взамен 2-01-0116 С инв. 18-00830). Здание 4. Инв.№ 18-01349, арх.№ 72737.</t>
  </si>
  <si>
    <t>2-01-0116С-В1</t>
  </si>
  <si>
    <t>Устройство дополнительных проемов для систем вентиляции в стенах на отм. + 10.850 в осях 9-16. Конструкции железобетонные. (Взамен ЛС 2-01-0119 С инв. 18-00818). Инв.№ 18-01465, арх.№ 72824.</t>
  </si>
  <si>
    <t>2-01-0119С-В1</t>
  </si>
  <si>
    <t>Устройство дополнительных проемов для систем вентиляции на отм. + 10.850 в/о 1-9. Конструкции железобетонные. (Взамен ЛС 2-01-0118С инв.№ 18-00817). Здание 4. Инв.№ 18-01466, арх.№ 72821.</t>
  </si>
  <si>
    <t>2-01-0118С-В1</t>
  </si>
  <si>
    <t>Устройство доп. проемов для систем вентиляции в стенах на отм. - 0.300 в/о 1 - 9. Конструкции железобетонные. (Взамен ЛС 2-01-0113С инв.№ 18-00827). Здание 4. Инв.№ 18-01467, арх.№ 72840.</t>
  </si>
  <si>
    <t>2-01-0113С-В1</t>
  </si>
  <si>
    <t>Устройство дополнительных проемов для систем вентиляции в стенах на отм. - 5.900  в осях 1 - 9.  Конструкции железобетонные. (Доп. к ЛС  2-01-0104С-В1 инв.18-01212). Здание 4. Инв.№ 20-01918, арх.№ 78373.</t>
  </si>
  <si>
    <t>2-01-0104С-В1-Д3</t>
  </si>
  <si>
    <t>Восстановление стен и перегородок в зоне прохода вентиляционных систем. Конструкции железобетонные. Инв.№ 18-00845, арх.№ 74031.</t>
  </si>
  <si>
    <t>2-01-0161С</t>
  </si>
  <si>
    <t>Реформа-Инжиниринг*</t>
  </si>
  <si>
    <t>Устройство дополнительных проемов для систем вентиляции в перекрытии  на отм. + 5.150. Конструкции железобетонные. Здание 4. (Взамен ЛС 2-01-0110 С инв. 18-00840). Инв.№ 19-00082, арх.№ 73805.</t>
  </si>
  <si>
    <t>2-01-0110С-В1</t>
  </si>
  <si>
    <t>Устройство дополнительных проемов для систем вентиляции в стенах на отм. +  10.850  в осях 1 - 9. Конструкции железобетонные.  (Доп. к ЛС  2-01-0118С-В1 инв.№ 18-01466). Здание 4. Инв.№ 19-00694, арх.№ 75403.</t>
  </si>
  <si>
    <t>2-01-0118С-В1-Д1</t>
  </si>
  <si>
    <t>Устройство доп проемов для систем вентиляции на отм. + 10.850 в/о 16 -  21. Конструкции железобетонные. (Взамен ЛС 2-01-0120С инв. 18-00819). Здание 4. Инв.№ 18-01468, арх.№ 72838.</t>
  </si>
  <si>
    <t>2-01-0120С-В1</t>
  </si>
  <si>
    <t>Вентиляция. Приточные, вытяжные камеры и фильтровальные установки. (Взамен ЛС 02-01-2-1164 инв.20-00493). Здание 4. Инв.№ 20-00927, арх.№ 77373.</t>
  </si>
  <si>
    <t>02-01-2-1171</t>
  </si>
  <si>
    <t>Канализационная насосная станция КНС-6. Земляные работы по устройству котлована под КНС-6. (Доп. ЛС 6-15-0001С инв. 19-00852). Инв.№ 21-00006.</t>
  </si>
  <si>
    <t>6-15-0001С-Д3</t>
  </si>
  <si>
    <t>2-01-0148С-Д2</t>
  </si>
  <si>
    <t>Пристройка к зданию 4 в осях 1-3 у ряда А. Стены с отметки  +20,000 до отметки + 25,500. Опалубка. Армирование. Конструкции ж/б. (доп. ЛС  2-01-0148С инв.№ 18-01778). Инв.№ 19-00252.</t>
  </si>
  <si>
    <t>4-902</t>
  </si>
  <si>
    <t>Охранная зона периметра площадки. Освещение (доп. К см. 4-902 инв. № 16-02731, 4-951 инв. № 16-03008). Инв.№ 17-01952, арх.№ 70972.</t>
  </si>
  <si>
    <t>4-1126</t>
  </si>
  <si>
    <t>Освещение. (Доп. ЛС инв.16-02731, инв.16-03008, инв.17-01952, Взамен ЛС 05-06-4-1671 инв.20-00993). Охранная зона периметра площадки. Инв.№ 20-01606, арх.№ 78580.</t>
  </si>
  <si>
    <t>05-06-4-1730</t>
  </si>
  <si>
    <t>Охранная зона периметра площадки. Освещение (изменеиие к смете 4-902 инв. №16-02731). Инв.№ 16-03008, арх.№ 68998.</t>
  </si>
  <si>
    <t>4-951</t>
  </si>
  <si>
    <t>Охранная зона периметра площадки. Освещение. (взамен ЛС 4-320 инв. 14-08139). Инв.№ 16-02731, Арх. №68833.</t>
  </si>
  <si>
    <t>Устройство монтажных деталей для крепления оборудования в помещении 20UFB10R022 на отметке 0.000. (Взамен ЛС 2-01-0192С инв.19-01243). Инв.№ 20-00116, арх.№ 76852.</t>
  </si>
  <si>
    <t>2-01-0192С-В1</t>
  </si>
  <si>
    <t>Устройство отверстий для проходок технологических трубопроводов. Здание 4А. Инв.№ 20-00382, арх.№ 76610.</t>
  </si>
  <si>
    <t>3-01-0044С</t>
  </si>
  <si>
    <t>3-01-0044С-Д1</t>
  </si>
  <si>
    <t>Устройство отверстий для проходок технологических трубопроводов. (Доп. к ЛС 3-01-0044С инв.20-00382). Здание 4А. Инв.№ 20-00694, арх.№ 78385.</t>
  </si>
  <si>
    <t>Реестр актов КС-2 за период 26.12.2020г.-29.01.2021г.</t>
  </si>
  <si>
    <t>Реестр актов КС-2 за период 26.12.2020г.-05.02.2021г.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</si>
</sst>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13" x14ac:knownFonts="1">
    <font>
      <sz val="10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1"/>
    </font>
    <font>
      <b/>
      <sz val="10"/>
      <name val="Arial Cyr"/>
      <charset val="204"/>
    </font>
    <font>
      <b/>
      <sz val="10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theme="9" tint="0.79998168889431442"/>
        <bgColor indexed="21"/>
      </patternFill>
    </fill>
    <fill>
      <patternFill patternType="solid">
        <fgColor theme="0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8" fillId="0" borderId="0"/>
    <xf numFmtId="0" fontId="1" fillId="0" borderId="0"/>
  </cellStyleXfs>
  <cellXfs count="94">
    <xf numFmtId="0" fontId="0" fillId="0" borderId="0" xfId="0"/>
    <xf numFmtId="3" fontId="4" fillId="0" borderId="0" xfId="0" applyNumberFormat="1" applyFont="1" applyFill="1" applyAlignment="1">
      <alignment horizontal="left" vertical="center"/>
    </xf>
    <xf numFmtId="3" fontId="4" fillId="0" borderId="0" xfId="0" applyNumberFormat="1" applyFont="1" applyAlignment="1">
      <alignment horizontal="left" vertical="center"/>
    </xf>
    <xf numFmtId="3" fontId="4" fillId="0" borderId="0" xfId="0" applyNumberFormat="1" applyFont="1" applyAlignment="1">
      <alignment horizontal="left"/>
    </xf>
    <xf numFmtId="3" fontId="4" fillId="0" borderId="0" xfId="0" applyNumberFormat="1" applyFont="1" applyFill="1" applyBorder="1" applyAlignment="1">
      <alignment horizontal="left" vertical="center"/>
    </xf>
    <xf numFmtId="3" fontId="4" fillId="0" borderId="0" xfId="0" applyNumberFormat="1" applyFont="1" applyBorder="1" applyAlignment="1">
      <alignment horizontal="left" vertical="center"/>
    </xf>
    <xf numFmtId="3" fontId="4" fillId="0" borderId="0" xfId="0" applyNumberFormat="1" applyFont="1" applyBorder="1" applyAlignment="1">
      <alignment horizontal="left"/>
    </xf>
    <xf numFmtId="3" fontId="5" fillId="0" borderId="0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center" wrapText="1"/>
    </xf>
    <xf numFmtId="3" fontId="4" fillId="0" borderId="0" xfId="0" applyNumberFormat="1" applyFont="1" applyFill="1" applyAlignment="1">
      <alignment vertical="center"/>
    </xf>
    <xf numFmtId="3" fontId="4" fillId="0" borderId="0" xfId="0" applyNumberFormat="1" applyFont="1" applyAlignment="1">
      <alignment vertical="center"/>
    </xf>
    <xf numFmtId="3" fontId="4" fillId="0" borderId="0" xfId="0" applyNumberFormat="1" applyFont="1"/>
    <xf numFmtId="3" fontId="4" fillId="2" borderId="1" xfId="0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3" fontId="6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/>
    </xf>
    <xf numFmtId="4" fontId="6" fillId="0" borderId="1" xfId="0" applyNumberFormat="1" applyFont="1" applyFill="1" applyBorder="1" applyAlignment="1">
      <alignment horizontal="center" vertical="center"/>
    </xf>
    <xf numFmtId="4" fontId="4" fillId="0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vertical="center" wrapText="1"/>
    </xf>
    <xf numFmtId="3" fontId="4" fillId="0" borderId="0" xfId="0" applyNumberFormat="1" applyFont="1" applyFill="1"/>
    <xf numFmtId="3" fontId="4" fillId="0" borderId="0" xfId="0" applyNumberFormat="1" applyFont="1" applyFill="1" applyAlignment="1">
      <alignment horizontal="right"/>
    </xf>
    <xf numFmtId="3" fontId="4" fillId="3" borderId="1" xfId="0" applyNumberFormat="1" applyFont="1" applyFill="1" applyBorder="1" applyAlignment="1">
      <alignment horizontal="right" wrapText="1"/>
    </xf>
    <xf numFmtId="3" fontId="4" fillId="3" borderId="1" xfId="0" applyNumberFormat="1" applyFont="1" applyFill="1" applyBorder="1" applyAlignment="1">
      <alignment horizontal="center" wrapText="1"/>
    </xf>
    <xf numFmtId="3" fontId="7" fillId="3" borderId="1" xfId="0" applyNumberFormat="1" applyFont="1" applyFill="1" applyBorder="1" applyAlignment="1">
      <alignment horizontal="left" vertical="center" wrapText="1"/>
    </xf>
    <xf numFmtId="164" fontId="7" fillId="3" borderId="1" xfId="0" applyNumberFormat="1" applyFont="1" applyFill="1" applyBorder="1" applyAlignment="1">
      <alignment horizontal="center" vertical="center" wrapText="1"/>
    </xf>
    <xf numFmtId="3" fontId="6" fillId="0" borderId="0" xfId="0" applyNumberFormat="1" applyFont="1" applyAlignment="1">
      <alignment vertical="center"/>
    </xf>
    <xf numFmtId="3" fontId="6" fillId="0" borderId="0" xfId="0" applyNumberFormat="1" applyFont="1"/>
    <xf numFmtId="4" fontId="6" fillId="0" borderId="1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horizontal="right" wrapText="1"/>
    </xf>
    <xf numFmtId="3" fontId="4" fillId="0" borderId="0" xfId="0" applyNumberFormat="1" applyFont="1" applyFill="1" applyBorder="1" applyAlignment="1">
      <alignment horizontal="center" wrapText="1"/>
    </xf>
    <xf numFmtId="3" fontId="7" fillId="0" borderId="0" xfId="0" applyNumberFormat="1" applyFont="1" applyFill="1" applyBorder="1" applyAlignment="1">
      <alignment horizontal="left" vertical="center" wrapText="1"/>
    </xf>
    <xf numFmtId="164" fontId="7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3" fontId="4" fillId="4" borderId="0" xfId="0" applyNumberFormat="1" applyFont="1" applyFill="1" applyBorder="1" applyAlignment="1">
      <alignment horizontal="center" wrapText="1"/>
    </xf>
    <xf numFmtId="4" fontId="4" fillId="5" borderId="0" xfId="0" applyNumberFormat="1" applyFont="1" applyFill="1" applyBorder="1" applyAlignment="1">
      <alignment horizontal="left" vertical="top" wrapText="1"/>
    </xf>
    <xf numFmtId="4" fontId="4" fillId="5" borderId="0" xfId="0" applyNumberFormat="1" applyFont="1" applyFill="1" applyBorder="1" applyAlignment="1">
      <alignment horizontal="left" wrapText="1"/>
    </xf>
    <xf numFmtId="4" fontId="4" fillId="0" borderId="0" xfId="0" applyNumberFormat="1" applyFont="1" applyFill="1" applyAlignment="1">
      <alignment vertical="center"/>
    </xf>
    <xf numFmtId="164" fontId="4" fillId="6" borderId="0" xfId="0" applyNumberFormat="1" applyFont="1" applyFill="1" applyBorder="1" applyAlignment="1">
      <alignment horizontal="center" vertical="center" wrapText="1"/>
    </xf>
    <xf numFmtId="3" fontId="6" fillId="0" borderId="0" xfId="0" applyNumberFormat="1" applyFont="1" applyFill="1"/>
    <xf numFmtId="49" fontId="4" fillId="0" borderId="0" xfId="2" applyNumberFormat="1" applyFont="1" applyAlignment="1"/>
    <xf numFmtId="49" fontId="4" fillId="0" borderId="2" xfId="0" applyNumberFormat="1" applyFont="1" applyBorder="1" applyAlignment="1">
      <alignment horizontal="left" wrapText="1"/>
    </xf>
    <xf numFmtId="164" fontId="4" fillId="0" borderId="0" xfId="0" applyNumberFormat="1" applyFont="1" applyFill="1" applyBorder="1" applyAlignment="1">
      <alignment wrapText="1"/>
    </xf>
    <xf numFmtId="164" fontId="4" fillId="6" borderId="0" xfId="0" applyNumberFormat="1" applyFont="1" applyFill="1" applyBorder="1" applyAlignment="1">
      <alignment horizontal="center" wrapText="1"/>
    </xf>
    <xf numFmtId="3" fontId="6" fillId="0" borderId="0" xfId="0" applyNumberFormat="1" applyFont="1" applyFill="1" applyAlignment="1"/>
    <xf numFmtId="3" fontId="6" fillId="0" borderId="0" xfId="0" applyNumberFormat="1" applyFont="1" applyAlignment="1"/>
    <xf numFmtId="3" fontId="9" fillId="4" borderId="0" xfId="0" applyNumberFormat="1" applyFont="1" applyFill="1" applyBorder="1" applyAlignment="1">
      <alignment horizontal="left" vertical="top"/>
    </xf>
    <xf numFmtId="3" fontId="4" fillId="4" borderId="0" xfId="0" applyNumberFormat="1" applyFont="1" applyFill="1" applyBorder="1" applyAlignment="1">
      <alignment horizontal="left" wrapText="1"/>
    </xf>
    <xf numFmtId="4" fontId="4" fillId="0" borderId="0" xfId="0" applyNumberFormat="1" applyFont="1" applyBorder="1" applyAlignment="1">
      <alignment horizontal="left"/>
    </xf>
    <xf numFmtId="4" fontId="4" fillId="6" borderId="0" xfId="0" applyNumberFormat="1" applyFont="1" applyFill="1" applyAlignment="1">
      <alignment horizontal="left"/>
    </xf>
    <xf numFmtId="3" fontId="4" fillId="0" borderId="0" xfId="0" applyNumberFormat="1" applyFont="1" applyBorder="1"/>
    <xf numFmtId="3" fontId="4" fillId="4" borderId="0" xfId="0" applyNumberFormat="1" applyFont="1" applyFill="1" applyBorder="1" applyAlignment="1">
      <alignment horizontal="left" vertical="top"/>
    </xf>
    <xf numFmtId="3" fontId="4" fillId="4" borderId="0" xfId="0" applyNumberFormat="1" applyFont="1" applyFill="1" applyBorder="1" applyAlignment="1">
      <alignment horizontal="left"/>
    </xf>
    <xf numFmtId="3" fontId="4" fillId="6" borderId="0" xfId="0" applyNumberFormat="1" applyFont="1" applyFill="1" applyAlignment="1">
      <alignment horizontal="left"/>
    </xf>
    <xf numFmtId="49" fontId="4" fillId="6" borderId="0" xfId="0" applyNumberFormat="1" applyFont="1" applyFill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  <xf numFmtId="3" fontId="4" fillId="4" borderId="2" xfId="0" applyNumberFormat="1" applyFont="1" applyFill="1" applyBorder="1" applyAlignment="1">
      <alignment horizontal="left"/>
    </xf>
    <xf numFmtId="3" fontId="4" fillId="0" borderId="0" xfId="0" applyNumberFormat="1" applyFont="1" applyFill="1" applyAlignment="1">
      <alignment vertical="center" wrapText="1"/>
    </xf>
    <xf numFmtId="4" fontId="4" fillId="5" borderId="2" xfId="0" applyNumberFormat="1" applyFont="1" applyFill="1" applyBorder="1" applyAlignment="1">
      <alignment horizontal="left" wrapText="1"/>
    </xf>
    <xf numFmtId="0" fontId="0" fillId="0" borderId="0" xfId="0" applyAlignment="1">
      <alignment wrapText="1"/>
    </xf>
    <xf numFmtId="4" fontId="0" fillId="0" borderId="0" xfId="0" applyNumberFormat="1"/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4" fontId="0" fillId="0" borderId="1" xfId="0" applyNumberFormat="1" applyBorder="1"/>
    <xf numFmtId="0" fontId="0" fillId="0" borderId="0" xfId="0" applyAlignment="1">
      <alignment vertical="center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4" fontId="0" fillId="7" borderId="1" xfId="0" applyNumberFormat="1" applyFill="1" applyBorder="1"/>
    <xf numFmtId="3" fontId="11" fillId="0" borderId="1" xfId="0" applyNumberFormat="1" applyFont="1" applyBorder="1" applyAlignment="1">
      <alignment wrapText="1"/>
    </xf>
    <xf numFmtId="3" fontId="0" fillId="0" borderId="1" xfId="0" applyNumberFormat="1" applyBorder="1" applyAlignment="1">
      <alignment wrapText="1"/>
    </xf>
    <xf numFmtId="4" fontId="12" fillId="0" borderId="1" xfId="0" applyNumberFormat="1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horizontal="center" vertical="center" wrapText="1"/>
    </xf>
    <xf numFmtId="49" fontId="4" fillId="0" borderId="1" xfId="3" applyNumberFormat="1" applyFont="1" applyFill="1" applyBorder="1" applyAlignment="1">
      <alignment horizontal="center" vertical="center" wrapText="1"/>
    </xf>
    <xf numFmtId="3" fontId="4" fillId="0" borderId="1" xfId="3" applyNumberFormat="1" applyFont="1" applyFill="1" applyBorder="1" applyAlignment="1">
      <alignment horizontal="left" vertical="center" wrapText="1"/>
    </xf>
    <xf numFmtId="3" fontId="4" fillId="0" borderId="1" xfId="3" applyNumberFormat="1" applyFont="1" applyFill="1" applyBorder="1" applyAlignment="1">
      <alignment horizontal="center" vertical="center" wrapText="1"/>
    </xf>
    <xf numFmtId="4" fontId="4" fillId="4" borderId="0" xfId="0" applyNumberFormat="1" applyFont="1" applyFill="1" applyBorder="1" applyAlignment="1">
      <alignment horizontal="left" wrapText="1"/>
    </xf>
    <xf numFmtId="0" fontId="10" fillId="0" borderId="0" xfId="0" applyFont="1" applyBorder="1" applyAlignment="1">
      <alignment horizontal="left" vertical="top" wrapText="1"/>
    </xf>
    <xf numFmtId="4" fontId="4" fillId="4" borderId="0" xfId="0" applyNumberFormat="1" applyFont="1" applyFill="1" applyBorder="1" applyAlignment="1">
      <alignment horizontal="left" wrapText="1"/>
    </xf>
    <xf numFmtId="0" fontId="10" fillId="0" borderId="0" xfId="0" applyFont="1" applyBorder="1" applyAlignment="1">
      <alignment horizontal="left" vertical="top" wrapText="1"/>
    </xf>
    <xf numFmtId="4" fontId="6" fillId="0" borderId="1" xfId="0" applyNumberFormat="1" applyFont="1" applyFill="1" applyBorder="1" applyAlignment="1">
      <alignment horizontal="center" vertical="center" wrapText="1"/>
    </xf>
    <xf numFmtId="4" fontId="6" fillId="8" borderId="1" xfId="0" applyNumberFormat="1" applyFont="1" applyFill="1" applyBorder="1" applyAlignment="1">
      <alignment horizontal="center" vertical="center"/>
    </xf>
    <xf numFmtId="4" fontId="6" fillId="8" borderId="1" xfId="0" applyNumberFormat="1" applyFont="1" applyFill="1" applyBorder="1" applyAlignment="1">
      <alignment horizontal="center" vertical="center" wrapText="1"/>
    </xf>
    <xf numFmtId="4" fontId="4" fillId="4" borderId="0" xfId="0" applyNumberFormat="1" applyFont="1" applyFill="1" applyBorder="1" applyAlignment="1">
      <alignment horizontal="left" wrapText="1"/>
    </xf>
    <xf numFmtId="0" fontId="10" fillId="0" borderId="0" xfId="0" applyFont="1" applyBorder="1" applyAlignment="1">
      <alignment horizontal="left" vertical="top" wrapText="1"/>
    </xf>
    <xf numFmtId="3" fontId="4" fillId="8" borderId="1" xfId="3" applyNumberFormat="1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/>
    </xf>
    <xf numFmtId="3" fontId="3" fillId="0" borderId="0" xfId="0" applyNumberFormat="1" applyFont="1" applyFill="1" applyBorder="1" applyAlignment="1">
      <alignment horizontal="left"/>
    </xf>
    <xf numFmtId="4" fontId="4" fillId="4" borderId="0" xfId="0" applyNumberFormat="1" applyFont="1" applyFill="1" applyBorder="1" applyAlignment="1">
      <alignment horizontal="left" wrapText="1"/>
    </xf>
    <xf numFmtId="0" fontId="10" fillId="0" borderId="0" xfId="0" applyFont="1" applyBorder="1" applyAlignment="1">
      <alignment horizontal="left" vertical="top" wrapText="1"/>
    </xf>
  </cellXfs>
  <cellStyles count="4">
    <cellStyle name="Обычный" xfId="0" builtinId="0"/>
    <cellStyle name="Обычный 2" xfId="1"/>
    <cellStyle name="Обычный 2 2" xfId="3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0"/>
  <sheetViews>
    <sheetView view="pageBreakPreview" zoomScale="55" zoomScaleNormal="85" zoomScaleSheetLayoutView="55" workbookViewId="0">
      <selection activeCell="E11" sqref="E11"/>
    </sheetView>
  </sheetViews>
  <sheetFormatPr defaultRowHeight="12.75" x14ac:dyDescent="0.2"/>
  <cols>
    <col min="1" max="1" width="4.5703125" customWidth="1"/>
    <col min="2" max="3" width="7.5703125" customWidth="1"/>
    <col min="4" max="4" width="15.28515625" customWidth="1"/>
    <col min="5" max="5" width="48.85546875" style="61" customWidth="1"/>
    <col min="6" max="6" width="14.28515625" customWidth="1"/>
    <col min="7" max="9" width="15.28515625" customWidth="1"/>
    <col min="10" max="10" width="14" customWidth="1"/>
    <col min="11" max="11" width="18" customWidth="1"/>
    <col min="12" max="12" width="15.85546875" style="69" customWidth="1"/>
    <col min="13" max="13" width="7.140625" style="69" customWidth="1"/>
    <col min="14" max="14" width="14.42578125" customWidth="1"/>
    <col min="15" max="15" width="14" customWidth="1"/>
  </cols>
  <sheetData>
    <row r="1" spans="1:15" s="3" customFormat="1" x14ac:dyDescent="0.2">
      <c r="A1" s="90" t="s">
        <v>183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1"/>
      <c r="M1" s="2"/>
    </row>
    <row r="2" spans="1:15" s="6" customFormat="1" x14ac:dyDescent="0.2">
      <c r="A2" s="91" t="s">
        <v>68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4"/>
      <c r="M2" s="5"/>
      <c r="N2" s="6">
        <f>7.63*1.05*1.044*0.9897*1.046*1.2</f>
        <v>10.39036577778864</v>
      </c>
    </row>
    <row r="3" spans="1:15" s="11" customFormat="1" ht="2.25" customHeight="1" x14ac:dyDescent="0.25">
      <c r="A3" s="7"/>
      <c r="B3" s="7"/>
      <c r="C3" s="7"/>
      <c r="D3" s="7"/>
      <c r="E3" s="8"/>
      <c r="F3" s="7"/>
      <c r="G3" s="7"/>
      <c r="H3" s="7"/>
      <c r="I3" s="7"/>
      <c r="J3" s="7"/>
      <c r="K3" s="7"/>
      <c r="L3" s="9"/>
      <c r="M3" s="10"/>
    </row>
    <row r="4" spans="1:15" s="11" customFormat="1" ht="75.75" customHeight="1" x14ac:dyDescent="0.2">
      <c r="A4" s="12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6</v>
      </c>
      <c r="H4" s="13" t="s">
        <v>7</v>
      </c>
      <c r="I4" s="13" t="s">
        <v>8</v>
      </c>
      <c r="J4" s="13" t="s">
        <v>9</v>
      </c>
      <c r="K4" s="13" t="s">
        <v>10</v>
      </c>
      <c r="L4" s="13" t="s">
        <v>11</v>
      </c>
      <c r="M4" s="10"/>
    </row>
    <row r="5" spans="1:15" s="20" customFormat="1" ht="53.25" customHeight="1" x14ac:dyDescent="0.2">
      <c r="A5" s="14">
        <v>27</v>
      </c>
      <c r="B5" s="15">
        <v>3370</v>
      </c>
      <c r="C5" s="15"/>
      <c r="D5" s="89" t="s">
        <v>110</v>
      </c>
      <c r="E5" s="78" t="s">
        <v>111</v>
      </c>
      <c r="F5" s="16">
        <v>23238</v>
      </c>
      <c r="G5" s="17">
        <f t="shared" ref="G5:G17" si="0">ROUND(F5*1.046,0)</f>
        <v>24307</v>
      </c>
      <c r="H5" s="16">
        <v>560904</v>
      </c>
      <c r="I5" s="17">
        <f t="shared" ref="I5:I17" si="1">ROUND(H5*0.9897,2)</f>
        <v>555126.68999999994</v>
      </c>
      <c r="J5" s="18">
        <f t="shared" ref="J5:J17" si="2">ROUND(I5*0.2,2)</f>
        <v>111025.34</v>
      </c>
      <c r="K5" s="18">
        <f t="shared" ref="K5:K17" si="3">I5+J5</f>
        <v>666152.02999999991</v>
      </c>
      <c r="L5" s="19" t="s">
        <v>29</v>
      </c>
      <c r="M5" s="21"/>
      <c r="N5" s="17"/>
      <c r="O5" s="17"/>
    </row>
    <row r="6" spans="1:15" s="20" customFormat="1" ht="68.25" customHeight="1" x14ac:dyDescent="0.2">
      <c r="A6" s="14">
        <v>31</v>
      </c>
      <c r="B6" s="15">
        <v>3374</v>
      </c>
      <c r="C6" s="15"/>
      <c r="D6" s="79" t="s">
        <v>123</v>
      </c>
      <c r="E6" s="78" t="s">
        <v>122</v>
      </c>
      <c r="F6" s="16">
        <v>94743</v>
      </c>
      <c r="G6" s="17">
        <f t="shared" si="0"/>
        <v>99101</v>
      </c>
      <c r="H6" s="16">
        <v>990461</v>
      </c>
      <c r="I6" s="17">
        <f t="shared" si="1"/>
        <v>980259.25</v>
      </c>
      <c r="J6" s="18">
        <f t="shared" si="2"/>
        <v>196051.85</v>
      </c>
      <c r="K6" s="18">
        <f t="shared" si="3"/>
        <v>1176311.1000000001</v>
      </c>
      <c r="L6" s="19" t="s">
        <v>115</v>
      </c>
      <c r="M6" s="21"/>
      <c r="N6" s="17"/>
      <c r="O6" s="17"/>
    </row>
    <row r="7" spans="1:15" s="20" customFormat="1" ht="68.25" customHeight="1" x14ac:dyDescent="0.2">
      <c r="A7" s="14">
        <v>32</v>
      </c>
      <c r="B7" s="15">
        <v>3375</v>
      </c>
      <c r="C7" s="15"/>
      <c r="D7" s="79" t="s">
        <v>121</v>
      </c>
      <c r="E7" s="78" t="s">
        <v>120</v>
      </c>
      <c r="F7" s="16">
        <v>68345</v>
      </c>
      <c r="G7" s="17">
        <f t="shared" si="0"/>
        <v>71489</v>
      </c>
      <c r="H7" s="16">
        <v>597934</v>
      </c>
      <c r="I7" s="17">
        <f t="shared" si="1"/>
        <v>591775.28</v>
      </c>
      <c r="J7" s="18">
        <f t="shared" si="2"/>
        <v>118355.06</v>
      </c>
      <c r="K7" s="18">
        <f t="shared" si="3"/>
        <v>710130.34000000008</v>
      </c>
      <c r="L7" s="19" t="s">
        <v>115</v>
      </c>
      <c r="M7" s="21"/>
      <c r="N7" s="17"/>
      <c r="O7" s="17"/>
    </row>
    <row r="8" spans="1:15" s="20" customFormat="1" ht="51" customHeight="1" x14ac:dyDescent="0.2">
      <c r="A8" s="14">
        <v>33</v>
      </c>
      <c r="B8" s="15">
        <v>3376</v>
      </c>
      <c r="C8" s="15"/>
      <c r="D8" s="79" t="s">
        <v>125</v>
      </c>
      <c r="E8" s="78" t="s">
        <v>124</v>
      </c>
      <c r="F8" s="16">
        <v>61682</v>
      </c>
      <c r="G8" s="17">
        <f t="shared" si="0"/>
        <v>64519</v>
      </c>
      <c r="H8" s="16">
        <v>570248</v>
      </c>
      <c r="I8" s="17">
        <f t="shared" si="1"/>
        <v>564374.44999999995</v>
      </c>
      <c r="J8" s="18">
        <f t="shared" si="2"/>
        <v>112874.89</v>
      </c>
      <c r="K8" s="18">
        <f t="shared" si="3"/>
        <v>677249.34</v>
      </c>
      <c r="L8" s="19" t="s">
        <v>115</v>
      </c>
      <c r="M8" s="21"/>
      <c r="N8" s="17"/>
      <c r="O8" s="17"/>
    </row>
    <row r="9" spans="1:15" s="20" customFormat="1" ht="51" customHeight="1" x14ac:dyDescent="0.2">
      <c r="A9" s="14">
        <v>34</v>
      </c>
      <c r="B9" s="15">
        <v>3377</v>
      </c>
      <c r="C9" s="15"/>
      <c r="D9" s="79" t="s">
        <v>127</v>
      </c>
      <c r="E9" s="78" t="s">
        <v>126</v>
      </c>
      <c r="F9" s="85">
        <v>5772</v>
      </c>
      <c r="G9" s="17">
        <f t="shared" si="0"/>
        <v>6038</v>
      </c>
      <c r="H9" s="16">
        <v>84677</v>
      </c>
      <c r="I9" s="17">
        <f t="shared" si="1"/>
        <v>83804.83</v>
      </c>
      <c r="J9" s="18">
        <f t="shared" si="2"/>
        <v>16760.97</v>
      </c>
      <c r="K9" s="18">
        <f t="shared" si="3"/>
        <v>100565.8</v>
      </c>
      <c r="L9" s="19" t="s">
        <v>115</v>
      </c>
      <c r="M9" s="21"/>
      <c r="N9" s="17"/>
      <c r="O9" s="17"/>
    </row>
    <row r="10" spans="1:15" s="20" customFormat="1" ht="50.25" customHeight="1" x14ac:dyDescent="0.2">
      <c r="A10" s="14">
        <v>35</v>
      </c>
      <c r="B10" s="15">
        <v>3378</v>
      </c>
      <c r="C10" s="15"/>
      <c r="D10" s="79" t="s">
        <v>129</v>
      </c>
      <c r="E10" s="78" t="s">
        <v>128</v>
      </c>
      <c r="F10" s="85">
        <v>5521</v>
      </c>
      <c r="G10" s="17">
        <f t="shared" si="0"/>
        <v>5775</v>
      </c>
      <c r="H10" s="16">
        <v>83864</v>
      </c>
      <c r="I10" s="17">
        <f t="shared" si="1"/>
        <v>83000.2</v>
      </c>
      <c r="J10" s="18">
        <f t="shared" si="2"/>
        <v>16600.04</v>
      </c>
      <c r="K10" s="18">
        <f t="shared" si="3"/>
        <v>99600.239999999991</v>
      </c>
      <c r="L10" s="19" t="s">
        <v>115</v>
      </c>
      <c r="M10" s="21"/>
      <c r="N10" s="17"/>
      <c r="O10" s="17"/>
    </row>
    <row r="11" spans="1:15" s="20" customFormat="1" ht="72" customHeight="1" x14ac:dyDescent="0.2">
      <c r="A11" s="14">
        <v>36</v>
      </c>
      <c r="B11" s="15">
        <v>3379</v>
      </c>
      <c r="C11" s="15"/>
      <c r="D11" s="79" t="s">
        <v>131</v>
      </c>
      <c r="E11" s="78" t="s">
        <v>130</v>
      </c>
      <c r="F11" s="86">
        <v>472</v>
      </c>
      <c r="G11" s="17">
        <f t="shared" si="0"/>
        <v>494</v>
      </c>
      <c r="H11" s="16">
        <v>6147</v>
      </c>
      <c r="I11" s="17">
        <f t="shared" si="1"/>
        <v>6083.69</v>
      </c>
      <c r="J11" s="18">
        <f t="shared" si="2"/>
        <v>1216.74</v>
      </c>
      <c r="K11" s="18">
        <f t="shared" si="3"/>
        <v>7300.4299999999994</v>
      </c>
      <c r="L11" s="19" t="s">
        <v>115</v>
      </c>
      <c r="M11" s="21"/>
      <c r="N11" s="17"/>
      <c r="O11" s="17"/>
    </row>
    <row r="12" spans="1:15" s="20" customFormat="1" ht="72" customHeight="1" x14ac:dyDescent="0.2">
      <c r="A12" s="14">
        <v>37</v>
      </c>
      <c r="B12" s="15">
        <v>3380</v>
      </c>
      <c r="C12" s="15"/>
      <c r="D12" s="79" t="s">
        <v>132</v>
      </c>
      <c r="E12" s="78" t="s">
        <v>133</v>
      </c>
      <c r="F12" s="85">
        <v>856</v>
      </c>
      <c r="G12" s="17">
        <f t="shared" si="0"/>
        <v>895</v>
      </c>
      <c r="H12" s="16">
        <v>6501</v>
      </c>
      <c r="I12" s="17">
        <f t="shared" si="1"/>
        <v>6434.04</v>
      </c>
      <c r="J12" s="18">
        <f t="shared" si="2"/>
        <v>1286.81</v>
      </c>
      <c r="K12" s="18">
        <f t="shared" si="3"/>
        <v>7720.85</v>
      </c>
      <c r="L12" s="19" t="s">
        <v>115</v>
      </c>
      <c r="M12" s="21"/>
      <c r="N12" s="17"/>
      <c r="O12" s="17"/>
    </row>
    <row r="13" spans="1:15" s="20" customFormat="1" ht="60" customHeight="1" x14ac:dyDescent="0.2">
      <c r="A13" s="14">
        <v>39</v>
      </c>
      <c r="B13" s="15">
        <v>3382</v>
      </c>
      <c r="C13" s="15"/>
      <c r="D13" s="79" t="s">
        <v>136</v>
      </c>
      <c r="E13" s="78" t="s">
        <v>137</v>
      </c>
      <c r="F13" s="16">
        <v>229140</v>
      </c>
      <c r="G13" s="17">
        <f t="shared" si="0"/>
        <v>239680</v>
      </c>
      <c r="H13" s="16">
        <v>2305662</v>
      </c>
      <c r="I13" s="17">
        <f t="shared" si="1"/>
        <v>2281913.6800000002</v>
      </c>
      <c r="J13" s="18">
        <f t="shared" si="2"/>
        <v>456382.74</v>
      </c>
      <c r="K13" s="18">
        <f t="shared" si="3"/>
        <v>2738296.42</v>
      </c>
      <c r="L13" s="19" t="s">
        <v>115</v>
      </c>
      <c r="M13" s="21"/>
      <c r="N13" s="17"/>
      <c r="O13" s="17"/>
    </row>
    <row r="14" spans="1:15" s="20" customFormat="1" ht="60" customHeight="1" x14ac:dyDescent="0.2">
      <c r="A14" s="14">
        <v>40</v>
      </c>
      <c r="B14" s="15">
        <v>3383</v>
      </c>
      <c r="C14" s="15"/>
      <c r="D14" s="79" t="s">
        <v>138</v>
      </c>
      <c r="E14" s="78" t="s">
        <v>139</v>
      </c>
      <c r="F14" s="16">
        <v>-7823</v>
      </c>
      <c r="G14" s="17">
        <f t="shared" si="0"/>
        <v>-8183</v>
      </c>
      <c r="H14" s="16">
        <v>-99808</v>
      </c>
      <c r="I14" s="17">
        <f t="shared" si="1"/>
        <v>-98779.98</v>
      </c>
      <c r="J14" s="18">
        <f t="shared" si="2"/>
        <v>-19756</v>
      </c>
      <c r="K14" s="18">
        <f t="shared" si="3"/>
        <v>-118535.98</v>
      </c>
      <c r="L14" s="19" t="s">
        <v>115</v>
      </c>
      <c r="M14" s="21"/>
      <c r="N14" s="17"/>
      <c r="O14" s="17"/>
    </row>
    <row r="15" spans="1:15" s="20" customFormat="1" ht="60" customHeight="1" x14ac:dyDescent="0.2">
      <c r="A15" s="14">
        <v>41</v>
      </c>
      <c r="B15" s="15">
        <v>3384</v>
      </c>
      <c r="C15" s="15"/>
      <c r="D15" s="79" t="s">
        <v>140</v>
      </c>
      <c r="E15" s="78" t="s">
        <v>141</v>
      </c>
      <c r="F15" s="16">
        <v>-521</v>
      </c>
      <c r="G15" s="17">
        <f t="shared" si="0"/>
        <v>-545</v>
      </c>
      <c r="H15" s="16">
        <v>-5677</v>
      </c>
      <c r="I15" s="17">
        <f t="shared" si="1"/>
        <v>-5618.53</v>
      </c>
      <c r="J15" s="18">
        <f t="shared" si="2"/>
        <v>-1123.71</v>
      </c>
      <c r="K15" s="18">
        <f t="shared" si="3"/>
        <v>-6742.24</v>
      </c>
      <c r="L15" s="19" t="s">
        <v>115</v>
      </c>
      <c r="M15" s="21"/>
      <c r="N15" s="17"/>
      <c r="O15" s="17"/>
    </row>
    <row r="16" spans="1:15" s="20" customFormat="1" ht="57.75" customHeight="1" x14ac:dyDescent="0.2">
      <c r="A16" s="14">
        <v>43</v>
      </c>
      <c r="B16" s="15">
        <v>3386</v>
      </c>
      <c r="C16" s="15"/>
      <c r="D16" s="79" t="s">
        <v>178</v>
      </c>
      <c r="E16" s="78" t="s">
        <v>177</v>
      </c>
      <c r="F16" s="16">
        <v>10453</v>
      </c>
      <c r="G16" s="17">
        <f t="shared" si="0"/>
        <v>10934</v>
      </c>
      <c r="H16" s="16">
        <v>142374</v>
      </c>
      <c r="I16" s="17">
        <f t="shared" si="1"/>
        <v>140907.54999999999</v>
      </c>
      <c r="J16" s="18">
        <f t="shared" si="2"/>
        <v>28181.51</v>
      </c>
      <c r="K16" s="18">
        <f t="shared" si="3"/>
        <v>169089.06</v>
      </c>
      <c r="L16" s="19" t="s">
        <v>115</v>
      </c>
      <c r="M16" s="21"/>
      <c r="N16" s="17"/>
      <c r="O16" s="17"/>
    </row>
    <row r="17" spans="1:15" s="20" customFormat="1" ht="48" customHeight="1" x14ac:dyDescent="0.2">
      <c r="A17" s="14">
        <v>52</v>
      </c>
      <c r="B17" s="15">
        <v>3395</v>
      </c>
      <c r="C17" s="15"/>
      <c r="D17" s="79" t="s">
        <v>105</v>
      </c>
      <c r="E17" s="78" t="s">
        <v>104</v>
      </c>
      <c r="F17" s="16">
        <v>58693</v>
      </c>
      <c r="G17" s="17">
        <f t="shared" si="0"/>
        <v>61393</v>
      </c>
      <c r="H17" s="16">
        <v>525075</v>
      </c>
      <c r="I17" s="17">
        <f t="shared" si="1"/>
        <v>519666.73</v>
      </c>
      <c r="J17" s="18">
        <f t="shared" si="2"/>
        <v>103933.35</v>
      </c>
      <c r="K17" s="18">
        <f t="shared" si="3"/>
        <v>623600.07999999996</v>
      </c>
      <c r="L17" s="19" t="s">
        <v>115</v>
      </c>
      <c r="M17" s="21"/>
      <c r="N17" s="17"/>
      <c r="O17" s="17"/>
    </row>
    <row r="18" spans="1:15" s="20" customFormat="1" ht="48" customHeight="1" x14ac:dyDescent="0.2">
      <c r="A18" s="14"/>
      <c r="B18" s="15">
        <v>3398</v>
      </c>
      <c r="C18" s="15"/>
      <c r="D18" s="77" t="s">
        <v>169</v>
      </c>
      <c r="E18" s="78" t="s">
        <v>176</v>
      </c>
      <c r="F18" s="84">
        <v>44250</v>
      </c>
      <c r="G18" s="17">
        <f t="shared" ref="G18:G22" si="4">ROUND(F18*1.046,0)</f>
        <v>46286</v>
      </c>
      <c r="H18" s="16">
        <v>717027</v>
      </c>
      <c r="I18" s="17">
        <f t="shared" ref="I18:I22" si="5">ROUND(H18*0.9897,2)</f>
        <v>709641.62</v>
      </c>
      <c r="J18" s="18">
        <f t="shared" ref="J18:J22" si="6">ROUND(I18*0.2,2)</f>
        <v>141928.32000000001</v>
      </c>
      <c r="K18" s="18">
        <f t="shared" ref="K18:K22" si="7">I18+J18</f>
        <v>851569.94</v>
      </c>
      <c r="L18" s="19" t="s">
        <v>29</v>
      </c>
      <c r="M18" s="21"/>
      <c r="N18" s="17"/>
      <c r="O18" s="17"/>
    </row>
    <row r="19" spans="1:15" s="20" customFormat="1" ht="48" customHeight="1" x14ac:dyDescent="0.2">
      <c r="A19" s="14"/>
      <c r="B19" s="15">
        <v>3399</v>
      </c>
      <c r="C19" s="15"/>
      <c r="D19" s="79" t="s">
        <v>171</v>
      </c>
      <c r="E19" s="78" t="s">
        <v>170</v>
      </c>
      <c r="F19" s="16">
        <v>44596</v>
      </c>
      <c r="G19" s="17">
        <f t="shared" si="4"/>
        <v>46647</v>
      </c>
      <c r="H19" s="16">
        <v>324667</v>
      </c>
      <c r="I19" s="17">
        <f t="shared" si="5"/>
        <v>321322.93</v>
      </c>
      <c r="J19" s="18">
        <f t="shared" si="6"/>
        <v>64264.59</v>
      </c>
      <c r="K19" s="18">
        <f t="shared" si="7"/>
        <v>385587.52</v>
      </c>
      <c r="L19" s="19" t="s">
        <v>29</v>
      </c>
      <c r="M19" s="21"/>
      <c r="N19" s="17"/>
      <c r="O19" s="17"/>
    </row>
    <row r="20" spans="1:15" s="20" customFormat="1" ht="48" customHeight="1" x14ac:dyDescent="0.2">
      <c r="A20" s="14"/>
      <c r="B20" s="15">
        <v>3400</v>
      </c>
      <c r="C20" s="15"/>
      <c r="D20" s="79" t="s">
        <v>173</v>
      </c>
      <c r="E20" s="78" t="s">
        <v>172</v>
      </c>
      <c r="F20" s="16">
        <v>13843</v>
      </c>
      <c r="G20" s="17">
        <f t="shared" si="4"/>
        <v>14480</v>
      </c>
      <c r="H20" s="16">
        <v>212574</v>
      </c>
      <c r="I20" s="17">
        <f t="shared" si="5"/>
        <v>210384.49</v>
      </c>
      <c r="J20" s="18">
        <f t="shared" si="6"/>
        <v>42076.9</v>
      </c>
      <c r="K20" s="18">
        <f t="shared" si="7"/>
        <v>252461.38999999998</v>
      </c>
      <c r="L20" s="19" t="s">
        <v>29</v>
      </c>
      <c r="M20" s="21"/>
      <c r="N20" s="17"/>
      <c r="O20" s="17"/>
    </row>
    <row r="21" spans="1:15" s="20" customFormat="1" ht="48" customHeight="1" x14ac:dyDescent="0.2">
      <c r="A21" s="14"/>
      <c r="B21" s="15">
        <v>3401</v>
      </c>
      <c r="C21" s="15"/>
      <c r="D21" s="79" t="s">
        <v>175</v>
      </c>
      <c r="E21" s="78" t="s">
        <v>174</v>
      </c>
      <c r="F21" s="16">
        <v>25908</v>
      </c>
      <c r="G21" s="17">
        <f t="shared" si="4"/>
        <v>27100</v>
      </c>
      <c r="H21" s="16">
        <v>232504</v>
      </c>
      <c r="I21" s="17">
        <f t="shared" si="5"/>
        <v>230109.21</v>
      </c>
      <c r="J21" s="18">
        <f t="shared" si="6"/>
        <v>46021.84</v>
      </c>
      <c r="K21" s="18">
        <f t="shared" si="7"/>
        <v>276131.05</v>
      </c>
      <c r="L21" s="19" t="s">
        <v>29</v>
      </c>
      <c r="M21" s="21"/>
      <c r="N21" s="17"/>
      <c r="O21" s="17"/>
    </row>
    <row r="22" spans="1:15" s="20" customFormat="1" ht="57.75" customHeight="1" x14ac:dyDescent="0.2">
      <c r="A22" s="14"/>
      <c r="B22" s="15">
        <v>3402</v>
      </c>
      <c r="C22" s="15"/>
      <c r="D22" s="79" t="s">
        <v>110</v>
      </c>
      <c r="E22" s="78" t="s">
        <v>111</v>
      </c>
      <c r="F22" s="16">
        <v>23238</v>
      </c>
      <c r="G22" s="17">
        <f t="shared" si="4"/>
        <v>24307</v>
      </c>
      <c r="H22" s="16">
        <v>560904</v>
      </c>
      <c r="I22" s="17">
        <f t="shared" si="5"/>
        <v>555126.68999999994</v>
      </c>
      <c r="J22" s="18">
        <f t="shared" si="6"/>
        <v>111025.34</v>
      </c>
      <c r="K22" s="18">
        <f t="shared" si="7"/>
        <v>666152.02999999991</v>
      </c>
      <c r="L22" s="19" t="s">
        <v>29</v>
      </c>
      <c r="M22" s="21"/>
      <c r="N22" s="17"/>
      <c r="O22" s="17"/>
    </row>
    <row r="23" spans="1:15" s="20" customFormat="1" ht="53.25" customHeight="1" x14ac:dyDescent="0.2">
      <c r="A23" s="14"/>
      <c r="B23" s="15"/>
      <c r="C23" s="15"/>
      <c r="D23" s="79"/>
      <c r="E23" s="78"/>
      <c r="F23" s="16"/>
      <c r="G23" s="17">
        <f>ROUND(F23*1.046,0)</f>
        <v>0</v>
      </c>
      <c r="H23" s="16"/>
      <c r="I23" s="17">
        <f>H23</f>
        <v>0</v>
      </c>
      <c r="J23" s="18">
        <f>ROUND(I23*0.2,2)</f>
        <v>0</v>
      </c>
      <c r="K23" s="18">
        <f>I23+J23</f>
        <v>0</v>
      </c>
      <c r="L23" s="19"/>
      <c r="M23" s="21"/>
      <c r="N23" s="17"/>
      <c r="O23" s="17"/>
    </row>
    <row r="24" spans="1:15" s="27" customFormat="1" ht="15.75" customHeight="1" x14ac:dyDescent="0.2">
      <c r="A24" s="22"/>
      <c r="B24" s="23"/>
      <c r="C24" s="23"/>
      <c r="D24" s="23"/>
      <c r="E24" s="24" t="s">
        <v>13</v>
      </c>
      <c r="F24" s="25">
        <f t="shared" ref="F24:K24" si="8">SUM(F5:F23)</f>
        <v>702406</v>
      </c>
      <c r="G24" s="25">
        <f t="shared" si="8"/>
        <v>734717</v>
      </c>
      <c r="H24" s="25">
        <f t="shared" si="8"/>
        <v>7816038</v>
      </c>
      <c r="I24" s="25">
        <f t="shared" si="8"/>
        <v>7735532.8199999984</v>
      </c>
      <c r="J24" s="25">
        <f t="shared" si="8"/>
        <v>1547106.5800000003</v>
      </c>
      <c r="K24" s="25">
        <f t="shared" si="8"/>
        <v>9282639.3999999966</v>
      </c>
      <c r="L24" s="25"/>
      <c r="M24" s="26"/>
      <c r="N24" s="25" t="e">
        <f>SUM(#REF!)</f>
        <v>#REF!</v>
      </c>
      <c r="O24" s="25" t="e">
        <f>SUM(#REF!)</f>
        <v>#REF!</v>
      </c>
    </row>
    <row r="25" spans="1:15" s="27" customFormat="1" ht="21.75" customHeight="1" x14ac:dyDescent="0.2">
      <c r="A25" s="22"/>
      <c r="B25" s="22"/>
      <c r="C25" s="22"/>
      <c r="D25" s="23"/>
      <c r="E25" s="24" t="s">
        <v>14</v>
      </c>
      <c r="F25" s="25"/>
      <c r="G25" s="25"/>
      <c r="H25" s="25"/>
      <c r="I25" s="25"/>
      <c r="J25" s="25"/>
      <c r="K25" s="25"/>
      <c r="L25" s="25"/>
      <c r="M25" s="26"/>
    </row>
    <row r="26" spans="1:15" s="27" customFormat="1" ht="33" customHeight="1" x14ac:dyDescent="0.2">
      <c r="A26" s="14"/>
      <c r="B26" s="15"/>
      <c r="C26" s="15"/>
      <c r="D26" s="79"/>
      <c r="E26" s="78" t="s">
        <v>15</v>
      </c>
      <c r="F26" s="16"/>
      <c r="G26" s="16">
        <f>F26</f>
        <v>0</v>
      </c>
      <c r="H26" s="17"/>
      <c r="I26" s="17"/>
      <c r="J26" s="18">
        <f>ROUND(I26*0.2,2)</f>
        <v>0</v>
      </c>
      <c r="K26" s="18">
        <f>I26+J26</f>
        <v>0</v>
      </c>
      <c r="L26" s="28"/>
      <c r="M26" s="26"/>
    </row>
    <row r="27" spans="1:15" s="27" customFormat="1" ht="28.5" customHeight="1" x14ac:dyDescent="0.2">
      <c r="A27" s="14"/>
      <c r="B27" s="15"/>
      <c r="C27" s="15"/>
      <c r="D27" s="79"/>
      <c r="E27" s="78" t="s">
        <v>16</v>
      </c>
      <c r="F27" s="16"/>
      <c r="G27" s="16">
        <f>F27</f>
        <v>0</v>
      </c>
      <c r="H27" s="17"/>
      <c r="I27" s="17"/>
      <c r="J27" s="18">
        <f>ROUND(I27*0.2,2)</f>
        <v>0</v>
      </c>
      <c r="K27" s="18">
        <f>I27+J27</f>
        <v>0</v>
      </c>
      <c r="L27" s="28"/>
      <c r="M27" s="26" t="e">
        <f>H27/G27</f>
        <v>#DIV/0!</v>
      </c>
    </row>
    <row r="28" spans="1:15" s="27" customFormat="1" ht="21.75" customHeight="1" x14ac:dyDescent="0.2">
      <c r="A28" s="22"/>
      <c r="B28" s="22"/>
      <c r="C28" s="22"/>
      <c r="D28" s="23"/>
      <c r="E28" s="24" t="s">
        <v>13</v>
      </c>
      <c r="F28" s="25">
        <f t="shared" ref="F28:K28" si="9">F26+F27</f>
        <v>0</v>
      </c>
      <c r="G28" s="25">
        <f t="shared" si="9"/>
        <v>0</v>
      </c>
      <c r="H28" s="25">
        <f t="shared" si="9"/>
        <v>0</v>
      </c>
      <c r="I28" s="25">
        <f t="shared" si="9"/>
        <v>0</v>
      </c>
      <c r="J28" s="25">
        <f t="shared" si="9"/>
        <v>0</v>
      </c>
      <c r="K28" s="25">
        <f t="shared" si="9"/>
        <v>0</v>
      </c>
      <c r="L28" s="25"/>
      <c r="M28" s="26"/>
    </row>
    <row r="29" spans="1:15" s="27" customFormat="1" ht="21.75" customHeight="1" x14ac:dyDescent="0.2">
      <c r="A29" s="22"/>
      <c r="B29" s="22"/>
      <c r="C29" s="22"/>
      <c r="D29" s="23"/>
      <c r="E29" s="24" t="s">
        <v>17</v>
      </c>
      <c r="F29" s="25">
        <f t="shared" ref="F29:K29" si="10">F24+F28</f>
        <v>702406</v>
      </c>
      <c r="G29" s="25">
        <f t="shared" si="10"/>
        <v>734717</v>
      </c>
      <c r="H29" s="25">
        <f t="shared" si="10"/>
        <v>7816038</v>
      </c>
      <c r="I29" s="25">
        <f t="shared" si="10"/>
        <v>7735532.8199999984</v>
      </c>
      <c r="J29" s="25">
        <f t="shared" si="10"/>
        <v>1547106.5800000003</v>
      </c>
      <c r="K29" s="25">
        <f t="shared" si="10"/>
        <v>9282639.3999999966</v>
      </c>
      <c r="L29" s="25"/>
      <c r="M29" s="26"/>
    </row>
    <row r="30" spans="1:15" s="27" customFormat="1" ht="17.25" customHeight="1" x14ac:dyDescent="0.2">
      <c r="A30" s="29"/>
      <c r="B30" s="29"/>
      <c r="C30" s="29"/>
      <c r="D30" s="30"/>
      <c r="E30" s="31"/>
      <c r="F30" s="32"/>
      <c r="G30" s="32"/>
      <c r="H30" s="32"/>
      <c r="I30" s="32"/>
      <c r="J30" s="32"/>
      <c r="K30" s="32"/>
      <c r="L30" s="9"/>
      <c r="M30" s="26"/>
    </row>
    <row r="31" spans="1:15" s="27" customFormat="1" ht="13.5" customHeight="1" x14ac:dyDescent="0.2">
      <c r="A31" s="33" t="s">
        <v>18</v>
      </c>
      <c r="B31" s="34"/>
      <c r="C31" s="34"/>
      <c r="D31" s="35"/>
      <c r="E31" s="36"/>
      <c r="F31" s="37"/>
      <c r="G31" s="9"/>
      <c r="H31" s="9"/>
      <c r="I31" s="9"/>
      <c r="J31" s="38"/>
      <c r="K31" s="39"/>
      <c r="L31" s="40"/>
      <c r="M31" s="26"/>
    </row>
    <row r="32" spans="1:15" s="46" customFormat="1" ht="15" customHeight="1" x14ac:dyDescent="0.2">
      <c r="A32" s="41" t="s">
        <v>19</v>
      </c>
      <c r="B32" s="41"/>
      <c r="C32" s="41"/>
      <c r="D32" s="41"/>
      <c r="E32" s="37"/>
      <c r="F32" s="42"/>
      <c r="G32" s="92" t="s">
        <v>20</v>
      </c>
      <c r="H32" s="92"/>
      <c r="I32" s="87"/>
      <c r="J32" s="43"/>
      <c r="K32" s="44"/>
      <c r="L32" s="45"/>
      <c r="M32" s="26"/>
    </row>
    <row r="33" spans="1:13" s="27" customFormat="1" ht="3.75" customHeight="1" x14ac:dyDescent="0.2">
      <c r="A33" s="47"/>
      <c r="B33" s="48"/>
      <c r="C33" s="48"/>
      <c r="D33" s="35"/>
      <c r="E33" s="36"/>
      <c r="F33" s="49"/>
      <c r="G33" s="50"/>
      <c r="H33" s="87"/>
      <c r="I33" s="87"/>
      <c r="J33" s="51"/>
      <c r="K33" s="51"/>
      <c r="L33" s="40"/>
      <c r="M33" s="26"/>
    </row>
    <row r="34" spans="1:13" s="27" customFormat="1" ht="4.5" customHeight="1" x14ac:dyDescent="0.2">
      <c r="A34" s="52"/>
      <c r="B34" s="48"/>
      <c r="C34" s="48"/>
      <c r="D34" s="35"/>
      <c r="E34" s="36"/>
      <c r="F34" s="49"/>
      <c r="G34" s="50"/>
      <c r="H34" s="87"/>
      <c r="I34" s="87"/>
      <c r="J34" s="51"/>
      <c r="K34" s="51"/>
      <c r="L34" s="40"/>
      <c r="M34" s="26"/>
    </row>
    <row r="35" spans="1:13" s="27" customFormat="1" ht="12.75" customHeight="1" x14ac:dyDescent="0.2">
      <c r="A35" s="53" t="s">
        <v>21</v>
      </c>
      <c r="B35" s="48"/>
      <c r="C35" s="48"/>
      <c r="D35" s="35"/>
      <c r="E35" s="36"/>
      <c r="F35" s="37"/>
      <c r="G35" s="54"/>
      <c r="H35" s="87"/>
      <c r="I35" s="87"/>
      <c r="J35" s="43"/>
      <c r="K35" s="39"/>
      <c r="L35" s="40"/>
      <c r="M35" s="26"/>
    </row>
    <row r="36" spans="1:13" s="11" customFormat="1" x14ac:dyDescent="0.2">
      <c r="A36" s="53" t="s">
        <v>55</v>
      </c>
      <c r="B36" s="48"/>
      <c r="C36" s="48"/>
      <c r="D36" s="55"/>
      <c r="E36" s="56"/>
      <c r="F36" s="57"/>
      <c r="G36" s="92" t="s">
        <v>53</v>
      </c>
      <c r="H36" s="92"/>
      <c r="I36" s="87"/>
      <c r="J36" s="43"/>
      <c r="K36" s="39"/>
      <c r="L36" s="20"/>
      <c r="M36" s="10"/>
    </row>
    <row r="37" spans="1:13" s="11" customFormat="1" ht="12.75" customHeight="1" x14ac:dyDescent="0.2">
      <c r="A37" s="53"/>
      <c r="B37" s="48"/>
      <c r="C37" s="48"/>
      <c r="D37" s="55"/>
      <c r="E37" s="56"/>
      <c r="F37" s="56"/>
      <c r="G37" s="87"/>
      <c r="H37" s="87"/>
      <c r="I37" s="87"/>
      <c r="J37" s="43"/>
      <c r="K37" s="39"/>
      <c r="L37" s="20"/>
      <c r="M37" s="10"/>
    </row>
    <row r="38" spans="1:13" s="11" customFormat="1" ht="20.25" customHeight="1" x14ac:dyDescent="0.2">
      <c r="A38" s="53" t="s">
        <v>22</v>
      </c>
      <c r="B38" s="53"/>
      <c r="C38" s="53"/>
      <c r="D38" s="48"/>
      <c r="E38" s="35"/>
      <c r="F38" s="58"/>
      <c r="G38" s="48" t="s">
        <v>23</v>
      </c>
      <c r="H38" s="43"/>
      <c r="I38" s="43"/>
      <c r="J38" s="39"/>
      <c r="K38" s="39"/>
      <c r="L38" s="10"/>
    </row>
    <row r="39" spans="1:13" s="11" customFormat="1" ht="14.25" customHeight="1" x14ac:dyDescent="0.2">
      <c r="A39" s="53"/>
      <c r="B39" s="48"/>
      <c r="C39" s="48"/>
      <c r="D39" s="35"/>
      <c r="E39" s="36"/>
      <c r="F39" s="53"/>
      <c r="G39" s="48"/>
      <c r="H39" s="87"/>
      <c r="I39" s="87"/>
      <c r="J39" s="43"/>
      <c r="K39" s="39"/>
      <c r="L39" s="20"/>
      <c r="M39" s="10"/>
    </row>
    <row r="40" spans="1:13" s="11" customFormat="1" x14ac:dyDescent="0.2">
      <c r="A40" s="53" t="s">
        <v>49</v>
      </c>
      <c r="B40" s="9"/>
      <c r="C40" s="9"/>
      <c r="D40" s="9"/>
      <c r="E40" s="59"/>
      <c r="F40" s="60"/>
      <c r="G40" s="93" t="s">
        <v>54</v>
      </c>
      <c r="H40" s="93"/>
      <c r="I40" s="88"/>
      <c r="J40" s="39"/>
      <c r="K40" s="39"/>
      <c r="L40" s="20"/>
      <c r="M40" s="10"/>
    </row>
    <row r="42" spans="1:13" x14ac:dyDescent="0.2">
      <c r="K42" s="62"/>
      <c r="L42"/>
      <c r="M42"/>
    </row>
    <row r="44" spans="1:13" ht="47.25" customHeight="1" x14ac:dyDescent="0.2">
      <c r="D44" s="64" t="s">
        <v>24</v>
      </c>
      <c r="E44" s="65" t="s">
        <v>25</v>
      </c>
      <c r="F44" s="12" t="s">
        <v>5</v>
      </c>
      <c r="G44" s="12" t="s">
        <v>6</v>
      </c>
      <c r="H44" s="13" t="s">
        <v>26</v>
      </c>
      <c r="I44" s="13"/>
      <c r="J44" s="13" t="s">
        <v>9</v>
      </c>
      <c r="K44" s="13" t="s">
        <v>10</v>
      </c>
      <c r="L44"/>
      <c r="M44"/>
    </row>
    <row r="45" spans="1:13" s="69" customFormat="1" ht="18" customHeight="1" x14ac:dyDescent="0.2">
      <c r="A45"/>
      <c r="B45"/>
      <c r="C45"/>
      <c r="D45" s="66">
        <v>1</v>
      </c>
      <c r="E45" s="67" t="s">
        <v>12</v>
      </c>
      <c r="F45" s="68" t="e">
        <f>#REF!+#REF!</f>
        <v>#REF!</v>
      </c>
      <c r="G45" s="68" t="e">
        <f>#REF!+#REF!</f>
        <v>#REF!</v>
      </c>
      <c r="H45" s="68" t="e">
        <f>#REF!+#REF!</f>
        <v>#REF!</v>
      </c>
      <c r="I45" s="68" t="e">
        <f>#REF!+#REF!</f>
        <v>#REF!</v>
      </c>
      <c r="J45" s="68" t="e">
        <f>#REF!+#REF!</f>
        <v>#REF!</v>
      </c>
      <c r="K45" s="68" t="e">
        <f>#REF!+#REF!</f>
        <v>#REF!</v>
      </c>
    </row>
    <row r="46" spans="1:13" s="69" customFormat="1" ht="18" customHeight="1" x14ac:dyDescent="0.2">
      <c r="A46"/>
      <c r="B46"/>
      <c r="C46"/>
      <c r="D46" s="66">
        <v>2</v>
      </c>
      <c r="E46" s="67" t="s">
        <v>27</v>
      </c>
      <c r="F46" s="68" t="e">
        <f>#REF!+#REF!+#REF!+#REF!+#REF!+#REF!+#REF!+#REF!+#REF!+#REF!+#REF!+#REF!+#REF!+#REF!+#REF!+#REF!+#REF!+#REF!+#REF!+#REF!+#REF!+#REF!+#REF!+#REF!+#REF!+#REF!+#REF!+#REF!+#REF!+#REF!+#REF!+#REF!+#REF!+#REF!+#REF!+#REF!+#REF!+#REF!</f>
        <v>#REF!</v>
      </c>
      <c r="G46" s="68" t="e">
        <f>#REF!+#REF!+#REF!+#REF!+#REF!+#REF!+#REF!+#REF!+#REF!+#REF!+#REF!+#REF!+#REF!+#REF!+#REF!+#REF!+#REF!+#REF!+#REF!+#REF!+#REF!+#REF!+#REF!+#REF!+#REF!+#REF!+#REF!+#REF!+#REF!+#REF!+#REF!+#REF!+#REF!+#REF!+#REF!+#REF!+#REF!+#REF!</f>
        <v>#REF!</v>
      </c>
      <c r="H46" s="68" t="e">
        <f>#REF!+#REF!+#REF!+#REF!+#REF!+#REF!+#REF!+#REF!+#REF!+#REF!+#REF!+#REF!+#REF!+#REF!+#REF!+#REF!+#REF!+#REF!+#REF!+#REF!+#REF!+#REF!+#REF!+#REF!+#REF!+#REF!+#REF!+#REF!+#REF!+#REF!+#REF!+#REF!+#REF!+#REF!+#REF!+#REF!+#REF!+#REF!</f>
        <v>#REF!</v>
      </c>
      <c r="I46" s="68" t="e">
        <f>#REF!+#REF!+#REF!+#REF!+#REF!+#REF!+#REF!+#REF!+#REF!+#REF!+#REF!+#REF!+#REF!+#REF!+#REF!+#REF!+#REF!+#REF!+#REF!+#REF!+#REF!+#REF!+#REF!+#REF!+#REF!+#REF!+#REF!+#REF!+#REF!+#REF!+#REF!+#REF!+#REF!+#REF!+#REF!+#REF!+#REF!+#REF!</f>
        <v>#REF!</v>
      </c>
      <c r="J46" s="68" t="e">
        <f>#REF!+#REF!+#REF!+#REF!+#REF!+#REF!+#REF!+#REF!+#REF!+#REF!+#REF!+#REF!+#REF!+#REF!+#REF!+#REF!+#REF!+#REF!+#REF!+#REF!+#REF!+#REF!+#REF!+#REF!+#REF!+#REF!+#REF!+#REF!+#REF!+#REF!+#REF!+#REF!+#REF!+#REF!+#REF!+#REF!+#REF!+#REF!</f>
        <v>#REF!</v>
      </c>
      <c r="K46" s="68" t="e">
        <f>#REF!+#REF!+#REF!+#REF!+#REF!+#REF!+#REF!+#REF!+#REF!+#REF!+#REF!+#REF!+#REF!+#REF!+#REF!+#REF!+#REF!+#REF!+#REF!+#REF!+#REF!+#REF!+#REF!+#REF!+#REF!+#REF!+#REF!+#REF!+#REF!+#REF!+#REF!+#REF!+#REF!+#REF!+#REF!+#REF!+#REF!+#REF!</f>
        <v>#REF!</v>
      </c>
    </row>
    <row r="47" spans="1:13" s="69" customFormat="1" ht="18" customHeight="1" x14ac:dyDescent="0.2">
      <c r="A47"/>
      <c r="B47"/>
      <c r="C47"/>
      <c r="D47" s="66">
        <v>3</v>
      </c>
      <c r="E47" s="67" t="s">
        <v>28</v>
      </c>
      <c r="F47" s="68"/>
      <c r="G47" s="68"/>
      <c r="H47" s="68"/>
      <c r="I47" s="68"/>
      <c r="J47" s="68"/>
      <c r="K47" s="68"/>
    </row>
    <row r="48" spans="1:13" s="69" customFormat="1" ht="18" customHeight="1" x14ac:dyDescent="0.2">
      <c r="A48"/>
      <c r="B48"/>
      <c r="C48"/>
      <c r="D48" s="66">
        <v>4</v>
      </c>
      <c r="E48" s="67" t="s">
        <v>50</v>
      </c>
      <c r="F48" s="68" t="e">
        <f>#REF!+#REF!+#REF!+#REF!+#REF!+#REF!+#REF!+#REF!+#REF!+#REF!+#REF!</f>
        <v>#REF!</v>
      </c>
      <c r="G48" s="68" t="e">
        <f>#REF!+#REF!+#REF!+#REF!+#REF!+#REF!+#REF!+#REF!+#REF!+#REF!+#REF!</f>
        <v>#REF!</v>
      </c>
      <c r="H48" s="68" t="e">
        <f>#REF!+#REF!+#REF!+#REF!+#REF!+#REF!+#REF!+#REF!+#REF!+#REF!+#REF!</f>
        <v>#REF!</v>
      </c>
      <c r="I48" s="68" t="e">
        <f>#REF!+#REF!+#REF!+#REF!+#REF!+#REF!+#REF!+#REF!+#REF!+#REF!+#REF!</f>
        <v>#REF!</v>
      </c>
      <c r="J48" s="68" t="e">
        <f>#REF!+#REF!+#REF!+#REF!+#REF!+#REF!+#REF!+#REF!+#REF!+#REF!+#REF!</f>
        <v>#REF!</v>
      </c>
      <c r="K48" s="68" t="e">
        <f>#REF!+#REF!+#REF!+#REF!+#REF!+#REF!+#REF!+#REF!+#REF!+#REF!+#REF!</f>
        <v>#REF!</v>
      </c>
    </row>
    <row r="49" spans="1:11" s="69" customFormat="1" ht="18" customHeight="1" x14ac:dyDescent="0.2">
      <c r="A49"/>
      <c r="B49"/>
      <c r="C49"/>
      <c r="D49" s="66">
        <v>5</v>
      </c>
      <c r="E49" s="67" t="s">
        <v>52</v>
      </c>
      <c r="F49" s="68" t="e">
        <f>#REF!+#REF!+#REF!</f>
        <v>#REF!</v>
      </c>
      <c r="G49" s="68" t="e">
        <f>#REF!+#REF!+#REF!</f>
        <v>#REF!</v>
      </c>
      <c r="H49" s="68" t="e">
        <f>#REF!+#REF!+#REF!</f>
        <v>#REF!</v>
      </c>
      <c r="I49" s="68" t="e">
        <f>#REF!+#REF!+#REF!</f>
        <v>#REF!</v>
      </c>
      <c r="J49" s="68" t="e">
        <f>#REF!+#REF!+#REF!</f>
        <v>#REF!</v>
      </c>
      <c r="K49" s="68" t="e">
        <f>#REF!+#REF!+#REF!</f>
        <v>#REF!</v>
      </c>
    </row>
    <row r="50" spans="1:11" s="69" customFormat="1" ht="18" customHeight="1" x14ac:dyDescent="0.2">
      <c r="A50"/>
      <c r="B50"/>
      <c r="C50"/>
      <c r="D50" s="66">
        <v>6</v>
      </c>
      <c r="E50" s="67" t="s">
        <v>51</v>
      </c>
      <c r="F50" s="68" t="e">
        <f>#REF!+#REF!+#REF!+#REF!+#REF!+#REF!+#REF!</f>
        <v>#REF!</v>
      </c>
      <c r="G50" s="68" t="e">
        <f>#REF!+#REF!+#REF!+#REF!+#REF!+#REF!+#REF!</f>
        <v>#REF!</v>
      </c>
      <c r="H50" s="68" t="e">
        <f>#REF!+#REF!+#REF!+#REF!+#REF!+#REF!+#REF!</f>
        <v>#REF!</v>
      </c>
      <c r="I50" s="68" t="e">
        <f>#REF!+#REF!+#REF!+#REF!+#REF!+#REF!+#REF!</f>
        <v>#REF!</v>
      </c>
      <c r="J50" s="68" t="e">
        <f>#REF!+#REF!+#REF!+#REF!+#REF!+#REF!+#REF!</f>
        <v>#REF!</v>
      </c>
      <c r="K50" s="68" t="e">
        <f>#REF!+#REF!+#REF!+#REF!+#REF!+#REF!+#REF!</f>
        <v>#REF!</v>
      </c>
    </row>
    <row r="51" spans="1:11" s="69" customFormat="1" ht="18" customHeight="1" x14ac:dyDescent="0.2">
      <c r="A51"/>
      <c r="B51"/>
      <c r="C51"/>
      <c r="D51" s="66">
        <v>7</v>
      </c>
      <c r="E51" s="67" t="s">
        <v>30</v>
      </c>
      <c r="F51" s="68" t="e">
        <f>#REF!+#REF!+#REF!+#REF!+#REF!+#REF!+F23+#REF!+#REF!+#REF!+#REF!+#REF!+#REF!+#REF!+#REF!+#REF!</f>
        <v>#REF!</v>
      </c>
      <c r="G51" s="68" t="e">
        <f>#REF!+#REF!+#REF!+#REF!+#REF!+#REF!+G23+#REF!+#REF!+#REF!+#REF!+#REF!+#REF!+#REF!+#REF!+#REF!</f>
        <v>#REF!</v>
      </c>
      <c r="H51" s="68" t="e">
        <f>#REF!+#REF!+#REF!+#REF!+#REF!+#REF!+H23+#REF!+#REF!+#REF!+#REF!+#REF!+#REF!+#REF!+#REF!+#REF!</f>
        <v>#REF!</v>
      </c>
      <c r="I51" s="68" t="e">
        <f>#REF!+#REF!+#REF!+#REF!+#REF!+#REF!+I23+#REF!+#REF!+#REF!+#REF!+#REF!+#REF!+#REF!+#REF!+#REF!</f>
        <v>#REF!</v>
      </c>
      <c r="J51" s="68" t="e">
        <f>#REF!+#REF!+#REF!+#REF!+#REF!+#REF!+J23+#REF!+#REF!+#REF!+#REF!+#REF!+#REF!+#REF!+#REF!+#REF!</f>
        <v>#REF!</v>
      </c>
      <c r="K51" s="68" t="e">
        <f>#REF!+#REF!+#REF!+#REF!+#REF!+#REF!+K23+#REF!+#REF!+#REF!+#REF!+#REF!+#REF!+#REF!+#REF!+#REF!</f>
        <v>#REF!</v>
      </c>
    </row>
    <row r="52" spans="1:11" s="69" customFormat="1" ht="18" customHeight="1" x14ac:dyDescent="0.2">
      <c r="A52"/>
      <c r="B52"/>
      <c r="C52"/>
      <c r="D52" s="66">
        <v>8</v>
      </c>
      <c r="E52" s="67" t="s">
        <v>31</v>
      </c>
      <c r="F52" s="68"/>
      <c r="G52" s="68"/>
      <c r="H52" s="68"/>
      <c r="I52" s="68"/>
      <c r="J52" s="68"/>
      <c r="K52" s="68"/>
    </row>
    <row r="53" spans="1:11" s="69" customFormat="1" ht="18" customHeight="1" x14ac:dyDescent="0.2">
      <c r="A53"/>
      <c r="B53"/>
      <c r="C53"/>
      <c r="D53" s="66">
        <v>9</v>
      </c>
      <c r="E53" s="67" t="s">
        <v>29</v>
      </c>
      <c r="F53" s="68" t="e">
        <f>#REF!+#REF!+#REF!+#REF!</f>
        <v>#REF!</v>
      </c>
      <c r="G53" s="68" t="e">
        <f>#REF!+#REF!+#REF!+#REF!</f>
        <v>#REF!</v>
      </c>
      <c r="H53" s="68" t="e">
        <f>#REF!+#REF!+#REF!+#REF!</f>
        <v>#REF!</v>
      </c>
      <c r="I53" s="68" t="e">
        <f>#REF!+#REF!+#REF!+#REF!</f>
        <v>#REF!</v>
      </c>
      <c r="J53" s="68" t="e">
        <f>#REF!+#REF!+#REF!+#REF!</f>
        <v>#REF!</v>
      </c>
      <c r="K53" s="68" t="e">
        <f>#REF!+#REF!+#REF!+#REF!</f>
        <v>#REF!</v>
      </c>
    </row>
    <row r="54" spans="1:11" s="69" customFormat="1" ht="18" customHeight="1" x14ac:dyDescent="0.2">
      <c r="A54"/>
      <c r="B54"/>
      <c r="C54"/>
      <c r="D54" s="66">
        <v>10</v>
      </c>
      <c r="E54" s="67" t="s">
        <v>32</v>
      </c>
      <c r="F54" s="68" t="e">
        <f>#REF!+#REF!+#REF!+#REF!+#REF!+#REF!+#REF!+#REF!+#REF!+#REF!</f>
        <v>#REF!</v>
      </c>
      <c r="G54" s="68" t="e">
        <f>#REF!+#REF!+#REF!+#REF!+#REF!+#REF!+#REF!+#REF!+#REF!+#REF!</f>
        <v>#REF!</v>
      </c>
      <c r="H54" s="68" t="e">
        <f>#REF!+#REF!+#REF!+#REF!+#REF!+#REF!+#REF!+#REF!+#REF!+#REF!</f>
        <v>#REF!</v>
      </c>
      <c r="I54" s="68" t="e">
        <f>#REF!+#REF!+#REF!+#REF!+#REF!+#REF!+#REF!+#REF!+#REF!+#REF!</f>
        <v>#REF!</v>
      </c>
      <c r="J54" s="68" t="e">
        <f>#REF!+#REF!+#REF!+#REF!+#REF!+#REF!+#REF!+#REF!+#REF!+#REF!</f>
        <v>#REF!</v>
      </c>
      <c r="K54" s="68" t="e">
        <f>#REF!+#REF!+#REF!+#REF!+#REF!+#REF!+#REF!+#REF!+#REF!+#REF!</f>
        <v>#REF!</v>
      </c>
    </row>
    <row r="55" spans="1:11" s="69" customFormat="1" ht="18" customHeight="1" x14ac:dyDescent="0.2">
      <c r="A55"/>
      <c r="B55"/>
      <c r="C55"/>
      <c r="D55" s="70"/>
      <c r="E55" s="71" t="s">
        <v>33</v>
      </c>
      <c r="F55" s="72" t="e">
        <f t="shared" ref="F55:K55" si="11">SUM(F45:F54)</f>
        <v>#REF!</v>
      </c>
      <c r="G55" s="72" t="e">
        <f t="shared" si="11"/>
        <v>#REF!</v>
      </c>
      <c r="H55" s="72" t="e">
        <f t="shared" si="11"/>
        <v>#REF!</v>
      </c>
      <c r="I55" s="72" t="e">
        <f t="shared" si="11"/>
        <v>#REF!</v>
      </c>
      <c r="J55" s="72" t="e">
        <f t="shared" si="11"/>
        <v>#REF!</v>
      </c>
      <c r="K55" s="72" t="e">
        <f t="shared" si="11"/>
        <v>#REF!</v>
      </c>
    </row>
    <row r="56" spans="1:11" s="69" customFormat="1" x14ac:dyDescent="0.2">
      <c r="A56"/>
      <c r="B56"/>
      <c r="C56"/>
      <c r="D56"/>
      <c r="E56" s="61"/>
      <c r="F56" s="62" t="e">
        <f>F24-F55</f>
        <v>#REF!</v>
      </c>
      <c r="G56" s="62" t="e">
        <f>G24-G55</f>
        <v>#REF!</v>
      </c>
      <c r="H56" s="62" t="e">
        <f>H24-H55</f>
        <v>#REF!</v>
      </c>
      <c r="I56" s="62"/>
      <c r="J56" s="62" t="e">
        <f>J24-J55</f>
        <v>#REF!</v>
      </c>
      <c r="K56" s="62" t="e">
        <f>K24-K55</f>
        <v>#REF!</v>
      </c>
    </row>
    <row r="59" spans="1:11" s="69" customFormat="1" x14ac:dyDescent="0.2">
      <c r="A59"/>
      <c r="B59"/>
      <c r="C59"/>
      <c r="D59"/>
      <c r="E59" s="73" t="s">
        <v>34</v>
      </c>
      <c r="F59" s="16" t="e">
        <f>#REF!+#REF!+#REF!+#REF!+#REF!+#REF!+#REF!+#REF!+#REF!+#REF!+#REF!+#REF!+#REF!+#REF!+#REF!+#REF!+#REF!+#REF!+#REF!+#REF!+#REF!+#REF!+#REF!+#REF!+#REF!+#REF!+#REF!</f>
        <v>#REF!</v>
      </c>
      <c r="G59" s="16" t="e">
        <f>#REF!+#REF!+#REF!+#REF!+#REF!+#REF!+#REF!+#REF!+#REF!+#REF!+#REF!+#REF!+#REF!+#REF!+#REF!+#REF!+#REF!+#REF!+#REF!+#REF!+#REF!+#REF!+#REF!+#REF!+#REF!+#REF!+#REF!</f>
        <v>#REF!</v>
      </c>
      <c r="H59" s="16" t="e">
        <f>#REF!+#REF!+#REF!+#REF!+#REF!+#REF!+#REF!+#REF!+#REF!+#REF!+#REF!+#REF!+#REF!+#REF!+#REF!+#REF!+#REF!+#REF!+#REF!+#REF!+#REF!+#REF!+#REF!+#REF!+#REF!+#REF!+#REF!</f>
        <v>#REF!</v>
      </c>
      <c r="I59" s="16" t="e">
        <f>#REF!+#REF!+#REF!+#REF!+#REF!+#REF!+#REF!+#REF!+#REF!+#REF!+#REF!+#REF!+#REF!+#REF!+#REF!+#REF!+#REF!+#REF!+#REF!+#REF!+#REF!+#REF!+#REF!+#REF!+#REF!+#REF!+#REF!</f>
        <v>#REF!</v>
      </c>
      <c r="J59" s="16" t="e">
        <f>#REF!+#REF!+#REF!+#REF!+#REF!+#REF!+#REF!+#REF!+#REF!+#REF!+#REF!+#REF!+#REF!+#REF!+#REF!+#REF!+#REF!+#REF!+#REF!+#REF!+#REF!+#REF!+#REF!+#REF!+#REF!+#REF!+#REF!</f>
        <v>#REF!</v>
      </c>
      <c r="K59" s="16" t="e">
        <f>#REF!+#REF!+#REF!+#REF!+#REF!+#REF!+#REF!+#REF!+#REF!+#REF!+#REF!+#REF!+#REF!+#REF!+#REF!+#REF!+#REF!+#REF!+#REF!+#REF!+#REF!+#REF!+#REF!+#REF!+#REF!+#REF!+#REF!</f>
        <v>#REF!</v>
      </c>
    </row>
    <row r="60" spans="1:11" s="69" customFormat="1" x14ac:dyDescent="0.2">
      <c r="A60"/>
      <c r="B60"/>
      <c r="C60"/>
      <c r="D60"/>
      <c r="E60" s="73"/>
      <c r="F60" s="16"/>
      <c r="G60" s="16"/>
      <c r="H60" s="16"/>
      <c r="I60" s="16"/>
      <c r="J60" s="16"/>
      <c r="K60" s="16"/>
    </row>
    <row r="61" spans="1:11" s="69" customFormat="1" x14ac:dyDescent="0.2">
      <c r="A61"/>
      <c r="B61"/>
      <c r="C61"/>
      <c r="D61"/>
      <c r="E61" s="73" t="s">
        <v>35</v>
      </c>
      <c r="F61" s="16"/>
      <c r="G61" s="16"/>
      <c r="H61" s="16"/>
      <c r="I61" s="16"/>
      <c r="J61" s="16"/>
      <c r="K61" s="16"/>
    </row>
    <row r="62" spans="1:11" s="69" customFormat="1" x14ac:dyDescent="0.2">
      <c r="A62"/>
      <c r="B62"/>
      <c r="C62"/>
      <c r="D62"/>
      <c r="E62" s="74" t="s">
        <v>36</v>
      </c>
      <c r="F62" s="16"/>
      <c r="G62" s="16"/>
      <c r="H62" s="16"/>
      <c r="I62" s="16"/>
      <c r="J62" s="16"/>
      <c r="K62" s="16"/>
    </row>
    <row r="63" spans="1:11" s="69" customFormat="1" x14ac:dyDescent="0.2">
      <c r="A63"/>
      <c r="B63"/>
      <c r="C63"/>
      <c r="D63"/>
      <c r="E63" s="74" t="s">
        <v>37</v>
      </c>
      <c r="F63" s="16" t="e">
        <f>#REF!</f>
        <v>#REF!</v>
      </c>
      <c r="G63" s="16" t="e">
        <f>#REF!</f>
        <v>#REF!</v>
      </c>
      <c r="H63" s="16" t="e">
        <f>#REF!</f>
        <v>#REF!</v>
      </c>
      <c r="I63" s="16" t="e">
        <f>#REF!</f>
        <v>#REF!</v>
      </c>
      <c r="J63" s="16" t="e">
        <f>#REF!</f>
        <v>#REF!</v>
      </c>
      <c r="K63" s="16" t="e">
        <f>#REF!</f>
        <v>#REF!</v>
      </c>
    </row>
    <row r="64" spans="1:11" s="69" customFormat="1" x14ac:dyDescent="0.2">
      <c r="A64"/>
      <c r="B64"/>
      <c r="C64"/>
      <c r="D64"/>
      <c r="E64" s="74" t="s">
        <v>38</v>
      </c>
      <c r="F64" s="16"/>
      <c r="G64" s="16"/>
      <c r="H64" s="16"/>
      <c r="I64" s="16"/>
      <c r="J64" s="16"/>
      <c r="K64" s="16"/>
    </row>
    <row r="65" spans="1:13" s="69" customFormat="1" x14ac:dyDescent="0.2">
      <c r="A65"/>
      <c r="B65"/>
      <c r="C65"/>
      <c r="D65"/>
      <c r="E65" s="74" t="s">
        <v>39</v>
      </c>
      <c r="F65" s="16"/>
      <c r="G65" s="16"/>
      <c r="H65" s="16"/>
      <c r="I65" s="16"/>
      <c r="J65" s="16"/>
      <c r="K65" s="16"/>
    </row>
    <row r="66" spans="1:13" s="69" customFormat="1" x14ac:dyDescent="0.2">
      <c r="A66"/>
      <c r="B66"/>
      <c r="C66"/>
      <c r="D66"/>
      <c r="E66" s="74" t="s">
        <v>40</v>
      </c>
      <c r="F66" s="16"/>
      <c r="G66" s="16"/>
      <c r="H66" s="16"/>
      <c r="I66" s="16"/>
      <c r="J66" s="16"/>
      <c r="K66" s="16"/>
    </row>
    <row r="67" spans="1:13" s="69" customFormat="1" x14ac:dyDescent="0.2">
      <c r="A67"/>
      <c r="B67"/>
      <c r="C67"/>
      <c r="D67"/>
      <c r="E67" s="74" t="s">
        <v>48</v>
      </c>
      <c r="F67" s="16"/>
      <c r="G67" s="16"/>
      <c r="H67" s="16"/>
      <c r="I67" s="16"/>
      <c r="J67" s="16"/>
      <c r="K67" s="16"/>
    </row>
    <row r="68" spans="1:13" s="69" customFormat="1" x14ac:dyDescent="0.2">
      <c r="A68"/>
      <c r="B68"/>
      <c r="C68"/>
      <c r="D68"/>
      <c r="E68" s="74" t="s">
        <v>57</v>
      </c>
      <c r="F68" s="16" t="e">
        <f>#REF!</f>
        <v>#REF!</v>
      </c>
      <c r="G68" s="16" t="e">
        <f>#REF!</f>
        <v>#REF!</v>
      </c>
      <c r="H68" s="16" t="e">
        <f>#REF!</f>
        <v>#REF!</v>
      </c>
      <c r="I68" s="16" t="e">
        <f>#REF!</f>
        <v>#REF!</v>
      </c>
      <c r="J68" s="16" t="e">
        <f>#REF!</f>
        <v>#REF!</v>
      </c>
      <c r="K68" s="16" t="e">
        <f>#REF!</f>
        <v>#REF!</v>
      </c>
    </row>
    <row r="69" spans="1:13" s="69" customFormat="1" x14ac:dyDescent="0.2">
      <c r="A69"/>
      <c r="B69"/>
      <c r="C69"/>
      <c r="D69"/>
      <c r="E69" s="74" t="s">
        <v>56</v>
      </c>
      <c r="F69" s="16" t="e">
        <f>#REF!+#REF!+#REF!+#REF!</f>
        <v>#REF!</v>
      </c>
      <c r="G69" s="16" t="e">
        <f>#REF!+#REF!+#REF!+#REF!</f>
        <v>#REF!</v>
      </c>
      <c r="H69" s="16" t="e">
        <f>#REF!+#REF!+#REF!+#REF!</f>
        <v>#REF!</v>
      </c>
      <c r="I69" s="16" t="e">
        <f>#REF!+#REF!+#REF!+#REF!</f>
        <v>#REF!</v>
      </c>
      <c r="J69" s="16" t="e">
        <f>#REF!+#REF!+#REF!+#REF!</f>
        <v>#REF!</v>
      </c>
      <c r="K69" s="16" t="e">
        <f>#REF!+#REF!+#REF!+#REF!</f>
        <v>#REF!</v>
      </c>
    </row>
    <row r="70" spans="1:13" s="69" customFormat="1" x14ac:dyDescent="0.2">
      <c r="A70"/>
      <c r="B70"/>
      <c r="C70"/>
      <c r="D70"/>
      <c r="E70" s="74" t="s">
        <v>41</v>
      </c>
      <c r="F70" s="16"/>
      <c r="G70" s="16"/>
      <c r="H70" s="16"/>
      <c r="I70" s="16"/>
      <c r="J70" s="16"/>
      <c r="K70" s="16"/>
    </row>
    <row r="71" spans="1:13" s="69" customFormat="1" x14ac:dyDescent="0.2">
      <c r="A71"/>
      <c r="B71"/>
      <c r="C71"/>
      <c r="D71"/>
      <c r="E71" s="74" t="s">
        <v>42</v>
      </c>
      <c r="F71" s="16" t="e">
        <f>#REF!</f>
        <v>#REF!</v>
      </c>
      <c r="G71" s="16" t="e">
        <f>#REF!</f>
        <v>#REF!</v>
      </c>
      <c r="H71" s="16" t="e">
        <f>#REF!</f>
        <v>#REF!</v>
      </c>
      <c r="I71" s="16" t="e">
        <f>#REF!</f>
        <v>#REF!</v>
      </c>
      <c r="J71" s="16" t="e">
        <f>#REF!</f>
        <v>#REF!</v>
      </c>
      <c r="K71" s="16" t="e">
        <f>#REF!</f>
        <v>#REF!</v>
      </c>
    </row>
    <row r="72" spans="1:13" s="69" customFormat="1" x14ac:dyDescent="0.2">
      <c r="A72"/>
      <c r="B72"/>
      <c r="C72"/>
      <c r="D72"/>
      <c r="E72" s="73" t="s">
        <v>43</v>
      </c>
      <c r="F72" s="16"/>
      <c r="G72" s="16"/>
      <c r="H72" s="16"/>
      <c r="I72" s="16"/>
      <c r="J72" s="16"/>
      <c r="K72" s="16"/>
    </row>
    <row r="73" spans="1:13" s="69" customFormat="1" x14ac:dyDescent="0.2">
      <c r="A73"/>
      <c r="B73"/>
      <c r="C73"/>
      <c r="D73"/>
      <c r="E73" s="73" t="s">
        <v>44</v>
      </c>
      <c r="F73" s="16" t="e">
        <f>#REF!+#REF!+#REF!</f>
        <v>#REF!</v>
      </c>
      <c r="G73" s="16" t="e">
        <f>#REF!+#REF!+#REF!</f>
        <v>#REF!</v>
      </c>
      <c r="H73" s="16" t="e">
        <f>#REF!+#REF!+#REF!</f>
        <v>#REF!</v>
      </c>
      <c r="I73" s="16" t="e">
        <f>#REF!+#REF!+#REF!</f>
        <v>#REF!</v>
      </c>
      <c r="J73" s="16" t="e">
        <f>#REF!+#REF!+#REF!</f>
        <v>#REF!</v>
      </c>
      <c r="K73" s="16" t="e">
        <f>#REF!+#REF!+#REF!</f>
        <v>#REF!</v>
      </c>
    </row>
    <row r="74" spans="1:13" s="69" customFormat="1" x14ac:dyDescent="0.2">
      <c r="A74"/>
      <c r="B74"/>
      <c r="C74"/>
      <c r="D74"/>
      <c r="E74" s="73" t="s">
        <v>45</v>
      </c>
      <c r="F74" s="16"/>
      <c r="G74" s="16"/>
      <c r="H74" s="16"/>
      <c r="I74" s="16"/>
      <c r="J74" s="16"/>
      <c r="K74" s="16"/>
    </row>
    <row r="75" spans="1:13" s="69" customFormat="1" x14ac:dyDescent="0.2">
      <c r="A75"/>
      <c r="B75"/>
      <c r="C75"/>
      <c r="D75"/>
      <c r="E75" s="73" t="s">
        <v>46</v>
      </c>
      <c r="F75" s="16" t="e">
        <f>#REF!+#REF!+#REF!</f>
        <v>#REF!</v>
      </c>
      <c r="G75" s="16" t="e">
        <f>#REF!+#REF!+#REF!</f>
        <v>#REF!</v>
      </c>
      <c r="H75" s="16" t="e">
        <f>#REF!+#REF!+#REF!</f>
        <v>#REF!</v>
      </c>
      <c r="I75" s="16" t="e">
        <f>#REF!+#REF!+#REF!</f>
        <v>#REF!</v>
      </c>
      <c r="J75" s="16" t="e">
        <f>#REF!+#REF!+#REF!</f>
        <v>#REF!</v>
      </c>
      <c r="K75" s="16" t="e">
        <f>#REF!+#REF!+#REF!</f>
        <v>#REF!</v>
      </c>
    </row>
    <row r="76" spans="1:13" s="69" customFormat="1" x14ac:dyDescent="0.2">
      <c r="A76"/>
      <c r="B76"/>
      <c r="C76"/>
      <c r="D76"/>
      <c r="E76" s="73" t="s">
        <v>47</v>
      </c>
      <c r="F76" s="16"/>
      <c r="G76" s="16"/>
      <c r="H76" s="16"/>
      <c r="I76" s="16"/>
      <c r="J76" s="16"/>
      <c r="K76" s="16"/>
    </row>
    <row r="77" spans="1:13" s="69" customFormat="1" x14ac:dyDescent="0.2">
      <c r="A77"/>
      <c r="B77"/>
      <c r="C77"/>
      <c r="D77"/>
      <c r="E77" s="61"/>
      <c r="F77" s="75" t="e">
        <f>SUM(F59:F76)</f>
        <v>#REF!</v>
      </c>
      <c r="G77" s="75" t="e">
        <f>SUM(G59:G76)</f>
        <v>#REF!</v>
      </c>
      <c r="H77" s="75" t="e">
        <f>SUM(H59:H76)</f>
        <v>#REF!</v>
      </c>
      <c r="I77" s="76"/>
      <c r="J77" s="76" t="e">
        <f>SUM(J59:J76)</f>
        <v>#REF!</v>
      </c>
      <c r="K77" s="76" t="e">
        <f>SUM(K59:K76)</f>
        <v>#REF!</v>
      </c>
    </row>
    <row r="80" spans="1:13" s="63" customFormat="1" x14ac:dyDescent="0.2">
      <c r="A80"/>
      <c r="B80"/>
      <c r="C80"/>
      <c r="D80"/>
      <c r="E80" s="61"/>
      <c r="F80" s="62" t="e">
        <f>F24-F77</f>
        <v>#REF!</v>
      </c>
      <c r="G80" s="62" t="e">
        <f>G24-G77</f>
        <v>#REF!</v>
      </c>
      <c r="H80" s="62" t="e">
        <f>H24-H77</f>
        <v>#REF!</v>
      </c>
      <c r="I80" s="62"/>
      <c r="J80" s="62" t="e">
        <f>J24-J77</f>
        <v>#REF!</v>
      </c>
      <c r="K80" s="62" t="e">
        <f>K24-K77</f>
        <v>#REF!</v>
      </c>
      <c r="L80" s="69"/>
      <c r="M80" s="69"/>
    </row>
    <row r="88" spans="5:5" x14ac:dyDescent="0.2">
      <c r="E88" s="61">
        <v>363148</v>
      </c>
    </row>
    <row r="89" spans="5:5" x14ac:dyDescent="0.2">
      <c r="E89" s="61">
        <v>11417</v>
      </c>
    </row>
    <row r="90" spans="5:5" x14ac:dyDescent="0.2">
      <c r="E90" s="61">
        <v>22172</v>
      </c>
    </row>
  </sheetData>
  <mergeCells count="5">
    <mergeCell ref="A1:K1"/>
    <mergeCell ref="A2:K2"/>
    <mergeCell ref="G32:H32"/>
    <mergeCell ref="G36:H36"/>
    <mergeCell ref="G40:H40"/>
  </mergeCells>
  <pageMargins left="0.23622047244094491" right="3.937007874015748E-2" top="0.55118110236220474" bottom="0.55118110236220474" header="0.31496062992125984" footer="0.31496062992125984"/>
  <pageSetup paperSize="9" scale="53" fitToHeight="0" orientation="portrait" r:id="rId1"/>
  <rowBreaks count="1" manualBreakCount="1">
    <brk id="43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2"/>
  <sheetViews>
    <sheetView tabSelected="1" view="pageBreakPreview" zoomScale="70" zoomScaleNormal="85" zoomScaleSheetLayoutView="70" workbookViewId="0">
      <selection activeCell="D6" sqref="D6"/>
    </sheetView>
  </sheetViews>
  <sheetFormatPr defaultRowHeight="12.75" x14ac:dyDescent="0.2"/>
  <cols>
    <col min="1" max="1" width="4.5703125" customWidth="1"/>
    <col min="2" max="3" width="7.5703125" customWidth="1"/>
    <col min="4" max="4" width="15.28515625" customWidth="1"/>
    <col min="5" max="5" width="48.85546875" style="61" customWidth="1"/>
    <col min="6" max="6" width="14.28515625" customWidth="1"/>
    <col min="7" max="7" width="15.28515625" customWidth="1"/>
    <col min="8" max="8" width="15.28515625" hidden="1" customWidth="1"/>
    <col min="9" max="9" width="15.28515625" customWidth="1"/>
    <col min="10" max="10" width="14" customWidth="1"/>
    <col min="11" max="11" width="18" customWidth="1"/>
    <col min="12" max="12" width="15.85546875" style="69" customWidth="1"/>
    <col min="13" max="13" width="7.140625" style="69" customWidth="1"/>
    <col min="14" max="14" width="14.42578125" customWidth="1"/>
    <col min="15" max="15" width="14" customWidth="1"/>
  </cols>
  <sheetData>
    <row r="1" spans="1:15" s="3" customFormat="1" x14ac:dyDescent="0.2">
      <c r="A1" s="90" t="s">
        <v>184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1"/>
      <c r="M1" s="2"/>
    </row>
    <row r="2" spans="1:15" s="6" customFormat="1" x14ac:dyDescent="0.2">
      <c r="A2" s="91" t="s">
        <v>68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4"/>
      <c r="M2" s="5"/>
      <c r="N2" s="6">
        <f>7.63*1.05*1.044*0.9897*1.046*1.2</f>
        <v>10.39036577778864</v>
      </c>
    </row>
    <row r="3" spans="1:15" s="11" customFormat="1" ht="2.25" customHeight="1" x14ac:dyDescent="0.25">
      <c r="A3" s="7"/>
      <c r="B3" s="7"/>
      <c r="C3" s="7"/>
      <c r="D3" s="7"/>
      <c r="E3" s="8"/>
      <c r="F3" s="7"/>
      <c r="G3" s="7"/>
      <c r="H3" s="7"/>
      <c r="I3" s="7"/>
      <c r="J3" s="7"/>
      <c r="K3" s="7"/>
      <c r="L3" s="9"/>
      <c r="M3" s="10"/>
    </row>
    <row r="4" spans="1:15" s="11" customFormat="1" ht="75.75" customHeight="1" x14ac:dyDescent="0.2">
      <c r="A4" s="12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6</v>
      </c>
      <c r="H4" s="13" t="s">
        <v>7</v>
      </c>
      <c r="I4" s="13" t="s">
        <v>8</v>
      </c>
      <c r="J4" s="13" t="s">
        <v>9</v>
      </c>
      <c r="K4" s="13" t="s">
        <v>10</v>
      </c>
      <c r="L4" s="13" t="s">
        <v>11</v>
      </c>
      <c r="M4" s="10"/>
    </row>
    <row r="5" spans="1:15" s="20" customFormat="1" ht="57.75" customHeight="1" x14ac:dyDescent="0.2">
      <c r="A5" s="14">
        <v>1</v>
      </c>
      <c r="B5" s="15">
        <v>3344</v>
      </c>
      <c r="C5" s="15"/>
      <c r="D5" s="79" t="s">
        <v>59</v>
      </c>
      <c r="E5" s="78" t="s">
        <v>60</v>
      </c>
      <c r="F5" s="16">
        <v>38618</v>
      </c>
      <c r="G5" s="17">
        <f t="shared" ref="G5:G35" si="0">ROUND(F5*1.046,0)</f>
        <v>40394</v>
      </c>
      <c r="H5" s="17">
        <v>700525</v>
      </c>
      <c r="I5" s="17">
        <f t="shared" ref="I5:I35" si="1">ROUND(H5*0.9897,2)</f>
        <v>693309.59</v>
      </c>
      <c r="J5" s="18">
        <f>ROUND(I5*0.2,2)</f>
        <v>138661.92000000001</v>
      </c>
      <c r="K5" s="18">
        <f t="shared" ref="K5:K35" si="2">I5+J5</f>
        <v>831971.51</v>
      </c>
      <c r="L5" s="19" t="s">
        <v>61</v>
      </c>
      <c r="M5" s="21"/>
      <c r="N5" s="17"/>
      <c r="O5" s="17"/>
    </row>
    <row r="6" spans="1:15" s="20" customFormat="1" ht="44.25" customHeight="1" x14ac:dyDescent="0.2">
      <c r="A6" s="14">
        <v>2</v>
      </c>
      <c r="B6" s="15">
        <v>3345</v>
      </c>
      <c r="C6" s="15"/>
      <c r="D6" s="77" t="s">
        <v>63</v>
      </c>
      <c r="E6" s="78" t="s">
        <v>62</v>
      </c>
      <c r="F6" s="16">
        <v>20887</v>
      </c>
      <c r="G6" s="17">
        <f t="shared" si="0"/>
        <v>21848</v>
      </c>
      <c r="H6" s="17">
        <v>194657</v>
      </c>
      <c r="I6" s="17">
        <f t="shared" si="1"/>
        <v>192652.03</v>
      </c>
      <c r="J6" s="18">
        <f>ROUND(I6*0.2,2)</f>
        <v>38530.410000000003</v>
      </c>
      <c r="K6" s="18">
        <f t="shared" si="2"/>
        <v>231182.44</v>
      </c>
      <c r="L6" s="19" t="s">
        <v>61</v>
      </c>
      <c r="M6" s="21"/>
      <c r="N6" s="17"/>
      <c r="O6" s="17"/>
    </row>
    <row r="7" spans="1:15" s="20" customFormat="1" ht="44.25" customHeight="1" x14ac:dyDescent="0.2">
      <c r="A7" s="14">
        <v>3</v>
      </c>
      <c r="B7" s="15">
        <v>3346</v>
      </c>
      <c r="C7" s="15"/>
      <c r="D7" s="77" t="s">
        <v>65</v>
      </c>
      <c r="E7" s="78" t="s">
        <v>64</v>
      </c>
      <c r="F7" s="16">
        <v>97528</v>
      </c>
      <c r="G7" s="17">
        <f t="shared" si="0"/>
        <v>102014</v>
      </c>
      <c r="H7" s="17">
        <v>2130967</v>
      </c>
      <c r="I7" s="17">
        <f t="shared" si="1"/>
        <v>2109018.04</v>
      </c>
      <c r="J7" s="18">
        <f>ROUND(I7*0.2,2)-0.01</f>
        <v>421803.6</v>
      </c>
      <c r="K7" s="18">
        <f t="shared" si="2"/>
        <v>2530821.64</v>
      </c>
      <c r="L7" s="19" t="s">
        <v>61</v>
      </c>
      <c r="M7" s="21"/>
      <c r="N7" s="17"/>
      <c r="O7" s="17"/>
    </row>
    <row r="8" spans="1:15" s="20" customFormat="1" ht="61.5" customHeight="1" x14ac:dyDescent="0.2">
      <c r="A8" s="14">
        <v>4</v>
      </c>
      <c r="B8" s="15">
        <v>3347</v>
      </c>
      <c r="C8" s="15">
        <v>3403</v>
      </c>
      <c r="D8" s="79" t="s">
        <v>153</v>
      </c>
      <c r="E8" s="78" t="s">
        <v>152</v>
      </c>
      <c r="F8" s="16">
        <v>484</v>
      </c>
      <c r="G8" s="17">
        <f t="shared" si="0"/>
        <v>506</v>
      </c>
      <c r="H8" s="16">
        <v>12234</v>
      </c>
      <c r="I8" s="17">
        <f t="shared" ref="I8" si="3">ROUND(H8*0.9897,2)</f>
        <v>12107.99</v>
      </c>
      <c r="J8" s="18">
        <f t="shared" ref="J8:J17" si="4">ROUND(I8*0.2,2)</f>
        <v>2421.6</v>
      </c>
      <c r="K8" s="18">
        <f t="shared" si="2"/>
        <v>14529.59</v>
      </c>
      <c r="L8" s="19" t="s">
        <v>112</v>
      </c>
      <c r="M8" s="21"/>
      <c r="N8" s="17"/>
      <c r="O8" s="17"/>
    </row>
    <row r="9" spans="1:15" s="20" customFormat="1" ht="72" customHeight="1" x14ac:dyDescent="0.2">
      <c r="A9" s="14">
        <v>5</v>
      </c>
      <c r="B9" s="15">
        <v>3348</v>
      </c>
      <c r="C9" s="15"/>
      <c r="D9" s="79" t="s">
        <v>70</v>
      </c>
      <c r="E9" s="78" t="s">
        <v>69</v>
      </c>
      <c r="F9" s="16">
        <v>347286</v>
      </c>
      <c r="G9" s="17">
        <f t="shared" si="0"/>
        <v>363261</v>
      </c>
      <c r="H9" s="16">
        <v>4054556</v>
      </c>
      <c r="I9" s="17">
        <f t="shared" si="1"/>
        <v>4012794.07</v>
      </c>
      <c r="J9" s="18">
        <f t="shared" si="4"/>
        <v>802558.81</v>
      </c>
      <c r="K9" s="18">
        <f t="shared" si="2"/>
        <v>4815352.88</v>
      </c>
      <c r="L9" s="19" t="s">
        <v>61</v>
      </c>
      <c r="M9" s="21"/>
      <c r="N9" s="17"/>
      <c r="O9" s="17"/>
    </row>
    <row r="10" spans="1:15" s="20" customFormat="1" ht="49.5" customHeight="1" x14ac:dyDescent="0.2">
      <c r="A10" s="14">
        <v>6</v>
      </c>
      <c r="B10" s="15">
        <v>3349</v>
      </c>
      <c r="C10" s="15"/>
      <c r="D10" s="77" t="s">
        <v>72</v>
      </c>
      <c r="E10" s="78" t="s">
        <v>71</v>
      </c>
      <c r="F10" s="16">
        <v>30886</v>
      </c>
      <c r="G10" s="17">
        <f t="shared" si="0"/>
        <v>32307</v>
      </c>
      <c r="H10" s="17">
        <v>505033</v>
      </c>
      <c r="I10" s="17">
        <f t="shared" si="1"/>
        <v>499831.16</v>
      </c>
      <c r="J10" s="18">
        <f t="shared" si="4"/>
        <v>99966.23</v>
      </c>
      <c r="K10" s="18">
        <f t="shared" si="2"/>
        <v>599797.39</v>
      </c>
      <c r="L10" s="19" t="s">
        <v>61</v>
      </c>
      <c r="M10" s="21"/>
      <c r="N10" s="17"/>
      <c r="O10" s="17"/>
    </row>
    <row r="11" spans="1:15" s="20" customFormat="1" ht="57.75" customHeight="1" x14ac:dyDescent="0.2">
      <c r="A11" s="14">
        <v>7</v>
      </c>
      <c r="B11" s="15">
        <v>3350</v>
      </c>
      <c r="C11" s="15"/>
      <c r="D11" s="77" t="s">
        <v>74</v>
      </c>
      <c r="E11" s="78" t="s">
        <v>73</v>
      </c>
      <c r="F11" s="16">
        <v>262157</v>
      </c>
      <c r="G11" s="17">
        <f t="shared" si="0"/>
        <v>274216</v>
      </c>
      <c r="H11" s="17">
        <v>3393627</v>
      </c>
      <c r="I11" s="17">
        <f t="shared" si="1"/>
        <v>3358672.64</v>
      </c>
      <c r="J11" s="18">
        <f t="shared" si="4"/>
        <v>671734.53</v>
      </c>
      <c r="K11" s="18">
        <f t="shared" si="2"/>
        <v>4030407.17</v>
      </c>
      <c r="L11" s="19" t="s">
        <v>61</v>
      </c>
      <c r="M11" s="21"/>
      <c r="N11" s="17"/>
      <c r="O11" s="17"/>
    </row>
    <row r="12" spans="1:15" s="20" customFormat="1" ht="44.25" customHeight="1" x14ac:dyDescent="0.2">
      <c r="A12" s="14">
        <v>8</v>
      </c>
      <c r="B12" s="15">
        <v>3351</v>
      </c>
      <c r="C12" s="15"/>
      <c r="D12" s="77" t="s">
        <v>77</v>
      </c>
      <c r="E12" s="78" t="s">
        <v>76</v>
      </c>
      <c r="F12" s="16">
        <v>228534</v>
      </c>
      <c r="G12" s="17">
        <f t="shared" si="0"/>
        <v>239047</v>
      </c>
      <c r="H12" s="17">
        <v>2630334</v>
      </c>
      <c r="I12" s="17">
        <f t="shared" si="1"/>
        <v>2603241.56</v>
      </c>
      <c r="J12" s="18">
        <f t="shared" si="4"/>
        <v>520648.31</v>
      </c>
      <c r="K12" s="18">
        <f t="shared" si="2"/>
        <v>3123889.87</v>
      </c>
      <c r="L12" s="19" t="s">
        <v>75</v>
      </c>
      <c r="M12" s="21"/>
      <c r="N12" s="17"/>
      <c r="O12" s="17"/>
    </row>
    <row r="13" spans="1:15" s="20" customFormat="1" ht="46.5" customHeight="1" x14ac:dyDescent="0.2">
      <c r="A13" s="14">
        <v>9</v>
      </c>
      <c r="B13" s="15">
        <v>3352</v>
      </c>
      <c r="C13" s="15"/>
      <c r="D13" s="79" t="s">
        <v>164</v>
      </c>
      <c r="E13" s="78" t="s">
        <v>163</v>
      </c>
      <c r="F13" s="16">
        <v>86963</v>
      </c>
      <c r="G13" s="17">
        <f>ROUND(F13*1.046,0)</f>
        <v>90963</v>
      </c>
      <c r="H13" s="16">
        <v>946201</v>
      </c>
      <c r="I13" s="17">
        <f>ROUND(H13*0.9897,2)</f>
        <v>936455.13</v>
      </c>
      <c r="J13" s="18">
        <f>ROUND(I13*0.2,2)</f>
        <v>187291.03</v>
      </c>
      <c r="K13" s="18">
        <f>I13+J13</f>
        <v>1123746.1599999999</v>
      </c>
      <c r="L13" s="19" t="s">
        <v>112</v>
      </c>
      <c r="M13" s="21"/>
      <c r="N13" s="17" t="e">
        <f>#REF!*$N$2</f>
        <v>#REF!</v>
      </c>
      <c r="O13" s="17" t="e">
        <f>#REF!-N13</f>
        <v>#REF!</v>
      </c>
    </row>
    <row r="14" spans="1:15" s="20" customFormat="1" ht="60.75" customHeight="1" x14ac:dyDescent="0.2">
      <c r="A14" s="14">
        <v>10</v>
      </c>
      <c r="B14" s="15">
        <v>3353</v>
      </c>
      <c r="C14" s="15">
        <v>3397</v>
      </c>
      <c r="D14" s="77" t="s">
        <v>167</v>
      </c>
      <c r="E14" s="78" t="s">
        <v>168</v>
      </c>
      <c r="F14" s="16">
        <v>-42969</v>
      </c>
      <c r="G14" s="17">
        <f t="shared" ref="G14" si="5">ROUND(F14*1.046,0)</f>
        <v>-44946</v>
      </c>
      <c r="H14" s="16">
        <v>-271472</v>
      </c>
      <c r="I14" s="17">
        <f t="shared" ref="I14" si="6">ROUND(H14*0.9897,2)</f>
        <v>-268675.84000000003</v>
      </c>
      <c r="J14" s="18">
        <f t="shared" ref="J14" si="7">ROUND(I14*0.2,2)</f>
        <v>-53735.17</v>
      </c>
      <c r="K14" s="18">
        <f t="shared" ref="K14" si="8">I14+J14</f>
        <v>-322411.01</v>
      </c>
      <c r="L14" s="19" t="s">
        <v>29</v>
      </c>
      <c r="M14" s="21"/>
      <c r="N14" s="17">
        <f t="shared" ref="N14:N18" si="9">F14*$N$2</f>
        <v>-446463.62710580009</v>
      </c>
      <c r="O14" s="17">
        <f t="shared" ref="O14:O18" si="10">K14-N14</f>
        <v>124052.61710580008</v>
      </c>
    </row>
    <row r="15" spans="1:15" s="20" customFormat="1" ht="71.25" customHeight="1" x14ac:dyDescent="0.2">
      <c r="A15" s="14">
        <v>11</v>
      </c>
      <c r="B15" s="15">
        <v>3354</v>
      </c>
      <c r="C15" s="15"/>
      <c r="D15" s="79" t="s">
        <v>84</v>
      </c>
      <c r="E15" s="78" t="s">
        <v>83</v>
      </c>
      <c r="F15" s="16">
        <v>40571</v>
      </c>
      <c r="G15" s="17">
        <f t="shared" si="0"/>
        <v>42437</v>
      </c>
      <c r="H15" s="17">
        <v>338922</v>
      </c>
      <c r="I15" s="17">
        <f t="shared" si="1"/>
        <v>335431.09999999998</v>
      </c>
      <c r="J15" s="18">
        <f t="shared" si="4"/>
        <v>67086.22</v>
      </c>
      <c r="K15" s="18">
        <f t="shared" si="2"/>
        <v>402517.31999999995</v>
      </c>
      <c r="L15" s="19" t="s">
        <v>80</v>
      </c>
      <c r="M15" s="21"/>
      <c r="N15" s="17">
        <f t="shared" si="9"/>
        <v>421547.5299706629</v>
      </c>
      <c r="O15" s="17">
        <f t="shared" si="10"/>
        <v>-19030.209970662952</v>
      </c>
    </row>
    <row r="16" spans="1:15" s="20" customFormat="1" ht="57" customHeight="1" x14ac:dyDescent="0.2">
      <c r="A16" s="14">
        <v>12</v>
      </c>
      <c r="B16" s="15">
        <v>3355</v>
      </c>
      <c r="C16" s="15"/>
      <c r="D16" s="79" t="s">
        <v>86</v>
      </c>
      <c r="E16" s="78" t="s">
        <v>85</v>
      </c>
      <c r="F16" s="16">
        <v>1819</v>
      </c>
      <c r="G16" s="17">
        <f t="shared" si="0"/>
        <v>1903</v>
      </c>
      <c r="H16" s="17">
        <v>25917</v>
      </c>
      <c r="I16" s="17">
        <f t="shared" si="1"/>
        <v>25650.05</v>
      </c>
      <c r="J16" s="18">
        <f t="shared" si="4"/>
        <v>5130.01</v>
      </c>
      <c r="K16" s="18">
        <f t="shared" si="2"/>
        <v>30780.059999999998</v>
      </c>
      <c r="L16" s="19" t="s">
        <v>80</v>
      </c>
      <c r="M16" s="21"/>
      <c r="N16" s="17">
        <f t="shared" si="9"/>
        <v>18900.075349797535</v>
      </c>
      <c r="O16" s="17">
        <f t="shared" si="10"/>
        <v>11879.984650202463</v>
      </c>
    </row>
    <row r="17" spans="1:15" s="20" customFormat="1" ht="48.75" customHeight="1" x14ac:dyDescent="0.2">
      <c r="A17" s="14">
        <v>13</v>
      </c>
      <c r="B17" s="15">
        <v>3356</v>
      </c>
      <c r="C17" s="15"/>
      <c r="D17" s="79" t="s">
        <v>88</v>
      </c>
      <c r="E17" s="78" t="s">
        <v>87</v>
      </c>
      <c r="F17" s="16">
        <v>5302</v>
      </c>
      <c r="G17" s="17">
        <f t="shared" si="0"/>
        <v>5546</v>
      </c>
      <c r="H17" s="17">
        <v>53096</v>
      </c>
      <c r="I17" s="17">
        <f t="shared" si="1"/>
        <v>52549.11</v>
      </c>
      <c r="J17" s="18">
        <f t="shared" si="4"/>
        <v>10509.82</v>
      </c>
      <c r="K17" s="18">
        <f t="shared" si="2"/>
        <v>63058.93</v>
      </c>
      <c r="L17" s="19" t="s">
        <v>80</v>
      </c>
      <c r="M17" s="21"/>
      <c r="N17" s="17">
        <f t="shared" si="9"/>
        <v>55089.719353835368</v>
      </c>
      <c r="O17" s="17">
        <f t="shared" si="10"/>
        <v>7969.2106461646326</v>
      </c>
    </row>
    <row r="18" spans="1:15" s="20" customFormat="1" ht="48.75" customHeight="1" x14ac:dyDescent="0.2">
      <c r="A18" s="14">
        <v>14</v>
      </c>
      <c r="B18" s="15">
        <v>3357</v>
      </c>
      <c r="C18" s="15"/>
      <c r="D18" s="79" t="s">
        <v>90</v>
      </c>
      <c r="E18" s="78" t="s">
        <v>89</v>
      </c>
      <c r="F18" s="16">
        <v>2770</v>
      </c>
      <c r="G18" s="17">
        <f t="shared" si="0"/>
        <v>2897</v>
      </c>
      <c r="H18" s="17">
        <v>32602</v>
      </c>
      <c r="I18" s="17">
        <f t="shared" si="1"/>
        <v>32266.2</v>
      </c>
      <c r="J18" s="18">
        <f>ROUND(I18*0.2,2)</f>
        <v>6453.24</v>
      </c>
      <c r="K18" s="18">
        <f t="shared" si="2"/>
        <v>38719.440000000002</v>
      </c>
      <c r="L18" s="19" t="s">
        <v>80</v>
      </c>
      <c r="M18" s="21"/>
      <c r="N18" s="17">
        <f t="shared" si="9"/>
        <v>28781.313204474533</v>
      </c>
      <c r="O18" s="17">
        <f t="shared" si="10"/>
        <v>9938.1267955254698</v>
      </c>
    </row>
    <row r="19" spans="1:15" s="20" customFormat="1" ht="67.5" customHeight="1" x14ac:dyDescent="0.2">
      <c r="A19" s="14">
        <v>15</v>
      </c>
      <c r="B19" s="15">
        <v>3358</v>
      </c>
      <c r="C19" s="15"/>
      <c r="D19" s="77" t="s">
        <v>166</v>
      </c>
      <c r="E19" s="78" t="s">
        <v>165</v>
      </c>
      <c r="F19" s="16">
        <v>389666</v>
      </c>
      <c r="G19" s="17">
        <f t="shared" si="0"/>
        <v>407591</v>
      </c>
      <c r="H19" s="17">
        <v>7168135</v>
      </c>
      <c r="I19" s="17">
        <f t="shared" si="1"/>
        <v>7094303.21</v>
      </c>
      <c r="J19" s="18">
        <f t="shared" ref="J19:J35" si="11">ROUND(I19*0.2,2)</f>
        <v>1418860.64</v>
      </c>
      <c r="K19" s="18">
        <f t="shared" si="2"/>
        <v>8513163.8499999996</v>
      </c>
      <c r="L19" s="19" t="s">
        <v>80</v>
      </c>
      <c r="M19" s="21"/>
      <c r="N19" s="17"/>
      <c r="O19" s="17"/>
    </row>
    <row r="20" spans="1:15" s="20" customFormat="1" ht="67.5" customHeight="1" x14ac:dyDescent="0.2">
      <c r="A20" s="14">
        <v>16</v>
      </c>
      <c r="B20" s="15">
        <v>3359</v>
      </c>
      <c r="C20" s="15">
        <v>3393</v>
      </c>
      <c r="D20" s="79" t="s">
        <v>160</v>
      </c>
      <c r="E20" s="78" t="s">
        <v>159</v>
      </c>
      <c r="F20" s="16">
        <v>1351</v>
      </c>
      <c r="G20" s="17">
        <f t="shared" ref="G20" si="12">ROUND(F20*1.046,0)</f>
        <v>1413</v>
      </c>
      <c r="H20" s="16">
        <v>17593</v>
      </c>
      <c r="I20" s="17">
        <f t="shared" ref="I20" si="13">ROUND(H20*0.9897,2)</f>
        <v>17411.79</v>
      </c>
      <c r="J20" s="18">
        <f t="shared" ref="J20" si="14">ROUND(I20*0.2,2)</f>
        <v>3482.36</v>
      </c>
      <c r="K20" s="18">
        <f t="shared" ref="K20" si="15">I20+J20</f>
        <v>20894.150000000001</v>
      </c>
      <c r="L20" s="19" t="s">
        <v>156</v>
      </c>
      <c r="M20" s="21"/>
      <c r="N20" s="17"/>
      <c r="O20" s="17"/>
    </row>
    <row r="21" spans="1:15" s="20" customFormat="1" ht="63.75" customHeight="1" x14ac:dyDescent="0.2">
      <c r="A21" s="14">
        <v>17</v>
      </c>
      <c r="B21" s="15">
        <v>3360</v>
      </c>
      <c r="C21" s="15"/>
      <c r="D21" s="79" t="s">
        <v>94</v>
      </c>
      <c r="E21" s="78" t="s">
        <v>93</v>
      </c>
      <c r="F21" s="16">
        <v>16539</v>
      </c>
      <c r="G21" s="17">
        <f t="shared" si="0"/>
        <v>17300</v>
      </c>
      <c r="H21" s="17">
        <v>76525</v>
      </c>
      <c r="I21" s="17">
        <f t="shared" si="1"/>
        <v>75736.789999999994</v>
      </c>
      <c r="J21" s="18">
        <f t="shared" si="11"/>
        <v>15147.36</v>
      </c>
      <c r="K21" s="18">
        <f t="shared" si="2"/>
        <v>90884.15</v>
      </c>
      <c r="L21" s="19" t="s">
        <v>80</v>
      </c>
      <c r="M21" s="21"/>
      <c r="N21" s="17"/>
      <c r="O21" s="17"/>
    </row>
    <row r="22" spans="1:15" s="20" customFormat="1" ht="45" customHeight="1" x14ac:dyDescent="0.2">
      <c r="A22" s="14">
        <v>18</v>
      </c>
      <c r="B22" s="15">
        <v>3361</v>
      </c>
      <c r="C22" s="15"/>
      <c r="D22" s="79" t="s">
        <v>96</v>
      </c>
      <c r="E22" s="78" t="s">
        <v>95</v>
      </c>
      <c r="F22" s="16">
        <v>10867</v>
      </c>
      <c r="G22" s="17">
        <f t="shared" si="0"/>
        <v>11367</v>
      </c>
      <c r="H22" s="17">
        <v>107041</v>
      </c>
      <c r="I22" s="17">
        <f t="shared" si="1"/>
        <v>105938.48</v>
      </c>
      <c r="J22" s="18">
        <f t="shared" si="11"/>
        <v>21187.7</v>
      </c>
      <c r="K22" s="18">
        <f t="shared" si="2"/>
        <v>127126.18</v>
      </c>
      <c r="L22" s="19" t="s">
        <v>80</v>
      </c>
      <c r="M22" s="21"/>
      <c r="N22" s="17"/>
      <c r="O22" s="17"/>
    </row>
    <row r="23" spans="1:15" s="20" customFormat="1" ht="53.25" customHeight="1" x14ac:dyDescent="0.2">
      <c r="A23" s="14">
        <v>19</v>
      </c>
      <c r="B23" s="15">
        <v>3362</v>
      </c>
      <c r="C23" s="15"/>
      <c r="D23" s="79" t="s">
        <v>97</v>
      </c>
      <c r="E23" s="78" t="s">
        <v>98</v>
      </c>
      <c r="F23" s="16">
        <v>12471</v>
      </c>
      <c r="G23" s="17">
        <f t="shared" si="0"/>
        <v>13045</v>
      </c>
      <c r="H23" s="16">
        <v>89067</v>
      </c>
      <c r="I23" s="17">
        <f t="shared" si="1"/>
        <v>88149.61</v>
      </c>
      <c r="J23" s="18">
        <f t="shared" si="11"/>
        <v>17629.919999999998</v>
      </c>
      <c r="K23" s="18">
        <f t="shared" si="2"/>
        <v>105779.53</v>
      </c>
      <c r="L23" s="19" t="s">
        <v>80</v>
      </c>
      <c r="M23" s="21"/>
      <c r="N23" s="17"/>
      <c r="O23" s="17"/>
    </row>
    <row r="24" spans="1:15" s="20" customFormat="1" ht="65.25" customHeight="1" x14ac:dyDescent="0.2">
      <c r="A24" s="14">
        <v>20</v>
      </c>
      <c r="B24" s="15">
        <v>3363</v>
      </c>
      <c r="C24" s="15">
        <v>3390</v>
      </c>
      <c r="D24" s="79" t="s">
        <v>153</v>
      </c>
      <c r="E24" s="78" t="s">
        <v>152</v>
      </c>
      <c r="F24" s="16">
        <v>12020</v>
      </c>
      <c r="G24" s="17">
        <f t="shared" ref="G24:G25" si="16">ROUND(F24*1.046,0)</f>
        <v>12573</v>
      </c>
      <c r="H24" s="16">
        <v>151670</v>
      </c>
      <c r="I24" s="17">
        <f t="shared" ref="I24:I25" si="17">ROUND(H24*0.9897,2)</f>
        <v>150107.79999999999</v>
      </c>
      <c r="J24" s="18">
        <f t="shared" ref="J24:J25" si="18">ROUND(I24*0.2,2)</f>
        <v>30021.56</v>
      </c>
      <c r="K24" s="18">
        <f t="shared" ref="K24:K25" si="19">I24+J24</f>
        <v>180129.36</v>
      </c>
      <c r="L24" s="19" t="s">
        <v>112</v>
      </c>
      <c r="M24" s="21"/>
      <c r="N24" s="17"/>
      <c r="O24" s="17"/>
    </row>
    <row r="25" spans="1:15" s="20" customFormat="1" ht="53.25" customHeight="1" x14ac:dyDescent="0.2">
      <c r="A25" s="14">
        <v>21</v>
      </c>
      <c r="B25" s="15">
        <v>3364</v>
      </c>
      <c r="C25" s="15">
        <v>3391</v>
      </c>
      <c r="D25" s="79" t="s">
        <v>155</v>
      </c>
      <c r="E25" s="78" t="s">
        <v>154</v>
      </c>
      <c r="F25" s="16">
        <v>78</v>
      </c>
      <c r="G25" s="17">
        <f t="shared" si="16"/>
        <v>82</v>
      </c>
      <c r="H25" s="16">
        <v>1515</v>
      </c>
      <c r="I25" s="17">
        <f t="shared" si="17"/>
        <v>1499.4</v>
      </c>
      <c r="J25" s="18">
        <f t="shared" si="18"/>
        <v>299.88</v>
      </c>
      <c r="K25" s="18">
        <f t="shared" si="19"/>
        <v>1799.2800000000002</v>
      </c>
      <c r="L25" s="19" t="s">
        <v>156</v>
      </c>
      <c r="M25" s="21"/>
      <c r="N25" s="17"/>
      <c r="O25" s="17"/>
    </row>
    <row r="26" spans="1:15" s="20" customFormat="1" ht="53.25" customHeight="1" x14ac:dyDescent="0.2">
      <c r="A26" s="14">
        <v>22</v>
      </c>
      <c r="B26" s="15">
        <v>3365</v>
      </c>
      <c r="C26" s="15"/>
      <c r="D26" s="79" t="s">
        <v>105</v>
      </c>
      <c r="E26" s="78" t="s">
        <v>104</v>
      </c>
      <c r="F26" s="16">
        <v>97405</v>
      </c>
      <c r="G26" s="17">
        <f t="shared" si="0"/>
        <v>101886</v>
      </c>
      <c r="H26" s="16">
        <v>1896057</v>
      </c>
      <c r="I26" s="17">
        <f t="shared" si="1"/>
        <v>1876527.61</v>
      </c>
      <c r="J26" s="18">
        <f t="shared" si="11"/>
        <v>375305.52</v>
      </c>
      <c r="K26" s="18">
        <f t="shared" si="2"/>
        <v>2251833.13</v>
      </c>
      <c r="L26" s="19" t="s">
        <v>103</v>
      </c>
      <c r="M26" s="21"/>
      <c r="N26" s="17"/>
      <c r="O26" s="17"/>
    </row>
    <row r="27" spans="1:15" s="20" customFormat="1" ht="70.5" customHeight="1" x14ac:dyDescent="0.2">
      <c r="A27" s="14">
        <v>23</v>
      </c>
      <c r="B27" s="15">
        <v>3366</v>
      </c>
      <c r="C27" s="15"/>
      <c r="D27" s="79" t="s">
        <v>70</v>
      </c>
      <c r="E27" s="78" t="s">
        <v>69</v>
      </c>
      <c r="F27" s="16">
        <v>6513</v>
      </c>
      <c r="G27" s="17">
        <f t="shared" si="0"/>
        <v>6813</v>
      </c>
      <c r="H27" s="16">
        <v>144350</v>
      </c>
      <c r="I27" s="17">
        <f t="shared" si="1"/>
        <v>142863.20000000001</v>
      </c>
      <c r="J27" s="18">
        <f t="shared" si="11"/>
        <v>28572.639999999999</v>
      </c>
      <c r="K27" s="18">
        <f t="shared" si="2"/>
        <v>171435.84000000003</v>
      </c>
      <c r="L27" s="19" t="s">
        <v>103</v>
      </c>
      <c r="M27" s="21"/>
      <c r="N27" s="17"/>
      <c r="O27" s="17"/>
    </row>
    <row r="28" spans="1:15" s="20" customFormat="1" ht="53.25" customHeight="1" x14ac:dyDescent="0.2">
      <c r="A28" s="14">
        <v>24</v>
      </c>
      <c r="B28" s="15">
        <v>3367</v>
      </c>
      <c r="C28" s="15">
        <v>3388</v>
      </c>
      <c r="D28" s="79" t="s">
        <v>181</v>
      </c>
      <c r="E28" s="78" t="s">
        <v>182</v>
      </c>
      <c r="F28" s="16">
        <v>-54614</v>
      </c>
      <c r="G28" s="17">
        <f t="shared" ref="G28" si="20">ROUND(F28*1.046,0)</f>
        <v>-57126</v>
      </c>
      <c r="H28" s="16">
        <v>-585909</v>
      </c>
      <c r="I28" s="17">
        <f t="shared" ref="I28" si="21">ROUND(H28*0.9897,2)</f>
        <v>-579874.14</v>
      </c>
      <c r="J28" s="18">
        <f t="shared" ref="J28" si="22">ROUND(I28*0.2,2)</f>
        <v>-115974.83</v>
      </c>
      <c r="K28" s="18">
        <f t="shared" ref="K28" si="23">I28+J28</f>
        <v>-695848.97</v>
      </c>
      <c r="L28" s="19" t="s">
        <v>115</v>
      </c>
      <c r="M28" s="21"/>
      <c r="N28" s="17"/>
      <c r="O28" s="17"/>
    </row>
    <row r="29" spans="1:15" s="20" customFormat="1" ht="54.75" customHeight="1" x14ac:dyDescent="0.2">
      <c r="A29" s="14">
        <v>25</v>
      </c>
      <c r="B29" s="15">
        <v>3368</v>
      </c>
      <c r="C29" s="15"/>
      <c r="D29" s="79" t="s">
        <v>86</v>
      </c>
      <c r="E29" s="78" t="s">
        <v>85</v>
      </c>
      <c r="F29" s="16">
        <v>182234</v>
      </c>
      <c r="G29" s="17">
        <f t="shared" si="0"/>
        <v>190617</v>
      </c>
      <c r="H29" s="16">
        <v>2783927</v>
      </c>
      <c r="I29" s="17">
        <f t="shared" si="1"/>
        <v>2755252.55</v>
      </c>
      <c r="J29" s="18">
        <f t="shared" si="11"/>
        <v>551050.51</v>
      </c>
      <c r="K29" s="18">
        <f t="shared" si="2"/>
        <v>3306303.0599999996</v>
      </c>
      <c r="L29" s="19" t="s">
        <v>103</v>
      </c>
      <c r="M29" s="21"/>
      <c r="N29" s="17"/>
      <c r="O29" s="17"/>
    </row>
    <row r="30" spans="1:15" s="20" customFormat="1" ht="61.5" customHeight="1" x14ac:dyDescent="0.2">
      <c r="A30" s="14">
        <v>26</v>
      </c>
      <c r="B30" s="15">
        <v>3369</v>
      </c>
      <c r="C30" s="15"/>
      <c r="D30" s="79" t="s">
        <v>109</v>
      </c>
      <c r="E30" s="78" t="s">
        <v>108</v>
      </c>
      <c r="F30" s="16">
        <v>-2182</v>
      </c>
      <c r="G30" s="17">
        <f t="shared" si="0"/>
        <v>-2282</v>
      </c>
      <c r="H30" s="16">
        <v>-19091</v>
      </c>
      <c r="I30" s="17">
        <f t="shared" si="1"/>
        <v>-18894.36</v>
      </c>
      <c r="J30" s="18">
        <f t="shared" si="11"/>
        <v>-3778.87</v>
      </c>
      <c r="K30" s="18">
        <f t="shared" si="2"/>
        <v>-22673.23</v>
      </c>
      <c r="L30" s="19" t="s">
        <v>75</v>
      </c>
      <c r="M30" s="21"/>
      <c r="N30" s="17"/>
      <c r="O30" s="17"/>
    </row>
    <row r="31" spans="1:15" s="20" customFormat="1" ht="61.5" customHeight="1" x14ac:dyDescent="0.2">
      <c r="A31" s="14">
        <v>27</v>
      </c>
      <c r="B31" s="15">
        <v>3370</v>
      </c>
      <c r="C31" s="15">
        <v>3385</v>
      </c>
      <c r="D31" s="79" t="s">
        <v>94</v>
      </c>
      <c r="E31" s="78" t="s">
        <v>93</v>
      </c>
      <c r="F31" s="16">
        <v>28979</v>
      </c>
      <c r="G31" s="17">
        <f t="shared" ref="G31" si="24">ROUND(F31*1.046,0)</f>
        <v>30312</v>
      </c>
      <c r="H31" s="16">
        <v>59537</v>
      </c>
      <c r="I31" s="17">
        <f t="shared" ref="I31" si="25">ROUND(H31*0.9897,2)</f>
        <v>58923.77</v>
      </c>
      <c r="J31" s="18">
        <f t="shared" ref="J31" si="26">ROUND(I31*0.2,2)</f>
        <v>11784.75</v>
      </c>
      <c r="K31" s="18">
        <f t="shared" ref="K31" si="27">I31+J31</f>
        <v>70708.51999999999</v>
      </c>
      <c r="L31" s="19" t="s">
        <v>80</v>
      </c>
      <c r="M31" s="21"/>
      <c r="N31" s="17"/>
      <c r="O31" s="17"/>
    </row>
    <row r="32" spans="1:15" s="20" customFormat="1" ht="53.25" customHeight="1" x14ac:dyDescent="0.2">
      <c r="A32" s="14">
        <v>28</v>
      </c>
      <c r="B32" s="15">
        <v>3371</v>
      </c>
      <c r="C32" s="15"/>
      <c r="D32" s="79" t="s">
        <v>114</v>
      </c>
      <c r="E32" s="78" t="s">
        <v>113</v>
      </c>
      <c r="F32" s="16">
        <v>38873</v>
      </c>
      <c r="G32" s="17">
        <f t="shared" si="0"/>
        <v>40661</v>
      </c>
      <c r="H32" s="16">
        <v>585580</v>
      </c>
      <c r="I32" s="17">
        <f t="shared" si="1"/>
        <v>579548.53</v>
      </c>
      <c r="J32" s="18">
        <f t="shared" si="11"/>
        <v>115909.71</v>
      </c>
      <c r="K32" s="18">
        <f t="shared" si="2"/>
        <v>695458.24</v>
      </c>
      <c r="L32" s="19" t="s">
        <v>112</v>
      </c>
      <c r="M32" s="21"/>
      <c r="N32" s="17"/>
      <c r="O32" s="17"/>
    </row>
    <row r="33" spans="1:15" s="20" customFormat="1" ht="53.25" customHeight="1" x14ac:dyDescent="0.2">
      <c r="A33" s="14">
        <v>29</v>
      </c>
      <c r="B33" s="15">
        <v>3372</v>
      </c>
      <c r="C33" s="15">
        <v>3387</v>
      </c>
      <c r="D33" s="79" t="s">
        <v>180</v>
      </c>
      <c r="E33" s="78" t="s">
        <v>179</v>
      </c>
      <c r="F33" s="16">
        <v>66993</v>
      </c>
      <c r="G33" s="17">
        <f t="shared" ref="G33" si="28">ROUND(F33*1.046,0)</f>
        <v>70075</v>
      </c>
      <c r="H33" s="16">
        <v>732258</v>
      </c>
      <c r="I33" s="17">
        <f t="shared" ref="I33" si="29">ROUND(H33*0.9897,2)</f>
        <v>724715.74</v>
      </c>
      <c r="J33" s="18">
        <f t="shared" ref="J33" si="30">ROUND(I33*0.2,2)</f>
        <v>144943.15</v>
      </c>
      <c r="K33" s="18">
        <f t="shared" ref="K33" si="31">I33+J33</f>
        <v>869658.89</v>
      </c>
      <c r="L33" s="19" t="s">
        <v>115</v>
      </c>
      <c r="M33" s="21"/>
      <c r="N33" s="17"/>
      <c r="O33" s="17"/>
    </row>
    <row r="34" spans="1:15" s="20" customFormat="1" ht="68.25" customHeight="1" x14ac:dyDescent="0.2">
      <c r="A34" s="14">
        <v>30</v>
      </c>
      <c r="B34" s="15">
        <v>3373</v>
      </c>
      <c r="C34" s="15"/>
      <c r="D34" s="79" t="s">
        <v>119</v>
      </c>
      <c r="E34" s="78" t="s">
        <v>118</v>
      </c>
      <c r="F34" s="16">
        <v>79254</v>
      </c>
      <c r="G34" s="17">
        <f t="shared" si="0"/>
        <v>82900</v>
      </c>
      <c r="H34" s="16">
        <v>747664</v>
      </c>
      <c r="I34" s="17">
        <f t="shared" si="1"/>
        <v>739963.06</v>
      </c>
      <c r="J34" s="18">
        <f t="shared" si="11"/>
        <v>147992.60999999999</v>
      </c>
      <c r="K34" s="18">
        <f t="shared" si="2"/>
        <v>887955.67</v>
      </c>
      <c r="L34" s="19" t="s">
        <v>115</v>
      </c>
      <c r="M34" s="21"/>
      <c r="N34" s="17"/>
      <c r="O34" s="17"/>
    </row>
    <row r="35" spans="1:15" s="20" customFormat="1" ht="72" customHeight="1" x14ac:dyDescent="0.2">
      <c r="A35" s="14">
        <v>31</v>
      </c>
      <c r="B35" s="15">
        <v>3374</v>
      </c>
      <c r="C35" s="15">
        <v>3381</v>
      </c>
      <c r="D35" s="79" t="s">
        <v>135</v>
      </c>
      <c r="E35" s="78" t="s">
        <v>134</v>
      </c>
      <c r="F35" s="16">
        <v>773311</v>
      </c>
      <c r="G35" s="17">
        <f t="shared" si="0"/>
        <v>808883</v>
      </c>
      <c r="H35" s="16">
        <v>6514603</v>
      </c>
      <c r="I35" s="17">
        <f t="shared" si="1"/>
        <v>6447502.5899999999</v>
      </c>
      <c r="J35" s="18">
        <f t="shared" si="11"/>
        <v>1289500.52</v>
      </c>
      <c r="K35" s="18">
        <f t="shared" si="2"/>
        <v>7737003.1099999994</v>
      </c>
      <c r="L35" s="19" t="s">
        <v>115</v>
      </c>
      <c r="M35" s="21"/>
      <c r="N35" s="17"/>
      <c r="O35" s="17"/>
    </row>
    <row r="36" spans="1:15" s="27" customFormat="1" ht="15.75" customHeight="1" x14ac:dyDescent="0.2">
      <c r="A36" s="22"/>
      <c r="B36" s="23"/>
      <c r="C36" s="23"/>
      <c r="D36" s="23"/>
      <c r="E36" s="24" t="s">
        <v>13</v>
      </c>
      <c r="F36" s="25">
        <f t="shared" ref="F36:K36" si="32">SUM(F5:F35)</f>
        <v>2780594</v>
      </c>
      <c r="G36" s="25">
        <f t="shared" si="32"/>
        <v>2908503</v>
      </c>
      <c r="H36" s="25">
        <f t="shared" si="32"/>
        <v>35217721</v>
      </c>
      <c r="I36" s="25">
        <f t="shared" si="32"/>
        <v>34854978.459999993</v>
      </c>
      <c r="J36" s="25">
        <f t="shared" si="32"/>
        <v>6970995.6899999995</v>
      </c>
      <c r="K36" s="25">
        <f t="shared" si="32"/>
        <v>41825974.149999991</v>
      </c>
      <c r="L36" s="25"/>
      <c r="M36" s="26"/>
      <c r="N36" s="25" t="e">
        <f>SUM(N13:N18)</f>
        <v>#REF!</v>
      </c>
      <c r="O36" s="25" t="e">
        <f>SUM(O13:O18)</f>
        <v>#REF!</v>
      </c>
    </row>
    <row r="37" spans="1:15" s="27" customFormat="1" ht="21.75" customHeight="1" x14ac:dyDescent="0.2">
      <c r="A37" s="22"/>
      <c r="B37" s="22"/>
      <c r="C37" s="22"/>
      <c r="D37" s="23"/>
      <c r="E37" s="24" t="s">
        <v>14</v>
      </c>
      <c r="F37" s="25"/>
      <c r="G37" s="25"/>
      <c r="H37" s="25"/>
      <c r="I37" s="25"/>
      <c r="J37" s="25"/>
      <c r="K37" s="25"/>
      <c r="L37" s="25"/>
      <c r="M37" s="26"/>
    </row>
    <row r="38" spans="1:15" s="27" customFormat="1" ht="33" customHeight="1" x14ac:dyDescent="0.2">
      <c r="A38" s="14"/>
      <c r="B38" s="15"/>
      <c r="C38" s="15"/>
      <c r="D38" s="79"/>
      <c r="E38" s="78" t="s">
        <v>15</v>
      </c>
      <c r="F38" s="16">
        <v>168148</v>
      </c>
      <c r="G38" s="16">
        <f>F38</f>
        <v>168148</v>
      </c>
      <c r="H38" s="17">
        <v>1864759.71</v>
      </c>
      <c r="I38" s="17">
        <v>1864759.71</v>
      </c>
      <c r="J38" s="18">
        <f>ROUND(I38*0.2,2)</f>
        <v>372951.94</v>
      </c>
      <c r="K38" s="18">
        <f t="shared" ref="K38:K39" si="33">I38+J38</f>
        <v>2237711.65</v>
      </c>
      <c r="L38" s="28"/>
      <c r="M38" s="26"/>
    </row>
    <row r="39" spans="1:15" s="27" customFormat="1" ht="28.5" hidden="1" customHeight="1" x14ac:dyDescent="0.2">
      <c r="A39" s="14"/>
      <c r="B39" s="15"/>
      <c r="C39" s="15"/>
      <c r="D39" s="79"/>
      <c r="E39" s="78" t="s">
        <v>16</v>
      </c>
      <c r="F39" s="16"/>
      <c r="G39" s="16">
        <f>F39</f>
        <v>0</v>
      </c>
      <c r="H39" s="17"/>
      <c r="I39" s="17"/>
      <c r="J39" s="18">
        <f t="shared" ref="J39" si="34">ROUND(I39*0.2,2)</f>
        <v>0</v>
      </c>
      <c r="K39" s="18">
        <f t="shared" si="33"/>
        <v>0</v>
      </c>
      <c r="L39" s="28"/>
      <c r="M39" s="26" t="e">
        <f>H39/G39</f>
        <v>#DIV/0!</v>
      </c>
    </row>
    <row r="40" spans="1:15" s="27" customFormat="1" ht="21.75" customHeight="1" x14ac:dyDescent="0.2">
      <c r="A40" s="22"/>
      <c r="B40" s="22"/>
      <c r="C40" s="22"/>
      <c r="D40" s="23"/>
      <c r="E40" s="24" t="s">
        <v>13</v>
      </c>
      <c r="F40" s="25">
        <f t="shared" ref="F40:K40" si="35">F38+F39</f>
        <v>168148</v>
      </c>
      <c r="G40" s="25">
        <f t="shared" si="35"/>
        <v>168148</v>
      </c>
      <c r="H40" s="25">
        <f t="shared" si="35"/>
        <v>1864759.71</v>
      </c>
      <c r="I40" s="25">
        <f t="shared" si="35"/>
        <v>1864759.71</v>
      </c>
      <c r="J40" s="25">
        <f t="shared" si="35"/>
        <v>372951.94</v>
      </c>
      <c r="K40" s="25">
        <f t="shared" si="35"/>
        <v>2237711.65</v>
      </c>
      <c r="L40" s="25"/>
      <c r="M40" s="26"/>
    </row>
    <row r="41" spans="1:15" s="27" customFormat="1" ht="21.75" customHeight="1" x14ac:dyDescent="0.2">
      <c r="A41" s="22"/>
      <c r="B41" s="22"/>
      <c r="C41" s="22"/>
      <c r="D41" s="23"/>
      <c r="E41" s="24" t="s">
        <v>17</v>
      </c>
      <c r="F41" s="25">
        <f t="shared" ref="F41:K41" si="36">F36+F40</f>
        <v>2948742</v>
      </c>
      <c r="G41" s="25">
        <f t="shared" si="36"/>
        <v>3076651</v>
      </c>
      <c r="H41" s="25">
        <f t="shared" si="36"/>
        <v>37082480.710000001</v>
      </c>
      <c r="I41" s="25">
        <f t="shared" si="36"/>
        <v>36719738.169999994</v>
      </c>
      <c r="J41" s="25">
        <f t="shared" si="36"/>
        <v>7343947.6299999999</v>
      </c>
      <c r="K41" s="25">
        <f t="shared" si="36"/>
        <v>44063685.79999999</v>
      </c>
      <c r="L41" s="25"/>
      <c r="M41" s="26"/>
    </row>
    <row r="42" spans="1:15" s="27" customFormat="1" ht="17.25" customHeight="1" x14ac:dyDescent="0.2">
      <c r="A42" s="29"/>
      <c r="B42" s="29"/>
      <c r="C42" s="29"/>
      <c r="D42" s="30"/>
      <c r="E42" s="31"/>
      <c r="F42" s="32"/>
      <c r="G42" s="32"/>
      <c r="H42" s="32"/>
      <c r="I42" s="32"/>
      <c r="J42" s="32"/>
      <c r="K42" s="32"/>
      <c r="L42" s="9"/>
      <c r="M42" s="26"/>
    </row>
    <row r="43" spans="1:15" s="27" customFormat="1" ht="13.5" customHeight="1" x14ac:dyDescent="0.2">
      <c r="A43" s="33" t="s">
        <v>18</v>
      </c>
      <c r="B43" s="34"/>
      <c r="C43" s="34"/>
      <c r="D43" s="35"/>
      <c r="E43" s="36"/>
      <c r="F43" s="37"/>
      <c r="G43" s="9"/>
      <c r="H43" s="9"/>
      <c r="I43" s="9"/>
      <c r="J43" s="38"/>
      <c r="K43" s="39"/>
      <c r="L43" s="40"/>
      <c r="M43" s="26"/>
    </row>
    <row r="44" spans="1:15" s="46" customFormat="1" ht="15" customHeight="1" x14ac:dyDescent="0.2">
      <c r="A44" s="41" t="s">
        <v>19</v>
      </c>
      <c r="B44" s="41"/>
      <c r="C44" s="41"/>
      <c r="D44" s="41"/>
      <c r="E44" s="37"/>
      <c r="F44" s="42"/>
      <c r="G44" s="92" t="s">
        <v>20</v>
      </c>
      <c r="H44" s="92"/>
      <c r="I44" s="82"/>
      <c r="J44" s="43"/>
      <c r="K44" s="44"/>
      <c r="L44" s="45"/>
      <c r="M44" s="26"/>
    </row>
    <row r="45" spans="1:15" s="27" customFormat="1" ht="3.75" customHeight="1" x14ac:dyDescent="0.2">
      <c r="A45" s="47"/>
      <c r="B45" s="48"/>
      <c r="C45" s="48"/>
      <c r="D45" s="35"/>
      <c r="E45" s="36"/>
      <c r="F45" s="49"/>
      <c r="G45" s="50"/>
      <c r="H45" s="82"/>
      <c r="I45" s="82"/>
      <c r="J45" s="51"/>
      <c r="K45" s="51"/>
      <c r="L45" s="40"/>
      <c r="M45" s="26"/>
    </row>
    <row r="46" spans="1:15" s="27" customFormat="1" ht="4.5" customHeight="1" x14ac:dyDescent="0.2">
      <c r="A46" s="52"/>
      <c r="B46" s="48"/>
      <c r="C46" s="48"/>
      <c r="D46" s="35"/>
      <c r="E46" s="36"/>
      <c r="F46" s="49"/>
      <c r="G46" s="50"/>
      <c r="H46" s="82"/>
      <c r="I46" s="82"/>
      <c r="J46" s="51"/>
      <c r="K46" s="51"/>
      <c r="L46" s="40"/>
      <c r="M46" s="26"/>
    </row>
    <row r="47" spans="1:15" s="27" customFormat="1" ht="12.75" customHeight="1" x14ac:dyDescent="0.2">
      <c r="A47" s="53" t="s">
        <v>21</v>
      </c>
      <c r="B47" s="48"/>
      <c r="C47" s="48"/>
      <c r="D47" s="35"/>
      <c r="E47" s="36"/>
      <c r="F47" s="37"/>
      <c r="G47" s="54"/>
      <c r="H47" s="82"/>
      <c r="I47" s="82"/>
      <c r="J47" s="43"/>
      <c r="K47" s="39"/>
      <c r="L47" s="40"/>
      <c r="M47" s="26"/>
    </row>
    <row r="48" spans="1:15" s="11" customFormat="1" x14ac:dyDescent="0.2">
      <c r="A48" s="53" t="s">
        <v>55</v>
      </c>
      <c r="B48" s="48"/>
      <c r="C48" s="48"/>
      <c r="D48" s="55"/>
      <c r="E48" s="56"/>
      <c r="F48" s="57"/>
      <c r="G48" s="92" t="s">
        <v>53</v>
      </c>
      <c r="H48" s="92"/>
      <c r="I48" s="82"/>
      <c r="J48" s="43"/>
      <c r="K48" s="39"/>
      <c r="L48" s="20"/>
      <c r="M48" s="10"/>
    </row>
    <row r="49" spans="1:13" s="11" customFormat="1" ht="12.75" customHeight="1" x14ac:dyDescent="0.2">
      <c r="A49" s="53"/>
      <c r="B49" s="48"/>
      <c r="C49" s="48"/>
      <c r="D49" s="55"/>
      <c r="E49" s="56"/>
      <c r="F49" s="56"/>
      <c r="G49" s="82"/>
      <c r="H49" s="82"/>
      <c r="I49" s="82"/>
      <c r="J49" s="43"/>
      <c r="K49" s="39"/>
      <c r="L49" s="20"/>
      <c r="M49" s="10"/>
    </row>
    <row r="50" spans="1:13" s="11" customFormat="1" ht="20.25" customHeight="1" x14ac:dyDescent="0.2">
      <c r="A50" s="53" t="s">
        <v>22</v>
      </c>
      <c r="B50" s="53"/>
      <c r="C50" s="53"/>
      <c r="D50" s="48"/>
      <c r="E50" s="35"/>
      <c r="F50" s="58"/>
      <c r="G50" s="48" t="s">
        <v>23</v>
      </c>
      <c r="H50" s="43"/>
      <c r="I50" s="43"/>
      <c r="J50" s="39"/>
      <c r="K50" s="39"/>
      <c r="L50" s="10"/>
    </row>
    <row r="51" spans="1:13" s="11" customFormat="1" ht="14.25" customHeight="1" x14ac:dyDescent="0.2">
      <c r="A51" s="53"/>
      <c r="B51" s="48"/>
      <c r="C51" s="48"/>
      <c r="D51" s="35"/>
      <c r="E51" s="36"/>
      <c r="F51" s="53"/>
      <c r="G51" s="48"/>
      <c r="H51" s="82"/>
      <c r="I51" s="82"/>
      <c r="J51" s="43"/>
      <c r="K51" s="39"/>
      <c r="L51" s="20"/>
      <c r="M51" s="10"/>
    </row>
    <row r="52" spans="1:13" s="11" customFormat="1" x14ac:dyDescent="0.2">
      <c r="A52" s="53" t="s">
        <v>49</v>
      </c>
      <c r="B52" s="9"/>
      <c r="C52" s="9"/>
      <c r="D52" s="9"/>
      <c r="E52" s="59"/>
      <c r="F52" s="60"/>
      <c r="G52" s="93" t="s">
        <v>54</v>
      </c>
      <c r="H52" s="93"/>
      <c r="I52" s="83"/>
      <c r="J52" s="39"/>
      <c r="K52" s="39"/>
      <c r="L52" s="20"/>
      <c r="M52" s="10"/>
    </row>
    <row r="54" spans="1:13" x14ac:dyDescent="0.2">
      <c r="K54" s="62"/>
      <c r="L54"/>
      <c r="M54"/>
    </row>
    <row r="56" spans="1:13" ht="47.25" customHeight="1" x14ac:dyDescent="0.2">
      <c r="D56" s="64" t="s">
        <v>24</v>
      </c>
      <c r="E56" s="65" t="s">
        <v>25</v>
      </c>
      <c r="F56" s="12" t="s">
        <v>5</v>
      </c>
      <c r="G56" s="12" t="s">
        <v>6</v>
      </c>
      <c r="H56" s="13" t="s">
        <v>26</v>
      </c>
      <c r="I56" s="13"/>
      <c r="J56" s="13" t="s">
        <v>9</v>
      </c>
      <c r="K56" s="13" t="s">
        <v>10</v>
      </c>
      <c r="L56"/>
      <c r="M56"/>
    </row>
    <row r="57" spans="1:13" s="69" customFormat="1" ht="18" customHeight="1" x14ac:dyDescent="0.2">
      <c r="A57"/>
      <c r="B57"/>
      <c r="C57"/>
      <c r="D57" s="66">
        <v>1</v>
      </c>
      <c r="E57" s="67" t="s">
        <v>12</v>
      </c>
      <c r="F57" s="68"/>
      <c r="G57" s="68"/>
      <c r="H57" s="68"/>
      <c r="I57" s="68"/>
      <c r="J57" s="68"/>
      <c r="K57" s="68"/>
    </row>
    <row r="58" spans="1:13" s="69" customFormat="1" ht="18" customHeight="1" x14ac:dyDescent="0.2">
      <c r="A58"/>
      <c r="B58"/>
      <c r="C58"/>
      <c r="D58" s="66">
        <v>2</v>
      </c>
      <c r="E58" s="67" t="s">
        <v>27</v>
      </c>
      <c r="F58" s="68">
        <f>F32+F25+F24+F20+F13+F8</f>
        <v>139769</v>
      </c>
      <c r="G58" s="68">
        <f>G32+G25+G24+G20+G13+G8</f>
        <v>146198</v>
      </c>
      <c r="H58" s="68" t="e">
        <f>#REF!+#REF!+#REF!+#REF!+#REF!+#REF!+#REF!+#REF!+#REF!+#REF!+#REF!+#REF!+#REF!+#REF!+#REF!+#REF!+#REF!+#REF!+#REF!+#REF!+#REF!+#REF!+#REF!+#REF!+#REF!+#REF!+#REF!+#REF!+#REF!+#REF!+#REF!+H21+H20+H15+H9+H8+H7+H6</f>
        <v>#REF!</v>
      </c>
      <c r="I58" s="68">
        <f>I32+I25+I24+I20+I13+I8</f>
        <v>1697130.64</v>
      </c>
      <c r="J58" s="68">
        <f>J32+J25+J24+J20+J13+J8</f>
        <v>339426.14</v>
      </c>
      <c r="K58" s="68">
        <f>K32+K25+K24+K20+K13+K8</f>
        <v>2036556.78</v>
      </c>
    </row>
    <row r="59" spans="1:13" s="69" customFormat="1" ht="18" customHeight="1" x14ac:dyDescent="0.2">
      <c r="A59"/>
      <c r="B59"/>
      <c r="C59"/>
      <c r="D59" s="66">
        <v>3</v>
      </c>
      <c r="E59" s="67" t="s">
        <v>28</v>
      </c>
      <c r="F59" s="68"/>
      <c r="G59" s="68"/>
      <c r="H59" s="68"/>
      <c r="I59" s="68"/>
      <c r="J59" s="68"/>
      <c r="K59" s="68"/>
    </row>
    <row r="60" spans="1:13" s="69" customFormat="1" ht="18" customHeight="1" x14ac:dyDescent="0.2">
      <c r="A60"/>
      <c r="B60"/>
      <c r="C60"/>
      <c r="D60" s="66">
        <v>4</v>
      </c>
      <c r="E60" s="67" t="s">
        <v>50</v>
      </c>
      <c r="F60" s="68">
        <f>F35+F34+F33+F28</f>
        <v>864944</v>
      </c>
      <c r="G60" s="68">
        <f>G35+G34+G33+G28</f>
        <v>904732</v>
      </c>
      <c r="H60" s="68" t="e">
        <f>#REF!+#REF!+#REF!+#REF!+#REF!+#REF!+#REF!+#REF!+#REF!+#REF!+H16</f>
        <v>#REF!</v>
      </c>
      <c r="I60" s="68">
        <f>I35+I34+I33+I28</f>
        <v>7332307.2500000009</v>
      </c>
      <c r="J60" s="68">
        <f>J35+J34+J33+J28</f>
        <v>1466461.4499999997</v>
      </c>
      <c r="K60" s="68">
        <f>K35+K34+K33+K28</f>
        <v>8798768.6999999993</v>
      </c>
    </row>
    <row r="61" spans="1:13" s="69" customFormat="1" ht="18" customHeight="1" x14ac:dyDescent="0.2">
      <c r="A61"/>
      <c r="B61"/>
      <c r="C61"/>
      <c r="D61" s="66">
        <v>5</v>
      </c>
      <c r="E61" s="67" t="s">
        <v>52</v>
      </c>
      <c r="F61" s="68">
        <f>F12+F30</f>
        <v>226352</v>
      </c>
      <c r="G61" s="68">
        <f>G12+G30</f>
        <v>236765</v>
      </c>
      <c r="H61" s="68" t="e">
        <f>#REF!+#REF!+#REF!</f>
        <v>#REF!</v>
      </c>
      <c r="I61" s="68">
        <f>I12+I30</f>
        <v>2584347.2000000002</v>
      </c>
      <c r="J61" s="68">
        <f>J12+J30</f>
        <v>516869.44</v>
      </c>
      <c r="K61" s="68">
        <f>K12+K30</f>
        <v>3101216.64</v>
      </c>
    </row>
    <row r="62" spans="1:13" s="69" customFormat="1" ht="18" customHeight="1" x14ac:dyDescent="0.2">
      <c r="A62"/>
      <c r="B62"/>
      <c r="C62"/>
      <c r="D62" s="66">
        <v>6</v>
      </c>
      <c r="E62" s="67" t="s">
        <v>51</v>
      </c>
      <c r="F62" s="68">
        <f>F29+F27+F26</f>
        <v>286152</v>
      </c>
      <c r="G62" s="68">
        <f>G29+G27+G26</f>
        <v>299316</v>
      </c>
      <c r="H62" s="68" t="e">
        <f>#REF!+#REF!+#REF!+#REF!+#REF!+#REF!+H5</f>
        <v>#REF!</v>
      </c>
      <c r="I62" s="68">
        <f>I29+I27+I26</f>
        <v>4774643.3600000003</v>
      </c>
      <c r="J62" s="68">
        <f>J29+J27+J26</f>
        <v>954928.67</v>
      </c>
      <c r="K62" s="68">
        <f>K29+K27+K26</f>
        <v>5729572.0299999993</v>
      </c>
    </row>
    <row r="63" spans="1:13" s="69" customFormat="1" ht="18" customHeight="1" x14ac:dyDescent="0.2">
      <c r="A63"/>
      <c r="B63"/>
      <c r="C63"/>
      <c r="D63" s="66">
        <v>7</v>
      </c>
      <c r="E63" s="67" t="s">
        <v>30</v>
      </c>
      <c r="F63" s="68">
        <f>F31+F23+F22+F21+F19+F18+F17+F16+F15</f>
        <v>508984</v>
      </c>
      <c r="G63" s="68">
        <f>G31+G23+G22+G21+G19+G18+G17+G16+G15</f>
        <v>532398</v>
      </c>
      <c r="H63" s="68" t="e">
        <f>#REF!+#REF!+#REF!+#REF!+#REF!+#REF!+#REF!+H23+H22+H19+H18+H17+H14+H12+H11+H10</f>
        <v>#REF!</v>
      </c>
      <c r="I63" s="68">
        <f>I31+I23+I22+I21+I19+I18+I17+I16+I15</f>
        <v>7868948.3200000003</v>
      </c>
      <c r="J63" s="68">
        <f>J31+J23+J22+J21+J19+J18+J17+J16+J15</f>
        <v>1573789.66</v>
      </c>
      <c r="K63" s="68">
        <f>K31+K23+K22+K21+K19+K18+K17+K16+K15</f>
        <v>9442737.9800000004</v>
      </c>
    </row>
    <row r="64" spans="1:13" s="69" customFormat="1" ht="18" customHeight="1" x14ac:dyDescent="0.2">
      <c r="A64"/>
      <c r="B64"/>
      <c r="C64"/>
      <c r="D64" s="66">
        <v>8</v>
      </c>
      <c r="E64" s="67" t="s">
        <v>31</v>
      </c>
      <c r="F64" s="68"/>
      <c r="G64" s="68"/>
      <c r="H64" s="68"/>
      <c r="I64" s="68"/>
      <c r="J64" s="68"/>
      <c r="K64" s="68"/>
    </row>
    <row r="65" spans="1:11" s="69" customFormat="1" ht="18" customHeight="1" x14ac:dyDescent="0.2">
      <c r="A65"/>
      <c r="B65"/>
      <c r="C65"/>
      <c r="D65" s="66">
        <v>9</v>
      </c>
      <c r="E65" s="67" t="s">
        <v>29</v>
      </c>
      <c r="F65" s="68">
        <f>F14</f>
        <v>-42969</v>
      </c>
      <c r="G65" s="68">
        <f t="shared" ref="G65:K65" si="37">G14</f>
        <v>-44946</v>
      </c>
      <c r="H65" s="68">
        <f t="shared" si="37"/>
        <v>-271472</v>
      </c>
      <c r="I65" s="68">
        <f t="shared" si="37"/>
        <v>-268675.84000000003</v>
      </c>
      <c r="J65" s="68">
        <f t="shared" si="37"/>
        <v>-53735.17</v>
      </c>
      <c r="K65" s="68">
        <f t="shared" si="37"/>
        <v>-322411.01</v>
      </c>
    </row>
    <row r="66" spans="1:11" s="69" customFormat="1" ht="18" customHeight="1" x14ac:dyDescent="0.2">
      <c r="A66"/>
      <c r="B66"/>
      <c r="C66"/>
      <c r="D66" s="66">
        <v>10</v>
      </c>
      <c r="E66" s="67" t="s">
        <v>32</v>
      </c>
      <c r="F66" s="68">
        <f>F5+F6+F7+F9+F10+F11</f>
        <v>797362</v>
      </c>
      <c r="G66" s="68">
        <f>G5+G6+G7+G9+G10+G11</f>
        <v>834040</v>
      </c>
      <c r="H66" s="68" t="e">
        <f>#REF!+#REF!+#REF!+#REF!+#REF!+#REF!+#REF!+#REF!+#REF!+#REF!</f>
        <v>#REF!</v>
      </c>
      <c r="I66" s="68">
        <f>I5+I6+I7+I9+I10+I11</f>
        <v>10866277.530000001</v>
      </c>
      <c r="J66" s="68">
        <f>J5+J6+J7+J9+J10+J11</f>
        <v>2173255.5</v>
      </c>
      <c r="K66" s="68">
        <f>K5+K6+K7+K9+K10+K11</f>
        <v>13039533.029999999</v>
      </c>
    </row>
    <row r="67" spans="1:11" s="69" customFormat="1" ht="18" customHeight="1" x14ac:dyDescent="0.2">
      <c r="A67"/>
      <c r="B67"/>
      <c r="C67"/>
      <c r="D67" s="70"/>
      <c r="E67" s="71" t="s">
        <v>33</v>
      </c>
      <c r="F67" s="72">
        <f>SUM(F57:F66)</f>
        <v>2780594</v>
      </c>
      <c r="G67" s="72">
        <f t="shared" ref="G67:K67" si="38">SUM(G57:G66)</f>
        <v>2908503</v>
      </c>
      <c r="H67" s="72" t="e">
        <f t="shared" si="38"/>
        <v>#REF!</v>
      </c>
      <c r="I67" s="72">
        <f t="shared" si="38"/>
        <v>34854978.460000001</v>
      </c>
      <c r="J67" s="72">
        <f t="shared" si="38"/>
        <v>6970995.6899999995</v>
      </c>
      <c r="K67" s="72">
        <f t="shared" si="38"/>
        <v>41825974.149999999</v>
      </c>
    </row>
    <row r="68" spans="1:11" s="69" customFormat="1" x14ac:dyDescent="0.2">
      <c r="A68"/>
      <c r="B68"/>
      <c r="C68"/>
      <c r="D68"/>
      <c r="E68" s="61"/>
      <c r="F68" s="62">
        <f>F36-F67</f>
        <v>0</v>
      </c>
      <c r="G68" s="62">
        <f>G36-G67</f>
        <v>0</v>
      </c>
      <c r="H68" s="62" t="e">
        <f>H36-H67</f>
        <v>#REF!</v>
      </c>
      <c r="I68" s="62"/>
      <c r="J68" s="62">
        <f>J36-J67</f>
        <v>0</v>
      </c>
      <c r="K68" s="62">
        <f>K36-K67</f>
        <v>0</v>
      </c>
    </row>
    <row r="71" spans="1:11" s="69" customFormat="1" x14ac:dyDescent="0.2">
      <c r="A71"/>
      <c r="B71"/>
      <c r="C71"/>
      <c r="D71"/>
      <c r="E71" s="73" t="s">
        <v>34</v>
      </c>
      <c r="F71" s="16" t="e">
        <f>#REF!+#REF!+#REF!+#REF!+#REF!+#REF!+#REF!+#REF!+#REF!+#REF!+#REF!+F14+F15+#REF!+#REF!+#REF!+#REF!+#REF!+#REF!+#REF!+#REF!+F17+F18+F19+#REF!+F21+#REF!</f>
        <v>#REF!</v>
      </c>
      <c r="G71" s="16" t="e">
        <f>#REF!+#REF!+#REF!+#REF!+#REF!+#REF!+#REF!+#REF!+#REF!+#REF!+#REF!+G14+G15+#REF!+#REF!+#REF!+#REF!+#REF!+#REF!+#REF!+#REF!+G17+G18+G19+#REF!+G21+#REF!</f>
        <v>#REF!</v>
      </c>
      <c r="H71" s="16" t="e">
        <f>#REF!+#REF!+#REF!+#REF!+#REF!+#REF!+#REF!+#REF!+#REF!+#REF!+#REF!+H14+H15+#REF!+#REF!+#REF!+#REF!+#REF!+#REF!+#REF!+#REF!+H17+H18+H19+#REF!+H21+#REF!</f>
        <v>#REF!</v>
      </c>
      <c r="I71" s="16" t="e">
        <f>#REF!+#REF!+#REF!+#REF!+#REF!+#REF!+#REF!+#REF!+#REF!+#REF!+#REF!+I14+I15+#REF!+#REF!+#REF!+#REF!+#REF!+#REF!+#REF!+#REF!+I17+I18+I19+#REF!+I21+#REF!</f>
        <v>#REF!</v>
      </c>
      <c r="J71" s="16" t="e">
        <f>#REF!+#REF!+#REF!+#REF!+#REF!+#REF!+#REF!+#REF!+#REF!+#REF!+#REF!+J14+J15+#REF!+#REF!+#REF!+#REF!+#REF!+#REF!+#REF!+#REF!+J17+J18+J19+#REF!+J21+#REF!</f>
        <v>#REF!</v>
      </c>
      <c r="K71" s="16" t="e">
        <f>#REF!+#REF!+#REF!+#REF!+#REF!+#REF!+#REF!+#REF!+#REF!+#REF!+#REF!+K14+K15+#REF!+#REF!+#REF!+#REF!+#REF!+#REF!+#REF!+#REF!+K17+K18+K19+#REF!+K21+#REF!</f>
        <v>#REF!</v>
      </c>
    </row>
    <row r="72" spans="1:11" s="69" customFormat="1" x14ac:dyDescent="0.2">
      <c r="A72"/>
      <c r="B72"/>
      <c r="C72"/>
      <c r="D72"/>
      <c r="E72" s="73"/>
      <c r="F72" s="16"/>
      <c r="G72" s="16"/>
      <c r="H72" s="16"/>
      <c r="I72" s="16"/>
      <c r="J72" s="16"/>
      <c r="K72" s="16"/>
    </row>
    <row r="73" spans="1:11" s="69" customFormat="1" x14ac:dyDescent="0.2">
      <c r="A73"/>
      <c r="B73"/>
      <c r="C73"/>
      <c r="D73"/>
      <c r="E73" s="73" t="s">
        <v>35</v>
      </c>
      <c r="F73" s="16"/>
      <c r="G73" s="16"/>
      <c r="H73" s="16"/>
      <c r="I73" s="16"/>
      <c r="J73" s="16"/>
      <c r="K73" s="16"/>
    </row>
    <row r="74" spans="1:11" s="69" customFormat="1" x14ac:dyDescent="0.2">
      <c r="A74"/>
      <c r="B74"/>
      <c r="C74"/>
      <c r="D74"/>
      <c r="E74" s="74" t="s">
        <v>36</v>
      </c>
      <c r="F74" s="16"/>
      <c r="G74" s="16"/>
      <c r="H74" s="16"/>
      <c r="I74" s="16"/>
      <c r="J74" s="16"/>
      <c r="K74" s="16"/>
    </row>
    <row r="75" spans="1:11" s="69" customFormat="1" x14ac:dyDescent="0.2">
      <c r="A75"/>
      <c r="B75"/>
      <c r="C75"/>
      <c r="D75"/>
      <c r="E75" s="74" t="s">
        <v>37</v>
      </c>
      <c r="F75" s="16" t="e">
        <f>#REF!</f>
        <v>#REF!</v>
      </c>
      <c r="G75" s="16" t="e">
        <f>#REF!</f>
        <v>#REF!</v>
      </c>
      <c r="H75" s="16" t="e">
        <f>#REF!</f>
        <v>#REF!</v>
      </c>
      <c r="I75" s="16" t="e">
        <f>#REF!</f>
        <v>#REF!</v>
      </c>
      <c r="J75" s="16" t="e">
        <f>#REF!</f>
        <v>#REF!</v>
      </c>
      <c r="K75" s="16" t="e">
        <f>#REF!</f>
        <v>#REF!</v>
      </c>
    </row>
    <row r="76" spans="1:11" s="69" customFormat="1" x14ac:dyDescent="0.2">
      <c r="A76"/>
      <c r="B76"/>
      <c r="C76"/>
      <c r="D76"/>
      <c r="E76" s="74" t="s">
        <v>38</v>
      </c>
      <c r="F76" s="16"/>
      <c r="G76" s="16"/>
      <c r="H76" s="16"/>
      <c r="I76" s="16"/>
      <c r="J76" s="16"/>
      <c r="K76" s="16"/>
    </row>
    <row r="77" spans="1:11" s="69" customFormat="1" x14ac:dyDescent="0.2">
      <c r="A77"/>
      <c r="B77"/>
      <c r="C77"/>
      <c r="D77"/>
      <c r="E77" s="74" t="s">
        <v>39</v>
      </c>
      <c r="F77" s="16"/>
      <c r="G77" s="16"/>
      <c r="H77" s="16"/>
      <c r="I77" s="16"/>
      <c r="J77" s="16"/>
      <c r="K77" s="16"/>
    </row>
    <row r="78" spans="1:11" s="69" customFormat="1" x14ac:dyDescent="0.2">
      <c r="A78"/>
      <c r="B78"/>
      <c r="C78"/>
      <c r="D78"/>
      <c r="E78" s="74" t="s">
        <v>40</v>
      </c>
      <c r="F78" s="16"/>
      <c r="G78" s="16"/>
      <c r="H78" s="16"/>
      <c r="I78" s="16"/>
      <c r="J78" s="16"/>
      <c r="K78" s="16"/>
    </row>
    <row r="79" spans="1:11" s="69" customFormat="1" x14ac:dyDescent="0.2">
      <c r="A79"/>
      <c r="B79"/>
      <c r="C79"/>
      <c r="D79"/>
      <c r="E79" s="74" t="s">
        <v>48</v>
      </c>
      <c r="F79" s="16"/>
      <c r="G79" s="16"/>
      <c r="H79" s="16"/>
      <c r="I79" s="16"/>
      <c r="J79" s="16"/>
      <c r="K79" s="16"/>
    </row>
    <row r="80" spans="1:11" s="69" customFormat="1" x14ac:dyDescent="0.2">
      <c r="A80"/>
      <c r="B80"/>
      <c r="C80"/>
      <c r="D80"/>
      <c r="E80" s="74" t="s">
        <v>57</v>
      </c>
      <c r="F80" s="16" t="e">
        <f>#REF!</f>
        <v>#REF!</v>
      </c>
      <c r="G80" s="16" t="e">
        <f>#REF!</f>
        <v>#REF!</v>
      </c>
      <c r="H80" s="16" t="e">
        <f>#REF!</f>
        <v>#REF!</v>
      </c>
      <c r="I80" s="16" t="e">
        <f>#REF!</f>
        <v>#REF!</v>
      </c>
      <c r="J80" s="16" t="e">
        <f>#REF!</f>
        <v>#REF!</v>
      </c>
      <c r="K80" s="16" t="e">
        <f>#REF!</f>
        <v>#REF!</v>
      </c>
    </row>
    <row r="81" spans="1:13" s="69" customFormat="1" x14ac:dyDescent="0.2">
      <c r="A81"/>
      <c r="B81"/>
      <c r="C81"/>
      <c r="D81"/>
      <c r="E81" s="74" t="s">
        <v>56</v>
      </c>
      <c r="F81" s="16" t="e">
        <f>#REF!+#REF!+#REF!+#REF!</f>
        <v>#REF!</v>
      </c>
      <c r="G81" s="16" t="e">
        <f>#REF!+#REF!+#REF!+#REF!</f>
        <v>#REF!</v>
      </c>
      <c r="H81" s="16" t="e">
        <f>#REF!+#REF!+#REF!+#REF!</f>
        <v>#REF!</v>
      </c>
      <c r="I81" s="16" t="e">
        <f>#REF!+#REF!+#REF!+#REF!</f>
        <v>#REF!</v>
      </c>
      <c r="J81" s="16" t="e">
        <f>#REF!+#REF!+#REF!+#REF!</f>
        <v>#REF!</v>
      </c>
      <c r="K81" s="16" t="e">
        <f>#REF!+#REF!+#REF!+#REF!</f>
        <v>#REF!</v>
      </c>
    </row>
    <row r="82" spans="1:13" s="69" customFormat="1" x14ac:dyDescent="0.2">
      <c r="A82"/>
      <c r="B82"/>
      <c r="C82"/>
      <c r="D82"/>
      <c r="E82" s="74" t="s">
        <v>41</v>
      </c>
      <c r="F82" s="16"/>
      <c r="G82" s="16"/>
      <c r="H82" s="16"/>
      <c r="I82" s="16"/>
      <c r="J82" s="16"/>
      <c r="K82" s="16"/>
    </row>
    <row r="83" spans="1:13" s="69" customFormat="1" x14ac:dyDescent="0.2">
      <c r="A83"/>
      <c r="B83"/>
      <c r="C83"/>
      <c r="D83"/>
      <c r="E83" s="74" t="s">
        <v>42</v>
      </c>
      <c r="F83" s="16">
        <f t="shared" ref="F83:K83" si="39">F20</f>
        <v>1351</v>
      </c>
      <c r="G83" s="16">
        <f t="shared" si="39"/>
        <v>1413</v>
      </c>
      <c r="H83" s="16">
        <f t="shared" si="39"/>
        <v>17593</v>
      </c>
      <c r="I83" s="16">
        <f t="shared" si="39"/>
        <v>17411.79</v>
      </c>
      <c r="J83" s="16">
        <f t="shared" si="39"/>
        <v>3482.36</v>
      </c>
      <c r="K83" s="16">
        <f t="shared" si="39"/>
        <v>20894.150000000001</v>
      </c>
    </row>
    <row r="84" spans="1:13" s="69" customFormat="1" x14ac:dyDescent="0.2">
      <c r="A84"/>
      <c r="B84"/>
      <c r="C84"/>
      <c r="D84"/>
      <c r="E84" s="73" t="s">
        <v>43</v>
      </c>
      <c r="F84" s="16"/>
      <c r="G84" s="16"/>
      <c r="H84" s="16"/>
      <c r="I84" s="16"/>
      <c r="J84" s="16"/>
      <c r="K84" s="16"/>
    </row>
    <row r="85" spans="1:13" s="69" customFormat="1" x14ac:dyDescent="0.2">
      <c r="A85"/>
      <c r="B85"/>
      <c r="C85"/>
      <c r="D85"/>
      <c r="E85" s="73" t="s">
        <v>44</v>
      </c>
      <c r="F85" s="16" t="e">
        <f>#REF!+F16+#REF!</f>
        <v>#REF!</v>
      </c>
      <c r="G85" s="16" t="e">
        <f>#REF!+G16+#REF!</f>
        <v>#REF!</v>
      </c>
      <c r="H85" s="16" t="e">
        <f>#REF!+H16+#REF!</f>
        <v>#REF!</v>
      </c>
      <c r="I85" s="16" t="e">
        <f>#REF!+I16+#REF!</f>
        <v>#REF!</v>
      </c>
      <c r="J85" s="16" t="e">
        <f>#REF!+J16+#REF!</f>
        <v>#REF!</v>
      </c>
      <c r="K85" s="16" t="e">
        <f>#REF!+K16+#REF!</f>
        <v>#REF!</v>
      </c>
    </row>
    <row r="86" spans="1:13" s="69" customFormat="1" x14ac:dyDescent="0.2">
      <c r="A86"/>
      <c r="B86"/>
      <c r="C86"/>
      <c r="D86"/>
      <c r="E86" s="73" t="s">
        <v>45</v>
      </c>
      <c r="F86" s="16"/>
      <c r="G86" s="16"/>
      <c r="H86" s="16"/>
      <c r="I86" s="16"/>
      <c r="J86" s="16"/>
      <c r="K86" s="16"/>
    </row>
    <row r="87" spans="1:13" s="69" customFormat="1" x14ac:dyDescent="0.2">
      <c r="A87"/>
      <c r="B87"/>
      <c r="C87"/>
      <c r="D87"/>
      <c r="E87" s="73" t="s">
        <v>46</v>
      </c>
      <c r="F87" s="16" t="e">
        <f>#REF!+#REF!+#REF!</f>
        <v>#REF!</v>
      </c>
      <c r="G87" s="16" t="e">
        <f>#REF!+#REF!+#REF!</f>
        <v>#REF!</v>
      </c>
      <c r="H87" s="16" t="e">
        <f>#REF!+#REF!+#REF!</f>
        <v>#REF!</v>
      </c>
      <c r="I87" s="16" t="e">
        <f>#REF!+#REF!+#REF!</f>
        <v>#REF!</v>
      </c>
      <c r="J87" s="16" t="e">
        <f>#REF!+#REF!+#REF!</f>
        <v>#REF!</v>
      </c>
      <c r="K87" s="16" t="e">
        <f>#REF!+#REF!+#REF!</f>
        <v>#REF!</v>
      </c>
    </row>
    <row r="88" spans="1:13" s="69" customFormat="1" x14ac:dyDescent="0.2">
      <c r="A88"/>
      <c r="B88"/>
      <c r="C88"/>
      <c r="D88"/>
      <c r="E88" s="73" t="s">
        <v>47</v>
      </c>
      <c r="F88" s="16"/>
      <c r="G88" s="16"/>
      <c r="H88" s="16"/>
      <c r="I88" s="16"/>
      <c r="J88" s="16"/>
      <c r="K88" s="16"/>
    </row>
    <row r="89" spans="1:13" s="69" customFormat="1" x14ac:dyDescent="0.2">
      <c r="A89"/>
      <c r="B89"/>
      <c r="C89"/>
      <c r="D89"/>
      <c r="E89" s="61"/>
      <c r="F89" s="75" t="e">
        <f>SUM(F71:F88)</f>
        <v>#REF!</v>
      </c>
      <c r="G89" s="75" t="e">
        <f>SUM(G71:G88)</f>
        <v>#REF!</v>
      </c>
      <c r="H89" s="75" t="e">
        <f>SUM(H71:H88)</f>
        <v>#REF!</v>
      </c>
      <c r="I89" s="76"/>
      <c r="J89" s="76" t="e">
        <f>SUM(J71:J88)</f>
        <v>#REF!</v>
      </c>
      <c r="K89" s="76" t="e">
        <f>SUM(K71:K88)</f>
        <v>#REF!</v>
      </c>
    </row>
    <row r="92" spans="1:13" s="63" customFormat="1" x14ac:dyDescent="0.2">
      <c r="A92"/>
      <c r="B92"/>
      <c r="C92"/>
      <c r="D92"/>
      <c r="E92" s="61"/>
      <c r="F92" s="62" t="e">
        <f>F36-F89</f>
        <v>#REF!</v>
      </c>
      <c r="G92" s="62" t="e">
        <f>G36-G89</f>
        <v>#REF!</v>
      </c>
      <c r="H92" s="62" t="e">
        <f>H36-H89</f>
        <v>#REF!</v>
      </c>
      <c r="I92" s="62"/>
      <c r="J92" s="62" t="e">
        <f>J36-J89</f>
        <v>#REF!</v>
      </c>
      <c r="K92" s="62" t="e">
        <f>K36-K89</f>
        <v>#REF!</v>
      </c>
      <c r="L92" s="69"/>
      <c r="M92" s="69"/>
    </row>
    <row r="100" spans="5:5" x14ac:dyDescent="0.2">
      <c r="E100" s="61">
        <v>363148</v>
      </c>
    </row>
    <row r="101" spans="5:5" x14ac:dyDescent="0.2">
      <c r="E101" s="61">
        <v>11417</v>
      </c>
    </row>
    <row r="102" spans="5:5" x14ac:dyDescent="0.2">
      <c r="E102" s="61">
        <v>22172</v>
      </c>
    </row>
  </sheetData>
  <mergeCells count="5">
    <mergeCell ref="A1:K1"/>
    <mergeCell ref="A2:K2"/>
    <mergeCell ref="G44:H44"/>
    <mergeCell ref="G48:H48"/>
    <mergeCell ref="G52:H52"/>
  </mergeCells>
  <pageMargins left="0.23622047244094491" right="3.937007874015748E-2" top="0.55118110236220474" bottom="0.55118110236220474" header="0.31496062992125984" footer="0.31496062992125984"/>
  <pageSetup paperSize="9" scale="57" fitToHeight="0" orientation="portrait" r:id="rId1"/>
  <rowBreaks count="1" manualBreakCount="1">
    <brk id="55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1"/>
  <sheetViews>
    <sheetView view="pageBreakPreview" topLeftCell="A35" zoomScale="70" zoomScaleNormal="85" zoomScaleSheetLayoutView="70" workbookViewId="0">
      <selection activeCell="E44" sqref="E44"/>
    </sheetView>
  </sheetViews>
  <sheetFormatPr defaultRowHeight="12.75" x14ac:dyDescent="0.2"/>
  <cols>
    <col min="1" max="1" width="4.5703125" customWidth="1"/>
    <col min="2" max="2" width="7.5703125" customWidth="1"/>
    <col min="3" max="3" width="7.5703125" hidden="1" customWidth="1"/>
    <col min="4" max="4" width="15.28515625" customWidth="1"/>
    <col min="5" max="5" width="48.85546875" style="61" customWidth="1"/>
    <col min="6" max="6" width="14.28515625" customWidth="1"/>
    <col min="7" max="9" width="15.28515625" customWidth="1"/>
    <col min="10" max="10" width="14" customWidth="1"/>
    <col min="11" max="11" width="18" customWidth="1"/>
    <col min="12" max="12" width="15.85546875" style="69" customWidth="1"/>
    <col min="13" max="13" width="7.140625" style="69" customWidth="1"/>
    <col min="14" max="14" width="14.42578125" customWidth="1"/>
    <col min="15" max="15" width="14" customWidth="1"/>
  </cols>
  <sheetData>
    <row r="1" spans="1:15" s="3" customFormat="1" x14ac:dyDescent="0.2">
      <c r="A1" s="90" t="s">
        <v>58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1"/>
      <c r="M1" s="2"/>
    </row>
    <row r="2" spans="1:15" s="6" customFormat="1" x14ac:dyDescent="0.2">
      <c r="A2" s="91" t="s">
        <v>68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4"/>
      <c r="M2" s="5"/>
      <c r="N2" s="6">
        <f>7.63*1.05*1.044*0.9897*1.046*1.2</f>
        <v>10.39036577778864</v>
      </c>
    </row>
    <row r="3" spans="1:15" s="11" customFormat="1" ht="2.25" customHeight="1" x14ac:dyDescent="0.25">
      <c r="A3" s="7"/>
      <c r="B3" s="7"/>
      <c r="C3" s="7"/>
      <c r="D3" s="7"/>
      <c r="E3" s="8"/>
      <c r="F3" s="7"/>
      <c r="G3" s="7"/>
      <c r="H3" s="7"/>
      <c r="I3" s="7"/>
      <c r="J3" s="7"/>
      <c r="K3" s="7"/>
      <c r="L3" s="9"/>
      <c r="M3" s="10"/>
    </row>
    <row r="4" spans="1:15" s="11" customFormat="1" ht="75.75" customHeight="1" x14ac:dyDescent="0.2">
      <c r="A4" s="12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6</v>
      </c>
      <c r="H4" s="13" t="s">
        <v>7</v>
      </c>
      <c r="I4" s="13" t="s">
        <v>8</v>
      </c>
      <c r="J4" s="13" t="s">
        <v>9</v>
      </c>
      <c r="K4" s="13" t="s">
        <v>10</v>
      </c>
      <c r="L4" s="13" t="s">
        <v>11</v>
      </c>
      <c r="M4" s="10"/>
    </row>
    <row r="5" spans="1:15" s="20" customFormat="1" ht="57.75" customHeight="1" x14ac:dyDescent="0.2">
      <c r="A5" s="14">
        <v>1</v>
      </c>
      <c r="B5" s="15">
        <v>3344</v>
      </c>
      <c r="C5" s="15"/>
      <c r="D5" s="79" t="s">
        <v>59</v>
      </c>
      <c r="E5" s="78" t="s">
        <v>60</v>
      </c>
      <c r="F5" s="16">
        <v>40656</v>
      </c>
      <c r="G5" s="17">
        <f t="shared" ref="G5:G64" si="0">ROUND(F5*1.046,0)</f>
        <v>42526</v>
      </c>
      <c r="H5" s="17">
        <v>737404</v>
      </c>
      <c r="I5" s="17">
        <f t="shared" ref="I5:I42" si="1">ROUND(H5*0.9897,2)</f>
        <v>729808.74</v>
      </c>
      <c r="J5" s="18">
        <f>ROUND(I5*0.2,2)</f>
        <v>145961.75</v>
      </c>
      <c r="K5" s="18">
        <f t="shared" ref="K5:K64" si="2">I5+J5</f>
        <v>875770.49</v>
      </c>
      <c r="L5" s="19" t="s">
        <v>61</v>
      </c>
      <c r="M5" s="21"/>
      <c r="N5" s="17"/>
      <c r="O5" s="17"/>
    </row>
    <row r="6" spans="1:15" s="20" customFormat="1" ht="44.25" customHeight="1" x14ac:dyDescent="0.2">
      <c r="A6" s="14">
        <v>2</v>
      </c>
      <c r="B6" s="15">
        <v>3345</v>
      </c>
      <c r="C6" s="15"/>
      <c r="D6" s="77" t="s">
        <v>63</v>
      </c>
      <c r="E6" s="78" t="s">
        <v>62</v>
      </c>
      <c r="F6" s="16">
        <v>23308</v>
      </c>
      <c r="G6" s="17">
        <f t="shared" si="0"/>
        <v>24380</v>
      </c>
      <c r="H6" s="17">
        <v>216227</v>
      </c>
      <c r="I6" s="17">
        <f t="shared" si="1"/>
        <v>213999.86</v>
      </c>
      <c r="J6" s="18">
        <f>ROUND(I6*0.2,2)</f>
        <v>42799.97</v>
      </c>
      <c r="K6" s="18">
        <f t="shared" si="2"/>
        <v>256799.83</v>
      </c>
      <c r="L6" s="19" t="s">
        <v>61</v>
      </c>
      <c r="M6" s="21"/>
      <c r="N6" s="17"/>
      <c r="O6" s="17"/>
    </row>
    <row r="7" spans="1:15" s="20" customFormat="1" ht="44.25" customHeight="1" x14ac:dyDescent="0.2">
      <c r="A7" s="14">
        <v>3</v>
      </c>
      <c r="B7" s="15">
        <v>3346</v>
      </c>
      <c r="C7" s="15"/>
      <c r="D7" s="77" t="s">
        <v>65</v>
      </c>
      <c r="E7" s="78" t="s">
        <v>64</v>
      </c>
      <c r="F7" s="16">
        <v>135842</v>
      </c>
      <c r="G7" s="17">
        <f t="shared" si="0"/>
        <v>142091</v>
      </c>
      <c r="H7" s="17">
        <v>2968109</v>
      </c>
      <c r="I7" s="17">
        <f t="shared" si="1"/>
        <v>2937537.48</v>
      </c>
      <c r="J7" s="18">
        <f t="shared" ref="J7:J17" si="3">ROUND(I7*0.2,2)</f>
        <v>587507.5</v>
      </c>
      <c r="K7" s="18">
        <f t="shared" si="2"/>
        <v>3525044.98</v>
      </c>
      <c r="L7" s="19" t="s">
        <v>61</v>
      </c>
      <c r="M7" s="21"/>
      <c r="N7" s="17"/>
      <c r="O7" s="17"/>
    </row>
    <row r="8" spans="1:15" s="20" customFormat="1" ht="44.25" customHeight="1" x14ac:dyDescent="0.2">
      <c r="A8" s="14">
        <v>4</v>
      </c>
      <c r="B8" s="15">
        <v>3347</v>
      </c>
      <c r="C8" s="15"/>
      <c r="D8" s="77" t="s">
        <v>67</v>
      </c>
      <c r="E8" s="78" t="s">
        <v>66</v>
      </c>
      <c r="F8" s="16">
        <v>10968</v>
      </c>
      <c r="G8" s="17">
        <f t="shared" si="0"/>
        <v>11473</v>
      </c>
      <c r="H8" s="17">
        <v>137717</v>
      </c>
      <c r="I8" s="17">
        <f t="shared" si="1"/>
        <v>136298.51</v>
      </c>
      <c r="J8" s="18">
        <f>ROUND(I8*0.2,2)</f>
        <v>27259.7</v>
      </c>
      <c r="K8" s="18">
        <f t="shared" si="2"/>
        <v>163558.21000000002</v>
      </c>
      <c r="L8" s="19" t="s">
        <v>61</v>
      </c>
      <c r="M8" s="21"/>
      <c r="N8" s="17"/>
      <c r="O8" s="17"/>
    </row>
    <row r="9" spans="1:15" s="20" customFormat="1" ht="72" customHeight="1" x14ac:dyDescent="0.2">
      <c r="A9" s="14">
        <v>5</v>
      </c>
      <c r="B9" s="15">
        <v>3348</v>
      </c>
      <c r="C9" s="15"/>
      <c r="D9" s="79" t="s">
        <v>70</v>
      </c>
      <c r="E9" s="78" t="s">
        <v>69</v>
      </c>
      <c r="F9" s="16">
        <v>347286</v>
      </c>
      <c r="G9" s="17">
        <f t="shared" si="0"/>
        <v>363261</v>
      </c>
      <c r="H9" s="16">
        <v>4054556</v>
      </c>
      <c r="I9" s="17">
        <f t="shared" si="1"/>
        <v>4012794.07</v>
      </c>
      <c r="J9" s="18">
        <f t="shared" si="3"/>
        <v>802558.81</v>
      </c>
      <c r="K9" s="18">
        <f t="shared" si="2"/>
        <v>4815352.88</v>
      </c>
      <c r="L9" s="19" t="s">
        <v>61</v>
      </c>
      <c r="M9" s="21"/>
      <c r="N9" s="17"/>
      <c r="O9" s="17"/>
    </row>
    <row r="10" spans="1:15" s="20" customFormat="1" ht="49.5" customHeight="1" x14ac:dyDescent="0.2">
      <c r="A10" s="14">
        <v>6</v>
      </c>
      <c r="B10" s="15">
        <v>3349</v>
      </c>
      <c r="C10" s="15"/>
      <c r="D10" s="77" t="s">
        <v>72</v>
      </c>
      <c r="E10" s="78" t="s">
        <v>71</v>
      </c>
      <c r="F10" s="16">
        <v>30886</v>
      </c>
      <c r="G10" s="17">
        <f t="shared" si="0"/>
        <v>32307</v>
      </c>
      <c r="H10" s="17">
        <v>505033</v>
      </c>
      <c r="I10" s="17">
        <f t="shared" si="1"/>
        <v>499831.16</v>
      </c>
      <c r="J10" s="18">
        <f t="shared" si="3"/>
        <v>99966.23</v>
      </c>
      <c r="K10" s="18">
        <f t="shared" si="2"/>
        <v>599797.39</v>
      </c>
      <c r="L10" s="19" t="s">
        <v>61</v>
      </c>
      <c r="M10" s="21"/>
      <c r="N10" s="17"/>
      <c r="O10" s="17"/>
    </row>
    <row r="11" spans="1:15" s="20" customFormat="1" ht="57.75" customHeight="1" x14ac:dyDescent="0.2">
      <c r="A11" s="14">
        <v>7</v>
      </c>
      <c r="B11" s="15">
        <v>3350</v>
      </c>
      <c r="C11" s="15"/>
      <c r="D11" s="77" t="s">
        <v>74</v>
      </c>
      <c r="E11" s="78" t="s">
        <v>73</v>
      </c>
      <c r="F11" s="16">
        <v>262157</v>
      </c>
      <c r="G11" s="17">
        <f t="shared" si="0"/>
        <v>274216</v>
      </c>
      <c r="H11" s="17">
        <v>3393627</v>
      </c>
      <c r="I11" s="17">
        <f t="shared" si="1"/>
        <v>3358672.64</v>
      </c>
      <c r="J11" s="18">
        <f t="shared" si="3"/>
        <v>671734.53</v>
      </c>
      <c r="K11" s="18">
        <f t="shared" si="2"/>
        <v>4030407.17</v>
      </c>
      <c r="L11" s="19" t="s">
        <v>61</v>
      </c>
      <c r="M11" s="21"/>
      <c r="N11" s="17"/>
      <c r="O11" s="17"/>
    </row>
    <row r="12" spans="1:15" s="20" customFormat="1" ht="44.25" customHeight="1" x14ac:dyDescent="0.2">
      <c r="A12" s="14">
        <v>8</v>
      </c>
      <c r="B12" s="15">
        <v>3351</v>
      </c>
      <c r="C12" s="15"/>
      <c r="D12" s="77" t="s">
        <v>77</v>
      </c>
      <c r="E12" s="78" t="s">
        <v>76</v>
      </c>
      <c r="F12" s="16">
        <v>228534</v>
      </c>
      <c r="G12" s="17">
        <f t="shared" si="0"/>
        <v>239047</v>
      </c>
      <c r="H12" s="17">
        <v>2630334</v>
      </c>
      <c r="I12" s="17">
        <f t="shared" si="1"/>
        <v>2603241.56</v>
      </c>
      <c r="J12" s="18">
        <f t="shared" si="3"/>
        <v>520648.31</v>
      </c>
      <c r="K12" s="18">
        <f t="shared" si="2"/>
        <v>3123889.87</v>
      </c>
      <c r="L12" s="19" t="s">
        <v>75</v>
      </c>
      <c r="M12" s="21"/>
      <c r="N12" s="17"/>
      <c r="O12" s="17"/>
    </row>
    <row r="13" spans="1:15" s="20" customFormat="1" ht="46.5" customHeight="1" x14ac:dyDescent="0.2">
      <c r="A13" s="14">
        <v>9</v>
      </c>
      <c r="B13" s="15">
        <v>3352</v>
      </c>
      <c r="C13" s="15"/>
      <c r="D13" s="77" t="s">
        <v>78</v>
      </c>
      <c r="E13" s="78" t="s">
        <v>79</v>
      </c>
      <c r="F13" s="16">
        <v>1127</v>
      </c>
      <c r="G13" s="17">
        <f t="shared" si="0"/>
        <v>1179</v>
      </c>
      <c r="H13" s="17">
        <v>19047</v>
      </c>
      <c r="I13" s="17">
        <f t="shared" si="1"/>
        <v>18850.82</v>
      </c>
      <c r="J13" s="18">
        <f t="shared" si="3"/>
        <v>3770.16</v>
      </c>
      <c r="K13" s="18">
        <f t="shared" si="2"/>
        <v>22620.98</v>
      </c>
      <c r="L13" s="19" t="s">
        <v>80</v>
      </c>
      <c r="M13" s="21"/>
      <c r="N13" s="17">
        <f t="shared" ref="N13:N18" si="4">F13*$N$2</f>
        <v>11709.942231567797</v>
      </c>
      <c r="O13" s="17">
        <f t="shared" ref="O13:O18" si="5">K13-N13</f>
        <v>10911.037768432203</v>
      </c>
    </row>
    <row r="14" spans="1:15" s="20" customFormat="1" ht="52.5" customHeight="1" x14ac:dyDescent="0.2">
      <c r="A14" s="14">
        <v>10</v>
      </c>
      <c r="B14" s="15">
        <v>3353</v>
      </c>
      <c r="C14" s="15"/>
      <c r="D14" s="79" t="s">
        <v>81</v>
      </c>
      <c r="E14" s="78" t="s">
        <v>82</v>
      </c>
      <c r="F14" s="16">
        <v>6351</v>
      </c>
      <c r="G14" s="17">
        <f t="shared" si="0"/>
        <v>6643</v>
      </c>
      <c r="H14" s="16">
        <v>60724</v>
      </c>
      <c r="I14" s="17">
        <f t="shared" si="1"/>
        <v>60098.54</v>
      </c>
      <c r="J14" s="18">
        <f t="shared" si="3"/>
        <v>12019.71</v>
      </c>
      <c r="K14" s="18">
        <f t="shared" si="2"/>
        <v>72118.25</v>
      </c>
      <c r="L14" s="19" t="s">
        <v>80</v>
      </c>
      <c r="M14" s="21"/>
      <c r="N14" s="17">
        <f t="shared" si="4"/>
        <v>65989.21305473565</v>
      </c>
      <c r="O14" s="17">
        <f t="shared" si="5"/>
        <v>6129.0369452643499</v>
      </c>
    </row>
    <row r="15" spans="1:15" s="20" customFormat="1" ht="71.25" customHeight="1" x14ac:dyDescent="0.2">
      <c r="A15" s="14">
        <v>11</v>
      </c>
      <c r="B15" s="15">
        <v>3354</v>
      </c>
      <c r="C15" s="15"/>
      <c r="D15" s="79" t="s">
        <v>84</v>
      </c>
      <c r="E15" s="78" t="s">
        <v>83</v>
      </c>
      <c r="F15" s="16">
        <v>70888</v>
      </c>
      <c r="G15" s="17">
        <f t="shared" si="0"/>
        <v>74149</v>
      </c>
      <c r="H15" s="17">
        <v>536982</v>
      </c>
      <c r="I15" s="17">
        <f t="shared" si="1"/>
        <v>531451.09</v>
      </c>
      <c r="J15" s="18">
        <f t="shared" si="3"/>
        <v>106290.22</v>
      </c>
      <c r="K15" s="18">
        <f t="shared" si="2"/>
        <v>637741.30999999994</v>
      </c>
      <c r="L15" s="19" t="s">
        <v>80</v>
      </c>
      <c r="M15" s="21"/>
      <c r="N15" s="17">
        <f t="shared" si="4"/>
        <v>736552.24925588106</v>
      </c>
      <c r="O15" s="17">
        <f t="shared" si="5"/>
        <v>-98810.939255881123</v>
      </c>
    </row>
    <row r="16" spans="1:15" s="20" customFormat="1" ht="57" customHeight="1" x14ac:dyDescent="0.2">
      <c r="A16" s="14">
        <v>12</v>
      </c>
      <c r="B16" s="15">
        <v>3355</v>
      </c>
      <c r="C16" s="15"/>
      <c r="D16" s="79" t="s">
        <v>86</v>
      </c>
      <c r="E16" s="78" t="s">
        <v>85</v>
      </c>
      <c r="F16" s="16">
        <v>1861</v>
      </c>
      <c r="G16" s="17">
        <f t="shared" si="0"/>
        <v>1947</v>
      </c>
      <c r="H16" s="17">
        <v>26487</v>
      </c>
      <c r="I16" s="17">
        <f t="shared" si="1"/>
        <v>26214.18</v>
      </c>
      <c r="J16" s="18">
        <f t="shared" si="3"/>
        <v>5242.84</v>
      </c>
      <c r="K16" s="18">
        <f t="shared" si="2"/>
        <v>31457.02</v>
      </c>
      <c r="L16" s="19" t="s">
        <v>80</v>
      </c>
      <c r="M16" s="21"/>
      <c r="N16" s="17">
        <f t="shared" si="4"/>
        <v>19336.470712464659</v>
      </c>
      <c r="O16" s="17">
        <f t="shared" si="5"/>
        <v>12120.549287535341</v>
      </c>
    </row>
    <row r="17" spans="1:15" s="20" customFormat="1" ht="48.75" customHeight="1" x14ac:dyDescent="0.2">
      <c r="A17" s="14">
        <v>13</v>
      </c>
      <c r="B17" s="15">
        <v>3356</v>
      </c>
      <c r="C17" s="15"/>
      <c r="D17" s="79" t="s">
        <v>88</v>
      </c>
      <c r="E17" s="78" t="s">
        <v>87</v>
      </c>
      <c r="F17" s="16">
        <v>5302</v>
      </c>
      <c r="G17" s="17">
        <f t="shared" si="0"/>
        <v>5546</v>
      </c>
      <c r="H17" s="17">
        <v>53096</v>
      </c>
      <c r="I17" s="17">
        <f t="shared" si="1"/>
        <v>52549.11</v>
      </c>
      <c r="J17" s="18">
        <f t="shared" si="3"/>
        <v>10509.82</v>
      </c>
      <c r="K17" s="18">
        <f t="shared" si="2"/>
        <v>63058.93</v>
      </c>
      <c r="L17" s="19" t="s">
        <v>80</v>
      </c>
      <c r="M17" s="21"/>
      <c r="N17" s="17">
        <f t="shared" si="4"/>
        <v>55089.719353835368</v>
      </c>
      <c r="O17" s="17">
        <f t="shared" si="5"/>
        <v>7969.2106461646326</v>
      </c>
    </row>
    <row r="18" spans="1:15" s="20" customFormat="1" ht="48.75" customHeight="1" x14ac:dyDescent="0.2">
      <c r="A18" s="14">
        <v>14</v>
      </c>
      <c r="B18" s="15">
        <v>3357</v>
      </c>
      <c r="C18" s="15"/>
      <c r="D18" s="79" t="s">
        <v>90</v>
      </c>
      <c r="E18" s="78" t="s">
        <v>89</v>
      </c>
      <c r="F18" s="16">
        <v>2770</v>
      </c>
      <c r="G18" s="17">
        <f t="shared" si="0"/>
        <v>2897</v>
      </c>
      <c r="H18" s="17">
        <v>32602</v>
      </c>
      <c r="I18" s="17">
        <f t="shared" si="1"/>
        <v>32266.2</v>
      </c>
      <c r="J18" s="18">
        <f>ROUND(I18*0.2,2)</f>
        <v>6453.24</v>
      </c>
      <c r="K18" s="18">
        <f t="shared" si="2"/>
        <v>38719.440000000002</v>
      </c>
      <c r="L18" s="19" t="s">
        <v>80</v>
      </c>
      <c r="M18" s="21"/>
      <c r="N18" s="17">
        <f t="shared" si="4"/>
        <v>28781.313204474533</v>
      </c>
      <c r="O18" s="17">
        <f t="shared" si="5"/>
        <v>9938.1267955254698</v>
      </c>
    </row>
    <row r="19" spans="1:15" s="20" customFormat="1" ht="67.5" customHeight="1" x14ac:dyDescent="0.2">
      <c r="A19" s="14">
        <v>15</v>
      </c>
      <c r="B19" s="15">
        <v>3358</v>
      </c>
      <c r="C19" s="15"/>
      <c r="D19" s="77" t="s">
        <v>166</v>
      </c>
      <c r="E19" s="78" t="s">
        <v>165</v>
      </c>
      <c r="F19" s="16">
        <v>467786</v>
      </c>
      <c r="G19" s="17">
        <f t="shared" si="0"/>
        <v>489304</v>
      </c>
      <c r="H19" s="17">
        <v>8605201</v>
      </c>
      <c r="I19" s="17">
        <f t="shared" si="1"/>
        <v>8516567.4299999997</v>
      </c>
      <c r="J19" s="18">
        <f t="shared" ref="J19" si="6">ROUND(I19*0.2,2)</f>
        <v>1703313.49</v>
      </c>
      <c r="K19" s="18">
        <f t="shared" si="2"/>
        <v>10219880.92</v>
      </c>
      <c r="L19" s="19" t="s">
        <v>80</v>
      </c>
      <c r="M19" s="21"/>
      <c r="N19" s="17"/>
      <c r="O19" s="17"/>
    </row>
    <row r="20" spans="1:15" s="20" customFormat="1" ht="60" customHeight="1" x14ac:dyDescent="0.2">
      <c r="A20" s="14">
        <v>16</v>
      </c>
      <c r="B20" s="15">
        <v>3359</v>
      </c>
      <c r="C20" s="15"/>
      <c r="D20" s="77" t="s">
        <v>91</v>
      </c>
      <c r="E20" s="78" t="s">
        <v>92</v>
      </c>
      <c r="F20" s="16">
        <v>3548</v>
      </c>
      <c r="G20" s="17">
        <f t="shared" si="0"/>
        <v>3711</v>
      </c>
      <c r="H20" s="17">
        <v>69551</v>
      </c>
      <c r="I20" s="17">
        <f t="shared" si="1"/>
        <v>68834.62</v>
      </c>
      <c r="J20" s="18">
        <f t="shared" ref="J20:J64" si="7">ROUND(I20*0.2,2)</f>
        <v>13766.92</v>
      </c>
      <c r="K20" s="18">
        <f t="shared" si="2"/>
        <v>82601.539999999994</v>
      </c>
      <c r="L20" s="19" t="s">
        <v>80</v>
      </c>
      <c r="M20" s="21"/>
      <c r="N20" s="17"/>
      <c r="O20" s="17"/>
    </row>
    <row r="21" spans="1:15" s="20" customFormat="1" ht="63.75" customHeight="1" x14ac:dyDescent="0.2">
      <c r="A21" s="14">
        <v>17</v>
      </c>
      <c r="B21" s="15">
        <v>3360</v>
      </c>
      <c r="C21" s="15"/>
      <c r="D21" s="79" t="s">
        <v>94</v>
      </c>
      <c r="E21" s="78" t="s">
        <v>93</v>
      </c>
      <c r="F21" s="16">
        <v>47759</v>
      </c>
      <c r="G21" s="17">
        <f t="shared" si="0"/>
        <v>49956</v>
      </c>
      <c r="H21" s="17">
        <v>146854</v>
      </c>
      <c r="I21" s="17">
        <f t="shared" si="1"/>
        <v>145341.4</v>
      </c>
      <c r="J21" s="18">
        <f t="shared" si="7"/>
        <v>29068.28</v>
      </c>
      <c r="K21" s="18">
        <f t="shared" si="2"/>
        <v>174409.68</v>
      </c>
      <c r="L21" s="19" t="s">
        <v>80</v>
      </c>
      <c r="M21" s="21"/>
      <c r="N21" s="17"/>
      <c r="O21" s="17"/>
    </row>
    <row r="22" spans="1:15" s="20" customFormat="1" ht="45" customHeight="1" x14ac:dyDescent="0.2">
      <c r="A22" s="14">
        <v>18</v>
      </c>
      <c r="B22" s="15">
        <v>3361</v>
      </c>
      <c r="C22" s="15"/>
      <c r="D22" s="79" t="s">
        <v>96</v>
      </c>
      <c r="E22" s="78" t="s">
        <v>95</v>
      </c>
      <c r="F22" s="16">
        <v>10867</v>
      </c>
      <c r="G22" s="17">
        <f t="shared" si="0"/>
        <v>11367</v>
      </c>
      <c r="H22" s="17">
        <v>107041</v>
      </c>
      <c r="I22" s="17">
        <f t="shared" si="1"/>
        <v>105938.48</v>
      </c>
      <c r="J22" s="18">
        <f t="shared" si="7"/>
        <v>21187.7</v>
      </c>
      <c r="K22" s="18">
        <f t="shared" si="2"/>
        <v>127126.18</v>
      </c>
      <c r="L22" s="19" t="s">
        <v>80</v>
      </c>
      <c r="M22" s="21"/>
      <c r="N22" s="17"/>
      <c r="O22" s="17"/>
    </row>
    <row r="23" spans="1:15" s="20" customFormat="1" ht="53.25" customHeight="1" x14ac:dyDescent="0.2">
      <c r="A23" s="14">
        <v>19</v>
      </c>
      <c r="B23" s="15">
        <v>3362</v>
      </c>
      <c r="C23" s="15"/>
      <c r="D23" s="79" t="s">
        <v>97</v>
      </c>
      <c r="E23" s="78" t="s">
        <v>98</v>
      </c>
      <c r="F23" s="16">
        <v>12471</v>
      </c>
      <c r="G23" s="17">
        <f t="shared" si="0"/>
        <v>13045</v>
      </c>
      <c r="H23" s="16">
        <v>89067</v>
      </c>
      <c r="I23" s="17">
        <f t="shared" si="1"/>
        <v>88149.61</v>
      </c>
      <c r="J23" s="18">
        <f t="shared" si="7"/>
        <v>17629.919999999998</v>
      </c>
      <c r="K23" s="18">
        <f t="shared" si="2"/>
        <v>105779.53</v>
      </c>
      <c r="L23" s="19" t="s">
        <v>80</v>
      </c>
      <c r="M23" s="21"/>
      <c r="N23" s="17"/>
      <c r="O23" s="17"/>
    </row>
    <row r="24" spans="1:15" s="20" customFormat="1" ht="53.25" customHeight="1" x14ac:dyDescent="0.2">
      <c r="A24" s="14">
        <v>20</v>
      </c>
      <c r="B24" s="15">
        <v>3363</v>
      </c>
      <c r="C24" s="15"/>
      <c r="D24" s="79" t="s">
        <v>100</v>
      </c>
      <c r="E24" s="78" t="s">
        <v>99</v>
      </c>
      <c r="F24" s="16">
        <v>6654</v>
      </c>
      <c r="G24" s="17">
        <f t="shared" si="0"/>
        <v>6960</v>
      </c>
      <c r="H24" s="16">
        <v>65539</v>
      </c>
      <c r="I24" s="17">
        <f t="shared" si="1"/>
        <v>64863.95</v>
      </c>
      <c r="J24" s="18">
        <f t="shared" ref="J24" si="8">ROUND(I24*0.2,2)</f>
        <v>12972.79</v>
      </c>
      <c r="K24" s="18">
        <f t="shared" ref="K24" si="9">I24+J24</f>
        <v>77836.739999999991</v>
      </c>
      <c r="L24" s="19" t="s">
        <v>80</v>
      </c>
      <c r="M24" s="21"/>
      <c r="N24" s="17"/>
      <c r="O24" s="17"/>
    </row>
    <row r="25" spans="1:15" s="20" customFormat="1" ht="53.25" customHeight="1" x14ac:dyDescent="0.2">
      <c r="A25" s="14">
        <v>21</v>
      </c>
      <c r="B25" s="15">
        <v>3364</v>
      </c>
      <c r="C25" s="15"/>
      <c r="D25" s="79" t="s">
        <v>102</v>
      </c>
      <c r="E25" s="78" t="s">
        <v>101</v>
      </c>
      <c r="F25" s="16">
        <v>55472</v>
      </c>
      <c r="G25" s="17">
        <f t="shared" si="0"/>
        <v>58024</v>
      </c>
      <c r="H25" s="16">
        <v>333249</v>
      </c>
      <c r="I25" s="17">
        <f t="shared" si="1"/>
        <v>329816.53999999998</v>
      </c>
      <c r="J25" s="18">
        <f t="shared" ref="J25" si="10">ROUND(I25*0.2,2)</f>
        <v>65963.31</v>
      </c>
      <c r="K25" s="18">
        <f t="shared" ref="K25" si="11">I25+J25</f>
        <v>395779.85</v>
      </c>
      <c r="L25" s="19" t="s">
        <v>80</v>
      </c>
      <c r="M25" s="21"/>
      <c r="N25" s="17"/>
      <c r="O25" s="17"/>
    </row>
    <row r="26" spans="1:15" s="20" customFormat="1" ht="53.25" customHeight="1" x14ac:dyDescent="0.2">
      <c r="A26" s="14">
        <v>22</v>
      </c>
      <c r="B26" s="15">
        <v>3365</v>
      </c>
      <c r="C26" s="15"/>
      <c r="D26" s="79" t="s">
        <v>105</v>
      </c>
      <c r="E26" s="78" t="s">
        <v>104</v>
      </c>
      <c r="F26" s="16">
        <v>102502</v>
      </c>
      <c r="G26" s="17">
        <f t="shared" si="0"/>
        <v>107217</v>
      </c>
      <c r="H26" s="16">
        <v>1995899</v>
      </c>
      <c r="I26" s="17">
        <f t="shared" si="1"/>
        <v>1975341.24</v>
      </c>
      <c r="J26" s="18">
        <f t="shared" ref="J26" si="12">ROUND(I26*0.2,2)</f>
        <v>395068.25</v>
      </c>
      <c r="K26" s="18">
        <f t="shared" ref="K26" si="13">I26+J26</f>
        <v>2370409.4900000002</v>
      </c>
      <c r="L26" s="19" t="s">
        <v>103</v>
      </c>
      <c r="M26" s="21"/>
      <c r="N26" s="17"/>
      <c r="O26" s="17"/>
    </row>
    <row r="27" spans="1:15" s="20" customFormat="1" ht="70.5" customHeight="1" x14ac:dyDescent="0.2">
      <c r="A27" s="14">
        <v>23</v>
      </c>
      <c r="B27" s="15">
        <v>3366</v>
      </c>
      <c r="C27" s="15"/>
      <c r="D27" s="79" t="s">
        <v>70</v>
      </c>
      <c r="E27" s="78" t="s">
        <v>69</v>
      </c>
      <c r="F27" s="16">
        <v>6513</v>
      </c>
      <c r="G27" s="17">
        <f t="shared" si="0"/>
        <v>6813</v>
      </c>
      <c r="H27" s="16">
        <v>144350</v>
      </c>
      <c r="I27" s="17">
        <f t="shared" si="1"/>
        <v>142863.20000000001</v>
      </c>
      <c r="J27" s="18">
        <f t="shared" ref="J27" si="14">ROUND(I27*0.2,2)</f>
        <v>28572.639999999999</v>
      </c>
      <c r="K27" s="18">
        <f t="shared" ref="K27" si="15">I27+J27</f>
        <v>171435.84000000003</v>
      </c>
      <c r="L27" s="19" t="s">
        <v>103</v>
      </c>
      <c r="M27" s="21"/>
      <c r="N27" s="17"/>
      <c r="O27" s="17"/>
    </row>
    <row r="28" spans="1:15" s="20" customFormat="1" ht="43.5" customHeight="1" x14ac:dyDescent="0.2">
      <c r="A28" s="14">
        <v>24</v>
      </c>
      <c r="B28" s="15">
        <v>3367</v>
      </c>
      <c r="C28" s="15"/>
      <c r="D28" s="79" t="s">
        <v>107</v>
      </c>
      <c r="E28" s="78" t="s">
        <v>106</v>
      </c>
      <c r="F28" s="16">
        <v>12991</v>
      </c>
      <c r="G28" s="17">
        <f t="shared" si="0"/>
        <v>13589</v>
      </c>
      <c r="H28" s="16">
        <v>312024</v>
      </c>
      <c r="I28" s="17">
        <f t="shared" si="1"/>
        <v>308810.15000000002</v>
      </c>
      <c r="J28" s="18">
        <f t="shared" ref="J28" si="16">ROUND(I28*0.2,2)</f>
        <v>61762.03</v>
      </c>
      <c r="K28" s="18">
        <f t="shared" ref="K28" si="17">I28+J28</f>
        <v>370572.18000000005</v>
      </c>
      <c r="L28" s="19" t="s">
        <v>103</v>
      </c>
      <c r="M28" s="21"/>
      <c r="N28" s="17"/>
      <c r="O28" s="17"/>
    </row>
    <row r="29" spans="1:15" s="20" customFormat="1" ht="54.75" customHeight="1" x14ac:dyDescent="0.2">
      <c r="A29" s="14">
        <v>25</v>
      </c>
      <c r="B29" s="15">
        <v>3368</v>
      </c>
      <c r="C29" s="15"/>
      <c r="D29" s="79" t="s">
        <v>86</v>
      </c>
      <c r="E29" s="78" t="s">
        <v>85</v>
      </c>
      <c r="F29" s="16">
        <v>182677</v>
      </c>
      <c r="G29" s="17">
        <f t="shared" si="0"/>
        <v>191080</v>
      </c>
      <c r="H29" s="16">
        <v>2634215</v>
      </c>
      <c r="I29" s="17">
        <f t="shared" si="1"/>
        <v>2607082.59</v>
      </c>
      <c r="J29" s="18">
        <f t="shared" ref="J29" si="18">ROUND(I29*0.2,2)</f>
        <v>521416.52</v>
      </c>
      <c r="K29" s="18">
        <f t="shared" ref="K29" si="19">I29+J29</f>
        <v>3128499.11</v>
      </c>
      <c r="L29" s="19" t="s">
        <v>103</v>
      </c>
      <c r="M29" s="21"/>
      <c r="N29" s="17"/>
      <c r="O29" s="17"/>
    </row>
    <row r="30" spans="1:15" s="20" customFormat="1" ht="61.5" customHeight="1" x14ac:dyDescent="0.2">
      <c r="A30" s="14">
        <v>26</v>
      </c>
      <c r="B30" s="15">
        <v>3369</v>
      </c>
      <c r="C30" s="15"/>
      <c r="D30" s="79" t="s">
        <v>109</v>
      </c>
      <c r="E30" s="78" t="s">
        <v>108</v>
      </c>
      <c r="F30" s="16">
        <v>-2182</v>
      </c>
      <c r="G30" s="17">
        <f t="shared" si="0"/>
        <v>-2282</v>
      </c>
      <c r="H30" s="16">
        <v>-19091</v>
      </c>
      <c r="I30" s="17">
        <f t="shared" si="1"/>
        <v>-18894.36</v>
      </c>
      <c r="J30" s="18">
        <f t="shared" ref="J30" si="20">ROUND(I30*0.2,2)</f>
        <v>-3778.87</v>
      </c>
      <c r="K30" s="18">
        <f t="shared" ref="K30" si="21">I30+J30</f>
        <v>-22673.23</v>
      </c>
      <c r="L30" s="19" t="s">
        <v>75</v>
      </c>
      <c r="M30" s="21"/>
      <c r="N30" s="17"/>
      <c r="O30" s="17"/>
    </row>
    <row r="31" spans="1:15" s="20" customFormat="1" ht="53.25" customHeight="1" x14ac:dyDescent="0.2">
      <c r="A31" s="14">
        <v>27</v>
      </c>
      <c r="B31" s="15">
        <v>3370</v>
      </c>
      <c r="C31" s="15"/>
      <c r="D31" s="79" t="s">
        <v>110</v>
      </c>
      <c r="E31" s="78" t="s">
        <v>111</v>
      </c>
      <c r="F31" s="16">
        <v>23238</v>
      </c>
      <c r="G31" s="17">
        <f t="shared" si="0"/>
        <v>24307</v>
      </c>
      <c r="H31" s="16">
        <v>560904</v>
      </c>
      <c r="I31" s="17">
        <f t="shared" si="1"/>
        <v>555126.68999999994</v>
      </c>
      <c r="J31" s="18">
        <f t="shared" ref="J31" si="22">ROUND(I31*0.2,2)</f>
        <v>111025.34</v>
      </c>
      <c r="K31" s="18">
        <f t="shared" ref="K31" si="23">I31+J31</f>
        <v>666152.02999999991</v>
      </c>
      <c r="L31" s="19" t="s">
        <v>29</v>
      </c>
      <c r="M31" s="21"/>
      <c r="N31" s="17"/>
      <c r="O31" s="17"/>
    </row>
    <row r="32" spans="1:15" s="20" customFormat="1" ht="53.25" customHeight="1" x14ac:dyDescent="0.2">
      <c r="A32" s="14">
        <v>28</v>
      </c>
      <c r="B32" s="15">
        <v>3371</v>
      </c>
      <c r="C32" s="15"/>
      <c r="D32" s="79" t="s">
        <v>114</v>
      </c>
      <c r="E32" s="78" t="s">
        <v>113</v>
      </c>
      <c r="F32" s="16">
        <v>38873</v>
      </c>
      <c r="G32" s="17">
        <f t="shared" si="0"/>
        <v>40661</v>
      </c>
      <c r="H32" s="16">
        <v>585580</v>
      </c>
      <c r="I32" s="17">
        <f t="shared" si="1"/>
        <v>579548.53</v>
      </c>
      <c r="J32" s="18">
        <f t="shared" ref="J32" si="24">ROUND(I32*0.2,2)</f>
        <v>115909.71</v>
      </c>
      <c r="K32" s="18">
        <f t="shared" ref="K32" si="25">I32+J32</f>
        <v>695458.24</v>
      </c>
      <c r="L32" s="19" t="s">
        <v>112</v>
      </c>
      <c r="M32" s="21"/>
      <c r="N32" s="17"/>
      <c r="O32" s="17"/>
    </row>
    <row r="33" spans="1:15" s="20" customFormat="1" ht="53.25" customHeight="1" x14ac:dyDescent="0.2">
      <c r="A33" s="14">
        <v>29</v>
      </c>
      <c r="B33" s="15">
        <v>3372</v>
      </c>
      <c r="C33" s="15"/>
      <c r="D33" s="79" t="s">
        <v>116</v>
      </c>
      <c r="E33" s="78" t="s">
        <v>117</v>
      </c>
      <c r="F33" s="16">
        <v>7123</v>
      </c>
      <c r="G33" s="17">
        <f t="shared" si="0"/>
        <v>7451</v>
      </c>
      <c r="H33" s="16">
        <v>113452</v>
      </c>
      <c r="I33" s="17">
        <f t="shared" si="1"/>
        <v>112283.44</v>
      </c>
      <c r="J33" s="18">
        <f t="shared" ref="J33" si="26">ROUND(I33*0.2,2)</f>
        <v>22456.69</v>
      </c>
      <c r="K33" s="18">
        <f t="shared" ref="K33" si="27">I33+J33</f>
        <v>134740.13</v>
      </c>
      <c r="L33" s="19" t="s">
        <v>115</v>
      </c>
      <c r="M33" s="21"/>
      <c r="N33" s="17"/>
      <c r="O33" s="17"/>
    </row>
    <row r="34" spans="1:15" s="20" customFormat="1" ht="68.25" customHeight="1" x14ac:dyDescent="0.2">
      <c r="A34" s="14">
        <v>30</v>
      </c>
      <c r="B34" s="15">
        <v>3373</v>
      </c>
      <c r="C34" s="15"/>
      <c r="D34" s="79" t="s">
        <v>119</v>
      </c>
      <c r="E34" s="78" t="s">
        <v>118</v>
      </c>
      <c r="F34" s="16">
        <v>79254</v>
      </c>
      <c r="G34" s="17">
        <f t="shared" si="0"/>
        <v>82900</v>
      </c>
      <c r="H34" s="16">
        <v>747664</v>
      </c>
      <c r="I34" s="17">
        <f t="shared" si="1"/>
        <v>739963.06</v>
      </c>
      <c r="J34" s="18">
        <f t="shared" ref="J34" si="28">ROUND(I34*0.2,2)</f>
        <v>147992.60999999999</v>
      </c>
      <c r="K34" s="18">
        <f t="shared" ref="K34" si="29">I34+J34</f>
        <v>887955.67</v>
      </c>
      <c r="L34" s="19" t="s">
        <v>115</v>
      </c>
      <c r="M34" s="21"/>
      <c r="N34" s="17"/>
      <c r="O34" s="17"/>
    </row>
    <row r="35" spans="1:15" s="20" customFormat="1" ht="68.25" customHeight="1" x14ac:dyDescent="0.2">
      <c r="A35" s="14">
        <v>31</v>
      </c>
      <c r="B35" s="15">
        <v>3374</v>
      </c>
      <c r="C35" s="15"/>
      <c r="D35" s="79" t="s">
        <v>123</v>
      </c>
      <c r="E35" s="78" t="s">
        <v>122</v>
      </c>
      <c r="F35" s="16">
        <v>94743</v>
      </c>
      <c r="G35" s="17">
        <f t="shared" si="0"/>
        <v>99101</v>
      </c>
      <c r="H35" s="16">
        <v>990461</v>
      </c>
      <c r="I35" s="17">
        <f t="shared" si="1"/>
        <v>980259.25</v>
      </c>
      <c r="J35" s="18">
        <f t="shared" ref="J35" si="30">ROUND(I35*0.2,2)</f>
        <v>196051.85</v>
      </c>
      <c r="K35" s="18">
        <f t="shared" ref="K35" si="31">I35+J35</f>
        <v>1176311.1000000001</v>
      </c>
      <c r="L35" s="19" t="s">
        <v>115</v>
      </c>
      <c r="M35" s="21"/>
      <c r="N35" s="17"/>
      <c r="O35" s="17"/>
    </row>
    <row r="36" spans="1:15" s="20" customFormat="1" ht="68.25" customHeight="1" x14ac:dyDescent="0.2">
      <c r="A36" s="14">
        <v>32</v>
      </c>
      <c r="B36" s="15">
        <v>3375</v>
      </c>
      <c r="C36" s="15"/>
      <c r="D36" s="79" t="s">
        <v>121</v>
      </c>
      <c r="E36" s="78" t="s">
        <v>120</v>
      </c>
      <c r="F36" s="16">
        <v>68345</v>
      </c>
      <c r="G36" s="17">
        <f t="shared" si="0"/>
        <v>71489</v>
      </c>
      <c r="H36" s="16">
        <v>597934</v>
      </c>
      <c r="I36" s="17">
        <f t="shared" si="1"/>
        <v>591775.28</v>
      </c>
      <c r="J36" s="18">
        <f t="shared" ref="J36" si="32">ROUND(I36*0.2,2)</f>
        <v>118355.06</v>
      </c>
      <c r="K36" s="18">
        <f t="shared" ref="K36" si="33">I36+J36</f>
        <v>710130.34000000008</v>
      </c>
      <c r="L36" s="19" t="s">
        <v>115</v>
      </c>
      <c r="M36" s="21"/>
      <c r="N36" s="17"/>
      <c r="O36" s="17"/>
    </row>
    <row r="37" spans="1:15" s="20" customFormat="1" ht="51" customHeight="1" x14ac:dyDescent="0.2">
      <c r="A37" s="14">
        <v>33</v>
      </c>
      <c r="B37" s="15">
        <v>3376</v>
      </c>
      <c r="C37" s="15"/>
      <c r="D37" s="79" t="s">
        <v>125</v>
      </c>
      <c r="E37" s="78" t="s">
        <v>124</v>
      </c>
      <c r="F37" s="16">
        <v>61682</v>
      </c>
      <c r="G37" s="17">
        <f t="shared" si="0"/>
        <v>64519</v>
      </c>
      <c r="H37" s="16">
        <v>570248</v>
      </c>
      <c r="I37" s="17">
        <f t="shared" si="1"/>
        <v>564374.44999999995</v>
      </c>
      <c r="J37" s="18">
        <f t="shared" ref="J37" si="34">ROUND(I37*0.2,2)</f>
        <v>112874.89</v>
      </c>
      <c r="K37" s="18">
        <f t="shared" ref="K37" si="35">I37+J37</f>
        <v>677249.34</v>
      </c>
      <c r="L37" s="19" t="s">
        <v>115</v>
      </c>
      <c r="M37" s="21"/>
      <c r="N37" s="17"/>
      <c r="O37" s="17"/>
    </row>
    <row r="38" spans="1:15" s="20" customFormat="1" ht="51" customHeight="1" x14ac:dyDescent="0.2">
      <c r="A38" s="14">
        <v>34</v>
      </c>
      <c r="B38" s="15">
        <v>3377</v>
      </c>
      <c r="C38" s="15"/>
      <c r="D38" s="79" t="s">
        <v>127</v>
      </c>
      <c r="E38" s="78" t="s">
        <v>126</v>
      </c>
      <c r="F38" s="16">
        <v>5772</v>
      </c>
      <c r="G38" s="17">
        <f t="shared" si="0"/>
        <v>6038</v>
      </c>
      <c r="H38" s="16">
        <v>84677</v>
      </c>
      <c r="I38" s="17">
        <f t="shared" si="1"/>
        <v>83804.83</v>
      </c>
      <c r="J38" s="18">
        <f t="shared" ref="J38" si="36">ROUND(I38*0.2,2)</f>
        <v>16760.97</v>
      </c>
      <c r="K38" s="18">
        <f t="shared" ref="K38" si="37">I38+J38</f>
        <v>100565.8</v>
      </c>
      <c r="L38" s="19" t="s">
        <v>115</v>
      </c>
      <c r="M38" s="21"/>
      <c r="N38" s="17"/>
      <c r="O38" s="17"/>
    </row>
    <row r="39" spans="1:15" s="20" customFormat="1" ht="50.25" customHeight="1" x14ac:dyDescent="0.2">
      <c r="A39" s="14">
        <v>35</v>
      </c>
      <c r="B39" s="15">
        <v>3378</v>
      </c>
      <c r="C39" s="15"/>
      <c r="D39" s="79" t="s">
        <v>129</v>
      </c>
      <c r="E39" s="78" t="s">
        <v>128</v>
      </c>
      <c r="F39" s="16">
        <v>5521</v>
      </c>
      <c r="G39" s="17">
        <f t="shared" si="0"/>
        <v>5775</v>
      </c>
      <c r="H39" s="16">
        <v>83864</v>
      </c>
      <c r="I39" s="17">
        <f t="shared" si="1"/>
        <v>83000.2</v>
      </c>
      <c r="J39" s="18">
        <f t="shared" ref="J39" si="38">ROUND(I39*0.2,2)</f>
        <v>16600.04</v>
      </c>
      <c r="K39" s="18">
        <f t="shared" ref="K39" si="39">I39+J39</f>
        <v>99600.239999999991</v>
      </c>
      <c r="L39" s="19" t="s">
        <v>115</v>
      </c>
      <c r="M39" s="21"/>
      <c r="N39" s="17"/>
      <c r="O39" s="17"/>
    </row>
    <row r="40" spans="1:15" s="20" customFormat="1" ht="72" customHeight="1" x14ac:dyDescent="0.2">
      <c r="A40" s="14">
        <v>36</v>
      </c>
      <c r="B40" s="15">
        <v>3379</v>
      </c>
      <c r="C40" s="15"/>
      <c r="D40" s="79" t="s">
        <v>131</v>
      </c>
      <c r="E40" s="78" t="s">
        <v>130</v>
      </c>
      <c r="F40" s="84">
        <v>472</v>
      </c>
      <c r="G40" s="17">
        <f t="shared" si="0"/>
        <v>494</v>
      </c>
      <c r="H40" s="16">
        <v>6147</v>
      </c>
      <c r="I40" s="17">
        <f t="shared" si="1"/>
        <v>6083.69</v>
      </c>
      <c r="J40" s="18">
        <f t="shared" ref="J40" si="40">ROUND(I40*0.2,2)</f>
        <v>1216.74</v>
      </c>
      <c r="K40" s="18">
        <f t="shared" ref="K40" si="41">I40+J40</f>
        <v>7300.4299999999994</v>
      </c>
      <c r="L40" s="19" t="s">
        <v>115</v>
      </c>
      <c r="M40" s="21"/>
      <c r="N40" s="17"/>
      <c r="O40" s="17"/>
    </row>
    <row r="41" spans="1:15" s="20" customFormat="1" ht="72" customHeight="1" x14ac:dyDescent="0.2">
      <c r="A41" s="14">
        <v>37</v>
      </c>
      <c r="B41" s="15">
        <v>3380</v>
      </c>
      <c r="C41" s="15"/>
      <c r="D41" s="79" t="s">
        <v>132</v>
      </c>
      <c r="E41" s="78" t="s">
        <v>133</v>
      </c>
      <c r="F41" s="16">
        <v>856</v>
      </c>
      <c r="G41" s="17">
        <f t="shared" si="0"/>
        <v>895</v>
      </c>
      <c r="H41" s="16">
        <v>6501</v>
      </c>
      <c r="I41" s="17">
        <f t="shared" si="1"/>
        <v>6434.04</v>
      </c>
      <c r="J41" s="18">
        <f t="shared" ref="J41" si="42">ROUND(I41*0.2,2)</f>
        <v>1286.81</v>
      </c>
      <c r="K41" s="18">
        <f t="shared" ref="K41" si="43">I41+J41</f>
        <v>7720.85</v>
      </c>
      <c r="L41" s="19" t="s">
        <v>115</v>
      </c>
      <c r="M41" s="21"/>
      <c r="N41" s="17"/>
      <c r="O41" s="17"/>
    </row>
    <row r="42" spans="1:15" s="20" customFormat="1" ht="72" customHeight="1" x14ac:dyDescent="0.2">
      <c r="A42" s="14">
        <v>38</v>
      </c>
      <c r="B42" s="15">
        <v>3381</v>
      </c>
      <c r="C42" s="15"/>
      <c r="D42" s="79" t="s">
        <v>135</v>
      </c>
      <c r="E42" s="78" t="s">
        <v>134</v>
      </c>
      <c r="F42" s="16">
        <v>801323</v>
      </c>
      <c r="G42" s="17">
        <f t="shared" si="0"/>
        <v>838184</v>
      </c>
      <c r="H42" s="16">
        <v>6754523</v>
      </c>
      <c r="I42" s="17">
        <f t="shared" si="1"/>
        <v>6684951.4100000001</v>
      </c>
      <c r="J42" s="18">
        <f t="shared" ref="J42" si="44">ROUND(I42*0.2,2)</f>
        <v>1336990.28</v>
      </c>
      <c r="K42" s="18">
        <f t="shared" ref="K42" si="45">I42+J42</f>
        <v>8021941.6900000004</v>
      </c>
      <c r="L42" s="19" t="s">
        <v>115</v>
      </c>
      <c r="M42" s="21"/>
      <c r="N42" s="17"/>
      <c r="O42" s="17"/>
    </row>
    <row r="43" spans="1:15" s="20" customFormat="1" ht="60" customHeight="1" x14ac:dyDescent="0.2">
      <c r="A43" s="14">
        <v>39</v>
      </c>
      <c r="B43" s="15">
        <v>3382</v>
      </c>
      <c r="C43" s="15"/>
      <c r="D43" s="79" t="s">
        <v>136</v>
      </c>
      <c r="E43" s="78" t="s">
        <v>137</v>
      </c>
      <c r="F43" s="16">
        <v>229140</v>
      </c>
      <c r="G43" s="17">
        <f t="shared" si="0"/>
        <v>239680</v>
      </c>
      <c r="H43" s="16">
        <v>2305662</v>
      </c>
      <c r="I43" s="17">
        <f t="shared" ref="I43" si="46">ROUND(H43*0.9897,2)</f>
        <v>2281913.6800000002</v>
      </c>
      <c r="J43" s="18">
        <f t="shared" ref="J43" si="47">ROUND(I43*0.2,2)</f>
        <v>456382.74</v>
      </c>
      <c r="K43" s="18">
        <f t="shared" ref="K43" si="48">I43+J43</f>
        <v>2738296.42</v>
      </c>
      <c r="L43" s="19" t="s">
        <v>115</v>
      </c>
      <c r="M43" s="21"/>
      <c r="N43" s="17"/>
      <c r="O43" s="17"/>
    </row>
    <row r="44" spans="1:15" s="20" customFormat="1" ht="60" customHeight="1" x14ac:dyDescent="0.2">
      <c r="A44" s="14">
        <v>40</v>
      </c>
      <c r="B44" s="15">
        <v>3383</v>
      </c>
      <c r="C44" s="15"/>
      <c r="D44" s="79" t="s">
        <v>138</v>
      </c>
      <c r="E44" s="78" t="s">
        <v>139</v>
      </c>
      <c r="F44" s="16">
        <v>-7823</v>
      </c>
      <c r="G44" s="17">
        <f t="shared" si="0"/>
        <v>-8183</v>
      </c>
      <c r="H44" s="16">
        <v>-99808</v>
      </c>
      <c r="I44" s="17">
        <f t="shared" ref="I44:I45" si="49">ROUND(H44*0.9897,2)</f>
        <v>-98779.98</v>
      </c>
      <c r="J44" s="18">
        <f t="shared" ref="J44:J45" si="50">ROUND(I44*0.2,2)</f>
        <v>-19756</v>
      </c>
      <c r="K44" s="18">
        <f t="shared" ref="K44:K45" si="51">I44+J44</f>
        <v>-118535.98</v>
      </c>
      <c r="L44" s="19" t="s">
        <v>115</v>
      </c>
      <c r="M44" s="21"/>
      <c r="N44" s="17"/>
      <c r="O44" s="17"/>
    </row>
    <row r="45" spans="1:15" s="20" customFormat="1" ht="60" customHeight="1" x14ac:dyDescent="0.2">
      <c r="A45" s="14">
        <v>41</v>
      </c>
      <c r="B45" s="15">
        <v>3384</v>
      </c>
      <c r="C45" s="15"/>
      <c r="D45" s="79" t="s">
        <v>140</v>
      </c>
      <c r="E45" s="78" t="s">
        <v>141</v>
      </c>
      <c r="F45" s="16">
        <v>-521</v>
      </c>
      <c r="G45" s="17">
        <f t="shared" si="0"/>
        <v>-545</v>
      </c>
      <c r="H45" s="16">
        <v>-5677</v>
      </c>
      <c r="I45" s="17">
        <f t="shared" si="49"/>
        <v>-5618.53</v>
      </c>
      <c r="J45" s="18">
        <f t="shared" si="50"/>
        <v>-1123.71</v>
      </c>
      <c r="K45" s="18">
        <f t="shared" si="51"/>
        <v>-6742.24</v>
      </c>
      <c r="L45" s="19" t="s">
        <v>115</v>
      </c>
      <c r="M45" s="21"/>
      <c r="N45" s="17"/>
      <c r="O45" s="17"/>
    </row>
    <row r="46" spans="1:15" s="20" customFormat="1" ht="57" customHeight="1" x14ac:dyDescent="0.2">
      <c r="A46" s="14">
        <v>42</v>
      </c>
      <c r="B46" s="15">
        <v>3385</v>
      </c>
      <c r="C46" s="15"/>
      <c r="D46" s="79" t="s">
        <v>142</v>
      </c>
      <c r="E46" s="78" t="s">
        <v>143</v>
      </c>
      <c r="F46" s="16">
        <v>2300</v>
      </c>
      <c r="G46" s="17">
        <f t="shared" si="0"/>
        <v>2406</v>
      </c>
      <c r="H46" s="16">
        <v>23498</v>
      </c>
      <c r="I46" s="17">
        <f t="shared" ref="I46" si="52">ROUND(H46*0.9897,2)</f>
        <v>23255.97</v>
      </c>
      <c r="J46" s="18">
        <f t="shared" ref="J46" si="53">ROUND(I46*0.2,2)</f>
        <v>4651.1899999999996</v>
      </c>
      <c r="K46" s="18">
        <f t="shared" ref="K46" si="54">I46+J46</f>
        <v>27907.16</v>
      </c>
      <c r="L46" s="19" t="s">
        <v>112</v>
      </c>
      <c r="M46" s="21"/>
      <c r="N46" s="17"/>
      <c r="O46" s="17"/>
    </row>
    <row r="47" spans="1:15" s="20" customFormat="1" ht="57.75" customHeight="1" x14ac:dyDescent="0.2">
      <c r="A47" s="14">
        <v>43</v>
      </c>
      <c r="B47" s="15">
        <v>3386</v>
      </c>
      <c r="C47" s="15"/>
      <c r="D47" s="79" t="s">
        <v>145</v>
      </c>
      <c r="E47" s="78" t="s">
        <v>144</v>
      </c>
      <c r="F47" s="16">
        <v>30</v>
      </c>
      <c r="G47" s="17">
        <f t="shared" si="0"/>
        <v>31</v>
      </c>
      <c r="H47" s="16">
        <v>493</v>
      </c>
      <c r="I47" s="17">
        <f t="shared" ref="I47" si="55">ROUND(H47*0.9897,2)</f>
        <v>487.92</v>
      </c>
      <c r="J47" s="18">
        <f t="shared" ref="J47" si="56">ROUND(I47*0.2,2)</f>
        <v>97.58</v>
      </c>
      <c r="K47" s="18">
        <f t="shared" ref="K47" si="57">I47+J47</f>
        <v>585.5</v>
      </c>
      <c r="L47" s="19" t="s">
        <v>112</v>
      </c>
      <c r="M47" s="21"/>
      <c r="N47" s="17"/>
      <c r="O47" s="17"/>
    </row>
    <row r="48" spans="1:15" s="20" customFormat="1" ht="57.75" customHeight="1" x14ac:dyDescent="0.2">
      <c r="A48" s="14">
        <v>44</v>
      </c>
      <c r="B48" s="15">
        <v>3387</v>
      </c>
      <c r="C48" s="15"/>
      <c r="D48" s="79" t="s">
        <v>147</v>
      </c>
      <c r="E48" s="78" t="s">
        <v>146</v>
      </c>
      <c r="F48" s="16">
        <v>7</v>
      </c>
      <c r="G48" s="17">
        <f t="shared" si="0"/>
        <v>7</v>
      </c>
      <c r="H48" s="16">
        <v>111</v>
      </c>
      <c r="I48" s="17">
        <f t="shared" ref="I48" si="58">ROUND(H48*0.9897,2)</f>
        <v>109.86</v>
      </c>
      <c r="J48" s="18">
        <f t="shared" ref="J48" si="59">ROUND(I48*0.2,2)</f>
        <v>21.97</v>
      </c>
      <c r="K48" s="18">
        <f t="shared" ref="K48" si="60">I48+J48</f>
        <v>131.82999999999998</v>
      </c>
      <c r="L48" s="19" t="s">
        <v>112</v>
      </c>
      <c r="M48" s="21"/>
      <c r="N48" s="17"/>
      <c r="O48" s="17"/>
    </row>
    <row r="49" spans="1:15" s="20" customFormat="1" ht="56.25" customHeight="1" x14ac:dyDescent="0.2">
      <c r="A49" s="14">
        <v>45</v>
      </c>
      <c r="B49" s="15">
        <v>3388</v>
      </c>
      <c r="C49" s="15"/>
      <c r="D49" s="79" t="s">
        <v>149</v>
      </c>
      <c r="E49" s="78" t="s">
        <v>148</v>
      </c>
      <c r="F49" s="16">
        <v>783</v>
      </c>
      <c r="G49" s="17">
        <f t="shared" si="0"/>
        <v>819</v>
      </c>
      <c r="H49" s="16">
        <v>8218</v>
      </c>
      <c r="I49" s="17">
        <f t="shared" ref="I49" si="61">ROUND(H49*0.9897,2)</f>
        <v>8133.35</v>
      </c>
      <c r="J49" s="18">
        <f t="shared" ref="J49" si="62">ROUND(I49*0.2,2)</f>
        <v>1626.67</v>
      </c>
      <c r="K49" s="18">
        <f t="shared" ref="K49" si="63">I49+J49</f>
        <v>9760.02</v>
      </c>
      <c r="L49" s="19" t="s">
        <v>112</v>
      </c>
      <c r="M49" s="21"/>
      <c r="N49" s="17"/>
      <c r="O49" s="17"/>
    </row>
    <row r="50" spans="1:15" s="20" customFormat="1" ht="57.75" customHeight="1" x14ac:dyDescent="0.2">
      <c r="A50" s="14">
        <v>46</v>
      </c>
      <c r="B50" s="15">
        <v>3389</v>
      </c>
      <c r="C50" s="15"/>
      <c r="D50" s="79" t="s">
        <v>151</v>
      </c>
      <c r="E50" s="78" t="s">
        <v>150</v>
      </c>
      <c r="F50" s="16">
        <v>6</v>
      </c>
      <c r="G50" s="17">
        <f t="shared" si="0"/>
        <v>6</v>
      </c>
      <c r="H50" s="16">
        <v>104</v>
      </c>
      <c r="I50" s="17">
        <f t="shared" ref="I50" si="64">ROUND(H50*0.9897,2)</f>
        <v>102.93</v>
      </c>
      <c r="J50" s="18">
        <f t="shared" ref="J50" si="65">ROUND(I50*0.2,2)</f>
        <v>20.59</v>
      </c>
      <c r="K50" s="18">
        <f t="shared" ref="K50" si="66">I50+J50</f>
        <v>123.52000000000001</v>
      </c>
      <c r="L50" s="19" t="s">
        <v>112</v>
      </c>
      <c r="M50" s="21"/>
      <c r="N50" s="17"/>
      <c r="O50" s="17"/>
    </row>
    <row r="51" spans="1:15" s="20" customFormat="1" ht="57.75" customHeight="1" x14ac:dyDescent="0.2">
      <c r="A51" s="14">
        <v>47</v>
      </c>
      <c r="B51" s="15">
        <v>3390</v>
      </c>
      <c r="C51" s="15"/>
      <c r="D51" s="79" t="s">
        <v>153</v>
      </c>
      <c r="E51" s="78" t="s">
        <v>152</v>
      </c>
      <c r="F51" s="16">
        <v>12494</v>
      </c>
      <c r="G51" s="17">
        <f t="shared" si="0"/>
        <v>13069</v>
      </c>
      <c r="H51" s="16">
        <v>164118</v>
      </c>
      <c r="I51" s="17">
        <f t="shared" ref="I51" si="67">ROUND(H51*0.9897,2)</f>
        <v>162427.57999999999</v>
      </c>
      <c r="J51" s="18">
        <f t="shared" ref="J51" si="68">ROUND(I51*0.2,2)</f>
        <v>32485.52</v>
      </c>
      <c r="K51" s="18">
        <f t="shared" ref="K51" si="69">I51+J51</f>
        <v>194913.09999999998</v>
      </c>
      <c r="L51" s="19" t="s">
        <v>112</v>
      </c>
      <c r="M51" s="21"/>
      <c r="N51" s="17"/>
      <c r="O51" s="17"/>
    </row>
    <row r="52" spans="1:15" s="20" customFormat="1" ht="50.25" customHeight="1" x14ac:dyDescent="0.2">
      <c r="A52" s="14">
        <v>48</v>
      </c>
      <c r="B52" s="15">
        <v>3391</v>
      </c>
      <c r="C52" s="15"/>
      <c r="D52" s="79" t="s">
        <v>155</v>
      </c>
      <c r="E52" s="78" t="s">
        <v>154</v>
      </c>
      <c r="F52" s="16">
        <v>78</v>
      </c>
      <c r="G52" s="17">
        <f t="shared" si="0"/>
        <v>82</v>
      </c>
      <c r="H52" s="16">
        <v>1515</v>
      </c>
      <c r="I52" s="17">
        <f t="shared" ref="I52" si="70">ROUND(H52*0.9897,2)</f>
        <v>1499.4</v>
      </c>
      <c r="J52" s="18">
        <f t="shared" ref="J52" si="71">ROUND(I52*0.2,2)</f>
        <v>299.88</v>
      </c>
      <c r="K52" s="18">
        <f t="shared" ref="K52" si="72">I52+J52</f>
        <v>1799.2800000000002</v>
      </c>
      <c r="L52" s="19" t="s">
        <v>156</v>
      </c>
      <c r="M52" s="21"/>
      <c r="N52" s="17"/>
      <c r="O52" s="17"/>
    </row>
    <row r="53" spans="1:15" s="20" customFormat="1" ht="57.75" customHeight="1" x14ac:dyDescent="0.2">
      <c r="A53" s="14">
        <v>49</v>
      </c>
      <c r="B53" s="15">
        <v>3392</v>
      </c>
      <c r="C53" s="15"/>
      <c r="D53" s="79" t="s">
        <v>158</v>
      </c>
      <c r="E53" s="78" t="s">
        <v>157</v>
      </c>
      <c r="F53" s="16">
        <v>1600</v>
      </c>
      <c r="G53" s="17">
        <f t="shared" si="0"/>
        <v>1674</v>
      </c>
      <c r="H53" s="16">
        <v>16458</v>
      </c>
      <c r="I53" s="17">
        <f t="shared" ref="I53" si="73">ROUND(H53*0.9897,2)</f>
        <v>16288.48</v>
      </c>
      <c r="J53" s="18">
        <f t="shared" ref="J53" si="74">ROUND(I53*0.2,2)</f>
        <v>3257.7</v>
      </c>
      <c r="K53" s="18">
        <f t="shared" ref="K53" si="75">I53+J53</f>
        <v>19546.18</v>
      </c>
      <c r="L53" s="19" t="s">
        <v>156</v>
      </c>
      <c r="M53" s="21"/>
      <c r="N53" s="17"/>
      <c r="O53" s="17"/>
    </row>
    <row r="54" spans="1:15" s="20" customFormat="1" ht="70.5" customHeight="1" x14ac:dyDescent="0.2">
      <c r="A54" s="14">
        <v>50</v>
      </c>
      <c r="B54" s="15">
        <v>3393</v>
      </c>
      <c r="C54" s="15"/>
      <c r="D54" s="79" t="s">
        <v>160</v>
      </c>
      <c r="E54" s="78" t="s">
        <v>159</v>
      </c>
      <c r="F54" s="16">
        <v>1351</v>
      </c>
      <c r="G54" s="17">
        <f t="shared" si="0"/>
        <v>1413</v>
      </c>
      <c r="H54" s="16">
        <v>17593</v>
      </c>
      <c r="I54" s="17">
        <f t="shared" ref="I54" si="76">ROUND(H54*0.9897,2)</f>
        <v>17411.79</v>
      </c>
      <c r="J54" s="18">
        <f t="shared" ref="J54" si="77">ROUND(I54*0.2,2)</f>
        <v>3482.36</v>
      </c>
      <c r="K54" s="18">
        <f t="shared" ref="K54" si="78">I54+J54</f>
        <v>20894.150000000001</v>
      </c>
      <c r="L54" s="19" t="s">
        <v>156</v>
      </c>
      <c r="M54" s="21"/>
      <c r="N54" s="17"/>
      <c r="O54" s="17"/>
    </row>
    <row r="55" spans="1:15" s="20" customFormat="1" ht="57.75" customHeight="1" x14ac:dyDescent="0.2">
      <c r="A55" s="14">
        <v>51</v>
      </c>
      <c r="B55" s="15">
        <v>3394</v>
      </c>
      <c r="C55" s="15"/>
      <c r="D55" s="79" t="s">
        <v>162</v>
      </c>
      <c r="E55" s="78" t="s">
        <v>161</v>
      </c>
      <c r="F55" s="16">
        <v>400</v>
      </c>
      <c r="G55" s="17">
        <f t="shared" si="0"/>
        <v>418</v>
      </c>
      <c r="H55" s="16">
        <v>4526</v>
      </c>
      <c r="I55" s="17">
        <f t="shared" ref="I55:I56" si="79">ROUND(H55*0.9897,2)</f>
        <v>4479.38</v>
      </c>
      <c r="J55" s="18">
        <f t="shared" ref="J55:J56" si="80">ROUND(I55*0.2,2)</f>
        <v>895.88</v>
      </c>
      <c r="K55" s="18">
        <f t="shared" ref="K55:K56" si="81">I55+J55</f>
        <v>5375.26</v>
      </c>
      <c r="L55" s="19" t="s">
        <v>156</v>
      </c>
      <c r="M55" s="21"/>
      <c r="N55" s="17"/>
      <c r="O55" s="17"/>
    </row>
    <row r="56" spans="1:15" s="20" customFormat="1" ht="48" customHeight="1" x14ac:dyDescent="0.2">
      <c r="A56" s="14">
        <v>52</v>
      </c>
      <c r="B56" s="15">
        <v>3395</v>
      </c>
      <c r="C56" s="15"/>
      <c r="D56" s="79" t="s">
        <v>105</v>
      </c>
      <c r="E56" s="78" t="s">
        <v>104</v>
      </c>
      <c r="F56" s="16">
        <v>58693</v>
      </c>
      <c r="G56" s="17">
        <f t="shared" si="0"/>
        <v>61393</v>
      </c>
      <c r="H56" s="16">
        <v>525075</v>
      </c>
      <c r="I56" s="17">
        <f t="shared" si="79"/>
        <v>519666.73</v>
      </c>
      <c r="J56" s="18">
        <f t="shared" si="80"/>
        <v>103933.35</v>
      </c>
      <c r="K56" s="18">
        <f t="shared" si="81"/>
        <v>623600.07999999996</v>
      </c>
      <c r="L56" s="19" t="s">
        <v>115</v>
      </c>
      <c r="M56" s="21"/>
      <c r="N56" s="17"/>
      <c r="O56" s="17"/>
    </row>
    <row r="57" spans="1:15" s="20" customFormat="1" ht="53.25" customHeight="1" x14ac:dyDescent="0.2">
      <c r="A57" s="14">
        <v>53</v>
      </c>
      <c r="B57" s="15">
        <v>3396</v>
      </c>
      <c r="C57" s="15"/>
      <c r="D57" s="79" t="s">
        <v>164</v>
      </c>
      <c r="E57" s="78" t="s">
        <v>163</v>
      </c>
      <c r="F57" s="16">
        <v>222450</v>
      </c>
      <c r="G57" s="17">
        <f t="shared" si="0"/>
        <v>232683</v>
      </c>
      <c r="H57" s="16">
        <v>2096504</v>
      </c>
      <c r="I57" s="17">
        <f t="shared" ref="I57" si="82">ROUND(H57*0.9897,2)</f>
        <v>2074910.01</v>
      </c>
      <c r="J57" s="18">
        <f t="shared" ref="J57" si="83">ROUND(I57*0.2,2)</f>
        <v>414982</v>
      </c>
      <c r="K57" s="18">
        <f t="shared" ref="K57" si="84">I57+J57</f>
        <v>2489892.0099999998</v>
      </c>
      <c r="L57" s="19" t="s">
        <v>112</v>
      </c>
      <c r="M57" s="21"/>
      <c r="N57" s="17"/>
      <c r="O57" s="17"/>
    </row>
    <row r="58" spans="1:15" s="20" customFormat="1" ht="63" customHeight="1" x14ac:dyDescent="0.2">
      <c r="A58" s="14">
        <v>54</v>
      </c>
      <c r="B58" s="15">
        <v>3397</v>
      </c>
      <c r="C58" s="15"/>
      <c r="D58" s="77" t="s">
        <v>167</v>
      </c>
      <c r="E58" s="78" t="s">
        <v>168</v>
      </c>
      <c r="F58" s="16">
        <v>-42969</v>
      </c>
      <c r="G58" s="17">
        <f t="shared" si="0"/>
        <v>-44946</v>
      </c>
      <c r="H58" s="16">
        <v>-271472</v>
      </c>
      <c r="I58" s="17">
        <f t="shared" ref="I58:I59" si="85">ROUND(H58*0.9897,2)</f>
        <v>-268675.84000000003</v>
      </c>
      <c r="J58" s="18">
        <f t="shared" ref="J58:J59" si="86">ROUND(I58*0.2,2)</f>
        <v>-53735.17</v>
      </c>
      <c r="K58" s="18">
        <f t="shared" ref="K58:K59" si="87">I58+J58</f>
        <v>-322411.01</v>
      </c>
      <c r="L58" s="19" t="s">
        <v>29</v>
      </c>
      <c r="M58" s="21"/>
      <c r="N58" s="17"/>
      <c r="O58" s="17"/>
    </row>
    <row r="59" spans="1:15" s="20" customFormat="1" ht="49.5" customHeight="1" x14ac:dyDescent="0.2">
      <c r="A59" s="14">
        <v>55</v>
      </c>
      <c r="B59" s="15">
        <v>3398</v>
      </c>
      <c r="C59" s="15"/>
      <c r="D59" s="77" t="s">
        <v>169</v>
      </c>
      <c r="E59" s="78" t="s">
        <v>176</v>
      </c>
      <c r="F59" s="84">
        <v>44250</v>
      </c>
      <c r="G59" s="17">
        <f t="shared" si="0"/>
        <v>46286</v>
      </c>
      <c r="H59" s="16">
        <v>717027</v>
      </c>
      <c r="I59" s="17">
        <f t="shared" si="85"/>
        <v>709641.62</v>
      </c>
      <c r="J59" s="18">
        <f t="shared" si="86"/>
        <v>141928.32000000001</v>
      </c>
      <c r="K59" s="18">
        <f t="shared" si="87"/>
        <v>851569.94</v>
      </c>
      <c r="L59" s="19" t="s">
        <v>29</v>
      </c>
      <c r="M59" s="21"/>
      <c r="N59" s="17"/>
      <c r="O59" s="17"/>
    </row>
    <row r="60" spans="1:15" s="20" customFormat="1" ht="53.25" customHeight="1" x14ac:dyDescent="0.2">
      <c r="A60" s="14">
        <v>56</v>
      </c>
      <c r="B60" s="15">
        <v>3399</v>
      </c>
      <c r="C60" s="15"/>
      <c r="D60" s="79" t="s">
        <v>171</v>
      </c>
      <c r="E60" s="78" t="s">
        <v>170</v>
      </c>
      <c r="F60" s="16">
        <v>44596</v>
      </c>
      <c r="G60" s="17">
        <f t="shared" si="0"/>
        <v>46647</v>
      </c>
      <c r="H60" s="16">
        <v>324667</v>
      </c>
      <c r="I60" s="17">
        <f t="shared" ref="I60" si="88">ROUND(H60*0.9897,2)</f>
        <v>321322.93</v>
      </c>
      <c r="J60" s="18">
        <f t="shared" ref="J60" si="89">ROUND(I60*0.2,2)</f>
        <v>64264.59</v>
      </c>
      <c r="K60" s="18">
        <f t="shared" ref="K60" si="90">I60+J60</f>
        <v>385587.52</v>
      </c>
      <c r="L60" s="19" t="s">
        <v>29</v>
      </c>
      <c r="M60" s="21"/>
      <c r="N60" s="17"/>
      <c r="O60" s="17"/>
    </row>
    <row r="61" spans="1:15" s="20" customFormat="1" ht="53.25" customHeight="1" x14ac:dyDescent="0.2">
      <c r="A61" s="14">
        <v>57</v>
      </c>
      <c r="B61" s="15">
        <v>3400</v>
      </c>
      <c r="C61" s="15"/>
      <c r="D61" s="79" t="s">
        <v>173</v>
      </c>
      <c r="E61" s="78" t="s">
        <v>172</v>
      </c>
      <c r="F61" s="16">
        <v>13843</v>
      </c>
      <c r="G61" s="17">
        <f t="shared" ref="G61:G63" si="91">ROUND(F61*1.046,0)</f>
        <v>14480</v>
      </c>
      <c r="H61" s="16">
        <v>212574</v>
      </c>
      <c r="I61" s="17">
        <f t="shared" ref="I61" si="92">ROUND(H61*0.9897,2)</f>
        <v>210384.49</v>
      </c>
      <c r="J61" s="18">
        <f t="shared" ref="J61" si="93">ROUND(I61*0.2,2)</f>
        <v>42076.9</v>
      </c>
      <c r="K61" s="18">
        <f t="shared" ref="K61" si="94">I61+J61</f>
        <v>252461.38999999998</v>
      </c>
      <c r="L61" s="19" t="s">
        <v>29</v>
      </c>
      <c r="M61" s="21"/>
      <c r="N61" s="17"/>
      <c r="O61" s="17"/>
    </row>
    <row r="62" spans="1:15" s="20" customFormat="1" ht="53.25" customHeight="1" x14ac:dyDescent="0.2">
      <c r="A62" s="14">
        <v>58</v>
      </c>
      <c r="B62" s="15">
        <v>3401</v>
      </c>
      <c r="C62" s="15"/>
      <c r="D62" s="79" t="s">
        <v>175</v>
      </c>
      <c r="E62" s="78" t="s">
        <v>174</v>
      </c>
      <c r="F62" s="16">
        <v>25908</v>
      </c>
      <c r="G62" s="17">
        <f t="shared" si="91"/>
        <v>27100</v>
      </c>
      <c r="H62" s="16">
        <v>232504</v>
      </c>
      <c r="I62" s="17">
        <f t="shared" ref="I62:I63" si="95">ROUND(H62*0.9897,2)</f>
        <v>230109.21</v>
      </c>
      <c r="J62" s="18">
        <f t="shared" ref="J62:J63" si="96">ROUND(I62*0.2,2)</f>
        <v>46021.84</v>
      </c>
      <c r="K62" s="18">
        <f t="shared" ref="K62:K63" si="97">I62+J62</f>
        <v>276131.05</v>
      </c>
      <c r="L62" s="19" t="s">
        <v>29</v>
      </c>
      <c r="M62" s="21"/>
      <c r="N62" s="17"/>
      <c r="O62" s="17"/>
    </row>
    <row r="63" spans="1:15" s="20" customFormat="1" ht="53.25" customHeight="1" x14ac:dyDescent="0.2">
      <c r="A63" s="14">
        <v>59</v>
      </c>
      <c r="B63" s="15">
        <v>3402</v>
      </c>
      <c r="C63" s="15"/>
      <c r="D63" s="79" t="s">
        <v>110</v>
      </c>
      <c r="E63" s="78" t="s">
        <v>111</v>
      </c>
      <c r="F63" s="16">
        <v>23238</v>
      </c>
      <c r="G63" s="17">
        <f t="shared" si="91"/>
        <v>24307</v>
      </c>
      <c r="H63" s="16">
        <v>560904</v>
      </c>
      <c r="I63" s="17">
        <f t="shared" si="95"/>
        <v>555126.68999999994</v>
      </c>
      <c r="J63" s="18">
        <f t="shared" si="96"/>
        <v>111025.34</v>
      </c>
      <c r="K63" s="18">
        <f t="shared" si="97"/>
        <v>666152.02999999991</v>
      </c>
      <c r="L63" s="19" t="s">
        <v>29</v>
      </c>
      <c r="M63" s="21"/>
      <c r="N63" s="17"/>
      <c r="O63" s="17"/>
    </row>
    <row r="64" spans="1:15" s="20" customFormat="1" ht="53.25" customHeight="1" x14ac:dyDescent="0.2">
      <c r="A64" s="14"/>
      <c r="B64" s="15"/>
      <c r="C64" s="15"/>
      <c r="D64" s="79"/>
      <c r="E64" s="78"/>
      <c r="F64" s="16"/>
      <c r="G64" s="17">
        <f t="shared" si="0"/>
        <v>0</v>
      </c>
      <c r="H64" s="16"/>
      <c r="I64" s="17">
        <f>H64</f>
        <v>0</v>
      </c>
      <c r="J64" s="18">
        <f t="shared" si="7"/>
        <v>0</v>
      </c>
      <c r="K64" s="18">
        <f t="shared" si="2"/>
        <v>0</v>
      </c>
      <c r="L64" s="19"/>
      <c r="M64" s="21"/>
      <c r="N64" s="17"/>
      <c r="O64" s="17"/>
    </row>
    <row r="65" spans="1:15" s="27" customFormat="1" ht="15.75" customHeight="1" x14ac:dyDescent="0.2">
      <c r="A65" s="22"/>
      <c r="B65" s="23"/>
      <c r="C65" s="23"/>
      <c r="D65" s="23"/>
      <c r="E65" s="24" t="s">
        <v>13</v>
      </c>
      <c r="F65" s="25">
        <f t="shared" ref="F65:J65" si="98">SUM(F5:F64)</f>
        <v>3892050</v>
      </c>
      <c r="G65" s="25">
        <f t="shared" si="98"/>
        <v>4071087</v>
      </c>
      <c r="H65" s="25">
        <f t="shared" si="98"/>
        <v>47792393</v>
      </c>
      <c r="I65" s="25">
        <f t="shared" si="98"/>
        <v>47300131.349999979</v>
      </c>
      <c r="J65" s="25">
        <f t="shared" si="98"/>
        <v>9460026.2999999989</v>
      </c>
      <c r="K65" s="25">
        <f>SUM(K5:K64)</f>
        <v>56760157.650000021</v>
      </c>
      <c r="L65" s="25"/>
      <c r="M65" s="26"/>
      <c r="N65" s="25">
        <f>SUM(N13:N18)</f>
        <v>917458.90781295905</v>
      </c>
      <c r="O65" s="25">
        <f>SUM(O13:O18)</f>
        <v>-51742.977812959129</v>
      </c>
    </row>
    <row r="66" spans="1:15" s="27" customFormat="1" ht="21.75" hidden="1" customHeight="1" x14ac:dyDescent="0.2">
      <c r="A66" s="22"/>
      <c r="B66" s="22"/>
      <c r="C66" s="22"/>
      <c r="D66" s="23"/>
      <c r="E66" s="24" t="s">
        <v>14</v>
      </c>
      <c r="F66" s="25"/>
      <c r="G66" s="25"/>
      <c r="H66" s="25"/>
      <c r="I66" s="25"/>
      <c r="J66" s="25"/>
      <c r="K66" s="25"/>
      <c r="L66" s="25"/>
      <c r="M66" s="26"/>
    </row>
    <row r="67" spans="1:15" s="27" customFormat="1" ht="33" hidden="1" customHeight="1" x14ac:dyDescent="0.2">
      <c r="A67" s="14"/>
      <c r="B67" s="15"/>
      <c r="C67" s="15"/>
      <c r="D67" s="79"/>
      <c r="E67" s="78" t="s">
        <v>15</v>
      </c>
      <c r="F67" s="16"/>
      <c r="G67" s="16">
        <f>F67</f>
        <v>0</v>
      </c>
      <c r="H67" s="17"/>
      <c r="I67" s="17"/>
      <c r="J67" s="18">
        <f>ROUND(I67*0.2,2)</f>
        <v>0</v>
      </c>
      <c r="K67" s="18">
        <f t="shared" ref="K67:K68" si="99">I67+J67</f>
        <v>0</v>
      </c>
      <c r="L67" s="28"/>
      <c r="M67" s="26"/>
    </row>
    <row r="68" spans="1:15" s="27" customFormat="1" ht="28.5" hidden="1" customHeight="1" x14ac:dyDescent="0.2">
      <c r="A68" s="14"/>
      <c r="B68" s="15"/>
      <c r="C68" s="15"/>
      <c r="D68" s="79"/>
      <c r="E68" s="78" t="s">
        <v>16</v>
      </c>
      <c r="F68" s="16"/>
      <c r="G68" s="16">
        <f>F68</f>
        <v>0</v>
      </c>
      <c r="H68" s="17"/>
      <c r="I68" s="17"/>
      <c r="J68" s="18">
        <f t="shared" ref="J68" si="100">ROUND(I68*0.2,2)</f>
        <v>0</v>
      </c>
      <c r="K68" s="18">
        <f t="shared" si="99"/>
        <v>0</v>
      </c>
      <c r="L68" s="28"/>
      <c r="M68" s="26" t="e">
        <f>H68/G68</f>
        <v>#DIV/0!</v>
      </c>
    </row>
    <row r="69" spans="1:15" s="27" customFormat="1" ht="21.75" hidden="1" customHeight="1" x14ac:dyDescent="0.2">
      <c r="A69" s="22"/>
      <c r="B69" s="22"/>
      <c r="C69" s="22"/>
      <c r="D69" s="23"/>
      <c r="E69" s="24" t="s">
        <v>13</v>
      </c>
      <c r="F69" s="25">
        <f t="shared" ref="F69:K69" si="101">F67+F68</f>
        <v>0</v>
      </c>
      <c r="G69" s="25">
        <f t="shared" si="101"/>
        <v>0</v>
      </c>
      <c r="H69" s="25">
        <f t="shared" si="101"/>
        <v>0</v>
      </c>
      <c r="I69" s="25">
        <f t="shared" si="101"/>
        <v>0</v>
      </c>
      <c r="J69" s="25">
        <f t="shared" si="101"/>
        <v>0</v>
      </c>
      <c r="K69" s="25">
        <f t="shared" si="101"/>
        <v>0</v>
      </c>
      <c r="L69" s="25"/>
      <c r="M69" s="26"/>
    </row>
    <row r="70" spans="1:15" s="27" customFormat="1" ht="21.75" hidden="1" customHeight="1" x14ac:dyDescent="0.2">
      <c r="A70" s="22"/>
      <c r="B70" s="22"/>
      <c r="C70" s="22"/>
      <c r="D70" s="23"/>
      <c r="E70" s="24" t="s">
        <v>17</v>
      </c>
      <c r="F70" s="25">
        <f t="shared" ref="F70:K70" si="102">F65+F69</f>
        <v>3892050</v>
      </c>
      <c r="G70" s="25">
        <f t="shared" si="102"/>
        <v>4071087</v>
      </c>
      <c r="H70" s="25">
        <f t="shared" si="102"/>
        <v>47792393</v>
      </c>
      <c r="I70" s="25">
        <f t="shared" si="102"/>
        <v>47300131.349999979</v>
      </c>
      <c r="J70" s="25">
        <f t="shared" si="102"/>
        <v>9460026.2999999989</v>
      </c>
      <c r="K70" s="25">
        <f t="shared" si="102"/>
        <v>56760157.650000021</v>
      </c>
      <c r="L70" s="25"/>
      <c r="M70" s="26"/>
    </row>
    <row r="71" spans="1:15" s="27" customFormat="1" ht="17.25" customHeight="1" x14ac:dyDescent="0.2">
      <c r="A71" s="29"/>
      <c r="B71" s="29"/>
      <c r="C71" s="29"/>
      <c r="D71" s="30"/>
      <c r="E71" s="31"/>
      <c r="F71" s="32"/>
      <c r="G71" s="32"/>
      <c r="H71" s="32"/>
      <c r="I71" s="32"/>
      <c r="J71" s="32"/>
      <c r="K71" s="32"/>
      <c r="L71" s="9"/>
      <c r="M71" s="26"/>
    </row>
    <row r="72" spans="1:15" s="27" customFormat="1" ht="13.5" customHeight="1" x14ac:dyDescent="0.2">
      <c r="A72" s="33" t="s">
        <v>18</v>
      </c>
      <c r="B72" s="34"/>
      <c r="C72" s="34"/>
      <c r="D72" s="35"/>
      <c r="E72" s="36"/>
      <c r="F72" s="37"/>
      <c r="G72" s="9"/>
      <c r="H72" s="9"/>
      <c r="I72" s="9"/>
      <c r="J72" s="38"/>
      <c r="K72" s="39"/>
      <c r="L72" s="40"/>
      <c r="M72" s="26"/>
    </row>
    <row r="73" spans="1:15" s="46" customFormat="1" ht="15" customHeight="1" x14ac:dyDescent="0.2">
      <c r="A73" s="41" t="s">
        <v>19</v>
      </c>
      <c r="B73" s="41"/>
      <c r="C73" s="41"/>
      <c r="D73" s="41"/>
      <c r="E73" s="37"/>
      <c r="F73" s="42"/>
      <c r="G73" s="92" t="s">
        <v>20</v>
      </c>
      <c r="H73" s="92"/>
      <c r="I73" s="80"/>
      <c r="J73" s="43"/>
      <c r="K73" s="44"/>
      <c r="L73" s="45"/>
      <c r="M73" s="26"/>
    </row>
    <row r="74" spans="1:15" s="27" customFormat="1" ht="3.75" customHeight="1" x14ac:dyDescent="0.2">
      <c r="A74" s="47"/>
      <c r="B74" s="48"/>
      <c r="C74" s="48"/>
      <c r="D74" s="35"/>
      <c r="E74" s="36"/>
      <c r="F74" s="49"/>
      <c r="G74" s="50"/>
      <c r="H74" s="80"/>
      <c r="I74" s="80"/>
      <c r="J74" s="51"/>
      <c r="K74" s="51"/>
      <c r="L74" s="40"/>
      <c r="M74" s="26"/>
    </row>
    <row r="75" spans="1:15" s="27" customFormat="1" ht="4.5" customHeight="1" x14ac:dyDescent="0.2">
      <c r="A75" s="52"/>
      <c r="B75" s="48"/>
      <c r="C75" s="48"/>
      <c r="D75" s="35"/>
      <c r="E75" s="36"/>
      <c r="F75" s="49"/>
      <c r="G75" s="50"/>
      <c r="H75" s="80"/>
      <c r="I75" s="80"/>
      <c r="J75" s="51"/>
      <c r="K75" s="51"/>
      <c r="L75" s="40"/>
      <c r="M75" s="26"/>
    </row>
    <row r="76" spans="1:15" s="27" customFormat="1" ht="12.75" customHeight="1" x14ac:dyDescent="0.2">
      <c r="A76" s="53" t="s">
        <v>21</v>
      </c>
      <c r="B76" s="48"/>
      <c r="C76" s="48"/>
      <c r="D76" s="35"/>
      <c r="E76" s="36"/>
      <c r="F76" s="37"/>
      <c r="G76" s="54"/>
      <c r="H76" s="80"/>
      <c r="I76" s="80"/>
      <c r="J76" s="43"/>
      <c r="K76" s="39"/>
      <c r="L76" s="40"/>
      <c r="M76" s="26"/>
    </row>
    <row r="77" spans="1:15" s="11" customFormat="1" x14ac:dyDescent="0.2">
      <c r="A77" s="53" t="s">
        <v>55</v>
      </c>
      <c r="B77" s="48"/>
      <c r="C77" s="48"/>
      <c r="D77" s="55"/>
      <c r="E77" s="56"/>
      <c r="F77" s="57"/>
      <c r="G77" s="92" t="s">
        <v>53</v>
      </c>
      <c r="H77" s="92"/>
      <c r="I77" s="80"/>
      <c r="J77" s="43"/>
      <c r="K77" s="39"/>
      <c r="L77" s="20"/>
      <c r="M77" s="10"/>
    </row>
    <row r="78" spans="1:15" s="11" customFormat="1" ht="12.75" customHeight="1" x14ac:dyDescent="0.2">
      <c r="A78" s="53"/>
      <c r="B78" s="48"/>
      <c r="C78" s="48"/>
      <c r="D78" s="55"/>
      <c r="E78" s="56"/>
      <c r="F78" s="56"/>
      <c r="G78" s="80"/>
      <c r="H78" s="80"/>
      <c r="I78" s="80"/>
      <c r="J78" s="43"/>
      <c r="K78" s="39"/>
      <c r="L78" s="20"/>
      <c r="M78" s="10"/>
    </row>
    <row r="79" spans="1:15" s="11" customFormat="1" ht="20.25" customHeight="1" x14ac:dyDescent="0.2">
      <c r="A79" s="53" t="s">
        <v>22</v>
      </c>
      <c r="B79" s="53"/>
      <c r="C79" s="53"/>
      <c r="D79" s="48"/>
      <c r="E79" s="35"/>
      <c r="F79" s="58"/>
      <c r="G79" s="48" t="s">
        <v>23</v>
      </c>
      <c r="H79" s="43"/>
      <c r="I79" s="43"/>
      <c r="J79" s="39"/>
      <c r="K79" s="39"/>
      <c r="L79" s="10"/>
    </row>
    <row r="80" spans="1:15" s="11" customFormat="1" ht="14.25" customHeight="1" x14ac:dyDescent="0.2">
      <c r="A80" s="53"/>
      <c r="B80" s="48"/>
      <c r="C80" s="48"/>
      <c r="D80" s="35"/>
      <c r="E80" s="36"/>
      <c r="F80" s="53"/>
      <c r="G80" s="48"/>
      <c r="H80" s="80"/>
      <c r="I80" s="80"/>
      <c r="J80" s="43"/>
      <c r="K80" s="39"/>
      <c r="L80" s="20"/>
      <c r="M80" s="10"/>
    </row>
    <row r="81" spans="1:13" s="11" customFormat="1" x14ac:dyDescent="0.2">
      <c r="A81" s="53" t="s">
        <v>49</v>
      </c>
      <c r="B81" s="9"/>
      <c r="C81" s="9"/>
      <c r="D81" s="9"/>
      <c r="E81" s="59"/>
      <c r="F81" s="60"/>
      <c r="G81" s="93" t="s">
        <v>54</v>
      </c>
      <c r="H81" s="93"/>
      <c r="I81" s="81"/>
      <c r="J81" s="39"/>
      <c r="K81" s="39"/>
      <c r="L81" s="20"/>
      <c r="M81" s="10"/>
    </row>
    <row r="83" spans="1:13" x14ac:dyDescent="0.2">
      <c r="K83" s="62"/>
      <c r="L83"/>
      <c r="M83"/>
    </row>
    <row r="85" spans="1:13" ht="47.25" customHeight="1" x14ac:dyDescent="0.2">
      <c r="D85" s="64" t="s">
        <v>24</v>
      </c>
      <c r="E85" s="65" t="s">
        <v>25</v>
      </c>
      <c r="F85" s="12" t="s">
        <v>5</v>
      </c>
      <c r="G85" s="12" t="s">
        <v>6</v>
      </c>
      <c r="H85" s="13" t="s">
        <v>26</v>
      </c>
      <c r="I85" s="13"/>
      <c r="J85" s="13" t="s">
        <v>9</v>
      </c>
      <c r="K85" s="13" t="s">
        <v>10</v>
      </c>
      <c r="L85"/>
      <c r="M85"/>
    </row>
    <row r="86" spans="1:13" s="69" customFormat="1" ht="18" customHeight="1" x14ac:dyDescent="0.2">
      <c r="A86"/>
      <c r="B86"/>
      <c r="C86"/>
      <c r="D86" s="66">
        <v>1</v>
      </c>
      <c r="E86" s="67" t="s">
        <v>12</v>
      </c>
      <c r="F86" s="68" t="e">
        <f>#REF!+#REF!</f>
        <v>#REF!</v>
      </c>
      <c r="G86" s="68" t="e">
        <f>#REF!+#REF!</f>
        <v>#REF!</v>
      </c>
      <c r="H86" s="68" t="e">
        <f>#REF!+#REF!</f>
        <v>#REF!</v>
      </c>
      <c r="I86" s="68" t="e">
        <f>#REF!+#REF!</f>
        <v>#REF!</v>
      </c>
      <c r="J86" s="68" t="e">
        <f>#REF!+#REF!</f>
        <v>#REF!</v>
      </c>
      <c r="K86" s="68" t="e">
        <f>#REF!+#REF!</f>
        <v>#REF!</v>
      </c>
    </row>
    <row r="87" spans="1:13" s="69" customFormat="1" ht="18" customHeight="1" x14ac:dyDescent="0.2">
      <c r="A87"/>
      <c r="B87"/>
      <c r="C87"/>
      <c r="D87" s="66">
        <v>2</v>
      </c>
      <c r="E87" s="67" t="s">
        <v>27</v>
      </c>
      <c r="F87" s="68" t="e">
        <f>#REF!+#REF!+#REF!+#REF!+#REF!+#REF!+#REF!+#REF!+#REF!+#REF!+#REF!+#REF!+#REF!+#REF!+#REF!+#REF!+#REF!+#REF!+#REF!+#REF!+#REF!+#REF!+#REF!+#REF!+#REF!+#REF!+#REF!+#REF!+#REF!+#REF!+#REF!+F21+F20+F15+F9+F8+F7+F6</f>
        <v>#REF!</v>
      </c>
      <c r="G87" s="68" t="e">
        <f>#REF!+#REF!+#REF!+#REF!+#REF!+#REF!+#REF!+#REF!+#REF!+#REF!+#REF!+#REF!+#REF!+#REF!+#REF!+#REF!+#REF!+#REF!+#REF!+#REF!+#REF!+#REF!+#REF!+#REF!+#REF!+#REF!+#REF!+#REF!+#REF!+#REF!+#REF!+G21+G20+G15+G9+G8+G7+G6</f>
        <v>#REF!</v>
      </c>
      <c r="H87" s="68" t="e">
        <f>#REF!+#REF!+#REF!+#REF!+#REF!+#REF!+#REF!+#REF!+#REF!+#REF!+#REF!+#REF!+#REF!+#REF!+#REF!+#REF!+#REF!+#REF!+#REF!+#REF!+#REF!+#REF!+#REF!+#REF!+#REF!+#REF!+#REF!+#REF!+#REF!+#REF!+#REF!+H21+H20+H15+H9+H8+H7+H6</f>
        <v>#REF!</v>
      </c>
      <c r="I87" s="68" t="e">
        <f>#REF!+#REF!+#REF!+#REF!+#REF!+#REF!+#REF!+#REF!+#REF!+#REF!+#REF!+#REF!+#REF!+#REF!+#REF!+#REF!+#REF!+#REF!+#REF!+#REF!+#REF!+#REF!+#REF!+#REF!+#REF!+#REF!+#REF!+#REF!+#REF!+#REF!+#REF!+I21+I20+I15+I9+I8+I7+I6</f>
        <v>#REF!</v>
      </c>
      <c r="J87" s="68" t="e">
        <f>#REF!+#REF!+#REF!+#REF!+#REF!+#REF!+#REF!+#REF!+#REF!+#REF!+#REF!+#REF!+#REF!+#REF!+#REF!+#REF!+#REF!+#REF!+#REF!+#REF!+#REF!+#REF!+#REF!+#REF!+#REF!+#REF!+#REF!+#REF!+#REF!+#REF!+#REF!+J21+J20+J15+J9+J8+J7+J6</f>
        <v>#REF!</v>
      </c>
      <c r="K87" s="68" t="e">
        <f>#REF!+#REF!+#REF!+#REF!+#REF!+#REF!+#REF!+#REF!+#REF!+#REF!+#REF!+#REF!+#REF!+#REF!+#REF!+#REF!+#REF!+#REF!+#REF!+#REF!+#REF!+#REF!+#REF!+#REF!+#REF!+#REF!+#REF!+#REF!+#REF!+#REF!+#REF!+K21+K20+K15+K9+K8+K7+K6</f>
        <v>#REF!</v>
      </c>
    </row>
    <row r="88" spans="1:13" s="69" customFormat="1" ht="18" customHeight="1" x14ac:dyDescent="0.2">
      <c r="A88"/>
      <c r="B88"/>
      <c r="C88"/>
      <c r="D88" s="66">
        <v>3</v>
      </c>
      <c r="E88" s="67" t="s">
        <v>28</v>
      </c>
      <c r="F88" s="68"/>
      <c r="G88" s="68"/>
      <c r="H88" s="68"/>
      <c r="I88" s="68"/>
      <c r="J88" s="68"/>
      <c r="K88" s="68"/>
    </row>
    <row r="89" spans="1:13" s="69" customFormat="1" ht="18" customHeight="1" x14ac:dyDescent="0.2">
      <c r="A89"/>
      <c r="B89"/>
      <c r="C89"/>
      <c r="D89" s="66">
        <v>4</v>
      </c>
      <c r="E89" s="67" t="s">
        <v>50</v>
      </c>
      <c r="F89" s="68" t="e">
        <f>#REF!+#REF!+#REF!+#REF!+#REF!+#REF!+#REF!+#REF!+#REF!+#REF!+F16</f>
        <v>#REF!</v>
      </c>
      <c r="G89" s="68" t="e">
        <f>#REF!+#REF!+#REF!+#REF!+#REF!+#REF!+#REF!+#REF!+#REF!+#REF!+G16</f>
        <v>#REF!</v>
      </c>
      <c r="H89" s="68" t="e">
        <f>#REF!+#REF!+#REF!+#REF!+#REF!+#REF!+#REF!+#REF!+#REF!+#REF!+H16</f>
        <v>#REF!</v>
      </c>
      <c r="I89" s="68" t="e">
        <f>#REF!+#REF!+#REF!+#REF!+#REF!+#REF!+#REF!+#REF!+#REF!+#REF!+I16</f>
        <v>#REF!</v>
      </c>
      <c r="J89" s="68" t="e">
        <f>#REF!+#REF!+#REF!+#REF!+#REF!+#REF!+#REF!+#REF!+#REF!+#REF!+J16</f>
        <v>#REF!</v>
      </c>
      <c r="K89" s="68" t="e">
        <f>#REF!+#REF!+#REF!+#REF!+#REF!+#REF!+#REF!+#REF!+#REF!+#REF!+K16</f>
        <v>#REF!</v>
      </c>
    </row>
    <row r="90" spans="1:13" s="69" customFormat="1" ht="18" customHeight="1" x14ac:dyDescent="0.2">
      <c r="A90"/>
      <c r="B90"/>
      <c r="C90"/>
      <c r="D90" s="66">
        <v>5</v>
      </c>
      <c r="E90" s="67" t="s">
        <v>52</v>
      </c>
      <c r="F90" s="68" t="e">
        <f>#REF!+#REF!+#REF!</f>
        <v>#REF!</v>
      </c>
      <c r="G90" s="68" t="e">
        <f>#REF!+#REF!+#REF!</f>
        <v>#REF!</v>
      </c>
      <c r="H90" s="68" t="e">
        <f>#REF!+#REF!+#REF!</f>
        <v>#REF!</v>
      </c>
      <c r="I90" s="68" t="e">
        <f>#REF!+#REF!+#REF!</f>
        <v>#REF!</v>
      </c>
      <c r="J90" s="68" t="e">
        <f>#REF!+#REF!+#REF!</f>
        <v>#REF!</v>
      </c>
      <c r="K90" s="68" t="e">
        <f>#REF!+#REF!+#REF!</f>
        <v>#REF!</v>
      </c>
    </row>
    <row r="91" spans="1:13" s="69" customFormat="1" ht="18" customHeight="1" x14ac:dyDescent="0.2">
      <c r="A91"/>
      <c r="B91"/>
      <c r="C91"/>
      <c r="D91" s="66">
        <v>6</v>
      </c>
      <c r="E91" s="67" t="s">
        <v>51</v>
      </c>
      <c r="F91" s="68" t="e">
        <f>#REF!+#REF!+#REF!+#REF!+#REF!+#REF!+F5</f>
        <v>#REF!</v>
      </c>
      <c r="G91" s="68" t="e">
        <f>#REF!+#REF!+#REF!+#REF!+#REF!+#REF!+G5</f>
        <v>#REF!</v>
      </c>
      <c r="H91" s="68" t="e">
        <f>#REF!+#REF!+#REF!+#REF!+#REF!+#REF!+H5</f>
        <v>#REF!</v>
      </c>
      <c r="I91" s="68" t="e">
        <f>#REF!+#REF!+#REF!+#REF!+#REF!+#REF!+I5</f>
        <v>#REF!</v>
      </c>
      <c r="J91" s="68" t="e">
        <f>#REF!+#REF!+#REF!+#REF!+#REF!+#REF!+J5</f>
        <v>#REF!</v>
      </c>
      <c r="K91" s="68" t="e">
        <f>#REF!+#REF!+#REF!+#REF!+#REF!+#REF!+K5</f>
        <v>#REF!</v>
      </c>
    </row>
    <row r="92" spans="1:13" s="69" customFormat="1" ht="18" customHeight="1" x14ac:dyDescent="0.2">
      <c r="A92"/>
      <c r="B92"/>
      <c r="C92"/>
      <c r="D92" s="66">
        <v>7</v>
      </c>
      <c r="E92" s="67" t="s">
        <v>30</v>
      </c>
      <c r="F92" s="68" t="e">
        <f>#REF!+#REF!+#REF!+#REF!+#REF!+#REF!+F64+F23+F22+F19+F18+F17+F14+F12+F11+F10</f>
        <v>#REF!</v>
      </c>
      <c r="G92" s="68" t="e">
        <f>#REF!+#REF!+#REF!+#REF!+#REF!+#REF!+G64+G23+G22+G19+G18+G17+G14+G12+G11+G10</f>
        <v>#REF!</v>
      </c>
      <c r="H92" s="68" t="e">
        <f>#REF!+#REF!+#REF!+#REF!+#REF!+#REF!+H64+H23+H22+H19+H18+H17+H14+H12+H11+H10</f>
        <v>#REF!</v>
      </c>
      <c r="I92" s="68" t="e">
        <f>#REF!+#REF!+#REF!+#REF!+#REF!+#REF!+I64+I23+I22+I19+I18+I17+I14+I12+I11+I10</f>
        <v>#REF!</v>
      </c>
      <c r="J92" s="68" t="e">
        <f>#REF!+#REF!+#REF!+#REF!+#REF!+#REF!+J64+J23+J22+J19+J18+J17+J14+J12+J11+J10</f>
        <v>#REF!</v>
      </c>
      <c r="K92" s="68" t="e">
        <f>#REF!+#REF!+#REF!+#REF!+#REF!+#REF!+K64+K23+K22+K19+K18+K17+K14+K12+K11+K10</f>
        <v>#REF!</v>
      </c>
    </row>
    <row r="93" spans="1:13" s="69" customFormat="1" ht="18" customHeight="1" x14ac:dyDescent="0.2">
      <c r="A93"/>
      <c r="B93"/>
      <c r="C93"/>
      <c r="D93" s="66">
        <v>8</v>
      </c>
      <c r="E93" s="67" t="s">
        <v>31</v>
      </c>
      <c r="F93" s="68"/>
      <c r="G93" s="68"/>
      <c r="H93" s="68"/>
      <c r="I93" s="68"/>
      <c r="J93" s="68"/>
      <c r="K93" s="68"/>
    </row>
    <row r="94" spans="1:13" s="69" customFormat="1" ht="18" customHeight="1" x14ac:dyDescent="0.2">
      <c r="A94"/>
      <c r="B94"/>
      <c r="C94"/>
      <c r="D94" s="66">
        <v>9</v>
      </c>
      <c r="E94" s="67" t="s">
        <v>29</v>
      </c>
      <c r="F94" s="68" t="e">
        <f>#REF!+#REF!+#REF!+#REF!</f>
        <v>#REF!</v>
      </c>
      <c r="G94" s="68" t="e">
        <f>#REF!+#REF!+#REF!+#REF!</f>
        <v>#REF!</v>
      </c>
      <c r="H94" s="68" t="e">
        <f>#REF!+#REF!+#REF!+#REF!</f>
        <v>#REF!</v>
      </c>
      <c r="I94" s="68" t="e">
        <f>#REF!+#REF!+#REF!+#REF!</f>
        <v>#REF!</v>
      </c>
      <c r="J94" s="68" t="e">
        <f>#REF!+#REF!+#REF!+#REF!</f>
        <v>#REF!</v>
      </c>
      <c r="K94" s="68" t="e">
        <f>#REF!+#REF!+#REF!+#REF!</f>
        <v>#REF!</v>
      </c>
    </row>
    <row r="95" spans="1:13" s="69" customFormat="1" ht="18" customHeight="1" x14ac:dyDescent="0.2">
      <c r="A95"/>
      <c r="B95"/>
      <c r="C95"/>
      <c r="D95" s="66">
        <v>10</v>
      </c>
      <c r="E95" s="67" t="s">
        <v>32</v>
      </c>
      <c r="F95" s="68" t="e">
        <f>#REF!+#REF!+#REF!+#REF!+#REF!+#REF!+#REF!+#REF!+F13+#REF!</f>
        <v>#REF!</v>
      </c>
      <c r="G95" s="68" t="e">
        <f>#REF!+#REF!+#REF!+#REF!+#REF!+#REF!+#REF!+#REF!+G13+#REF!</f>
        <v>#REF!</v>
      </c>
      <c r="H95" s="68" t="e">
        <f>#REF!+#REF!+#REF!+#REF!+#REF!+#REF!+#REF!+#REF!+H13+#REF!</f>
        <v>#REF!</v>
      </c>
      <c r="I95" s="68" t="e">
        <f>#REF!+#REF!+#REF!+#REF!+#REF!+#REF!+#REF!+#REF!+I13+#REF!</f>
        <v>#REF!</v>
      </c>
      <c r="J95" s="68" t="e">
        <f>#REF!+#REF!+#REF!+#REF!+#REF!+#REF!+#REF!+#REF!+J13+#REF!</f>
        <v>#REF!</v>
      </c>
      <c r="K95" s="68" t="e">
        <f>#REF!+#REF!+#REF!+#REF!+#REF!+#REF!+#REF!+#REF!+K13+#REF!</f>
        <v>#REF!</v>
      </c>
    </row>
    <row r="96" spans="1:13" s="69" customFormat="1" ht="18" customHeight="1" x14ac:dyDescent="0.2">
      <c r="A96"/>
      <c r="B96"/>
      <c r="C96"/>
      <c r="D96" s="70"/>
      <c r="E96" s="71" t="s">
        <v>33</v>
      </c>
      <c r="F96" s="72" t="e">
        <f>SUM(F86:F95)</f>
        <v>#REF!</v>
      </c>
      <c r="G96" s="72" t="e">
        <f t="shared" ref="G96:K96" si="103">SUM(G86:G95)</f>
        <v>#REF!</v>
      </c>
      <c r="H96" s="72" t="e">
        <f t="shared" si="103"/>
        <v>#REF!</v>
      </c>
      <c r="I96" s="72" t="e">
        <f t="shared" si="103"/>
        <v>#REF!</v>
      </c>
      <c r="J96" s="72" t="e">
        <f t="shared" si="103"/>
        <v>#REF!</v>
      </c>
      <c r="K96" s="72" t="e">
        <f t="shared" si="103"/>
        <v>#REF!</v>
      </c>
    </row>
    <row r="97" spans="1:11" s="69" customFormat="1" x14ac:dyDescent="0.2">
      <c r="A97"/>
      <c r="B97"/>
      <c r="C97"/>
      <c r="D97"/>
      <c r="E97" s="61"/>
      <c r="F97" s="62" t="e">
        <f>F65-F96</f>
        <v>#REF!</v>
      </c>
      <c r="G97" s="62" t="e">
        <f>G65-G96</f>
        <v>#REF!</v>
      </c>
      <c r="H97" s="62" t="e">
        <f>H65-H96</f>
        <v>#REF!</v>
      </c>
      <c r="I97" s="62"/>
      <c r="J97" s="62" t="e">
        <f>J65-J96</f>
        <v>#REF!</v>
      </c>
      <c r="K97" s="62" t="e">
        <f>K65-K96</f>
        <v>#REF!</v>
      </c>
    </row>
    <row r="100" spans="1:11" s="69" customFormat="1" x14ac:dyDescent="0.2">
      <c r="A100"/>
      <c r="B100"/>
      <c r="C100"/>
      <c r="D100"/>
      <c r="E100" s="73" t="s">
        <v>34</v>
      </c>
      <c r="F100" s="16" t="e">
        <f>#REF!+#REF!+#REF!+#REF!+#REF!+#REF!+#REF!+#REF!+#REF!+#REF!+#REF!+F14+F15+#REF!+#REF!+#REF!+#REF!+#REF!+#REF!+#REF!+#REF!+F17+F18+F19+#REF!+F21+#REF!</f>
        <v>#REF!</v>
      </c>
      <c r="G100" s="16" t="e">
        <f>#REF!+#REF!+#REF!+#REF!+#REF!+#REF!+#REF!+#REF!+#REF!+#REF!+#REF!+G14+G15+#REF!+#REF!+#REF!+#REF!+#REF!+#REF!+#REF!+#REF!+G17+G18+G19+#REF!+G21+#REF!</f>
        <v>#REF!</v>
      </c>
      <c r="H100" s="16" t="e">
        <f>#REF!+#REF!+#REF!+#REF!+#REF!+#REF!+#REF!+#REF!+#REF!+#REF!+#REF!+H14+H15+#REF!+#REF!+#REF!+#REF!+#REF!+#REF!+#REF!+#REF!+H17+H18+H19+#REF!+H21+#REF!</f>
        <v>#REF!</v>
      </c>
      <c r="I100" s="16" t="e">
        <f>#REF!+#REF!+#REF!+#REF!+#REF!+#REF!+#REF!+#REF!+#REF!+#REF!+#REF!+I14+I15+#REF!+#REF!+#REF!+#REF!+#REF!+#REF!+#REF!+#REF!+I17+I18+I19+#REF!+I21+#REF!</f>
        <v>#REF!</v>
      </c>
      <c r="J100" s="16" t="e">
        <f>#REF!+#REF!+#REF!+#REF!+#REF!+#REF!+#REF!+#REF!+#REF!+#REF!+#REF!+J14+J15+#REF!+#REF!+#REF!+#REF!+#REF!+#REF!+#REF!+#REF!+J17+J18+J19+#REF!+J21+#REF!</f>
        <v>#REF!</v>
      </c>
      <c r="K100" s="16" t="e">
        <f>#REF!+#REF!+#REF!+#REF!+#REF!+#REF!+#REF!+#REF!+#REF!+#REF!+#REF!+K14+K15+#REF!+#REF!+#REF!+#REF!+#REF!+#REF!+#REF!+#REF!+K17+K18+K19+#REF!+K21+#REF!</f>
        <v>#REF!</v>
      </c>
    </row>
    <row r="101" spans="1:11" s="69" customFormat="1" x14ac:dyDescent="0.2">
      <c r="A101"/>
      <c r="B101"/>
      <c r="C101"/>
      <c r="D101"/>
      <c r="E101" s="73"/>
      <c r="F101" s="16"/>
      <c r="G101" s="16"/>
      <c r="H101" s="16"/>
      <c r="I101" s="16"/>
      <c r="J101" s="16"/>
      <c r="K101" s="16"/>
    </row>
    <row r="102" spans="1:11" s="69" customFormat="1" x14ac:dyDescent="0.2">
      <c r="A102"/>
      <c r="B102"/>
      <c r="C102"/>
      <c r="D102"/>
      <c r="E102" s="73" t="s">
        <v>35</v>
      </c>
      <c r="F102" s="16"/>
      <c r="G102" s="16"/>
      <c r="H102" s="16"/>
      <c r="I102" s="16"/>
      <c r="J102" s="16"/>
      <c r="K102" s="16"/>
    </row>
    <row r="103" spans="1:11" s="69" customFormat="1" x14ac:dyDescent="0.2">
      <c r="A103"/>
      <c r="B103"/>
      <c r="C103"/>
      <c r="D103"/>
      <c r="E103" s="74" t="s">
        <v>36</v>
      </c>
      <c r="F103" s="16"/>
      <c r="G103" s="16"/>
      <c r="H103" s="16"/>
      <c r="I103" s="16"/>
      <c r="J103" s="16"/>
      <c r="K103" s="16"/>
    </row>
    <row r="104" spans="1:11" s="69" customFormat="1" x14ac:dyDescent="0.2">
      <c r="A104"/>
      <c r="B104"/>
      <c r="C104"/>
      <c r="D104"/>
      <c r="E104" s="74" t="s">
        <v>37</v>
      </c>
      <c r="F104" s="16" t="e">
        <f>#REF!</f>
        <v>#REF!</v>
      </c>
      <c r="G104" s="16" t="e">
        <f>#REF!</f>
        <v>#REF!</v>
      </c>
      <c r="H104" s="16" t="e">
        <f>#REF!</f>
        <v>#REF!</v>
      </c>
      <c r="I104" s="16" t="e">
        <f>#REF!</f>
        <v>#REF!</v>
      </c>
      <c r="J104" s="16" t="e">
        <f>#REF!</f>
        <v>#REF!</v>
      </c>
      <c r="K104" s="16" t="e">
        <f>#REF!</f>
        <v>#REF!</v>
      </c>
    </row>
    <row r="105" spans="1:11" s="69" customFormat="1" x14ac:dyDescent="0.2">
      <c r="A105"/>
      <c r="B105"/>
      <c r="C105"/>
      <c r="D105"/>
      <c r="E105" s="74" t="s">
        <v>38</v>
      </c>
      <c r="F105" s="16"/>
      <c r="G105" s="16"/>
      <c r="H105" s="16"/>
      <c r="I105" s="16"/>
      <c r="J105" s="16"/>
      <c r="K105" s="16"/>
    </row>
    <row r="106" spans="1:11" s="69" customFormat="1" x14ac:dyDescent="0.2">
      <c r="A106"/>
      <c r="B106"/>
      <c r="C106"/>
      <c r="D106"/>
      <c r="E106" s="74" t="s">
        <v>39</v>
      </c>
      <c r="F106" s="16"/>
      <c r="G106" s="16"/>
      <c r="H106" s="16"/>
      <c r="I106" s="16"/>
      <c r="J106" s="16"/>
      <c r="K106" s="16"/>
    </row>
    <row r="107" spans="1:11" s="69" customFormat="1" x14ac:dyDescent="0.2">
      <c r="A107"/>
      <c r="B107"/>
      <c r="C107"/>
      <c r="D107"/>
      <c r="E107" s="74" t="s">
        <v>40</v>
      </c>
      <c r="F107" s="16"/>
      <c r="G107" s="16"/>
      <c r="H107" s="16"/>
      <c r="I107" s="16"/>
      <c r="J107" s="16"/>
      <c r="K107" s="16"/>
    </row>
    <row r="108" spans="1:11" s="69" customFormat="1" x14ac:dyDescent="0.2">
      <c r="A108"/>
      <c r="B108"/>
      <c r="C108"/>
      <c r="D108"/>
      <c r="E108" s="74" t="s">
        <v>48</v>
      </c>
      <c r="F108" s="16"/>
      <c r="G108" s="16"/>
      <c r="H108" s="16"/>
      <c r="I108" s="16"/>
      <c r="J108" s="16"/>
      <c r="K108" s="16"/>
    </row>
    <row r="109" spans="1:11" s="69" customFormat="1" x14ac:dyDescent="0.2">
      <c r="A109"/>
      <c r="B109"/>
      <c r="C109"/>
      <c r="D109"/>
      <c r="E109" s="74" t="s">
        <v>57</v>
      </c>
      <c r="F109" s="16" t="e">
        <f>#REF!</f>
        <v>#REF!</v>
      </c>
      <c r="G109" s="16" t="e">
        <f>#REF!</f>
        <v>#REF!</v>
      </c>
      <c r="H109" s="16" t="e">
        <f>#REF!</f>
        <v>#REF!</v>
      </c>
      <c r="I109" s="16" t="e">
        <f>#REF!</f>
        <v>#REF!</v>
      </c>
      <c r="J109" s="16" t="e">
        <f>#REF!</f>
        <v>#REF!</v>
      </c>
      <c r="K109" s="16" t="e">
        <f>#REF!</f>
        <v>#REF!</v>
      </c>
    </row>
    <row r="110" spans="1:11" s="69" customFormat="1" x14ac:dyDescent="0.2">
      <c r="A110"/>
      <c r="B110"/>
      <c r="C110"/>
      <c r="D110"/>
      <c r="E110" s="74" t="s">
        <v>56</v>
      </c>
      <c r="F110" s="16" t="e">
        <f>#REF!+#REF!+F13+#REF!</f>
        <v>#REF!</v>
      </c>
      <c r="G110" s="16" t="e">
        <f>#REF!+#REF!+G13+#REF!</f>
        <v>#REF!</v>
      </c>
      <c r="H110" s="16" t="e">
        <f>#REF!+#REF!+H13+#REF!</f>
        <v>#REF!</v>
      </c>
      <c r="I110" s="16" t="e">
        <f>#REF!+#REF!+I13+#REF!</f>
        <v>#REF!</v>
      </c>
      <c r="J110" s="16" t="e">
        <f>#REF!+#REF!+J13+#REF!</f>
        <v>#REF!</v>
      </c>
      <c r="K110" s="16" t="e">
        <f>#REF!+#REF!+K13+#REF!</f>
        <v>#REF!</v>
      </c>
    </row>
    <row r="111" spans="1:11" s="69" customFormat="1" x14ac:dyDescent="0.2">
      <c r="A111"/>
      <c r="B111"/>
      <c r="C111"/>
      <c r="D111"/>
      <c r="E111" s="74" t="s">
        <v>41</v>
      </c>
      <c r="F111" s="16"/>
      <c r="G111" s="16"/>
      <c r="H111" s="16"/>
      <c r="I111" s="16"/>
      <c r="J111" s="16"/>
      <c r="K111" s="16"/>
    </row>
    <row r="112" spans="1:11" s="69" customFormat="1" x14ac:dyDescent="0.2">
      <c r="A112"/>
      <c r="B112"/>
      <c r="C112"/>
      <c r="D112"/>
      <c r="E112" s="74" t="s">
        <v>42</v>
      </c>
      <c r="F112" s="16">
        <f t="shared" ref="F112:K112" si="104">F20</f>
        <v>3548</v>
      </c>
      <c r="G112" s="16">
        <f t="shared" si="104"/>
        <v>3711</v>
      </c>
      <c r="H112" s="16">
        <f t="shared" si="104"/>
        <v>69551</v>
      </c>
      <c r="I112" s="16">
        <f t="shared" si="104"/>
        <v>68834.62</v>
      </c>
      <c r="J112" s="16">
        <f t="shared" si="104"/>
        <v>13766.92</v>
      </c>
      <c r="K112" s="16">
        <f t="shared" si="104"/>
        <v>82601.539999999994</v>
      </c>
    </row>
    <row r="113" spans="1:13" s="69" customFormat="1" x14ac:dyDescent="0.2">
      <c r="A113"/>
      <c r="B113"/>
      <c r="C113"/>
      <c r="D113"/>
      <c r="E113" s="73" t="s">
        <v>43</v>
      </c>
      <c r="F113" s="16"/>
      <c r="G113" s="16"/>
      <c r="H113" s="16"/>
      <c r="I113" s="16"/>
      <c r="J113" s="16"/>
      <c r="K113" s="16"/>
    </row>
    <row r="114" spans="1:13" s="69" customFormat="1" x14ac:dyDescent="0.2">
      <c r="A114"/>
      <c r="B114"/>
      <c r="C114"/>
      <c r="D114"/>
      <c r="E114" s="73" t="s">
        <v>44</v>
      </c>
      <c r="F114" s="16" t="e">
        <f>#REF!+F16+#REF!</f>
        <v>#REF!</v>
      </c>
      <c r="G114" s="16" t="e">
        <f>#REF!+G16+#REF!</f>
        <v>#REF!</v>
      </c>
      <c r="H114" s="16" t="e">
        <f>#REF!+H16+#REF!</f>
        <v>#REF!</v>
      </c>
      <c r="I114" s="16" t="e">
        <f>#REF!+I16+#REF!</f>
        <v>#REF!</v>
      </c>
      <c r="J114" s="16" t="e">
        <f>#REF!+J16+#REF!</f>
        <v>#REF!</v>
      </c>
      <c r="K114" s="16" t="e">
        <f>#REF!+K16+#REF!</f>
        <v>#REF!</v>
      </c>
    </row>
    <row r="115" spans="1:13" s="69" customFormat="1" x14ac:dyDescent="0.2">
      <c r="A115"/>
      <c r="B115"/>
      <c r="C115"/>
      <c r="D115"/>
      <c r="E115" s="73" t="s">
        <v>45</v>
      </c>
      <c r="F115" s="16"/>
      <c r="G115" s="16"/>
      <c r="H115" s="16"/>
      <c r="I115" s="16"/>
      <c r="J115" s="16"/>
      <c r="K115" s="16"/>
    </row>
    <row r="116" spans="1:13" s="69" customFormat="1" x14ac:dyDescent="0.2">
      <c r="A116"/>
      <c r="B116"/>
      <c r="C116"/>
      <c r="D116"/>
      <c r="E116" s="73" t="s">
        <v>46</v>
      </c>
      <c r="F116" s="16" t="e">
        <f>#REF!+#REF!+#REF!</f>
        <v>#REF!</v>
      </c>
      <c r="G116" s="16" t="e">
        <f>#REF!+#REF!+#REF!</f>
        <v>#REF!</v>
      </c>
      <c r="H116" s="16" t="e">
        <f>#REF!+#REF!+#REF!</f>
        <v>#REF!</v>
      </c>
      <c r="I116" s="16" t="e">
        <f>#REF!+#REF!+#REF!</f>
        <v>#REF!</v>
      </c>
      <c r="J116" s="16" t="e">
        <f>#REF!+#REF!+#REF!</f>
        <v>#REF!</v>
      </c>
      <c r="K116" s="16" t="e">
        <f>#REF!+#REF!+#REF!</f>
        <v>#REF!</v>
      </c>
    </row>
    <row r="117" spans="1:13" s="69" customFormat="1" x14ac:dyDescent="0.2">
      <c r="A117"/>
      <c r="B117"/>
      <c r="C117"/>
      <c r="D117"/>
      <c r="E117" s="73" t="s">
        <v>47</v>
      </c>
      <c r="F117" s="16"/>
      <c r="G117" s="16"/>
      <c r="H117" s="16"/>
      <c r="I117" s="16"/>
      <c r="J117" s="16"/>
      <c r="K117" s="16"/>
    </row>
    <row r="118" spans="1:13" s="69" customFormat="1" x14ac:dyDescent="0.2">
      <c r="A118"/>
      <c r="B118"/>
      <c r="C118"/>
      <c r="D118"/>
      <c r="E118" s="61"/>
      <c r="F118" s="75" t="e">
        <f>SUM(F100:F117)</f>
        <v>#REF!</v>
      </c>
      <c r="G118" s="75" t="e">
        <f>SUM(G100:G117)</f>
        <v>#REF!</v>
      </c>
      <c r="H118" s="75" t="e">
        <f>SUM(H100:H117)</f>
        <v>#REF!</v>
      </c>
      <c r="I118" s="76"/>
      <c r="J118" s="76" t="e">
        <f>SUM(J100:J117)</f>
        <v>#REF!</v>
      </c>
      <c r="K118" s="76" t="e">
        <f>SUM(K100:K117)</f>
        <v>#REF!</v>
      </c>
    </row>
    <row r="121" spans="1:13" s="63" customFormat="1" x14ac:dyDescent="0.2">
      <c r="A121"/>
      <c r="B121"/>
      <c r="C121"/>
      <c r="D121"/>
      <c r="E121" s="61"/>
      <c r="F121" s="62" t="e">
        <f>F65-F118</f>
        <v>#REF!</v>
      </c>
      <c r="G121" s="62" t="e">
        <f>G65-G118</f>
        <v>#REF!</v>
      </c>
      <c r="H121" s="62" t="e">
        <f>H65-H118</f>
        <v>#REF!</v>
      </c>
      <c r="I121" s="62"/>
      <c r="J121" s="62" t="e">
        <f>J65-J118</f>
        <v>#REF!</v>
      </c>
      <c r="K121" s="62" t="e">
        <f>K65-K118</f>
        <v>#REF!</v>
      </c>
      <c r="L121" s="69"/>
      <c r="M121" s="69"/>
    </row>
    <row r="129" spans="5:5" x14ac:dyDescent="0.2">
      <c r="E129" s="61">
        <v>363148</v>
      </c>
    </row>
    <row r="130" spans="5:5" x14ac:dyDescent="0.2">
      <c r="E130" s="61">
        <v>11417</v>
      </c>
    </row>
    <row r="131" spans="5:5" x14ac:dyDescent="0.2">
      <c r="E131" s="61">
        <v>22172</v>
      </c>
    </row>
  </sheetData>
  <mergeCells count="5">
    <mergeCell ref="A1:K1"/>
    <mergeCell ref="A2:K2"/>
    <mergeCell ref="G73:H73"/>
    <mergeCell ref="G77:H77"/>
    <mergeCell ref="G81:H81"/>
  </mergeCells>
  <pageMargins left="0.23622047244094491" right="3.937007874015748E-2" top="0.55118110236220474" bottom="0.55118110236220474" header="0.31496062992125984" footer="0.31496062992125984"/>
  <pageSetup paperSize="9" scale="55" fitToHeight="0" orientation="portrait" r:id="rId1"/>
  <rowBreaks count="1" manualBreakCount="1">
    <brk id="84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Январь (3)</vt:lpstr>
      <vt:lpstr>Январь (2)</vt:lpstr>
      <vt:lpstr>Январь</vt:lpstr>
      <vt:lpstr>Январь!Область_печати</vt:lpstr>
      <vt:lpstr>'Январь (2)'!Область_печати</vt:lpstr>
      <vt:lpstr>'Январь (3)'!Область_печати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</dc:creator>
  <cp:lastModifiedBy>Смирнов Роман</cp:lastModifiedBy>
  <cp:lastPrinted>2021-02-04T07:21:26Z</cp:lastPrinted>
  <dcterms:created xsi:type="dcterms:W3CDTF">2020-09-29T01:57:33Z</dcterms:created>
  <dcterms:modified xsi:type="dcterms:W3CDTF">2021-02-04T07:25:27Z</dcterms:modified>
</cp:coreProperties>
</file>