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 кварт" sheetId="1" state="visible" r:id="rId2"/>
  </sheets>
  <definedNames>
    <definedName function="false" hidden="false" localSheetId="0" name="_xlnm.Print_Area" vbProcedure="false">'1 кварт'!$A$1:$AN$78</definedName>
    <definedName function="false" hidden="false" localSheetId="0" name="_xlnm.Print_Titles" vbProcedure="false">'1 кварт'!$11:$11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<sst xmlns="http://schemas.openxmlformats.org/spreadsheetml/2006/main" count="282" uniqueCount="200">
  <si>
    <t xml:space="preserve">СОГЛАСОВАНО:</t>
  </si>
  <si>
    <t xml:space="preserve">УТВЕРЖДАЮ:</t>
  </si>
  <si>
    <t xml:space="preserve">Директор                              ООО "УС БАЭС" 
</t>
  </si>
  <si>
    <t xml:space="preserve">Зам.генерального директора АО "СХК" по проекту "Прорыв" - руководитель проекта строительства ОДЭК  
</t>
  </si>
  <si>
    <t xml:space="preserve">_______Н.Г. Пешнина
«    » _______ 2020г.</t>
  </si>
  <si>
    <t xml:space="preserve">__________ А.В. Гусев 
«    » __________ 2020г.</t>
  </si>
  <si>
    <t xml:space="preserve">Тематический план ООО "УС БАЭС" </t>
  </si>
  <si>
    <t xml:space="preserve">на выполнение СМР января 2021 г.</t>
  </si>
  <si>
    <t xml:space="preserve">по договору на сооружение объектов производственного назначения "ОАО «СХК» Строительство модуля фабрикации и пускового комплекса рефабрикации плотного смешанного уранплутониевого топлива для реакторов на быстрых нейтронах"</t>
  </si>
  <si>
    <t xml:space="preserve">№ п/п</t>
  </si>
  <si>
    <t xml:space="preserve">Инв. Чертежа </t>
  </si>
  <si>
    <t xml:space="preserve">Инв. номера объектных и локальных смет</t>
  </si>
  <si>
    <t xml:space="preserve">Локальный номер сметы</t>
  </si>
  <si>
    <t xml:space="preserve">Наименование объектных, локальных смет</t>
  </si>
  <si>
    <t xml:space="preserve">Комментарии
</t>
  </si>
  <si>
    <t xml:space="preserve">Ед. изм. физобъема</t>
  </si>
  <si>
    <t xml:space="preserve">Количество физ. объемов работ</t>
  </si>
  <si>
    <t xml:space="preserve">Сметная стоимость работ в базовых ценах 2000г. (тыс. руб.)</t>
  </si>
  <si>
    <t xml:space="preserve">Принятый план освоения КВЛ по СМР сметной стоимости с 16.12.2020 г. по 15.01.2020 г.</t>
  </si>
  <si>
    <t xml:space="preserve">Трудоёмкость 
(чел-час)</t>
  </si>
  <si>
    <t xml:space="preserve">Исполнитель</t>
  </si>
  <si>
    <t xml:space="preserve">Карточки с замечаниями</t>
  </si>
  <si>
    <t xml:space="preserve">№ заявок</t>
  </si>
  <si>
    <t xml:space="preserve">Постановочные вопросы (ответсвенный за решение вопроса)</t>
  </si>
  <si>
    <t xml:space="preserve">Итого с 16.01.2021 г. по 15.02.2021 г.</t>
  </si>
  <si>
    <t xml:space="preserve">Итого с 16.02.2021 г. по 15.03.2021 г.</t>
  </si>
  <si>
    <t xml:space="preserve">Итого с 16.12.2020 г. по 15.03.2020 г.</t>
  </si>
  <si>
    <t xml:space="preserve">Всего по смете </t>
  </si>
  <si>
    <t xml:space="preserve">Остаток физ.объема на  15.10.2020г.</t>
  </si>
  <si>
    <t xml:space="preserve">Объём по плану с 16.12.2020 г. по 15.01.2021 г.</t>
  </si>
  <si>
    <t xml:space="preserve">Объём по плану с 16.01.2021 г. по 15.02.2021 г.</t>
  </si>
  <si>
    <t xml:space="preserve">Объём по плану с 16.02.2021 г. по 15.03.2021 г.</t>
  </si>
  <si>
    <t xml:space="preserve">Объём по плану на 1-ый квартал 2021 г.</t>
  </si>
  <si>
    <t xml:space="preserve">Всего СМР, тыс. руб.</t>
  </si>
  <si>
    <t xml:space="preserve">Трудоёмкость (чел/час)</t>
  </si>
  <si>
    <t xml:space="preserve">Остаток  на 15.10.2020г. </t>
  </si>
  <si>
    <t xml:space="preserve">СМР, тыс. руб.</t>
  </si>
  <si>
    <t xml:space="preserve">в базовых ценах 2000 г. </t>
  </si>
  <si>
    <t xml:space="preserve">в текущем уровне цен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</si>
  <si>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</si>
  <si>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</si>
  <si>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</si>
  <si>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</si>
  <si>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</si>
  <si>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</si>
  <si>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  ГЛАВА 2. Основные объекты строительства</t>
  </si>
  <si>
    <t xml:space="preserve">    Здание 4 - здание МФР</t>
  </si>
  <si>
    <t xml:space="preserve">17-01495 И3, 17-01495 И3а, 17-01495 И4.</t>
  </si>
  <si>
    <t xml:space="preserve">19-00578, 19-00748, 20-00313</t>
  </si>
  <si>
    <t xml:space="preserve">2-01-0141С-В1, 2-01-0141С-В1-Д1, 2-01-0141С-В1-Д2</t>
  </si>
  <si>
    <r>
      <rPr>
        <sz val="16"/>
        <color rgb="FF000000"/>
        <rFont val="Times New Roman"/>
        <family val="1"/>
        <charset val="204"/>
      </rPr>
      <t xml:space="preserve">Монтажные марки в перекрытии на отм.+4,550 в помещении 20UFB10R021 для крепления боксов газоочистки. </t>
    </r>
    <r>
      <rPr>
        <b val="true"/>
        <sz val="16"/>
        <color rgb="FF000000"/>
        <rFont val="Times New Roman"/>
        <family val="1"/>
        <charset val="204"/>
      </rPr>
      <t xml:space="preserve">Установка закладных деталей из нержавеющей стали, т</t>
    </r>
  </si>
  <si>
    <t xml:space="preserve">1) Облицовка. Согласовать КМД. Откорректировать РД согласно объёмов КМД.                                                                       2) Облицовка помещений на отм. 0,000. Отсутствие лимита.
3) Выдать узлы по монтажу электротехнических гермо-проходок               4) Подтвердить актуальность  РД по накладным деталям под опоры оборудования 
</t>
  </si>
  <si>
    <t xml:space="preserve">т</t>
  </si>
  <si>
    <t xml:space="preserve">Участок №3</t>
  </si>
  <si>
    <t xml:space="preserve">МК</t>
  </si>
  <si>
    <t xml:space="preserve">РД обеспечено, материалы в наличие, трудовые ресурсы в наличие</t>
  </si>
  <si>
    <t xml:space="preserve">19-00519 И2</t>
  </si>
  <si>
    <t xml:space="preserve">19-00520, 19-01247, 19-01296</t>
  </si>
  <si>
    <t xml:space="preserve">2-01-0188С, 2-01-0188С-Д1, 2-01-0188С-Д2</t>
  </si>
  <si>
    <r>
      <rPr>
        <sz val="16"/>
        <color rgb="FF000000"/>
        <rFont val="Times New Roman"/>
        <family val="1"/>
        <charset val="204"/>
      </rPr>
      <t xml:space="preserve">Устройство накладных деталей для монтажа оборудования в помещении 20UFB10R023 на отм.0,000. Конструкции железобетонные.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металлоконструкции облицовок из нержавеющей стали, т</t>
    </r>
  </si>
  <si>
    <t xml:space="preserve">19-00922 И1</t>
  </si>
  <si>
    <t xml:space="preserve">19-00931</t>
  </si>
  <si>
    <t xml:space="preserve">2-01-0186С</t>
  </si>
  <si>
    <r>
      <rPr>
        <sz val="16"/>
        <color rgb="FF000000"/>
        <rFont val="Times New Roman"/>
        <family val="1"/>
        <charset val="204"/>
      </rPr>
      <t xml:space="preserve">Устройство накладных деталей для монтажа оборудования в помещении 20UFB10R024 на отм.0,000.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металлоконструкций из нержавеющей стали, т</t>
    </r>
  </si>
  <si>
    <t xml:space="preserve">19-01148 И2</t>
  </si>
  <si>
    <t xml:space="preserve">19-01149, 20-00135, 20-00316</t>
  </si>
  <si>
    <t xml:space="preserve">2-01-0191С, 2-01-0191С-Д1, 2-01-0191С-Д2</t>
  </si>
  <si>
    <r>
      <rPr>
        <sz val="16"/>
        <color rgb="FF000000"/>
        <rFont val="Times New Roman"/>
        <family val="1"/>
        <charset val="204"/>
      </rPr>
      <t xml:space="preserve">Устройство монтажных деталей для крепления оборудования в помещении 20UFB10R032 на отм.0,000. Конструкции железобетонные.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металлоконструкции облицовок из нержавеющей стали, т</t>
    </r>
  </si>
  <si>
    <t xml:space="preserve">19-00270 И2</t>
  </si>
  <si>
    <t xml:space="preserve">19-00271, 19-00890, 20-00438</t>
  </si>
  <si>
    <t xml:space="preserve">2-01-0167С, 2-01-0167С-Д1, 2-01-0167С-Д2</t>
  </si>
  <si>
    <r>
      <rPr>
        <sz val="16"/>
        <color rgb="FF000000"/>
        <rFont val="Times New Roman"/>
        <family val="1"/>
        <charset val="204"/>
      </rPr>
      <t xml:space="preserve">Установка монтажных деталей для крепления облицовки стен на отм. -0.300.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металлоконструкций из нержавеющей стали, т</t>
    </r>
  </si>
  <si>
    <t xml:space="preserve">18-00250 И7</t>
  </si>
  <si>
    <t xml:space="preserve">19-00268</t>
  </si>
  <si>
    <t xml:space="preserve">2-01-0095С-В3-Д1</t>
  </si>
  <si>
    <r>
      <rPr>
        <sz val="16"/>
        <color rgb="FF000000"/>
        <rFont val="Times New Roman"/>
        <family val="1"/>
        <charset val="204"/>
      </rPr>
      <t xml:space="preserve">Установка монтажных деталей для крепления облицовки стен на отм. +5.150 и + 10.850. Конструкции железобетонные. </t>
    </r>
    <r>
      <rPr>
        <b val="true"/>
        <sz val="16"/>
        <color rgb="FF000000"/>
        <rFont val="Times New Roman"/>
        <family val="1"/>
        <charset val="204"/>
      </rPr>
      <t xml:space="preserve">Установка химических анкеров Хилти, шт</t>
    </r>
  </si>
  <si>
    <t xml:space="preserve">шт</t>
  </si>
  <si>
    <t xml:space="preserve">14-07207 И9,И10</t>
  </si>
  <si>
    <t xml:space="preserve">14-07208, 18-01247, 19-00030</t>
  </si>
  <si>
    <t xml:space="preserve">2-01-0029С, 2-01-0029С-Д4, 2-01-0029С-Д7</t>
  </si>
  <si>
    <r>
      <rPr>
        <sz val="16"/>
        <color rgb="FF000000"/>
        <rFont val="Times New Roman"/>
        <family val="1"/>
        <charset val="204"/>
      </rPr>
      <t xml:space="preserve">Архитектурно - строительные работы. </t>
    </r>
    <r>
      <rPr>
        <b val="true"/>
        <sz val="16"/>
        <color rgb="FF000000"/>
        <rFont val="Times New Roman"/>
        <family val="1"/>
        <charset val="204"/>
      </rPr>
      <t xml:space="preserve">Внутренняя отделка потолков, м2</t>
    </r>
  </si>
  <si>
    <t xml:space="preserve">м2</t>
  </si>
  <si>
    <t xml:space="preserve">Участок №1</t>
  </si>
  <si>
    <t xml:space="preserve">18-01247</t>
  </si>
  <si>
    <t xml:space="preserve">2-01-0029С-Д4</t>
  </si>
  <si>
    <r>
      <rPr>
        <sz val="16"/>
        <color rgb="FF000000"/>
        <rFont val="Times New Roman"/>
        <family val="1"/>
        <charset val="204"/>
      </rPr>
      <t xml:space="preserve">Архитектурно - строительные работы. </t>
    </r>
    <r>
      <rPr>
        <b val="true"/>
        <sz val="16"/>
        <color rgb="FF000000"/>
        <rFont val="Times New Roman"/>
        <family val="1"/>
        <charset val="204"/>
      </rPr>
      <t xml:space="preserve">Устройство проемов( двери + окна), м2</t>
    </r>
  </si>
  <si>
    <t xml:space="preserve">ВЭС</t>
  </si>
  <si>
    <r>
      <rPr>
        <sz val="18"/>
        <color rgb="FF000000"/>
        <rFont val="Times New Roman"/>
        <family val="1"/>
        <charset val="204"/>
      </rPr>
      <t xml:space="preserve">РД обеспечено, трудовые ресурсы в наличие.                                          </t>
    </r>
    <r>
      <rPr>
        <b val="true"/>
        <sz val="18"/>
        <color rgb="FF000000"/>
        <rFont val="Times New Roman"/>
        <family val="1"/>
        <charset val="204"/>
      </rPr>
      <t xml:space="preserve">1. Обеспечить поставку противопожарных дверей в колличестве 20 шт. (отв. Пешнина Н.Г., срок - 10.01.2021).</t>
    </r>
    <r>
      <rPr>
        <sz val="18"/>
        <color rgb="FF000000"/>
        <rFont val="Times New Roman"/>
        <family val="1"/>
        <charset val="204"/>
      </rPr>
      <t xml:space="preserve"> </t>
    </r>
  </si>
  <si>
    <t xml:space="preserve">16-01007 И4,16-01007 И5</t>
  </si>
  <si>
    <t xml:space="preserve">19-00125,19-00108,19-00766</t>
  </si>
  <si>
    <t xml:space="preserve">2-01-0055С-В8,2-01-0055С-В8-Д1,2-01-0055С-В8-Д2</t>
  </si>
  <si>
    <t xml:space="preserve"> Облицовка на отм. +5,250 и +10,900. Конструкции металлические</t>
  </si>
  <si>
    <t xml:space="preserve">уэм</t>
  </si>
  <si>
    <t xml:space="preserve">18-01720 И3+И4а</t>
  </si>
  <si>
    <t xml:space="preserve">18-01721, 20-00115</t>
  </si>
  <si>
    <t xml:space="preserve">2-01-0172С, 2-01-0172С-Д1</t>
  </si>
  <si>
    <r>
      <rPr>
        <sz val="16"/>
        <color rgb="FF000000"/>
        <rFont val="Times New Roman"/>
        <family val="1"/>
        <charset val="204"/>
      </rPr>
      <t xml:space="preserve">Пристройка к зданию 4 в осях 1-3 у ряда А. Архитектурные решения. </t>
    </r>
    <r>
      <rPr>
        <b val="true"/>
        <sz val="16"/>
        <color rgb="FF000000"/>
        <rFont val="Times New Roman"/>
        <family val="1"/>
        <charset val="204"/>
      </rPr>
      <t xml:space="preserve">Устройство черновых полов, м2</t>
    </r>
  </si>
  <si>
    <t xml:space="preserve">А-182619-И5а+И6а+ И7а+И8а,
арх.№В20-18-1-1/5, А-182620-
И5а, 
арх.№В20-18-2
</t>
  </si>
  <si>
    <t xml:space="preserve">20-00927</t>
  </si>
  <si>
    <t xml:space="preserve">02-01-2-1171</t>
  </si>
  <si>
    <r>
      <rPr>
        <sz val="16"/>
        <color rgb="FF000000"/>
        <rFont val="Times New Roman"/>
        <family val="1"/>
        <charset val="204"/>
      </rPr>
      <t xml:space="preserve">Вентиляция. Приточные, вытяжные камеры и фильтровальные установки. </t>
    </r>
    <r>
      <rPr>
        <b val="true"/>
        <sz val="16"/>
        <color rgb="FF000000"/>
        <rFont val="Times New Roman"/>
        <family val="1"/>
        <charset val="204"/>
      </rPr>
      <t xml:space="preserve">Монтаж вентиляции, м2</t>
    </r>
  </si>
  <si>
    <t xml:space="preserve">1) Откорректировать ЛС с учётом выданных РПИ и КЗ-221, 232, 555, 846, 871, 872, 915, 921, 14, 141, 187, 117, 119, 1157, 1178, 1181, 1183, 1195, 1222.
2) Выдать решение по огнезащите воздуховодов и узлов проходок.                   3) Откорректировать комплекты РД по дополнительным проходкам под вентиляцию в соответствии с КЗ-221, -1040, -1041.                                                     
</t>
  </si>
  <si>
    <t xml:space="preserve">Рефора</t>
  </si>
  <si>
    <t xml:space="preserve">18-01119 И1, 15-03738 И6</t>
  </si>
  <si>
    <t xml:space="preserve">20-00969</t>
  </si>
  <si>
    <t xml:space="preserve">02-01-3-490 ТМ</t>
  </si>
  <si>
    <r>
      <rPr>
        <sz val="16"/>
        <color rgb="FF000000"/>
        <rFont val="Times New Roman"/>
        <family val="1"/>
        <charset val="204"/>
      </rPr>
      <t xml:space="preserve">Линия карботермического синтеза. </t>
    </r>
    <r>
      <rPr>
        <b val="true"/>
        <sz val="16"/>
        <color rgb="FF000000"/>
        <rFont val="Times New Roman"/>
        <family val="1"/>
        <charset val="204"/>
      </rPr>
      <t xml:space="preserve">Монтаж технологического оборудования, т</t>
    </r>
  </si>
  <si>
    <t xml:space="preserve">15-03464 И1, 15-03465 И1</t>
  </si>
  <si>
    <t xml:space="preserve">19-00433</t>
  </si>
  <si>
    <t xml:space="preserve">02-01-3-436ТМ</t>
  </si>
  <si>
    <r>
      <rPr>
        <sz val="16"/>
        <color rgb="FF000000"/>
        <rFont val="Times New Roman"/>
        <family val="1"/>
        <charset val="204"/>
      </rPr>
      <t xml:space="preserve">Трубный лоток. </t>
    </r>
    <r>
      <rPr>
        <b val="true"/>
        <sz val="16"/>
        <color rgb="FF000000"/>
        <rFont val="Times New Roman"/>
        <family val="1"/>
        <charset val="204"/>
      </rPr>
      <t xml:space="preserve">Монтаж внутренних из нежавеющей стали трубопроводов низкого давления (технологических), т</t>
    </r>
  </si>
  <si>
    <t xml:space="preserve">1.) Откорректировать РД по ЖБ конструкциям трубного лотка по КЗ-1219, -1022                                                                2) Трубопроводы низкого давления КЗ-2024, -2049,   -662, -367
</t>
  </si>
  <si>
    <t xml:space="preserve">1. Требуется согласование замены материала чистого пола (материалы фирмы INGRI)                                                                                        (отв. Чугай А.И, Балин А.В., Гуков Е.В. срок - 21.12.2020).                                                 </t>
  </si>
  <si>
    <t xml:space="preserve">  ГЛАВА 3. Объекты подсобного и обслуживающего назначения</t>
  </si>
  <si>
    <t xml:space="preserve">    Здания 4А-здание переработки САО и НАО</t>
  </si>
  <si>
    <t xml:space="preserve">16-01617 И4</t>
  </si>
  <si>
    <t xml:space="preserve">19-00528, 19-00830</t>
  </si>
  <si>
    <t xml:space="preserve">3-01-0019С-В9, 3-01-0019С-В9-Д1</t>
  </si>
  <si>
    <r>
      <rPr>
        <sz val="16"/>
        <color rgb="FF000000"/>
        <rFont val="Times New Roman"/>
        <family val="1"/>
        <charset val="204"/>
      </rPr>
      <t xml:space="preserve">Облицовка на отм. 0.000 до + 9.600. Конструкции металлические.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металлоконструкции облицовок из нержавеющей стали, т</t>
    </r>
  </si>
  <si>
    <t xml:space="preserve">ЕОС 18128 -77 О невозможности выполнить монтаж облицовки и лотков с уклоном в помещение 10R125
</t>
  </si>
  <si>
    <t xml:space="preserve">1. Выдать решение по узлу примыкания облицовки и ЗВД (отв. Балин А.В., срок-28.12.2020).                                                                2. Обеспечить поставку листа нержавеющего, в объеме 14,5 тн. (отв. Пешнина Н.Г., срок - 25.12.2020). </t>
  </si>
  <si>
    <t xml:space="preserve">18-00914 И4</t>
  </si>
  <si>
    <t xml:space="preserve">19-00570, 19-00813</t>
  </si>
  <si>
    <t xml:space="preserve">3-01-0037С-В2, 3-01-0037С-В2-Д1</t>
  </si>
  <si>
    <r>
      <rPr>
        <sz val="16"/>
        <color rgb="FF000000"/>
        <rFont val="Times New Roman"/>
        <family val="1"/>
        <charset val="204"/>
      </rPr>
      <t xml:space="preserve">Установка монтажных деталей для крепления облицовки стен.  Конструкции железобетонные.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металлоконструкций из нержавеющей стали, т</t>
    </r>
  </si>
  <si>
    <t xml:space="preserve">1. Выдать решение по узлу примыкания облицовки и ЗВД (отв. Балин А.В., срок-28.12.2020)                                                        2. Обеспечить поставку закладных деталей из нержавеющей стали в объеме 4 тн. (отв. Пешнина Н.Г., срок - 25.12.2020). </t>
  </si>
  <si>
    <t xml:space="preserve">14-08248 И13 </t>
  </si>
  <si>
    <t xml:space="preserve">14-08249,18-00804,19-00325</t>
  </si>
  <si>
    <t xml:space="preserve">1-1145,3-01-0033С-Д3,3-01-0033С-Д4</t>
  </si>
  <si>
    <r>
      <rPr>
        <sz val="16"/>
        <color rgb="FF000000"/>
        <rFont val="Times New Roman"/>
        <family val="1"/>
        <charset val="204"/>
      </rPr>
      <t xml:space="preserve">Архитектурные решения. Здание 4А- здания переработки САО и НАО. </t>
    </r>
    <r>
      <rPr>
        <b val="true"/>
        <sz val="16"/>
        <color rgb="FF000000"/>
        <rFont val="Times New Roman"/>
        <family val="1"/>
        <charset val="204"/>
      </rPr>
      <t xml:space="preserve">Внутренняя отделка потолков, м2</t>
    </r>
  </si>
  <si>
    <r>
      <rPr>
        <sz val="16"/>
        <color rgb="FF000000"/>
        <rFont val="Times New Roman"/>
        <family val="1"/>
        <charset val="204"/>
      </rPr>
      <t xml:space="preserve">Архитектурные решения. Здание 4А- здания переработки САО и НАО. </t>
    </r>
    <r>
      <rPr>
        <b val="true"/>
        <sz val="16"/>
        <color rgb="FF000000"/>
        <rFont val="Times New Roman"/>
        <family val="1"/>
        <charset val="204"/>
      </rPr>
      <t xml:space="preserve">Внутренняя отделка стен, м2</t>
    </r>
  </si>
  <si>
    <t xml:space="preserve">14-08691 И3, 14-08692 И6</t>
  </si>
  <si>
    <t xml:space="preserve">20-00512</t>
  </si>
  <si>
    <t xml:space="preserve">03-01-3-470ТМ</t>
  </si>
  <si>
    <r>
      <rPr>
        <sz val="16"/>
        <color rgb="FF000000"/>
        <rFont val="Times New Roman"/>
        <family val="1"/>
        <charset val="204"/>
      </rPr>
      <t xml:space="preserve"> Технология обращения с РАО. Монтаж технологического оборудования. Выпарная установка между осями 1-9 и А-Г. </t>
    </r>
    <r>
      <rPr>
        <b val="true"/>
        <sz val="16"/>
        <color rgb="FF000000"/>
        <rFont val="Times New Roman"/>
        <family val="1"/>
        <charset val="204"/>
      </rPr>
      <t xml:space="preserve">Монтаж технологического оборудования, шт</t>
    </r>
  </si>
  <si>
    <t xml:space="preserve">1. Выдать решение по подопорным закладным деталям под оборудование в пом. 125                                                                                       (отв. Балин  А.В., срок - 18.12.2020). </t>
  </si>
  <si>
    <r>
      <rPr>
        <sz val="16"/>
        <color rgb="FF000000"/>
        <rFont val="Times New Roman"/>
        <family val="1"/>
        <charset val="204"/>
      </rPr>
      <t xml:space="preserve"> Технология обращения с РАО. Монтаж технологического оборудования. Выпарная установка между осями 1-9 и А-Г. </t>
    </r>
    <r>
      <rPr>
        <b val="true"/>
        <sz val="16"/>
        <color rgb="FF000000"/>
        <rFont val="Times New Roman"/>
        <family val="1"/>
        <charset val="204"/>
      </rPr>
      <t xml:space="preserve">Монтаж грузоподъемных механизмов, шт</t>
    </r>
  </si>
  <si>
    <t xml:space="preserve">14-08695 И2, 14-08696 И10</t>
  </si>
  <si>
    <t xml:space="preserve">19-00743</t>
  </si>
  <si>
    <t xml:space="preserve">03-01-3-442ТМ</t>
  </si>
  <si>
    <r>
      <rPr>
        <sz val="16"/>
        <color rgb="FF000000"/>
        <rFont val="Times New Roman"/>
        <family val="1"/>
        <charset val="204"/>
      </rPr>
      <t xml:space="preserve">Технология обращения с РАО. Участок обращения с нетехнологическими ТРО между осями 2 - 6, Г- М. </t>
    </r>
    <r>
      <rPr>
        <b val="true"/>
        <sz val="16"/>
        <color rgb="FF000000"/>
        <rFont val="Times New Roman"/>
        <family val="1"/>
        <charset val="204"/>
      </rPr>
      <t xml:space="preserve">Монтаж технологического оборудования, т</t>
    </r>
  </si>
  <si>
    <t xml:space="preserve">    Здания 5 - временное хранилище кондиционированных САО, НАО и ОНАО</t>
  </si>
  <si>
    <t xml:space="preserve">14-05560 И1, 14-05561 И1, 14-06501</t>
  </si>
  <si>
    <t xml:space="preserve">20-00141</t>
  </si>
  <si>
    <t xml:space="preserve">03-02-2-1155</t>
  </si>
  <si>
    <r>
      <rPr>
        <sz val="16"/>
        <color rgb="FF000000"/>
        <rFont val="Times New Roman"/>
        <family val="1"/>
        <charset val="204"/>
      </rPr>
      <t xml:space="preserve">Устройство систем вентиляции, отопления и теплоснабжения. </t>
    </r>
    <r>
      <rPr>
        <b val="true"/>
        <sz val="16"/>
        <color rgb="FF000000"/>
        <rFont val="Times New Roman"/>
        <family val="1"/>
        <charset val="204"/>
      </rPr>
      <t xml:space="preserve">Монтаж внутренних металлических трубопроводов (водоснабжения, канализации, отопления), м</t>
    </r>
  </si>
  <si>
    <t xml:space="preserve">м</t>
  </si>
  <si>
    <t xml:space="preserve">    Сооружения 5/4А, 64/22, 22/4 - пешеходно-технологические галереи</t>
  </si>
  <si>
    <t xml:space="preserve">19-00904 И1</t>
  </si>
  <si>
    <t xml:space="preserve">19-00905</t>
  </si>
  <si>
    <t xml:space="preserve">3-05-0009С</t>
  </si>
  <si>
    <r>
      <rPr>
        <sz val="16"/>
        <color rgb="FF000000"/>
        <rFont val="Times New Roman"/>
        <family val="1"/>
        <charset val="204"/>
      </rPr>
      <t xml:space="preserve">Фундаменты под опоры галереи. Пешеходно-технологическая галерея от здания 64 к зданию 22. </t>
    </r>
    <r>
      <rPr>
        <b val="true"/>
        <sz val="16"/>
        <color rgb="FF000000"/>
        <rFont val="Times New Roman"/>
        <family val="1"/>
        <charset val="204"/>
      </rPr>
      <t xml:space="preserve">Устройство гидроизоляции, м2</t>
    </r>
  </si>
  <si>
    <r>
      <rPr>
        <sz val="16"/>
        <color rgb="FF000000"/>
        <rFont val="Times New Roman"/>
        <family val="1"/>
        <charset val="204"/>
      </rPr>
      <t xml:space="preserve">Фундаменты под опоры галереи. Пешеходно-технологическая галерея от здания 22 к зданию 4. </t>
    </r>
    <r>
      <rPr>
        <b val="true"/>
        <sz val="16"/>
        <color rgb="FF000000"/>
        <rFont val="Times New Roman"/>
        <family val="1"/>
        <charset val="204"/>
      </rPr>
      <t xml:space="preserve">Устройство монолитного железобетона, м3</t>
    </r>
  </si>
  <si>
    <t xml:space="preserve">м3</t>
  </si>
  <si>
    <t xml:space="preserve">    Здания 33 - центральный материальный склад и склад химреагентов</t>
  </si>
  <si>
    <t xml:space="preserve">19-00284 И1</t>
  </si>
  <si>
    <t xml:space="preserve">19-00285, 19-00560, 20-00519</t>
  </si>
  <si>
    <t xml:space="preserve">3-07-0005С,3-07-0005С-Д1,3-07-0005С-Д2</t>
  </si>
  <si>
    <r>
      <rPr>
        <sz val="16"/>
        <color rgb="FF000000"/>
        <rFont val="Times New Roman"/>
        <family val="1"/>
        <charset val="204"/>
      </rPr>
      <t xml:space="preserve">Перегородки на отм. +1.200, +1.500, +1.700. </t>
    </r>
    <r>
      <rPr>
        <b val="true"/>
        <sz val="16"/>
        <color rgb="FF000000"/>
        <rFont val="Times New Roman"/>
        <family val="1"/>
        <charset val="204"/>
      </rPr>
      <t xml:space="preserve">Облицовка  поверхности, м2</t>
    </r>
  </si>
  <si>
    <t xml:space="preserve">Устранить несоответствия по  КЗ-1235</t>
  </si>
  <si>
    <t xml:space="preserve">Участок №2</t>
  </si>
  <si>
    <t xml:space="preserve">1. Принять решение по марке утеплителя в перегородках.   (отв. Балин А.В., срок - 21.12.2020)                              
2. Выполнить корректировку сметы на монтаж гипсокортонного листа. (отв. Балин А.В., срок - 15.01.2020)  
</t>
  </si>
  <si>
    <t xml:space="preserve">  ГЛАВА 5. Объекты транспортного хозяйства и связи</t>
  </si>
  <si>
    <t xml:space="preserve">    Охранная зона периметра площадки</t>
  </si>
  <si>
    <t xml:space="preserve">10111дсп</t>
  </si>
  <si>
    <t xml:space="preserve">72486 ДСП</t>
  </si>
  <si>
    <t xml:space="preserve">05-06-4-1534</t>
  </si>
  <si>
    <r>
      <rPr>
        <sz val="16"/>
        <color rgb="FF000000"/>
        <rFont val="Times New Roman"/>
        <family val="1"/>
        <charset val="204"/>
      </rPr>
      <t xml:space="preserve">Периметр площадки ОДЭК. СФЗ. СУДОС. </t>
    </r>
    <r>
      <rPr>
        <b val="true"/>
        <sz val="16"/>
        <color rgb="FF000000"/>
        <rFont val="Times New Roman"/>
        <family val="1"/>
        <charset val="204"/>
      </rPr>
      <t xml:space="preserve">Монтаж кабельных конструкций и прокладка  кабеля, м</t>
    </r>
  </si>
  <si>
    <t xml:space="preserve">Внести в РД изменения по КЗ-1114, -1044, -1052, -1060
</t>
  </si>
  <si>
    <t xml:space="preserve">ССС</t>
  </si>
  <si>
    <t xml:space="preserve">17-00268 И2</t>
  </si>
  <si>
    <t xml:space="preserve">17-00269, 19-00613, 19-00826, 19-01189</t>
  </si>
  <si>
    <t xml:space="preserve">5-06-0003С-В1, 5-06-0003С-В1-Д1, 5-06-0003С-В1-Д2, 5-06-0003С-В1-Д3, 5-06-0003С-В1-Д4</t>
  </si>
  <si>
    <r>
      <rPr>
        <sz val="16"/>
        <color rgb="FF000000"/>
        <rFont val="Times New Roman"/>
        <family val="1"/>
        <charset val="204"/>
      </rPr>
      <t xml:space="preserve"> Строительные конструкции ограждения запретной зоны по периметру площадки ОДЭК. </t>
    </r>
    <r>
      <rPr>
        <b val="true"/>
        <sz val="16"/>
        <color rgb="FF000000"/>
        <rFont val="Times New Roman"/>
        <family val="1"/>
        <charset val="204"/>
      </rPr>
      <t xml:space="preserve">Установка заборных секций из сетки, шт</t>
    </r>
  </si>
  <si>
    <t xml:space="preserve">  ГЛАВА 6. Наружные сети и сооружения водоснабжения, водоотведения, теплоснабжения и газоснабжения</t>
  </si>
  <si>
    <t xml:space="preserve">    Сооружение 29 - Сооружение учета теплоты</t>
  </si>
  <si>
    <t xml:space="preserve">15-01061 И2</t>
  </si>
  <si>
    <t xml:space="preserve">15-02891, 18-00360</t>
  </si>
  <si>
    <t xml:space="preserve">1-973, 6-07-0002С</t>
  </si>
  <si>
    <r>
      <rPr>
        <sz val="16"/>
        <color rgb="FF000000"/>
        <rFont val="Times New Roman"/>
        <family val="1"/>
        <charset val="204"/>
      </rPr>
      <t xml:space="preserve">Архитектурные решения. </t>
    </r>
    <r>
      <rPr>
        <b val="true"/>
        <sz val="16"/>
        <color rgb="FF000000"/>
        <rFont val="Times New Roman"/>
        <family val="1"/>
        <charset val="204"/>
      </rPr>
      <t xml:space="preserve">Устройство кровельных мембранных покрытий, м2</t>
    </r>
  </si>
  <si>
    <t xml:space="preserve">1. Выдать решение по узлу примыкания кровли к стеновой панели.                                                                                         (отв.Балин А.В., срк - 22.12.2020)</t>
  </si>
  <si>
    <t xml:space="preserve">АО "СХК" </t>
  </si>
  <si>
    <t xml:space="preserve">ООО "УС БАЭС" </t>
  </si>
  <si>
    <t xml:space="preserve">И.о. главного инженера  УКС ОДЭК</t>
  </si>
  <si>
    <t xml:space="preserve">Е.В. Гуков</t>
  </si>
  <si>
    <t xml:space="preserve">Управляющий по строительству объектов АО «СХК»</t>
  </si>
  <si>
    <t xml:space="preserve">Управляющий по строительству объектов АО «СХК» г. Северск ООО «УС БАЭС"</t>
  </si>
  <si>
    <t xml:space="preserve">А.И. Чугай</t>
  </si>
  <si>
    <t xml:space="preserve">г. Северск ООО «УС БАЭС"</t>
  </si>
  <si>
    <t xml:space="preserve">Начальник ОСК</t>
  </si>
  <si>
    <t xml:space="preserve">А.В. Соколов</t>
  </si>
  <si>
    <t xml:space="preserve">Заместитель директора по производству </t>
  </si>
  <si>
    <t xml:space="preserve">Начальник ОУП</t>
  </si>
  <si>
    <t xml:space="preserve">И.Г. Тернова</t>
  </si>
  <si>
    <t xml:space="preserve">по объекту АО «СХК» г. Северск</t>
  </si>
  <si>
    <t xml:space="preserve">Ведущий инженер-сметчик</t>
  </si>
  <si>
    <t xml:space="preserve">Заместитель генерального директора АО "Атомпроект" </t>
  </si>
  <si>
    <t xml:space="preserve">А.В. Яшкин</t>
  </si>
  <si>
    <t xml:space="preserve">Менеджер проекта строительства "Опытно-демонстрационный энергет, ОЦКС</t>
  </si>
  <si>
    <t xml:space="preserve">А.Г. Терещенко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</si>
</sst>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#,##0.000"/>
    <numFmt numFmtId="167" formatCode="_-* #,##0.00\ _₽_-;\-* #,##0.00\ _₽_-;_-* \-??\ _₽_-;_-@_-"/>
    <numFmt numFmtId="168" formatCode="@"/>
    <numFmt numFmtId="169" formatCode="_-* #,##0.0\ _₽_-;\-* #,##0.0\ _₽_-;_-* \-??\ _₽_-;_-@_-"/>
    <numFmt numFmtId="170" formatCode="_-* #,##0.00\ _₽_-;\-* #,##0.00\ _₽_-;_-* \-??\ _₽_-;_-@_-"/>
  </numFmts>
  <fonts count="2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 val="true"/>
      <sz val="16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 val="true"/>
      <sz val="16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 val="true"/>
      <sz val="20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6"/>
      <name val="Times New Roman"/>
      <family val="1"/>
      <charset val="204"/>
    </font>
    <font>
      <b val="true"/>
      <sz val="18"/>
      <color rgb="FF000000"/>
      <name val="Times New Roman"/>
      <family val="1"/>
      <charset val="204"/>
    </font>
    <font>
      <sz val="16"/>
      <color rgb="FF000000"/>
      <name val="Calibri"/>
      <family val="2"/>
      <charset val="204"/>
    </font>
    <font>
      <i val="true"/>
      <sz val="11"/>
      <color rgb="FF7F7F7F"/>
      <name val="Calibri"/>
      <family val="2"/>
      <charset val="204"/>
    </font>
    <font>
      <sz val="16"/>
      <color rgb="FF000000"/>
      <name val="Arial Narrow"/>
      <family val="2"/>
      <charset val="204"/>
    </font>
    <font>
      <b val="true"/>
      <sz val="12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b val="true"/>
      <sz val="12"/>
      <name val="Times New Roman"/>
      <family val="1"/>
      <charset val="204"/>
    </font>
    <font>
      <sz val="18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E2F0D9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FFFFFF"/>
        <bgColor rgb="FFE2F0D9"/>
      </patternFill>
    </fill>
    <fill>
      <patternFill patternType="solid">
        <fgColor rgb="FFDEEBF7"/>
        <bgColor rgb="FFDAE3F3"/>
      </patternFill>
    </fill>
    <fill>
      <patternFill patternType="solid">
        <fgColor rgb="FFC00000"/>
        <bgColor rgb="FF800000"/>
      </patternFill>
    </fill>
    <fill>
      <patternFill patternType="solid">
        <fgColor rgb="FFFFFF00"/>
        <bgColor rgb="FFFFFF00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distributed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distributed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distributed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distributed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5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3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3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3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6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2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" fillId="0" borderId="1" xfId="26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15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5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0" xfId="2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" fillId="0" borderId="20" xfId="26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16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0" fillId="0" borderId="1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3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3" fillId="5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8" fontId="10" fillId="0" borderId="14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4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1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0" fillId="5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0" fillId="0" borderId="2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0" fillId="0" borderId="22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3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6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3" fillId="5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5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5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5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5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5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8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14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14" xfId="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5" borderId="14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5" borderId="29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5" borderId="23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6" xfId="3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6" fillId="0" borderId="1" xfId="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6" fillId="0" borderId="1" xfId="3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8" fillId="5" borderId="1" xfId="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5" borderId="15" xfId="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5" borderId="2" xfId="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0" borderId="1" xfId="38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10" fillId="7" borderId="1" xfId="38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1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0" fillId="0" borderId="1" xfId="3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8" fillId="5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1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1" xfId="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5" borderId="1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5" borderId="15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5" borderId="2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5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0" fillId="0" borderId="13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0" fillId="0" borderId="30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13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6" fillId="0" borderId="32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1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3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5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5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3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3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9" fillId="5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20" fillId="5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distributed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26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26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0" fontId="2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12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6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5" borderId="0" xfId="26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1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12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2 2 2" xfId="22"/>
    <cellStyle name="Обычный 2 3" xfId="23"/>
    <cellStyle name="Обычный 2 3 2" xfId="24"/>
    <cellStyle name="Обычный 2 4" xfId="25"/>
    <cellStyle name="Обычный 3" xfId="26"/>
    <cellStyle name="Обычный 3 2" xfId="27"/>
    <cellStyle name="Обычный 3 2 2" xfId="28"/>
    <cellStyle name="Обычный 3 3" xfId="29"/>
    <cellStyle name="Обычный 3 3 2" xfId="30"/>
    <cellStyle name="Обычный 3 4" xfId="31"/>
    <cellStyle name="Обычный 4" xfId="32"/>
    <cellStyle name="Обычный 4 2" xfId="33"/>
    <cellStyle name="Обычный 4 2 2" xfId="34"/>
    <cellStyle name="Обычный 4 3" xfId="35"/>
    <cellStyle name="Обычный 4 3 2" xfId="36"/>
    <cellStyle name="Обычный 4 4" xfId="37"/>
    <cellStyle name="Excel Built-in Explanatory Text" xfId="3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M231"/>
  <sheetViews>
    <sheetView showFormulas="false" showGridLines="true" showRowColHeaders="true" showZeros="true" rightToLeft="false" tabSelected="true" showOutlineSymbols="true" defaultGridColor="true" view="pageBreakPreview" topLeftCell="A36" colorId="64" zoomScale="70" zoomScaleNormal="70" zoomScalePageLayoutView="70" workbookViewId="0">
      <selection pane="topLeft" activeCell="AN47" activeCellId="0" sqref="AN47"/>
    </sheetView>
  </sheetViews>
  <sheetFormatPr defaultColWidth="10.2890625" defaultRowHeight="15.7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7"/>
    <col collapsed="false" customWidth="true" hidden="false" outlineLevel="0" max="3" min="3" style="3" width="16.57"/>
    <col collapsed="false" customWidth="true" hidden="true" outlineLevel="0" max="4" min="4" style="3" width="20.71"/>
    <col collapsed="false" customWidth="true" hidden="false" outlineLevel="0" max="5" min="5" style="3" width="55"/>
    <col collapsed="false" customWidth="true" hidden="true" outlineLevel="0" max="6" min="6" style="3" width="44.71"/>
    <col collapsed="false" customWidth="true" hidden="false" outlineLevel="0" max="7" min="7" style="4" width="7"/>
    <col collapsed="false" customWidth="true" hidden="false" outlineLevel="0" max="8" min="8" style="5" width="18.85"/>
    <col collapsed="false" customWidth="true" hidden="false" outlineLevel="0" max="9" min="9" style="5" width="17.28"/>
    <col collapsed="false" customWidth="true" hidden="false" outlineLevel="0" max="10" min="10" style="5" width="15.85"/>
    <col collapsed="false" customWidth="true" hidden="true" outlineLevel="0" max="11" min="11" style="5" width="12.85"/>
    <col collapsed="false" customWidth="true" hidden="true" outlineLevel="0" max="12" min="12" style="5" width="14.57"/>
    <col collapsed="false" customWidth="true" hidden="true" outlineLevel="0" max="13" min="13" style="5" width="14.28"/>
    <col collapsed="false" customWidth="true" hidden="false" outlineLevel="0" max="14" min="14" style="5" width="18.28"/>
    <col collapsed="false" customWidth="true" hidden="false" outlineLevel="0" max="15" min="15" style="5" width="17.43"/>
    <col collapsed="false" customWidth="true" hidden="false" outlineLevel="0" max="16" min="16" style="5" width="15.71"/>
    <col collapsed="false" customWidth="true" hidden="false" outlineLevel="0" max="17" min="17" style="6" width="16"/>
    <col collapsed="false" customWidth="true" hidden="false" outlineLevel="0" max="18" min="18" style="6" width="18"/>
    <col collapsed="false" customWidth="true" hidden="true" outlineLevel="0" max="19" min="19" style="7" width="15.28"/>
    <col collapsed="false" customWidth="true" hidden="true" outlineLevel="0" max="20" min="20" style="7" width="15.14"/>
    <col collapsed="false" customWidth="true" hidden="true" outlineLevel="0" max="21" min="21" style="8" width="15.14"/>
    <col collapsed="false" customWidth="true" hidden="true" outlineLevel="0" max="22" min="22" style="8" width="15.71"/>
    <col collapsed="false" customWidth="true" hidden="true" outlineLevel="0" max="23" min="23" style="9" width="16.57"/>
    <col collapsed="false" customWidth="true" hidden="true" outlineLevel="0" max="24" min="24" style="10" width="17.85"/>
    <col collapsed="false" customWidth="true" hidden="false" outlineLevel="0" max="25" min="25" style="9" width="16.85"/>
    <col collapsed="false" customWidth="true" hidden="false" outlineLevel="0" max="26" min="26" style="11" width="19.14"/>
    <col collapsed="false" customWidth="true" hidden="true" outlineLevel="0" max="27" min="27" style="11" width="17.14"/>
    <col collapsed="false" customWidth="true" hidden="true" outlineLevel="0" max="30" min="28" style="4" width="17.14"/>
    <col collapsed="false" customWidth="true" hidden="true" outlineLevel="0" max="31" min="31" style="5" width="17.14"/>
    <col collapsed="false" customWidth="true" hidden="true" outlineLevel="0" max="37" min="32" style="4" width="17.14"/>
    <col collapsed="false" customWidth="false" hidden="true" outlineLevel="0" max="38" min="38" style="4" width="10.28"/>
    <col collapsed="false" customWidth="true" hidden="true" outlineLevel="0" max="39" min="39" style="4" width="24.57"/>
    <col collapsed="false" customWidth="true" hidden="false" outlineLevel="0" max="40" min="40" style="4" width="92"/>
    <col collapsed="false" customWidth="false" hidden="false" outlineLevel="0" max="113" min="41" style="5" width="10.28"/>
    <col collapsed="false" customWidth="true" hidden="false" outlineLevel="0" max="114" min="114" style="5" width="17"/>
    <col collapsed="false" customWidth="false" hidden="false" outlineLevel="0" max="221" min="115" style="5" width="10.28"/>
    <col collapsed="false" customWidth="false" hidden="false" outlineLevel="0" max="1024" min="222" style="4" width="10.28"/>
  </cols>
  <sheetData>
    <row r="1" customFormat="false" ht="37.5" hidden="false" customHeight="true" outlineLevel="0" collapsed="false">
      <c r="B1" s="12" t="s">
        <v>0</v>
      </c>
      <c r="C1" s="13"/>
      <c r="D1" s="14"/>
      <c r="E1" s="14"/>
      <c r="F1" s="14"/>
      <c r="G1" s="15"/>
      <c r="H1" s="16"/>
      <c r="I1" s="16"/>
      <c r="J1" s="16"/>
      <c r="K1" s="16"/>
      <c r="L1" s="16"/>
      <c r="M1" s="16"/>
      <c r="N1" s="16"/>
      <c r="O1" s="16"/>
      <c r="P1" s="13"/>
      <c r="Q1" s="12"/>
      <c r="R1" s="16"/>
      <c r="S1" s="16"/>
      <c r="T1" s="16"/>
      <c r="U1" s="16"/>
      <c r="V1" s="16"/>
      <c r="W1" s="12"/>
      <c r="X1" s="17"/>
      <c r="Y1" s="12"/>
      <c r="Z1" s="12"/>
      <c r="AA1" s="16"/>
      <c r="AB1" s="16"/>
      <c r="AC1" s="16"/>
      <c r="AD1" s="16"/>
      <c r="AE1" s="16"/>
      <c r="AF1" s="12" t="s">
        <v>0</v>
      </c>
      <c r="AG1" s="17"/>
      <c r="AH1" s="12"/>
      <c r="AN1" s="13" t="s">
        <v>1</v>
      </c>
    </row>
    <row r="2" customFormat="false" ht="121.5" hidden="false" customHeight="true" outlineLevel="0" collapsed="false">
      <c r="A2" s="18" t="s">
        <v>2</v>
      </c>
      <c r="B2" s="18"/>
      <c r="C2" s="18"/>
      <c r="D2" s="18"/>
      <c r="E2" s="19"/>
      <c r="F2" s="19"/>
      <c r="G2" s="20"/>
      <c r="H2" s="21"/>
      <c r="I2" s="21"/>
      <c r="J2" s="21"/>
      <c r="K2" s="21"/>
      <c r="L2" s="22"/>
      <c r="M2" s="22"/>
      <c r="N2" s="22"/>
      <c r="O2" s="22"/>
      <c r="P2" s="23"/>
      <c r="Q2" s="24"/>
      <c r="R2" s="24"/>
      <c r="S2" s="24"/>
      <c r="T2" s="24"/>
      <c r="U2" s="24"/>
      <c r="V2" s="24"/>
      <c r="W2" s="24"/>
      <c r="X2" s="24"/>
      <c r="Y2" s="24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5" t="s">
        <v>3</v>
      </c>
    </row>
    <row r="3" customFormat="false" ht="63" hidden="false" customHeight="true" outlineLevel="0" collapsed="false">
      <c r="A3" s="18" t="s">
        <v>4</v>
      </c>
      <c r="B3" s="18"/>
      <c r="C3" s="18"/>
      <c r="D3" s="26"/>
      <c r="E3" s="19"/>
      <c r="F3" s="19"/>
      <c r="G3" s="20"/>
      <c r="H3" s="21"/>
      <c r="I3" s="21"/>
      <c r="J3" s="21"/>
      <c r="K3" s="21"/>
      <c r="L3" s="22"/>
      <c r="M3" s="22"/>
      <c r="N3" s="22"/>
      <c r="O3" s="22"/>
      <c r="P3" s="23"/>
      <c r="Q3" s="27"/>
      <c r="R3" s="27"/>
      <c r="S3" s="27"/>
      <c r="T3" s="27"/>
      <c r="U3" s="27"/>
      <c r="V3" s="27"/>
      <c r="W3" s="27"/>
      <c r="X3" s="27"/>
      <c r="Y3" s="27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5" t="s">
        <v>5</v>
      </c>
    </row>
    <row r="4" customFormat="false" ht="25.5" hidden="false" customHeight="false" outlineLevel="0" collapsed="false">
      <c r="C4" s="28" t="s">
        <v>6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E4" s="4"/>
    </row>
    <row r="5" customFormat="false" ht="20.25" hidden="false" customHeight="true" outlineLevel="0" collapsed="false">
      <c r="C5" s="30" t="s">
        <v>7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29"/>
      <c r="AE5" s="4"/>
    </row>
    <row r="6" customFormat="false" ht="51.75" hidden="false" customHeight="true" outlineLevel="0" collapsed="false">
      <c r="C6" s="31" t="s">
        <v>8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29"/>
      <c r="AE6" s="4"/>
      <c r="AQ6" s="5" t="n">
        <v>10.9</v>
      </c>
    </row>
    <row r="7" customFormat="false" ht="52.5" hidden="false" customHeight="true" outlineLevel="0" collapsed="false">
      <c r="A7" s="32" t="s">
        <v>9</v>
      </c>
      <c r="B7" s="33" t="s">
        <v>10</v>
      </c>
      <c r="C7" s="33" t="s">
        <v>11</v>
      </c>
      <c r="D7" s="33" t="s">
        <v>12</v>
      </c>
      <c r="E7" s="33" t="s">
        <v>13</v>
      </c>
      <c r="F7" s="33" t="s">
        <v>14</v>
      </c>
      <c r="G7" s="34" t="s">
        <v>15</v>
      </c>
      <c r="H7" s="35" t="s">
        <v>16</v>
      </c>
      <c r="I7" s="35"/>
      <c r="J7" s="35"/>
      <c r="K7" s="35"/>
      <c r="L7" s="35"/>
      <c r="M7" s="35"/>
      <c r="N7" s="35" t="s">
        <v>17</v>
      </c>
      <c r="O7" s="35"/>
      <c r="P7" s="35"/>
      <c r="Q7" s="36" t="s">
        <v>18</v>
      </c>
      <c r="R7" s="36"/>
      <c r="S7" s="37"/>
      <c r="T7" s="37"/>
      <c r="U7" s="37"/>
      <c r="V7" s="37"/>
      <c r="W7" s="37"/>
      <c r="X7" s="37"/>
      <c r="Y7" s="38" t="s">
        <v>19</v>
      </c>
      <c r="Z7" s="39" t="s">
        <v>20</v>
      </c>
      <c r="AA7" s="40" t="s">
        <v>21</v>
      </c>
      <c r="AB7" s="41" t="s">
        <v>21</v>
      </c>
      <c r="AC7" s="42" t="s">
        <v>21</v>
      </c>
      <c r="AD7" s="42" t="s">
        <v>21</v>
      </c>
      <c r="AE7" s="42" t="s">
        <v>21</v>
      </c>
      <c r="AF7" s="42" t="s">
        <v>21</v>
      </c>
      <c r="AG7" s="42" t="s">
        <v>21</v>
      </c>
      <c r="AH7" s="42" t="s">
        <v>21</v>
      </c>
      <c r="AI7" s="42" t="s">
        <v>21</v>
      </c>
      <c r="AJ7" s="43" t="s">
        <v>22</v>
      </c>
      <c r="AL7" s="4" t="n">
        <f aca="false">7.63*1.05*1.044*1.037*0.9897*1.046*1.2*1.3</f>
        <v>14.0072521050369</v>
      </c>
      <c r="AM7" s="44"/>
      <c r="AN7" s="45" t="s">
        <v>23</v>
      </c>
    </row>
    <row r="8" customFormat="false" ht="30.6" hidden="false" customHeight="true" outlineLevel="0" collapsed="false">
      <c r="A8" s="32"/>
      <c r="B8" s="33"/>
      <c r="C8" s="33"/>
      <c r="D8" s="33"/>
      <c r="E8" s="33"/>
      <c r="F8" s="33"/>
      <c r="G8" s="34"/>
      <c r="H8" s="35"/>
      <c r="I8" s="35"/>
      <c r="J8" s="35"/>
      <c r="K8" s="35"/>
      <c r="L8" s="35"/>
      <c r="M8" s="35"/>
      <c r="N8" s="35"/>
      <c r="O8" s="35"/>
      <c r="P8" s="35"/>
      <c r="Q8" s="36"/>
      <c r="R8" s="36"/>
      <c r="S8" s="46" t="s">
        <v>24</v>
      </c>
      <c r="T8" s="47"/>
      <c r="U8" s="48" t="s">
        <v>25</v>
      </c>
      <c r="V8" s="47"/>
      <c r="W8" s="49" t="s">
        <v>26</v>
      </c>
      <c r="X8" s="49"/>
      <c r="Y8" s="38"/>
      <c r="Z8" s="39"/>
      <c r="AA8" s="40"/>
      <c r="AB8" s="41"/>
      <c r="AC8" s="42"/>
      <c r="AD8" s="42"/>
      <c r="AE8" s="42"/>
      <c r="AF8" s="42"/>
      <c r="AG8" s="42"/>
      <c r="AH8" s="42"/>
      <c r="AI8" s="42"/>
      <c r="AJ8" s="43"/>
      <c r="AL8" s="4" t="n">
        <f aca="false">7.63*1.05*1.044*0.9897*1.046*1.2</f>
        <v>10.3903657777886</v>
      </c>
      <c r="AM8" s="44"/>
      <c r="AN8" s="45"/>
    </row>
    <row r="9" customFormat="false" ht="15.75" hidden="false" customHeight="true" outlineLevel="0" collapsed="false">
      <c r="A9" s="32"/>
      <c r="B9" s="33"/>
      <c r="C9" s="33"/>
      <c r="D9" s="33"/>
      <c r="E9" s="33"/>
      <c r="F9" s="33"/>
      <c r="G9" s="34"/>
      <c r="H9" s="50" t="s">
        <v>27</v>
      </c>
      <c r="I9" s="50" t="s">
        <v>28</v>
      </c>
      <c r="J9" s="50" t="s">
        <v>29</v>
      </c>
      <c r="K9" s="50" t="s">
        <v>30</v>
      </c>
      <c r="L9" s="50" t="s">
        <v>31</v>
      </c>
      <c r="M9" s="50" t="s">
        <v>32</v>
      </c>
      <c r="N9" s="51" t="s">
        <v>33</v>
      </c>
      <c r="O9" s="51" t="s">
        <v>34</v>
      </c>
      <c r="P9" s="51" t="s">
        <v>35</v>
      </c>
      <c r="Q9" s="52" t="s">
        <v>36</v>
      </c>
      <c r="R9" s="52"/>
      <c r="S9" s="53" t="s">
        <v>36</v>
      </c>
      <c r="T9" s="53"/>
      <c r="U9" s="50" t="s">
        <v>36</v>
      </c>
      <c r="V9" s="50"/>
      <c r="W9" s="54" t="s">
        <v>36</v>
      </c>
      <c r="X9" s="54"/>
      <c r="Y9" s="38"/>
      <c r="Z9" s="39"/>
      <c r="AA9" s="40"/>
      <c r="AB9" s="41"/>
      <c r="AC9" s="42"/>
      <c r="AD9" s="42"/>
      <c r="AE9" s="42"/>
      <c r="AF9" s="42"/>
      <c r="AG9" s="42"/>
      <c r="AH9" s="42"/>
      <c r="AI9" s="42"/>
      <c r="AJ9" s="43"/>
      <c r="AM9" s="44"/>
      <c r="AN9" s="45"/>
    </row>
    <row r="10" customFormat="false" ht="120.75" hidden="false" customHeight="true" outlineLevel="0" collapsed="false">
      <c r="A10" s="32"/>
      <c r="B10" s="33"/>
      <c r="C10" s="33"/>
      <c r="D10" s="33"/>
      <c r="E10" s="33"/>
      <c r="F10" s="33"/>
      <c r="G10" s="34"/>
      <c r="H10" s="50"/>
      <c r="I10" s="50"/>
      <c r="J10" s="50"/>
      <c r="K10" s="50"/>
      <c r="L10" s="50"/>
      <c r="M10" s="50"/>
      <c r="N10" s="51"/>
      <c r="O10" s="51"/>
      <c r="P10" s="51"/>
      <c r="Q10" s="50" t="s">
        <v>37</v>
      </c>
      <c r="R10" s="52" t="s">
        <v>38</v>
      </c>
      <c r="S10" s="53" t="s">
        <v>37</v>
      </c>
      <c r="T10" s="50" t="s">
        <v>38</v>
      </c>
      <c r="U10" s="50" t="s">
        <v>37</v>
      </c>
      <c r="V10" s="50" t="s">
        <v>38</v>
      </c>
      <c r="W10" s="54" t="s">
        <v>37</v>
      </c>
      <c r="X10" s="54" t="s">
        <v>38</v>
      </c>
      <c r="Y10" s="38"/>
      <c r="Z10" s="39"/>
      <c r="AA10" s="40"/>
      <c r="AB10" s="41"/>
      <c r="AC10" s="42"/>
      <c r="AD10" s="42"/>
      <c r="AE10" s="42"/>
      <c r="AF10" s="42"/>
      <c r="AG10" s="42"/>
      <c r="AH10" s="42"/>
      <c r="AI10" s="42"/>
      <c r="AJ10" s="43"/>
      <c r="AM10" s="44"/>
      <c r="AN10" s="45"/>
    </row>
    <row r="11" customFormat="false" ht="15.75" hidden="false" customHeight="false" outlineLevel="0" collapsed="false">
      <c r="A11" s="55" t="n">
        <v>1</v>
      </c>
      <c r="B11" s="56" t="n">
        <v>2</v>
      </c>
      <c r="C11" s="56" t="s">
        <v>39</v>
      </c>
      <c r="D11" s="56" t="s">
        <v>40</v>
      </c>
      <c r="E11" s="56" t="s">
        <v>41</v>
      </c>
      <c r="F11" s="56"/>
      <c r="G11" s="57" t="s">
        <v>42</v>
      </c>
      <c r="H11" s="58" t="s">
        <v>43</v>
      </c>
      <c r="I11" s="58" t="s">
        <v>44</v>
      </c>
      <c r="J11" s="58" t="n">
        <v>9</v>
      </c>
      <c r="K11" s="58" t="n">
        <v>10</v>
      </c>
      <c r="L11" s="58" t="n">
        <v>11</v>
      </c>
      <c r="M11" s="58" t="n">
        <v>12</v>
      </c>
      <c r="N11" s="58" t="n">
        <v>13</v>
      </c>
      <c r="O11" s="58" t="n">
        <v>14</v>
      </c>
      <c r="P11" s="58" t="n">
        <v>15</v>
      </c>
      <c r="Q11" s="58" t="n">
        <v>16</v>
      </c>
      <c r="R11" s="59" t="n">
        <v>17</v>
      </c>
      <c r="S11" s="60" t="n">
        <v>18</v>
      </c>
      <c r="T11" s="58" t="n">
        <v>19</v>
      </c>
      <c r="U11" s="58" t="n">
        <v>20</v>
      </c>
      <c r="V11" s="58" t="n">
        <v>21</v>
      </c>
      <c r="W11" s="57" t="n">
        <v>22</v>
      </c>
      <c r="X11" s="57" t="n">
        <v>23</v>
      </c>
      <c r="Y11" s="61" t="n">
        <v>24</v>
      </c>
      <c r="Z11" s="62" t="n">
        <v>25</v>
      </c>
      <c r="AA11" s="29" t="n">
        <v>25</v>
      </c>
      <c r="AB11" s="60" t="n">
        <v>26</v>
      </c>
      <c r="AC11" s="58" t="n">
        <v>27</v>
      </c>
      <c r="AD11" s="58" t="n">
        <v>28</v>
      </c>
      <c r="AE11" s="58" t="n">
        <v>29</v>
      </c>
      <c r="AF11" s="58" t="n">
        <v>30</v>
      </c>
      <c r="AG11" s="58" t="n">
        <v>31</v>
      </c>
      <c r="AH11" s="58" t="n">
        <v>32</v>
      </c>
      <c r="AI11" s="58" t="n">
        <v>33</v>
      </c>
      <c r="AJ11" s="58" t="n">
        <v>34</v>
      </c>
      <c r="AM11" s="63"/>
      <c r="AN11" s="64"/>
    </row>
    <row r="12" customFormat="false" ht="20.25" hidden="false" customHeight="false" outlineLevel="0" collapsed="false">
      <c r="A12" s="65" t="s">
        <v>45</v>
      </c>
      <c r="B12" s="66"/>
      <c r="C12" s="66"/>
      <c r="D12" s="66"/>
      <c r="E12" s="66"/>
      <c r="F12" s="66"/>
      <c r="G12" s="66"/>
      <c r="H12" s="67"/>
      <c r="I12" s="67"/>
      <c r="J12" s="67"/>
      <c r="K12" s="67"/>
      <c r="L12" s="67"/>
      <c r="M12" s="67"/>
      <c r="N12" s="68"/>
      <c r="O12" s="68"/>
      <c r="P12" s="66"/>
      <c r="Q12" s="66"/>
      <c r="R12" s="69"/>
      <c r="S12" s="70"/>
      <c r="T12" s="66"/>
      <c r="U12" s="66"/>
      <c r="V12" s="66"/>
      <c r="W12" s="71"/>
      <c r="X12" s="71"/>
      <c r="Y12" s="72"/>
      <c r="Z12" s="73"/>
      <c r="AA12" s="74"/>
      <c r="AM12" s="63"/>
      <c r="AN12" s="64"/>
    </row>
    <row r="13" customFormat="false" ht="20.25" hidden="false" customHeight="false" outlineLevel="0" collapsed="false">
      <c r="A13" s="65" t="s">
        <v>46</v>
      </c>
      <c r="B13" s="75"/>
      <c r="C13" s="75"/>
      <c r="D13" s="75"/>
      <c r="E13" s="75"/>
      <c r="F13" s="75"/>
      <c r="G13" s="75"/>
      <c r="H13" s="76"/>
      <c r="I13" s="76"/>
      <c r="J13" s="76"/>
      <c r="K13" s="76"/>
      <c r="L13" s="76"/>
      <c r="M13" s="76"/>
      <c r="N13" s="77"/>
      <c r="O13" s="77"/>
      <c r="P13" s="66"/>
      <c r="Q13" s="66"/>
      <c r="R13" s="69"/>
      <c r="S13" s="70"/>
      <c r="T13" s="66"/>
      <c r="U13" s="66"/>
      <c r="V13" s="66"/>
      <c r="W13" s="71"/>
      <c r="X13" s="71"/>
      <c r="Y13" s="72"/>
      <c r="Z13" s="73"/>
      <c r="AA13" s="74"/>
      <c r="AM13" s="63"/>
      <c r="AN13" s="64"/>
    </row>
    <row r="14" s="88" customFormat="true" ht="109.5" hidden="false" customHeight="true" outlineLevel="0" collapsed="false">
      <c r="A14" s="78" t="n">
        <v>1</v>
      </c>
      <c r="B14" s="79" t="s">
        <v>47</v>
      </c>
      <c r="C14" s="79" t="s">
        <v>48</v>
      </c>
      <c r="D14" s="79" t="s">
        <v>49</v>
      </c>
      <c r="E14" s="79" t="s">
        <v>50</v>
      </c>
      <c r="F14" s="80" t="s">
        <v>51</v>
      </c>
      <c r="G14" s="81" t="s">
        <v>52</v>
      </c>
      <c r="H14" s="82" t="n">
        <f aca="false">0.724-0.105</f>
        <v>0.619</v>
      </c>
      <c r="I14" s="82" t="n">
        <f aca="false">H14</f>
        <v>0.619</v>
      </c>
      <c r="J14" s="82" t="n">
        <v>0.31</v>
      </c>
      <c r="K14" s="82" t="n">
        <v>0</v>
      </c>
      <c r="L14" s="82" t="n">
        <v>0</v>
      </c>
      <c r="M14" s="82" t="n">
        <f aca="false">I14*0.5</f>
        <v>0.3095</v>
      </c>
      <c r="N14" s="83" t="n">
        <v>220.791</v>
      </c>
      <c r="O14" s="83" t="n">
        <v>652.69</v>
      </c>
      <c r="P14" s="84" t="n">
        <f aca="false">N14</f>
        <v>220.791</v>
      </c>
      <c r="Q14" s="85" t="n">
        <f aca="false">N14/H14*J14</f>
        <v>110.573844911147</v>
      </c>
      <c r="R14" s="86" t="n">
        <f aca="false">Q14*$AQ$6</f>
        <v>1205.2549095315</v>
      </c>
      <c r="S14" s="87" t="n">
        <v>0</v>
      </c>
      <c r="T14" s="84" t="n">
        <f aca="false">S14*$AL$7</f>
        <v>0</v>
      </c>
      <c r="U14" s="85" t="n">
        <f aca="false">N14/H14*L14</f>
        <v>0</v>
      </c>
      <c r="V14" s="84" t="n">
        <f aca="false">U14*$AL$7</f>
        <v>0</v>
      </c>
      <c r="W14" s="84" t="n">
        <f aca="false">Q14+S14+U14</f>
        <v>110.573844911147</v>
      </c>
      <c r="X14" s="84" t="n">
        <f aca="false">W14*$AL$7</f>
        <v>1548.83572189368</v>
      </c>
      <c r="Y14" s="86" t="n">
        <f aca="false">O14/N14*W14</f>
        <v>326.872213247173</v>
      </c>
      <c r="Z14" s="73" t="s">
        <v>53</v>
      </c>
      <c r="AA14" s="74"/>
      <c r="AL14" s="88" t="s">
        <v>54</v>
      </c>
      <c r="AM14" s="63"/>
      <c r="AN14" s="89" t="s">
        <v>55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90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</row>
    <row r="15" s="88" customFormat="true" ht="126.75" hidden="false" customHeight="true" outlineLevel="0" collapsed="false">
      <c r="A15" s="78" t="n">
        <f aca="false">A14+1</f>
        <v>2</v>
      </c>
      <c r="B15" s="79" t="s">
        <v>56</v>
      </c>
      <c r="C15" s="79" t="s">
        <v>57</v>
      </c>
      <c r="D15" s="79" t="s">
        <v>58</v>
      </c>
      <c r="E15" s="79" t="s">
        <v>59</v>
      </c>
      <c r="F15" s="80"/>
      <c r="G15" s="81" t="s">
        <v>52</v>
      </c>
      <c r="H15" s="82" t="n">
        <v>1.166</v>
      </c>
      <c r="I15" s="82" t="n">
        <f aca="false">H15/N15*P15</f>
        <v>0.141898085957044</v>
      </c>
      <c r="J15" s="82" t="n">
        <v>0.14</v>
      </c>
      <c r="K15" s="82" t="n">
        <v>0</v>
      </c>
      <c r="L15" s="82" t="n">
        <v>0</v>
      </c>
      <c r="M15" s="82" t="n">
        <f aca="false">I15</f>
        <v>0.141898085957044</v>
      </c>
      <c r="N15" s="83" t="n">
        <v>225.857</v>
      </c>
      <c r="O15" s="83" t="n">
        <v>699.53</v>
      </c>
      <c r="P15" s="84" t="n">
        <f aca="false">N15-198.371</f>
        <v>27.486</v>
      </c>
      <c r="Q15" s="85" t="n">
        <f aca="false">N15/H15*J15</f>
        <v>27.1183361921098</v>
      </c>
      <c r="R15" s="86" t="n">
        <f aca="false">Q15*$AQ$6</f>
        <v>295.589864493997</v>
      </c>
      <c r="S15" s="87" t="n">
        <f aca="false">N15/H15*K15</f>
        <v>0</v>
      </c>
      <c r="T15" s="84" t="n">
        <f aca="false">S15*$AL$7</f>
        <v>0</v>
      </c>
      <c r="U15" s="85" t="n">
        <f aca="false">N15/H15*L15</f>
        <v>0</v>
      </c>
      <c r="V15" s="84" t="n">
        <f aca="false">U15*$AL$7</f>
        <v>0</v>
      </c>
      <c r="W15" s="84" t="n">
        <f aca="false">Q15+S15+U15</f>
        <v>27.1183361921098</v>
      </c>
      <c r="X15" s="84" t="n">
        <f aca="false">W15*$AL$7</f>
        <v>379.853371712027</v>
      </c>
      <c r="Y15" s="86" t="n">
        <f aca="false">O15/N15*W15</f>
        <v>83.9915951972556</v>
      </c>
      <c r="Z15" s="73" t="s">
        <v>53</v>
      </c>
      <c r="AA15" s="74"/>
      <c r="AM15" s="63"/>
      <c r="AN15" s="89" t="s">
        <v>55</v>
      </c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</row>
    <row r="16" s="88" customFormat="true" ht="110.25" hidden="false" customHeight="true" outlineLevel="0" collapsed="false">
      <c r="A16" s="78" t="n">
        <v>3</v>
      </c>
      <c r="B16" s="79" t="s">
        <v>60</v>
      </c>
      <c r="C16" s="79" t="s">
        <v>61</v>
      </c>
      <c r="D16" s="79" t="s">
        <v>62</v>
      </c>
      <c r="E16" s="79" t="s">
        <v>63</v>
      </c>
      <c r="F16" s="80"/>
      <c r="G16" s="81" t="s">
        <v>52</v>
      </c>
      <c r="H16" s="82" t="n">
        <v>1.268</v>
      </c>
      <c r="I16" s="82" t="n">
        <f aca="false">H16</f>
        <v>1.268</v>
      </c>
      <c r="J16" s="82" t="n">
        <v>0.4</v>
      </c>
      <c r="K16" s="82" t="n">
        <v>0.23</v>
      </c>
      <c r="L16" s="82"/>
      <c r="M16" s="82" t="n">
        <f aca="false">I16*0.5</f>
        <v>0.634</v>
      </c>
      <c r="N16" s="83" t="n">
        <v>281.586</v>
      </c>
      <c r="O16" s="83" t="n">
        <v>654.36</v>
      </c>
      <c r="P16" s="84" t="n">
        <f aca="false">N16</f>
        <v>281.586</v>
      </c>
      <c r="Q16" s="85" t="n">
        <f aca="false">N16/H16*J16</f>
        <v>88.8283911671924</v>
      </c>
      <c r="R16" s="86" t="n">
        <f aca="false">Q16*$AQ$6</f>
        <v>968.229463722398</v>
      </c>
      <c r="S16" s="87" t="n">
        <v>51.08</v>
      </c>
      <c r="T16" s="84" t="n">
        <f aca="false">S16*$AL$7</f>
        <v>715.490437525283</v>
      </c>
      <c r="U16" s="85" t="n">
        <v>0</v>
      </c>
      <c r="V16" s="84" t="n">
        <f aca="false">U16*$AL$7</f>
        <v>0</v>
      </c>
      <c r="W16" s="84" t="n">
        <f aca="false">Q16+S16+U16</f>
        <v>139.908391167192</v>
      </c>
      <c r="X16" s="84" t="n">
        <f aca="false">W16*$AL$7</f>
        <v>1959.73210668898</v>
      </c>
      <c r="Y16" s="86" t="n">
        <f aca="false">O16/N16*W16</f>
        <v>325.124313155356</v>
      </c>
      <c r="Z16" s="73" t="s">
        <v>53</v>
      </c>
      <c r="AA16" s="74"/>
      <c r="AM16" s="63"/>
      <c r="AN16" s="89" t="s">
        <v>55</v>
      </c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</row>
    <row r="17" s="88" customFormat="true" ht="127.5" hidden="false" customHeight="true" outlineLevel="0" collapsed="false">
      <c r="A17" s="78" t="n">
        <f aca="false">A16+1</f>
        <v>4</v>
      </c>
      <c r="B17" s="79" t="s">
        <v>64</v>
      </c>
      <c r="C17" s="79" t="s">
        <v>65</v>
      </c>
      <c r="D17" s="79" t="s">
        <v>66</v>
      </c>
      <c r="E17" s="79" t="s">
        <v>67</v>
      </c>
      <c r="F17" s="80"/>
      <c r="G17" s="81" t="s">
        <v>52</v>
      </c>
      <c r="H17" s="82" t="n">
        <v>2.154</v>
      </c>
      <c r="I17" s="82" t="n">
        <v>0.251</v>
      </c>
      <c r="J17" s="82" t="n">
        <v>0.25</v>
      </c>
      <c r="K17" s="82" t="n">
        <v>0</v>
      </c>
      <c r="L17" s="82" t="n">
        <v>0</v>
      </c>
      <c r="M17" s="82" t="n">
        <f aca="false">I17</f>
        <v>0.251</v>
      </c>
      <c r="N17" s="83" t="n">
        <v>401.422</v>
      </c>
      <c r="O17" s="83" t="n">
        <v>1108.62</v>
      </c>
      <c r="P17" s="84" t="n">
        <f aca="false">N17-315.409</f>
        <v>86.013</v>
      </c>
      <c r="Q17" s="85" t="n">
        <f aca="false">N17/H17*J17</f>
        <v>46.5902971216342</v>
      </c>
      <c r="R17" s="86" t="n">
        <f aca="false">Q17*$AQ$6</f>
        <v>507.834238625813</v>
      </c>
      <c r="S17" s="87" t="n">
        <f aca="false">N17/H17*K17</f>
        <v>0</v>
      </c>
      <c r="T17" s="84" t="n">
        <f aca="false">S17*$AL$7</f>
        <v>0</v>
      </c>
      <c r="U17" s="85" t="n">
        <f aca="false">N17/H17*L17</f>
        <v>0</v>
      </c>
      <c r="V17" s="84" t="n">
        <f aca="false">U17*$AL$7</f>
        <v>0</v>
      </c>
      <c r="W17" s="84" t="n">
        <f aca="false">Q17+S17+U17</f>
        <v>46.5902971216342</v>
      </c>
      <c r="X17" s="84" t="n">
        <f aca="false">W17*$AL$7</f>
        <v>652.602037431303</v>
      </c>
      <c r="Y17" s="86" t="n">
        <f aca="false">O17/N17*W17</f>
        <v>128.66991643454</v>
      </c>
      <c r="Z17" s="73" t="s">
        <v>53</v>
      </c>
      <c r="AA17" s="74"/>
      <c r="AM17" s="63"/>
      <c r="AN17" s="89" t="s">
        <v>55</v>
      </c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</row>
    <row r="18" s="8" customFormat="true" ht="87" hidden="false" customHeight="true" outlineLevel="0" collapsed="false">
      <c r="A18" s="78" t="n">
        <v>5</v>
      </c>
      <c r="B18" s="79" t="s">
        <v>68</v>
      </c>
      <c r="C18" s="79" t="s">
        <v>69</v>
      </c>
      <c r="D18" s="79" t="s">
        <v>70</v>
      </c>
      <c r="E18" s="79" t="s">
        <v>71</v>
      </c>
      <c r="F18" s="80"/>
      <c r="G18" s="81" t="s">
        <v>52</v>
      </c>
      <c r="H18" s="82" t="n">
        <f aca="false">25.419</f>
        <v>25.419</v>
      </c>
      <c r="I18" s="82" t="n">
        <v>5.869</v>
      </c>
      <c r="J18" s="82" t="n">
        <v>2.8</v>
      </c>
      <c r="K18" s="82" t="n">
        <v>0.5</v>
      </c>
      <c r="L18" s="82" t="n">
        <v>0.5</v>
      </c>
      <c r="M18" s="82" t="n">
        <f aca="false">H18/N18*W18</f>
        <v>3.8</v>
      </c>
      <c r="N18" s="83" t="n">
        <v>3973.66</v>
      </c>
      <c r="O18" s="83" t="n">
        <v>31441.91</v>
      </c>
      <c r="P18" s="84" t="n">
        <f aca="false">N18-3122.246</f>
        <v>851.414</v>
      </c>
      <c r="Q18" s="85" t="n">
        <f aca="false">N18/H18*J18</f>
        <v>437.713836106849</v>
      </c>
      <c r="R18" s="86" t="n">
        <f aca="false">Q18*$AQ$6</f>
        <v>4771.08081356466</v>
      </c>
      <c r="S18" s="87" t="n">
        <f aca="false">N18/H18*K18</f>
        <v>78.1631850190802</v>
      </c>
      <c r="T18" s="84" t="n">
        <f aca="false">S18*$AL$7</f>
        <v>1094.8514378949</v>
      </c>
      <c r="U18" s="85" t="n">
        <f aca="false">N18/H18*L18</f>
        <v>78.1631850190802</v>
      </c>
      <c r="V18" s="84" t="n">
        <f aca="false">U18*$AL$7</f>
        <v>1094.8514378949</v>
      </c>
      <c r="W18" s="84" t="n">
        <f aca="false">Q18+S18+U18</f>
        <v>594.04020614501</v>
      </c>
      <c r="X18" s="84" t="n">
        <f aca="false">W18*$AL$7</f>
        <v>8320.87092800122</v>
      </c>
      <c r="Y18" s="86" t="n">
        <f aca="false">O18/N18*W18</f>
        <v>4700.39175419961</v>
      </c>
      <c r="Z18" s="73" t="s">
        <v>53</v>
      </c>
      <c r="AA18" s="74"/>
      <c r="AM18" s="63"/>
      <c r="AN18" s="89" t="s">
        <v>55</v>
      </c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</row>
    <row r="19" s="88" customFormat="true" ht="66" hidden="false" customHeight="true" outlineLevel="0" collapsed="false">
      <c r="A19" s="78" t="n">
        <f aca="false">A18+1</f>
        <v>6</v>
      </c>
      <c r="B19" s="79" t="s">
        <v>72</v>
      </c>
      <c r="C19" s="79" t="s">
        <v>73</v>
      </c>
      <c r="D19" s="79" t="s">
        <v>74</v>
      </c>
      <c r="E19" s="79" t="s">
        <v>75</v>
      </c>
      <c r="F19" s="80"/>
      <c r="G19" s="81" t="s">
        <v>76</v>
      </c>
      <c r="H19" s="82" t="n">
        <v>1303</v>
      </c>
      <c r="I19" s="82" t="n">
        <v>1153</v>
      </c>
      <c r="J19" s="82" t="n">
        <v>200</v>
      </c>
      <c r="K19" s="82" t="n">
        <v>296</v>
      </c>
      <c r="L19" s="82" t="n">
        <v>300</v>
      </c>
      <c r="M19" s="82" t="n">
        <v>696</v>
      </c>
      <c r="N19" s="83" t="n">
        <v>935.791</v>
      </c>
      <c r="O19" s="83" t="n">
        <v>3822.95</v>
      </c>
      <c r="P19" s="84" t="n">
        <f aca="false">827.95</f>
        <v>827.95</v>
      </c>
      <c r="Q19" s="85" t="n">
        <f aca="false">N19/H19*J19</f>
        <v>143.636377590177</v>
      </c>
      <c r="R19" s="86" t="n">
        <f aca="false">Q19*$AQ$6</f>
        <v>1565.63651573292</v>
      </c>
      <c r="S19" s="87" t="n">
        <f aca="false">N19/H19*K19</f>
        <v>212.581838833461</v>
      </c>
      <c r="T19" s="84" t="n">
        <f aca="false">S19*$AL$7</f>
        <v>2977.68740949261</v>
      </c>
      <c r="U19" s="85" t="n">
        <f aca="false">N19/H19*L19</f>
        <v>215.454566385265</v>
      </c>
      <c r="V19" s="84" t="n">
        <f aca="false">U19*$AL$7</f>
        <v>3017.9264285398</v>
      </c>
      <c r="W19" s="84" t="n">
        <f aca="false">Q19+S19+U19</f>
        <v>571.672782808903</v>
      </c>
      <c r="X19" s="84" t="n">
        <f aca="false">W19*$AL$7</f>
        <v>8007.56479039228</v>
      </c>
      <c r="Y19" s="86" t="n">
        <f aca="false">O19/N19*W19</f>
        <v>2335.43223330775</v>
      </c>
      <c r="Z19" s="73" t="s">
        <v>53</v>
      </c>
      <c r="AA19" s="74"/>
      <c r="AM19" s="63"/>
      <c r="AN19" s="89" t="s">
        <v>55</v>
      </c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</row>
    <row r="20" s="5" customFormat="true" ht="57.75" hidden="false" customHeight="true" outlineLevel="0" collapsed="false">
      <c r="A20" s="78" t="n">
        <v>7</v>
      </c>
      <c r="B20" s="79" t="s">
        <v>77</v>
      </c>
      <c r="C20" s="79" t="s">
        <v>78</v>
      </c>
      <c r="D20" s="79" t="s">
        <v>79</v>
      </c>
      <c r="E20" s="79" t="s">
        <v>80</v>
      </c>
      <c r="F20" s="80"/>
      <c r="G20" s="81" t="s">
        <v>81</v>
      </c>
      <c r="H20" s="82" t="n">
        <v>18412</v>
      </c>
      <c r="I20" s="82" t="n">
        <v>2977</v>
      </c>
      <c r="J20" s="82" t="n">
        <v>200</v>
      </c>
      <c r="K20" s="82" t="n">
        <v>50</v>
      </c>
      <c r="L20" s="82" t="n">
        <v>100</v>
      </c>
      <c r="M20" s="82" t="n">
        <f aca="false">H20/N20*W20</f>
        <v>350</v>
      </c>
      <c r="N20" s="83" t="n">
        <v>2721.39</v>
      </c>
      <c r="O20" s="83" t="n">
        <v>2721.39</v>
      </c>
      <c r="P20" s="84" t="n">
        <f aca="false">N20/H20*I20</f>
        <v>440.016186726048</v>
      </c>
      <c r="Q20" s="85" t="n">
        <f aca="false">N20/H20*J20</f>
        <v>29.5610471431675</v>
      </c>
      <c r="R20" s="86" t="n">
        <f aca="false">Q20*$AQ$6</f>
        <v>322.215413860526</v>
      </c>
      <c r="S20" s="87" t="n">
        <f aca="false">N20/H20*K20</f>
        <v>7.39026178579187</v>
      </c>
      <c r="T20" s="84" t="n">
        <f aca="false">S20*$AL$7</f>
        <v>103.517259955807</v>
      </c>
      <c r="U20" s="85" t="n">
        <f aca="false">N20/H20*L20</f>
        <v>14.7805235715837</v>
      </c>
      <c r="V20" s="84" t="n">
        <f aca="false">U20*$AL$7</f>
        <v>207.034519911613</v>
      </c>
      <c r="W20" s="84" t="n">
        <f aca="false">Q20+S20+U20</f>
        <v>51.7318325005431</v>
      </c>
      <c r="X20" s="84" t="n">
        <f aca="false">W20*$AL$7</f>
        <v>724.620819690647</v>
      </c>
      <c r="Y20" s="86" t="n">
        <f aca="false">O20/N20*W20</f>
        <v>51.7318325005431</v>
      </c>
      <c r="Z20" s="73" t="s">
        <v>82</v>
      </c>
      <c r="AA20" s="74"/>
      <c r="AM20" s="63"/>
      <c r="AN20" s="89" t="s">
        <v>55</v>
      </c>
    </row>
    <row r="21" s="88" customFormat="true" ht="93" hidden="false" customHeight="true" outlineLevel="0" collapsed="false">
      <c r="A21" s="78" t="n">
        <f aca="false">A20+1</f>
        <v>8</v>
      </c>
      <c r="B21" s="91" t="s">
        <v>77</v>
      </c>
      <c r="C21" s="91" t="s">
        <v>83</v>
      </c>
      <c r="D21" s="91" t="s">
        <v>84</v>
      </c>
      <c r="E21" s="91" t="s">
        <v>85</v>
      </c>
      <c r="F21" s="91"/>
      <c r="G21" s="92" t="s">
        <v>81</v>
      </c>
      <c r="H21" s="93" t="n">
        <v>550.37</v>
      </c>
      <c r="I21" s="93" t="n">
        <f aca="false">H21/N21*P21</f>
        <v>536.01421544516</v>
      </c>
      <c r="J21" s="93" t="n">
        <v>40</v>
      </c>
      <c r="K21" s="93" t="n">
        <v>0</v>
      </c>
      <c r="L21" s="93" t="n">
        <v>51.94</v>
      </c>
      <c r="M21" s="93" t="n">
        <f aca="false">H21/N21*W21</f>
        <v>65.97</v>
      </c>
      <c r="N21" s="94" t="n">
        <v>1059.62</v>
      </c>
      <c r="O21" s="94" t="n">
        <v>1317.21</v>
      </c>
      <c r="P21" s="84" t="n">
        <f aca="false">N21-27.639</f>
        <v>1031.981</v>
      </c>
      <c r="Q21" s="85" t="n">
        <f aca="false">N21/H21*J21</f>
        <v>77.0114650144448</v>
      </c>
      <c r="R21" s="86" t="n">
        <f aca="false">Q21*$AQ$6</f>
        <v>839.424968657449</v>
      </c>
      <c r="S21" s="87" t="n">
        <f aca="false">N21/H21*K21</f>
        <v>0</v>
      </c>
      <c r="T21" s="84" t="n">
        <f aca="false">S21*$AL$7</f>
        <v>0</v>
      </c>
      <c r="U21" s="85" t="n">
        <f aca="false">N21/H21*L21/2</f>
        <v>49.9996936606283</v>
      </c>
      <c r="V21" s="84" t="n">
        <f aca="false">U21*$AL$7</f>
        <v>700.358314279034</v>
      </c>
      <c r="W21" s="84" t="n">
        <f aca="false">Q21+S21+U21</f>
        <v>127.011158675073</v>
      </c>
      <c r="X21" s="84" t="n">
        <f aca="false">W21*$AL$7</f>
        <v>1779.07731971459</v>
      </c>
      <c r="Y21" s="86" t="n">
        <f aca="false">O21/N21*W21</f>
        <v>157.887137198612</v>
      </c>
      <c r="Z21" s="73" t="s">
        <v>86</v>
      </c>
      <c r="AA21" s="74"/>
      <c r="AM21" s="63"/>
      <c r="AN21" s="89" t="s">
        <v>87</v>
      </c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</row>
    <row r="22" s="88" customFormat="true" ht="68.25" hidden="false" customHeight="true" outlineLevel="0" collapsed="false">
      <c r="A22" s="78" t="n">
        <v>9</v>
      </c>
      <c r="B22" s="79" t="s">
        <v>88</v>
      </c>
      <c r="C22" s="79" t="s">
        <v>89</v>
      </c>
      <c r="D22" s="79" t="s">
        <v>90</v>
      </c>
      <c r="E22" s="95" t="s">
        <v>91</v>
      </c>
      <c r="F22" s="79"/>
      <c r="G22" s="81" t="s">
        <v>52</v>
      </c>
      <c r="H22" s="96" t="n">
        <v>96.4</v>
      </c>
      <c r="I22" s="96" t="n">
        <v>7.5</v>
      </c>
      <c r="J22" s="96" t="n">
        <v>1</v>
      </c>
      <c r="K22" s="96" t="n">
        <v>0</v>
      </c>
      <c r="L22" s="96" t="n">
        <v>4.6</v>
      </c>
      <c r="M22" s="96" t="n">
        <v>4.6</v>
      </c>
      <c r="N22" s="97" t="n">
        <v>5759.52</v>
      </c>
      <c r="O22" s="96" t="n">
        <v>320.29</v>
      </c>
      <c r="P22" s="97" t="n">
        <v>1327.51</v>
      </c>
      <c r="Q22" s="85" t="n">
        <f aca="false">N22/H22*J22</f>
        <v>59.7460580912863</v>
      </c>
      <c r="R22" s="86" t="n">
        <f aca="false">Q22*$AQ$6</f>
        <v>651.232033195021</v>
      </c>
      <c r="S22" s="98"/>
      <c r="T22" s="99" t="n">
        <f aca="false">S22*$AL$7</f>
        <v>0</v>
      </c>
      <c r="U22" s="99" t="n">
        <v>275.52</v>
      </c>
      <c r="V22" s="99" t="n">
        <f aca="false">U22*$AL$7</f>
        <v>3859.27809997976</v>
      </c>
      <c r="W22" s="84" t="n">
        <f aca="false">Q22+S22+U22</f>
        <v>335.266058091286</v>
      </c>
      <c r="X22" s="84" t="n">
        <f aca="false">W22*$AL$7</f>
        <v>4696.15619794658</v>
      </c>
      <c r="Y22" s="86" t="n">
        <f aca="false">O22/N22*W22</f>
        <v>18.6443255247066</v>
      </c>
      <c r="Z22" s="100" t="s">
        <v>92</v>
      </c>
      <c r="AA22" s="74"/>
      <c r="AM22" s="63"/>
      <c r="AN22" s="89" t="s">
        <v>55</v>
      </c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</row>
    <row r="23" s="88" customFormat="true" ht="69" hidden="false" customHeight="true" outlineLevel="0" collapsed="false">
      <c r="A23" s="78" t="n">
        <f aca="false">A22+1</f>
        <v>10</v>
      </c>
      <c r="B23" s="79" t="s">
        <v>93</v>
      </c>
      <c r="C23" s="79" t="s">
        <v>94</v>
      </c>
      <c r="D23" s="79" t="s">
        <v>95</v>
      </c>
      <c r="E23" s="79" t="s">
        <v>96</v>
      </c>
      <c r="F23" s="79"/>
      <c r="G23" s="81" t="s">
        <v>81</v>
      </c>
      <c r="H23" s="82" t="n">
        <f aca="false">277.9+3.9+722.1+87+2.8+24.3+14+20+62.4+2.5+35.7</f>
        <v>1252.6</v>
      </c>
      <c r="I23" s="82" t="n">
        <f aca="false">H23</f>
        <v>1252.6</v>
      </c>
      <c r="J23" s="82" t="n">
        <v>400</v>
      </c>
      <c r="K23" s="82" t="n">
        <v>59.03</v>
      </c>
      <c r="L23" s="82" t="n">
        <v>150</v>
      </c>
      <c r="M23" s="82" t="n">
        <v>209.03</v>
      </c>
      <c r="N23" s="83" t="n">
        <v>173.645</v>
      </c>
      <c r="O23" s="83" t="n">
        <v>2190.69</v>
      </c>
      <c r="P23" s="84" t="n">
        <f aca="false">N23</f>
        <v>173.645</v>
      </c>
      <c r="Q23" s="85" t="n">
        <f aca="false">N23/H23*J23</f>
        <v>55.4510617914737</v>
      </c>
      <c r="R23" s="86" t="n">
        <f aca="false">Q23*$AQ$6</f>
        <v>604.416573527064</v>
      </c>
      <c r="S23" s="87" t="n">
        <f aca="false">N23/H23*K23</f>
        <v>8.18319044387674</v>
      </c>
      <c r="T23" s="84" t="n">
        <f aca="false">S23*$AL$7</f>
        <v>114.62401157091</v>
      </c>
      <c r="U23" s="85" t="n">
        <f aca="false">N23/H23*L23</f>
        <v>20.7941481718026</v>
      </c>
      <c r="V23" s="84" t="n">
        <f aca="false">U23*$AL$7</f>
        <v>291.268875751931</v>
      </c>
      <c r="W23" s="84" t="n">
        <f aca="false">Q23+S23+U23</f>
        <v>84.4284004071531</v>
      </c>
      <c r="X23" s="84" t="n">
        <f aca="false">W23*$AL$7</f>
        <v>1182.60988932799</v>
      </c>
      <c r="Y23" s="86" t="n">
        <f aca="false">O23/N23*W23</f>
        <v>1065.14125075842</v>
      </c>
      <c r="Z23" s="73" t="s">
        <v>86</v>
      </c>
      <c r="AA23" s="74"/>
      <c r="AM23" s="63"/>
      <c r="AN23" s="89" t="s">
        <v>55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</row>
    <row r="24" s="88" customFormat="true" ht="84" hidden="false" customHeight="true" outlineLevel="0" collapsed="false">
      <c r="A24" s="78" t="n">
        <v>11</v>
      </c>
      <c r="B24" s="79" t="s">
        <v>97</v>
      </c>
      <c r="C24" s="79" t="s">
        <v>98</v>
      </c>
      <c r="D24" s="79" t="s">
        <v>99</v>
      </c>
      <c r="E24" s="79" t="s">
        <v>100</v>
      </c>
      <c r="F24" s="79" t="s">
        <v>101</v>
      </c>
      <c r="G24" s="81" t="s">
        <v>81</v>
      </c>
      <c r="H24" s="82" t="n">
        <v>16012.46</v>
      </c>
      <c r="I24" s="82" t="n">
        <f aca="false">H24/N24*P24</f>
        <v>14687.1301730083</v>
      </c>
      <c r="J24" s="101" t="n">
        <v>86.8</v>
      </c>
      <c r="K24" s="101" t="n">
        <v>200</v>
      </c>
      <c r="L24" s="101" t="n">
        <v>200</v>
      </c>
      <c r="M24" s="101" t="n">
        <f aca="false">H24/N24*W24</f>
        <v>486.8</v>
      </c>
      <c r="N24" s="83" t="n">
        <v>32925.12</v>
      </c>
      <c r="O24" s="83" t="n">
        <v>116330.77</v>
      </c>
      <c r="P24" s="84" t="n">
        <f aca="false">N24-2725.168</f>
        <v>30199.952</v>
      </c>
      <c r="Q24" s="85" t="n">
        <f aca="false">N24/H24*J24</f>
        <v>178.479784867534</v>
      </c>
      <c r="R24" s="86" t="n">
        <f aca="false">Q24*$AQ$6</f>
        <v>1945.42965505613</v>
      </c>
      <c r="S24" s="87" t="n">
        <f aca="false">N24/H24*K24</f>
        <v>411.243743934411</v>
      </c>
      <c r="T24" s="84" t="n">
        <f aca="false">S24*$AL$7</f>
        <v>5760.39479790852</v>
      </c>
      <c r="U24" s="85" t="n">
        <f aca="false">N24/H24*L24</f>
        <v>411.243743934411</v>
      </c>
      <c r="V24" s="84" t="n">
        <f aca="false">U24*$AL$7</f>
        <v>5760.39479790852</v>
      </c>
      <c r="W24" s="84" t="n">
        <f aca="false">Q24+S24+U24</f>
        <v>1000.96727273636</v>
      </c>
      <c r="X24" s="84" t="n">
        <f aca="false">W24*$AL$7</f>
        <v>14020.8009381093</v>
      </c>
      <c r="Y24" s="86" t="n">
        <f aca="false">O24/N24*W24</f>
        <v>3536.60954256872</v>
      </c>
      <c r="Z24" s="102" t="s">
        <v>102</v>
      </c>
      <c r="AA24" s="74"/>
      <c r="AM24" s="63"/>
      <c r="AN24" s="89" t="s">
        <v>55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</row>
    <row r="25" s="88" customFormat="true" ht="72" hidden="false" customHeight="true" outlineLevel="0" collapsed="false">
      <c r="A25" s="78" t="n">
        <f aca="false">A24+1</f>
        <v>12</v>
      </c>
      <c r="B25" s="103" t="s">
        <v>103</v>
      </c>
      <c r="C25" s="79" t="s">
        <v>104</v>
      </c>
      <c r="D25" s="79" t="s">
        <v>105</v>
      </c>
      <c r="E25" s="103" t="s">
        <v>106</v>
      </c>
      <c r="F25" s="103"/>
      <c r="G25" s="81" t="s">
        <v>52</v>
      </c>
      <c r="H25" s="82" t="n">
        <v>245.247</v>
      </c>
      <c r="I25" s="82" t="n">
        <f aca="false">H25-47.46</f>
        <v>197.787</v>
      </c>
      <c r="J25" s="82" t="n">
        <v>8</v>
      </c>
      <c r="K25" s="82" t="n">
        <v>17</v>
      </c>
      <c r="L25" s="82" t="n">
        <v>17.44</v>
      </c>
      <c r="M25" s="82" t="n">
        <f aca="false">H25/N25*W25</f>
        <v>42.44</v>
      </c>
      <c r="N25" s="83" t="n">
        <v>2311.54</v>
      </c>
      <c r="O25" s="83" t="n">
        <v>67128.16</v>
      </c>
      <c r="P25" s="84" t="n">
        <v>1929.68</v>
      </c>
      <c r="Q25" s="85" t="n">
        <f aca="false">N25/H25*J25</f>
        <v>75.4028387707087</v>
      </c>
      <c r="R25" s="86" t="n">
        <f aca="false">Q25*$AQ$6</f>
        <v>821.890942600725</v>
      </c>
      <c r="S25" s="87" t="n">
        <f aca="false">N25/H25*K25</f>
        <v>160.231032387756</v>
      </c>
      <c r="T25" s="84" t="n">
        <f aca="false">S25*$AL$7</f>
        <v>2244.39646570563</v>
      </c>
      <c r="U25" s="85" t="n">
        <f aca="false">N25/H25*L25</f>
        <v>164.378188520145</v>
      </c>
      <c r="V25" s="84" t="n">
        <f aca="false">U25*$AL$7</f>
        <v>2302.48672717095</v>
      </c>
      <c r="W25" s="84" t="n">
        <f aca="false">Q25+S25+U25</f>
        <v>400.01205967861</v>
      </c>
      <c r="X25" s="84" t="n">
        <f aca="false">W25*$AL$7</f>
        <v>5603.06976497334</v>
      </c>
      <c r="Y25" s="86" t="n">
        <f aca="false">O25/N25*W25</f>
        <v>11616.529908215</v>
      </c>
      <c r="Z25" s="73" t="s">
        <v>53</v>
      </c>
      <c r="AA25" s="74"/>
      <c r="AM25" s="63"/>
      <c r="AN25" s="89" t="s">
        <v>55</v>
      </c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</row>
    <row r="26" s="88" customFormat="true" ht="104.25" hidden="false" customHeight="true" outlineLevel="0" collapsed="false">
      <c r="A26" s="78" t="n">
        <v>13</v>
      </c>
      <c r="B26" s="79" t="s">
        <v>107</v>
      </c>
      <c r="C26" s="79" t="s">
        <v>108</v>
      </c>
      <c r="D26" s="79" t="s">
        <v>109</v>
      </c>
      <c r="E26" s="104" t="s">
        <v>110</v>
      </c>
      <c r="F26" s="105" t="s">
        <v>111</v>
      </c>
      <c r="G26" s="106" t="s">
        <v>52</v>
      </c>
      <c r="H26" s="93" t="n">
        <v>2.876</v>
      </c>
      <c r="I26" s="93" t="n">
        <f aca="false">H26</f>
        <v>2.876</v>
      </c>
      <c r="J26" s="82" t="n">
        <v>0.5</v>
      </c>
      <c r="K26" s="82"/>
      <c r="L26" s="82"/>
      <c r="M26" s="82" t="n">
        <f aca="false">H26/N26*W26</f>
        <v>0</v>
      </c>
      <c r="N26" s="83" t="n">
        <v>926.49</v>
      </c>
      <c r="O26" s="83" t="n">
        <v>3685.5</v>
      </c>
      <c r="P26" s="84" t="n">
        <f aca="false">N26</f>
        <v>926.49</v>
      </c>
      <c r="Q26" s="85" t="n">
        <f aca="false">N26/H26*J26</f>
        <v>161.072670375522</v>
      </c>
      <c r="R26" s="86" t="n">
        <f aca="false">Q26*$AQ$6</f>
        <v>1755.69210709319</v>
      </c>
      <c r="S26" s="87" t="n">
        <f aca="false">N26/H26*K26</f>
        <v>0</v>
      </c>
      <c r="T26" s="84" t="n">
        <f aca="false">S26*$AL$7</f>
        <v>0</v>
      </c>
      <c r="U26" s="85" t="n">
        <f aca="false">N26/H26*L26</f>
        <v>0</v>
      </c>
      <c r="V26" s="84" t="n">
        <f aca="false">U26*$AL$7</f>
        <v>0</v>
      </c>
      <c r="W26" s="84"/>
      <c r="X26" s="84"/>
      <c r="Y26" s="86" t="n">
        <f aca="false">O26/N26*W26</f>
        <v>0</v>
      </c>
      <c r="Z26" s="73" t="s">
        <v>92</v>
      </c>
      <c r="AA26" s="74"/>
      <c r="AM26" s="63"/>
      <c r="AN26" s="107" t="s">
        <v>112</v>
      </c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</row>
    <row r="27" s="5" customFormat="true" ht="24" hidden="false" customHeight="false" outlineLevel="0" collapsed="false">
      <c r="A27" s="108"/>
      <c r="B27" s="108"/>
      <c r="C27" s="108"/>
      <c r="D27" s="108"/>
      <c r="E27" s="108"/>
      <c r="F27" s="109"/>
      <c r="G27" s="110"/>
      <c r="H27" s="111"/>
      <c r="I27" s="111"/>
      <c r="J27" s="111"/>
      <c r="K27" s="111"/>
      <c r="L27" s="111"/>
      <c r="M27" s="111"/>
      <c r="N27" s="112"/>
      <c r="O27" s="112"/>
      <c r="P27" s="113"/>
      <c r="Q27" s="114" t="n">
        <f aca="false">SUM(Q14:Q26)</f>
        <v>1491.18600914325</v>
      </c>
      <c r="R27" s="115" t="n">
        <f aca="false">SUM(R14:R26)</f>
        <v>16253.9274996614</v>
      </c>
      <c r="S27" s="116" t="n">
        <f aca="false">SUM(S14:S26)</f>
        <v>928.873252404377</v>
      </c>
      <c r="T27" s="114" t="n">
        <f aca="false">SUM(T14:T26)</f>
        <v>13010.9618200537</v>
      </c>
      <c r="U27" s="114" t="n">
        <f aca="false">SUM(U14:U26)</f>
        <v>1230.33404926292</v>
      </c>
      <c r="V27" s="114" t="n">
        <f aca="false">SUM(V14:V26)</f>
        <v>17233.5992014365</v>
      </c>
      <c r="W27" s="117" t="n">
        <f aca="false">SUM(W14:W26)</f>
        <v>3489.32064043502</v>
      </c>
      <c r="X27" s="117" t="n">
        <f aca="false">SUM(X14:X26)</f>
        <v>48875.793885882</v>
      </c>
      <c r="Y27" s="118"/>
      <c r="Z27" s="73"/>
      <c r="AA27" s="74"/>
      <c r="AM27" s="63"/>
      <c r="AN27" s="119"/>
    </row>
    <row r="28" customFormat="false" ht="23.25" hidden="false" customHeight="false" outlineLevel="0" collapsed="false">
      <c r="A28" s="120" t="s">
        <v>113</v>
      </c>
      <c r="B28" s="121"/>
      <c r="C28" s="121"/>
      <c r="D28" s="121"/>
      <c r="E28" s="121"/>
      <c r="F28" s="121"/>
      <c r="G28" s="122"/>
      <c r="H28" s="123"/>
      <c r="I28" s="123"/>
      <c r="J28" s="123"/>
      <c r="K28" s="123"/>
      <c r="L28" s="123"/>
      <c r="M28" s="123"/>
      <c r="N28" s="124"/>
      <c r="O28" s="124"/>
      <c r="P28" s="125"/>
      <c r="Q28" s="125"/>
      <c r="R28" s="126"/>
      <c r="S28" s="127"/>
      <c r="T28" s="125"/>
      <c r="U28" s="125"/>
      <c r="V28" s="125"/>
      <c r="W28" s="125"/>
      <c r="X28" s="125"/>
      <c r="Y28" s="126"/>
      <c r="Z28" s="73"/>
      <c r="AA28" s="74"/>
      <c r="AM28" s="63"/>
      <c r="AN28" s="119"/>
    </row>
    <row r="29" customFormat="false" ht="23.25" hidden="false" customHeight="false" outlineLevel="0" collapsed="false">
      <c r="A29" s="128" t="s">
        <v>114</v>
      </c>
      <c r="B29" s="129"/>
      <c r="C29" s="129"/>
      <c r="D29" s="129"/>
      <c r="E29" s="129"/>
      <c r="F29" s="129"/>
      <c r="G29" s="130"/>
      <c r="H29" s="131"/>
      <c r="I29" s="131"/>
      <c r="J29" s="131"/>
      <c r="K29" s="131"/>
      <c r="L29" s="131"/>
      <c r="M29" s="131"/>
      <c r="N29" s="132"/>
      <c r="O29" s="132"/>
      <c r="P29" s="133"/>
      <c r="Q29" s="133"/>
      <c r="R29" s="134"/>
      <c r="S29" s="135"/>
      <c r="T29" s="133"/>
      <c r="U29" s="133"/>
      <c r="V29" s="133"/>
      <c r="W29" s="133"/>
      <c r="X29" s="133"/>
      <c r="Y29" s="134"/>
      <c r="Z29" s="73"/>
      <c r="AA29" s="74"/>
      <c r="AE29" s="4"/>
      <c r="AM29" s="63"/>
      <c r="AN29" s="119"/>
    </row>
    <row r="30" s="88" customFormat="true" ht="99" hidden="false" customHeight="true" outlineLevel="0" collapsed="false">
      <c r="A30" s="78" t="n">
        <v>14</v>
      </c>
      <c r="B30" s="136" t="s">
        <v>115</v>
      </c>
      <c r="C30" s="136" t="s">
        <v>116</v>
      </c>
      <c r="D30" s="136" t="s">
        <v>117</v>
      </c>
      <c r="E30" s="136" t="s">
        <v>118</v>
      </c>
      <c r="F30" s="137" t="s">
        <v>119</v>
      </c>
      <c r="G30" s="138" t="s">
        <v>52</v>
      </c>
      <c r="H30" s="82" t="n">
        <v>73.418</v>
      </c>
      <c r="I30" s="82" t="n">
        <f aca="false">H30-3.5</f>
        <v>69.918</v>
      </c>
      <c r="J30" s="82" t="n">
        <v>7</v>
      </c>
      <c r="K30" s="82" t="n">
        <v>2.67</v>
      </c>
      <c r="L30" s="82" t="n">
        <v>2.67</v>
      </c>
      <c r="M30" s="82" t="n">
        <f aca="false">H30/N30*W30</f>
        <v>12.34</v>
      </c>
      <c r="N30" s="83" t="n">
        <v>4716.005</v>
      </c>
      <c r="O30" s="83" t="n">
        <v>53255.83</v>
      </c>
      <c r="P30" s="84" t="n">
        <f aca="false">N30-230.463</f>
        <v>4485.542</v>
      </c>
      <c r="Q30" s="85" t="n">
        <f aca="false">N30/H30*J30</f>
        <v>449.644978070773</v>
      </c>
      <c r="R30" s="86" t="n">
        <f aca="false">Q30*$AQ$6</f>
        <v>4901.13026097142</v>
      </c>
      <c r="S30" s="87" t="n">
        <f aca="false">N30/H30*K30</f>
        <v>171.507441635566</v>
      </c>
      <c r="T30" s="84" t="n">
        <f aca="false">S30*$AL$7</f>
        <v>2402.34797287927</v>
      </c>
      <c r="U30" s="85" t="n">
        <f aca="false">N30/H30*L30</f>
        <v>171.507441635566</v>
      </c>
      <c r="V30" s="84" t="n">
        <f aca="false">U30*$AL$7</f>
        <v>2402.34797287927</v>
      </c>
      <c r="W30" s="84" t="n">
        <f aca="false">Q30+S30+U30</f>
        <v>792.659861341905</v>
      </c>
      <c r="X30" s="84" t="n">
        <f aca="false">W30*$AL$7</f>
        <v>11102.9865113596</v>
      </c>
      <c r="Y30" s="86" t="n">
        <f aca="false">O30/N30*W30</f>
        <v>8951.16922553052</v>
      </c>
      <c r="Z30" s="73" t="s">
        <v>92</v>
      </c>
      <c r="AA30" s="74"/>
      <c r="AM30" s="63"/>
      <c r="AN30" s="139" t="s">
        <v>120</v>
      </c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</row>
    <row r="31" s="88" customFormat="true" ht="122.25" hidden="false" customHeight="true" outlineLevel="0" collapsed="false">
      <c r="A31" s="78" t="n">
        <f aca="false">A30+1</f>
        <v>15</v>
      </c>
      <c r="B31" s="136" t="s">
        <v>121</v>
      </c>
      <c r="C31" s="136" t="s">
        <v>122</v>
      </c>
      <c r="D31" s="136" t="s">
        <v>123</v>
      </c>
      <c r="E31" s="136" t="s">
        <v>124</v>
      </c>
      <c r="F31" s="136"/>
      <c r="G31" s="138" t="s">
        <v>52</v>
      </c>
      <c r="H31" s="82" t="n">
        <v>53.94</v>
      </c>
      <c r="I31" s="82" t="n">
        <v>26.598</v>
      </c>
      <c r="J31" s="82" t="n">
        <v>2</v>
      </c>
      <c r="K31" s="82" t="n">
        <v>0.5</v>
      </c>
      <c r="L31" s="82" t="n">
        <v>0.5</v>
      </c>
      <c r="M31" s="82" t="n">
        <f aca="false">H31/N31*W31</f>
        <v>3</v>
      </c>
      <c r="N31" s="83" t="n">
        <f aca="false">6820.147+307.158</f>
        <v>7127.305</v>
      </c>
      <c r="O31" s="83" t="n">
        <v>48261.87</v>
      </c>
      <c r="P31" s="84" t="n">
        <f aca="false">N31-3197.438</f>
        <v>3929.867</v>
      </c>
      <c r="Q31" s="85" t="n">
        <f aca="false">N31/H31*J31</f>
        <v>264.267890248424</v>
      </c>
      <c r="R31" s="86" t="n">
        <f aca="false">Q31*$AQ$6</f>
        <v>2880.52000370782</v>
      </c>
      <c r="S31" s="87" t="n">
        <f aca="false">N31/H31*K31</f>
        <v>66.066972562106</v>
      </c>
      <c r="T31" s="84" t="n">
        <f aca="false">S31*$AL$7</f>
        <v>925.416740493973</v>
      </c>
      <c r="U31" s="85" t="n">
        <f aca="false">N31/H31*L31</f>
        <v>66.066972562106</v>
      </c>
      <c r="V31" s="84" t="n">
        <f aca="false">U31*$AL$7</f>
        <v>925.416740493973</v>
      </c>
      <c r="W31" s="84" t="n">
        <f aca="false">Q31+S31+U31</f>
        <v>396.401835372636</v>
      </c>
      <c r="X31" s="84" t="n">
        <f aca="false">W31*$AL$7</f>
        <v>5552.50044296384</v>
      </c>
      <c r="Y31" s="86" t="n">
        <f aca="false">O31/N31*W31</f>
        <v>2684.19744160178</v>
      </c>
      <c r="Z31" s="73" t="s">
        <v>92</v>
      </c>
      <c r="AA31" s="74"/>
      <c r="AM31" s="63"/>
      <c r="AN31" s="139" t="s">
        <v>125</v>
      </c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</row>
    <row r="32" s="88" customFormat="true" ht="72" hidden="false" customHeight="true" outlineLevel="0" collapsed="false">
      <c r="A32" s="78" t="n">
        <v>16</v>
      </c>
      <c r="B32" s="136" t="s">
        <v>126</v>
      </c>
      <c r="C32" s="140" t="s">
        <v>127</v>
      </c>
      <c r="D32" s="140" t="s">
        <v>128</v>
      </c>
      <c r="E32" s="140" t="s">
        <v>129</v>
      </c>
      <c r="F32" s="141"/>
      <c r="G32" s="138" t="s">
        <v>81</v>
      </c>
      <c r="H32" s="82" t="n">
        <v>5873.3</v>
      </c>
      <c r="I32" s="82" t="n">
        <v>1563.63</v>
      </c>
      <c r="J32" s="82" t="n">
        <v>100</v>
      </c>
      <c r="K32" s="82" t="n">
        <v>262.17</v>
      </c>
      <c r="L32" s="82" t="n">
        <v>300</v>
      </c>
      <c r="M32" s="82" t="n">
        <f aca="false">H32/N32*W32</f>
        <v>662.17</v>
      </c>
      <c r="N32" s="83" t="n">
        <v>886.98</v>
      </c>
      <c r="O32" s="83" t="n">
        <v>18975.88</v>
      </c>
      <c r="P32" s="84" t="n">
        <f aca="false">N32/H32*I32</f>
        <v>236.137867536138</v>
      </c>
      <c r="Q32" s="85" t="n">
        <f aca="false">N32/H32*J32</f>
        <v>15.1019018269116</v>
      </c>
      <c r="R32" s="86" t="n">
        <f aca="false">Q32*$AQ$6</f>
        <v>164.610729913337</v>
      </c>
      <c r="S32" s="87" t="n">
        <f aca="false">N32/H32*K32</f>
        <v>39.5926560196142</v>
      </c>
      <c r="T32" s="84" t="n">
        <f aca="false">S32*$AL$7</f>
        <v>554.584314374741</v>
      </c>
      <c r="U32" s="85" t="n">
        <f aca="false">N32/H32*L32</f>
        <v>45.3057054807349</v>
      </c>
      <c r="V32" s="84" t="n">
        <f aca="false">U32*$AL$7</f>
        <v>634.608438465203</v>
      </c>
      <c r="W32" s="84" t="n">
        <f aca="false">Q32+S32+U32</f>
        <v>100.000263327261</v>
      </c>
      <c r="X32" s="84" t="n">
        <f aca="false">W32*$AL$7</f>
        <v>1400.72889899501</v>
      </c>
      <c r="Y32" s="86" t="n">
        <f aca="false">O32/N32*W32</f>
        <v>2139.38645388453</v>
      </c>
      <c r="Z32" s="73" t="s">
        <v>82</v>
      </c>
      <c r="AA32" s="74"/>
      <c r="AM32" s="63"/>
      <c r="AN32" s="89" t="s">
        <v>55</v>
      </c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</row>
    <row r="33" s="88" customFormat="true" ht="66" hidden="false" customHeight="true" outlineLevel="0" collapsed="false">
      <c r="A33" s="78" t="n">
        <f aca="false">A32+1</f>
        <v>17</v>
      </c>
      <c r="B33" s="136" t="s">
        <v>126</v>
      </c>
      <c r="C33" s="140" t="s">
        <v>127</v>
      </c>
      <c r="D33" s="140" t="s">
        <v>128</v>
      </c>
      <c r="E33" s="140" t="s">
        <v>130</v>
      </c>
      <c r="F33" s="141"/>
      <c r="G33" s="138" t="s">
        <v>81</v>
      </c>
      <c r="H33" s="82" t="n">
        <v>19348.9</v>
      </c>
      <c r="I33" s="82" t="n">
        <v>4058.04</v>
      </c>
      <c r="J33" s="82" t="n">
        <v>1000</v>
      </c>
      <c r="K33" s="82" t="n">
        <v>1000</v>
      </c>
      <c r="L33" s="82" t="n">
        <v>1164.43</v>
      </c>
      <c r="M33" s="82" t="n">
        <f aca="false">H33/N33*W33</f>
        <v>2831.09666666667</v>
      </c>
      <c r="N33" s="83" t="n">
        <v>3057.246</v>
      </c>
      <c r="O33" s="83" t="n">
        <v>66306.89</v>
      </c>
      <c r="P33" s="84" t="n">
        <f aca="false">N33/H33*I33</f>
        <v>641.195445624299</v>
      </c>
      <c r="Q33" s="85" t="n">
        <f aca="false">N33/H33*J33</f>
        <v>158.006191566446</v>
      </c>
      <c r="R33" s="86" t="n">
        <f aca="false">Q33*$AQ$6</f>
        <v>1722.26748807426</v>
      </c>
      <c r="S33" s="87" t="n">
        <f aca="false">N33/H33*K33/1.5</f>
        <v>105.337461044297</v>
      </c>
      <c r="T33" s="84" t="n">
        <f aca="false">S33*$AL$7</f>
        <v>1475.48837295197</v>
      </c>
      <c r="U33" s="85" t="n">
        <f aca="false">N33/H33*L33</f>
        <v>183.987149645716</v>
      </c>
      <c r="V33" s="84" t="n">
        <f aca="false">U33*$AL$7</f>
        <v>2577.15438917469</v>
      </c>
      <c r="W33" s="84" t="n">
        <f aca="false">Q33+S33+U33</f>
        <v>447.330802256459</v>
      </c>
      <c r="X33" s="84" t="n">
        <f aca="false">W33*$AL$7</f>
        <v>6265.87532155462</v>
      </c>
      <c r="Y33" s="86" t="n">
        <f aca="false">O33/N33*W33</f>
        <v>9701.90632315188</v>
      </c>
      <c r="Z33" s="73" t="s">
        <v>82</v>
      </c>
      <c r="AA33" s="74"/>
      <c r="AM33" s="63"/>
      <c r="AN33" s="89" t="s">
        <v>55</v>
      </c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</row>
    <row r="34" customFormat="false" ht="60" hidden="true" customHeight="true" outlineLevel="0" collapsed="false">
      <c r="A34" s="78"/>
      <c r="B34" s="136"/>
      <c r="C34" s="140"/>
      <c r="D34" s="140"/>
      <c r="E34" s="140"/>
      <c r="F34" s="140"/>
      <c r="G34" s="138"/>
      <c r="H34" s="82"/>
      <c r="I34" s="82"/>
      <c r="J34" s="82"/>
      <c r="K34" s="82"/>
      <c r="L34" s="82"/>
      <c r="M34" s="82"/>
      <c r="N34" s="83"/>
      <c r="O34" s="83"/>
      <c r="P34" s="84"/>
      <c r="Q34" s="85" t="e">
        <f aca="false">N34/H34*J34</f>
        <v>#DIV/0!</v>
      </c>
      <c r="R34" s="86"/>
      <c r="S34" s="87"/>
      <c r="T34" s="84"/>
      <c r="U34" s="85"/>
      <c r="V34" s="84"/>
      <c r="W34" s="84"/>
      <c r="X34" s="84"/>
      <c r="Y34" s="86"/>
      <c r="Z34" s="73"/>
      <c r="AA34" s="74"/>
      <c r="AE34" s="4"/>
      <c r="AM34" s="63"/>
      <c r="AN34" s="119"/>
    </row>
    <row r="35" s="143" customFormat="true" ht="25.5" hidden="true" customHeight="true" outlineLevel="0" collapsed="false">
      <c r="A35" s="78"/>
      <c r="B35" s="136"/>
      <c r="C35" s="140"/>
      <c r="D35" s="140"/>
      <c r="E35" s="140"/>
      <c r="F35" s="142"/>
      <c r="G35" s="138"/>
      <c r="H35" s="82"/>
      <c r="I35" s="82"/>
      <c r="J35" s="82"/>
      <c r="K35" s="82"/>
      <c r="L35" s="82"/>
      <c r="M35" s="82"/>
      <c r="N35" s="83"/>
      <c r="O35" s="83"/>
      <c r="P35" s="84"/>
      <c r="Q35" s="85" t="e">
        <f aca="false">N35/H35*J35</f>
        <v>#DIV/0!</v>
      </c>
      <c r="R35" s="86"/>
      <c r="S35" s="87"/>
      <c r="T35" s="84"/>
      <c r="U35" s="85"/>
      <c r="V35" s="84"/>
      <c r="W35" s="84"/>
      <c r="X35" s="84"/>
      <c r="Y35" s="86"/>
      <c r="Z35" s="73"/>
      <c r="AA35" s="74"/>
      <c r="AM35" s="63"/>
      <c r="AN35" s="119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</row>
    <row r="36" s="88" customFormat="true" ht="109.5" hidden="false" customHeight="true" outlineLevel="0" collapsed="false">
      <c r="A36" s="78" t="n">
        <v>20</v>
      </c>
      <c r="B36" s="136" t="s">
        <v>131</v>
      </c>
      <c r="C36" s="136" t="s">
        <v>132</v>
      </c>
      <c r="D36" s="136" t="s">
        <v>133</v>
      </c>
      <c r="E36" s="136" t="s">
        <v>134</v>
      </c>
      <c r="F36" s="136"/>
      <c r="G36" s="138" t="s">
        <v>76</v>
      </c>
      <c r="H36" s="82" t="n">
        <v>9</v>
      </c>
      <c r="I36" s="82" t="n">
        <f aca="false">H36</f>
        <v>9</v>
      </c>
      <c r="J36" s="82" t="n">
        <v>4</v>
      </c>
      <c r="K36" s="82" t="n">
        <v>4</v>
      </c>
      <c r="L36" s="82" t="n">
        <v>5</v>
      </c>
      <c r="M36" s="82" t="n">
        <f aca="false">H36/N36*W36</f>
        <v>13</v>
      </c>
      <c r="N36" s="83" t="n">
        <v>189.98</v>
      </c>
      <c r="O36" s="83" t="n">
        <f aca="false">8938.94-O37</f>
        <v>6864.87</v>
      </c>
      <c r="P36" s="84" t="n">
        <f aca="false">N36</f>
        <v>189.98</v>
      </c>
      <c r="Q36" s="85" t="n">
        <f aca="false">N36/H36*J36</f>
        <v>84.4355555555556</v>
      </c>
      <c r="R36" s="86" t="n">
        <f aca="false">Q36*$AQ$6</f>
        <v>920.347555555556</v>
      </c>
      <c r="S36" s="87" t="n">
        <f aca="false">N36/H36*K36</f>
        <v>84.4355555555556</v>
      </c>
      <c r="T36" s="84" t="n">
        <f aca="false">S36*$AL$7</f>
        <v>1182.71011329551</v>
      </c>
      <c r="U36" s="85" t="n">
        <f aca="false">N36/H36*L36</f>
        <v>105.544444444444</v>
      </c>
      <c r="V36" s="84" t="n">
        <f aca="false">U36*$AL$7</f>
        <v>1478.38764161939</v>
      </c>
      <c r="W36" s="84" t="n">
        <f aca="false">Q36+S36+U36</f>
        <v>274.415555555556</v>
      </c>
      <c r="X36" s="84" t="n">
        <f aca="false">W36*$AL$7</f>
        <v>3843.80786821042</v>
      </c>
      <c r="Y36" s="86" t="n">
        <f aca="false">O36/N36*W36</f>
        <v>9915.92333333333</v>
      </c>
      <c r="Z36" s="73" t="s">
        <v>92</v>
      </c>
      <c r="AA36" s="74"/>
      <c r="AM36" s="63"/>
      <c r="AN36" s="139" t="s">
        <v>135</v>
      </c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</row>
    <row r="37" customFormat="false" ht="82.5" hidden="true" customHeight="true" outlineLevel="0" collapsed="false">
      <c r="A37" s="78" t="n">
        <f aca="false">A36+1</f>
        <v>21</v>
      </c>
      <c r="B37" s="136" t="s">
        <v>131</v>
      </c>
      <c r="C37" s="136" t="s">
        <v>132</v>
      </c>
      <c r="D37" s="136" t="s">
        <v>133</v>
      </c>
      <c r="E37" s="136" t="s">
        <v>136</v>
      </c>
      <c r="F37" s="136"/>
      <c r="G37" s="138" t="s">
        <v>76</v>
      </c>
      <c r="H37" s="82" t="n">
        <v>2</v>
      </c>
      <c r="I37" s="82" t="n">
        <f aca="false">H37</f>
        <v>2</v>
      </c>
      <c r="J37" s="82" t="n">
        <v>1</v>
      </c>
      <c r="K37" s="82" t="n">
        <v>0</v>
      </c>
      <c r="L37" s="82" t="n">
        <v>0</v>
      </c>
      <c r="M37" s="82" t="n">
        <v>1</v>
      </c>
      <c r="N37" s="83" t="n">
        <v>93.99</v>
      </c>
      <c r="O37" s="83" t="n">
        <v>2074.07</v>
      </c>
      <c r="P37" s="99" t="n">
        <f aca="false">N37</f>
        <v>93.99</v>
      </c>
      <c r="Q37" s="85" t="n">
        <v>0</v>
      </c>
      <c r="R37" s="86" t="n">
        <f aca="false">Q37*$AL$7</f>
        <v>0</v>
      </c>
      <c r="S37" s="87" t="n">
        <f aca="false">N37/H37*K37</f>
        <v>0</v>
      </c>
      <c r="T37" s="84" t="n">
        <f aca="false">S37*$AL$7</f>
        <v>0</v>
      </c>
      <c r="U37" s="85" t="n">
        <f aca="false">N37/H37*L37</f>
        <v>0</v>
      </c>
      <c r="V37" s="84" t="n">
        <f aca="false">U37*$AL$7</f>
        <v>0</v>
      </c>
      <c r="W37" s="84" t="n">
        <f aca="false">Q37+S37+U37</f>
        <v>0</v>
      </c>
      <c r="X37" s="84" t="n">
        <f aca="false">W37*$AL$7</f>
        <v>0</v>
      </c>
      <c r="Y37" s="86" t="n">
        <f aca="false">O37/N37*W37</f>
        <v>0</v>
      </c>
      <c r="Z37" s="73"/>
      <c r="AA37" s="74"/>
      <c r="AE37" s="4"/>
      <c r="AM37" s="63"/>
      <c r="AN37" s="119"/>
    </row>
    <row r="38" s="8" customFormat="true" ht="63.75" hidden="true" customHeight="true" outlineLevel="0" collapsed="false">
      <c r="A38" s="78" t="n">
        <f aca="false">A37+1</f>
        <v>22</v>
      </c>
      <c r="B38" s="136" t="s">
        <v>137</v>
      </c>
      <c r="C38" s="136" t="s">
        <v>138</v>
      </c>
      <c r="D38" s="136" t="s">
        <v>139</v>
      </c>
      <c r="E38" s="136" t="s">
        <v>140</v>
      </c>
      <c r="F38" s="136"/>
      <c r="G38" s="138" t="s">
        <v>52</v>
      </c>
      <c r="H38" s="82" t="n">
        <v>95.066</v>
      </c>
      <c r="I38" s="82" t="n">
        <f aca="false">H38</f>
        <v>95.066</v>
      </c>
      <c r="J38" s="82" t="n">
        <v>0</v>
      </c>
      <c r="K38" s="82" t="n">
        <v>9.71</v>
      </c>
      <c r="L38" s="82" t="n">
        <v>10</v>
      </c>
      <c r="M38" s="82" t="n">
        <f aca="false">H38/N38*W38</f>
        <v>0</v>
      </c>
      <c r="N38" s="83" t="n">
        <v>964.8</v>
      </c>
      <c r="O38" s="83" t="n">
        <f aca="false">32084.86*0.87</f>
        <v>27913.8282</v>
      </c>
      <c r="P38" s="84" t="n">
        <f aca="false">N38</f>
        <v>964.8</v>
      </c>
      <c r="Q38" s="85" t="n">
        <f aca="false">N38/H38*J38</f>
        <v>0</v>
      </c>
      <c r="R38" s="86" t="n">
        <f aca="false">Q38*$AL$7</f>
        <v>0</v>
      </c>
      <c r="S38" s="87" t="n">
        <v>0</v>
      </c>
      <c r="T38" s="84" t="n">
        <f aca="false">S38*$AL$7</f>
        <v>0</v>
      </c>
      <c r="U38" s="85" t="n">
        <v>0</v>
      </c>
      <c r="V38" s="84" t="n">
        <f aca="false">U38*$AL$7</f>
        <v>0</v>
      </c>
      <c r="W38" s="84" t="n">
        <f aca="false">Q38+S38+U38</f>
        <v>0</v>
      </c>
      <c r="X38" s="84" t="n">
        <f aca="false">W38*$AL$7</f>
        <v>0</v>
      </c>
      <c r="Y38" s="86" t="n">
        <f aca="false">O38/N38*W38</f>
        <v>0</v>
      </c>
      <c r="Z38" s="73"/>
      <c r="AA38" s="74"/>
      <c r="AM38" s="63"/>
      <c r="AN38" s="119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</row>
    <row r="39" customFormat="false" ht="0.75" hidden="false" customHeight="true" outlineLevel="0" collapsed="false">
      <c r="A39" s="144"/>
      <c r="B39" s="144"/>
      <c r="C39" s="144"/>
      <c r="D39" s="144"/>
      <c r="E39" s="144"/>
      <c r="F39" s="145"/>
      <c r="G39" s="81"/>
      <c r="H39" s="82"/>
      <c r="I39" s="82"/>
      <c r="J39" s="82"/>
      <c r="K39" s="82"/>
      <c r="L39" s="82"/>
      <c r="M39" s="82"/>
      <c r="N39" s="83"/>
      <c r="O39" s="83"/>
      <c r="P39" s="84"/>
      <c r="Q39" s="146" t="n">
        <f aca="false">Q30+Q31+Q32+Q33+Q36</f>
        <v>971.45651726811</v>
      </c>
      <c r="R39" s="146" t="n">
        <f aca="false">SUM(R30:R38)</f>
        <v>10588.8760382224</v>
      </c>
      <c r="S39" s="147" t="n">
        <f aca="false">SUM(S30:S38)</f>
        <v>466.940086817139</v>
      </c>
      <c r="T39" s="148" t="n">
        <f aca="false">SUM(T30:T38)</f>
        <v>6540.54751399547</v>
      </c>
      <c r="U39" s="148" t="n">
        <f aca="false">SUM(U30:U38)</f>
        <v>572.411713768568</v>
      </c>
      <c r="V39" s="148" t="n">
        <f aca="false">SUM(V30:V38)</f>
        <v>8017.91518263253</v>
      </c>
      <c r="W39" s="148" t="n">
        <f aca="false">SUM(W30:W38)</f>
        <v>2010.80831785382</v>
      </c>
      <c r="X39" s="148" t="n">
        <f aca="false">SUM(X30:X38)</f>
        <v>28165.8990430835</v>
      </c>
      <c r="Y39" s="86"/>
      <c r="Z39" s="73"/>
      <c r="AA39" s="74"/>
      <c r="AM39" s="63"/>
      <c r="AN39" s="119"/>
    </row>
    <row r="40" customFormat="false" ht="23.25" hidden="true" customHeight="false" outlineLevel="0" collapsed="false">
      <c r="A40" s="65" t="s">
        <v>141</v>
      </c>
      <c r="B40" s="66"/>
      <c r="C40" s="66"/>
      <c r="D40" s="66"/>
      <c r="E40" s="66"/>
      <c r="F40" s="66"/>
      <c r="G40" s="149"/>
      <c r="H40" s="150"/>
      <c r="I40" s="150"/>
      <c r="J40" s="150"/>
      <c r="K40" s="150"/>
      <c r="L40" s="150"/>
      <c r="M40" s="150"/>
      <c r="N40" s="151"/>
      <c r="O40" s="151"/>
      <c r="P40" s="152"/>
      <c r="Q40" s="152"/>
      <c r="R40" s="153"/>
      <c r="S40" s="154"/>
      <c r="T40" s="152"/>
      <c r="U40" s="152"/>
      <c r="V40" s="152"/>
      <c r="W40" s="152"/>
      <c r="X40" s="152"/>
      <c r="Y40" s="153"/>
      <c r="Z40" s="73"/>
      <c r="AA40" s="74"/>
      <c r="AM40" s="63"/>
      <c r="AN40" s="119"/>
    </row>
    <row r="41" customFormat="false" ht="0.75" hidden="true" customHeight="true" outlineLevel="0" collapsed="false">
      <c r="A41" s="78" t="n">
        <f aca="false">A38+1</f>
        <v>23</v>
      </c>
      <c r="B41" s="136" t="s">
        <v>142</v>
      </c>
      <c r="C41" s="136" t="s">
        <v>143</v>
      </c>
      <c r="D41" s="136" t="s">
        <v>144</v>
      </c>
      <c r="E41" s="136" t="s">
        <v>145</v>
      </c>
      <c r="F41" s="136"/>
      <c r="G41" s="138" t="s">
        <v>146</v>
      </c>
      <c r="H41" s="82" t="n">
        <v>688</v>
      </c>
      <c r="I41" s="82" t="n">
        <f aca="false">H41</f>
        <v>688</v>
      </c>
      <c r="J41" s="82" t="n">
        <v>0</v>
      </c>
      <c r="K41" s="82" t="n">
        <v>0</v>
      </c>
      <c r="L41" s="82" t="n">
        <v>0</v>
      </c>
      <c r="M41" s="82" t="n">
        <f aca="false">H41/N41*W41</f>
        <v>0</v>
      </c>
      <c r="N41" s="83" t="n">
        <f aca="false">96.951+17.86</f>
        <v>114.811</v>
      </c>
      <c r="O41" s="83" t="n">
        <f aca="false">375.4+98.53</f>
        <v>473.93</v>
      </c>
      <c r="P41" s="84" t="n">
        <f aca="false">N41</f>
        <v>114.811</v>
      </c>
      <c r="Q41" s="85" t="n">
        <f aca="false">N41/H41*J41</f>
        <v>0</v>
      </c>
      <c r="R41" s="86" t="n">
        <f aca="false">Q41*$AL$7</f>
        <v>0</v>
      </c>
      <c r="S41" s="87" t="n">
        <f aca="false">N41/H41*K41</f>
        <v>0</v>
      </c>
      <c r="T41" s="84" t="n">
        <f aca="false">S41*$AL$7</f>
        <v>0</v>
      </c>
      <c r="U41" s="85" t="n">
        <f aca="false">N41/H41*L41</f>
        <v>0</v>
      </c>
      <c r="V41" s="84" t="n">
        <f aca="false">U41*$AL$7</f>
        <v>0</v>
      </c>
      <c r="W41" s="84" t="n">
        <f aca="false">Q41+S41+U41</f>
        <v>0</v>
      </c>
      <c r="X41" s="84" t="n">
        <f aca="false">W41*$AL$7</f>
        <v>0</v>
      </c>
      <c r="Y41" s="86" t="n">
        <f aca="false">O41/N41*W41</f>
        <v>0</v>
      </c>
      <c r="Z41" s="73"/>
      <c r="AA41" s="74"/>
      <c r="AM41" s="63"/>
      <c r="AN41" s="119"/>
    </row>
    <row r="42" customFormat="false" ht="23.25" hidden="false" customHeight="false" outlineLevel="0" collapsed="false">
      <c r="A42" s="65" t="s">
        <v>147</v>
      </c>
      <c r="B42" s="66"/>
      <c r="C42" s="66"/>
      <c r="D42" s="66"/>
      <c r="E42" s="66"/>
      <c r="F42" s="66"/>
      <c r="G42" s="149"/>
      <c r="H42" s="150"/>
      <c r="I42" s="150"/>
      <c r="J42" s="150"/>
      <c r="K42" s="150"/>
      <c r="L42" s="150"/>
      <c r="M42" s="150"/>
      <c r="N42" s="151"/>
      <c r="O42" s="151"/>
      <c r="P42" s="152"/>
      <c r="Q42" s="152"/>
      <c r="R42" s="153"/>
      <c r="S42" s="154"/>
      <c r="T42" s="152"/>
      <c r="U42" s="152"/>
      <c r="V42" s="152"/>
      <c r="W42" s="152"/>
      <c r="X42" s="152"/>
      <c r="Y42" s="153"/>
      <c r="Z42" s="73"/>
      <c r="AA42" s="74"/>
      <c r="AM42" s="63"/>
      <c r="AN42" s="119"/>
    </row>
    <row r="43" s="143" customFormat="true" ht="70.5" hidden="true" customHeight="true" outlineLevel="0" collapsed="false">
      <c r="A43" s="78" t="e">
        <f aca="false">#REF!+1</f>
        <v>#REF!</v>
      </c>
      <c r="B43" s="79" t="s">
        <v>148</v>
      </c>
      <c r="C43" s="79" t="s">
        <v>149</v>
      </c>
      <c r="D43" s="79" t="s">
        <v>150</v>
      </c>
      <c r="E43" s="79" t="s">
        <v>151</v>
      </c>
      <c r="F43" s="79"/>
      <c r="G43" s="81" t="s">
        <v>81</v>
      </c>
      <c r="H43" s="82" t="n">
        <v>1871.6</v>
      </c>
      <c r="I43" s="82" t="n">
        <f aca="false">H43</f>
        <v>1871.6</v>
      </c>
      <c r="J43" s="82" t="n">
        <v>0</v>
      </c>
      <c r="K43" s="82" t="n">
        <v>0</v>
      </c>
      <c r="L43" s="82" t="n">
        <v>0</v>
      </c>
      <c r="M43" s="82" t="n">
        <f aca="false">H43/N43*W43</f>
        <v>0</v>
      </c>
      <c r="N43" s="83" t="n">
        <v>39.906</v>
      </c>
      <c r="O43" s="83" t="n">
        <v>458.33</v>
      </c>
      <c r="P43" s="84" t="n">
        <f aca="false">N43</f>
        <v>39.906</v>
      </c>
      <c r="Q43" s="85" t="n">
        <f aca="false">N43/H43*J43</f>
        <v>0</v>
      </c>
      <c r="R43" s="86" t="n">
        <f aca="false">Q43*$AL$7</f>
        <v>0</v>
      </c>
      <c r="S43" s="87" t="n">
        <f aca="false">N43/H43*K43</f>
        <v>0</v>
      </c>
      <c r="T43" s="84" t="n">
        <f aca="false">S43*$AL$7</f>
        <v>0</v>
      </c>
      <c r="U43" s="85" t="n">
        <f aca="false">N43/H43*L43</f>
        <v>0</v>
      </c>
      <c r="V43" s="84" t="n">
        <f aca="false">U43*$AL$7</f>
        <v>0</v>
      </c>
      <c r="W43" s="84" t="n">
        <f aca="false">Q43+S43+U43</f>
        <v>0</v>
      </c>
      <c r="X43" s="84" t="n">
        <f aca="false">W43*$AL$7</f>
        <v>0</v>
      </c>
      <c r="Y43" s="86" t="n">
        <f aca="false">O43/N43*W43</f>
        <v>0</v>
      </c>
      <c r="Z43" s="73"/>
      <c r="AA43" s="74"/>
      <c r="AM43" s="63"/>
      <c r="AN43" s="119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</row>
    <row r="44" s="143" customFormat="true" ht="92.25" hidden="false" customHeight="true" outlineLevel="0" collapsed="false">
      <c r="A44" s="78" t="n">
        <v>21</v>
      </c>
      <c r="B44" s="79" t="s">
        <v>148</v>
      </c>
      <c r="C44" s="79" t="s">
        <v>149</v>
      </c>
      <c r="D44" s="79" t="s">
        <v>150</v>
      </c>
      <c r="E44" s="79" t="s">
        <v>152</v>
      </c>
      <c r="F44" s="79"/>
      <c r="G44" s="81" t="s">
        <v>153</v>
      </c>
      <c r="H44" s="82" t="n">
        <v>219.024</v>
      </c>
      <c r="I44" s="82" t="n">
        <v>214.13</v>
      </c>
      <c r="J44" s="82" t="n">
        <v>30</v>
      </c>
      <c r="K44" s="82" t="n">
        <v>25</v>
      </c>
      <c r="L44" s="82" t="n">
        <v>25.07</v>
      </c>
      <c r="M44" s="82" t="n">
        <f aca="false">H44/N44*W44</f>
        <v>80.07</v>
      </c>
      <c r="N44" s="83" t="n">
        <f aca="false">361.665+2.975</f>
        <v>364.64</v>
      </c>
      <c r="O44" s="83" t="n">
        <v>1292.73</v>
      </c>
      <c r="P44" s="85" t="n">
        <f aca="false">361.665</f>
        <v>361.665</v>
      </c>
      <c r="Q44" s="85" t="n">
        <f aca="false">N44/H44*J44</f>
        <v>49.945211483673</v>
      </c>
      <c r="R44" s="86" t="n">
        <f aca="false">Q44*$AQ$6</f>
        <v>544.402805172036</v>
      </c>
      <c r="S44" s="87" t="n">
        <f aca="false">N44/H44*K44</f>
        <v>41.6210095697275</v>
      </c>
      <c r="T44" s="84" t="n">
        <f aca="false">S44*$AL$7</f>
        <v>582.995973909325</v>
      </c>
      <c r="U44" s="85" t="n">
        <f aca="false">N44/H44*L44</f>
        <v>41.7375483965228</v>
      </c>
      <c r="V44" s="84" t="n">
        <f aca="false">U44*$AL$7</f>
        <v>584.628362636271</v>
      </c>
      <c r="W44" s="84" t="n">
        <f aca="false">Q44+S44+U44</f>
        <v>133.303769449923</v>
      </c>
      <c r="X44" s="84" t="n">
        <f aca="false">W44*$AL$7</f>
        <v>1867.21950523679</v>
      </c>
      <c r="Y44" s="86" t="n">
        <f aca="false">O44/N44*W44</f>
        <v>472.591547501644</v>
      </c>
      <c r="Z44" s="73" t="s">
        <v>86</v>
      </c>
      <c r="AA44" s="74"/>
      <c r="AM44" s="63"/>
      <c r="AN44" s="89" t="s">
        <v>55</v>
      </c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</row>
    <row r="45" customFormat="false" ht="23.25" hidden="false" customHeight="false" outlineLevel="0" collapsed="false">
      <c r="A45" s="144"/>
      <c r="B45" s="144"/>
      <c r="C45" s="144"/>
      <c r="D45" s="144"/>
      <c r="E45" s="144"/>
      <c r="F45" s="145"/>
      <c r="G45" s="155"/>
      <c r="H45" s="156"/>
      <c r="I45" s="156"/>
      <c r="J45" s="156"/>
      <c r="K45" s="156"/>
      <c r="L45" s="156"/>
      <c r="M45" s="156"/>
      <c r="N45" s="157"/>
      <c r="O45" s="157"/>
      <c r="P45" s="148"/>
      <c r="Q45" s="158" t="n">
        <f aca="false">SUM(Q43:Q44)</f>
        <v>49.945211483673</v>
      </c>
      <c r="R45" s="159" t="n">
        <f aca="false">SUM(R43:R44)</f>
        <v>544.402805172036</v>
      </c>
      <c r="S45" s="160" t="n">
        <f aca="false">SUM(S43:S44)</f>
        <v>41.6210095697275</v>
      </c>
      <c r="T45" s="158" t="n">
        <f aca="false">SUM(T43:T44)</f>
        <v>582.995973909325</v>
      </c>
      <c r="U45" s="148" t="n">
        <f aca="false">SUM(U43:U44)</f>
        <v>41.7375483965228</v>
      </c>
      <c r="V45" s="148" t="n">
        <f aca="false">SUM(V43:V44)</f>
        <v>584.628362636271</v>
      </c>
      <c r="W45" s="148" t="n">
        <f aca="false">SUM(W43:W44)</f>
        <v>133.303769449923</v>
      </c>
      <c r="X45" s="148" t="n">
        <f aca="false">SUM(X43:X44)</f>
        <v>1867.21950523679</v>
      </c>
      <c r="Y45" s="146"/>
      <c r="Z45" s="73"/>
      <c r="AA45" s="74"/>
      <c r="AM45" s="63"/>
      <c r="AN45" s="119"/>
    </row>
    <row r="46" customFormat="false" ht="23.25" hidden="false" customHeight="false" outlineLevel="0" collapsed="false">
      <c r="A46" s="65" t="s">
        <v>154</v>
      </c>
      <c r="B46" s="66"/>
      <c r="C46" s="66"/>
      <c r="D46" s="66"/>
      <c r="E46" s="66"/>
      <c r="F46" s="66"/>
      <c r="G46" s="149"/>
      <c r="H46" s="150"/>
      <c r="I46" s="150"/>
      <c r="J46" s="150"/>
      <c r="K46" s="150"/>
      <c r="L46" s="150"/>
      <c r="M46" s="150"/>
      <c r="N46" s="151"/>
      <c r="O46" s="151"/>
      <c r="P46" s="152"/>
      <c r="Q46" s="152"/>
      <c r="R46" s="153"/>
      <c r="S46" s="154"/>
      <c r="T46" s="152"/>
      <c r="U46" s="152"/>
      <c r="V46" s="152"/>
      <c r="W46" s="152"/>
      <c r="X46" s="152"/>
      <c r="Y46" s="153"/>
      <c r="Z46" s="73"/>
      <c r="AA46" s="74"/>
      <c r="AM46" s="63"/>
      <c r="AN46" s="119"/>
    </row>
    <row r="47" s="143" customFormat="true" ht="129.75" hidden="false" customHeight="true" outlineLevel="0" collapsed="false">
      <c r="A47" s="78" t="n">
        <v>22</v>
      </c>
      <c r="B47" s="79" t="s">
        <v>155</v>
      </c>
      <c r="C47" s="79" t="s">
        <v>156</v>
      </c>
      <c r="D47" s="79" t="s">
        <v>157</v>
      </c>
      <c r="E47" s="79" t="s">
        <v>158</v>
      </c>
      <c r="F47" s="161" t="s">
        <v>159</v>
      </c>
      <c r="G47" s="81" t="s">
        <v>81</v>
      </c>
      <c r="H47" s="82" t="n">
        <v>1299</v>
      </c>
      <c r="I47" s="82" t="n">
        <f aca="false">H47</f>
        <v>1299</v>
      </c>
      <c r="J47" s="82" t="n">
        <v>400</v>
      </c>
      <c r="K47" s="82" t="n">
        <v>150</v>
      </c>
      <c r="L47" s="82" t="n">
        <v>0</v>
      </c>
      <c r="M47" s="82" t="n">
        <f aca="false">H47/N47*W47</f>
        <v>550</v>
      </c>
      <c r="N47" s="83" t="n">
        <v>611.461</v>
      </c>
      <c r="O47" s="83" t="n">
        <v>3490.94</v>
      </c>
      <c r="P47" s="84" t="n">
        <f aca="false">N47</f>
        <v>611.461</v>
      </c>
      <c r="Q47" s="85" t="n">
        <f aca="false">N47/H47*J47</f>
        <v>188.286682063125</v>
      </c>
      <c r="R47" s="86" t="n">
        <f aca="false">Q47*$AQ$6</f>
        <v>2052.32483448807</v>
      </c>
      <c r="S47" s="87" t="n">
        <f aca="false">N47/H47*K47</f>
        <v>70.6075057736721</v>
      </c>
      <c r="T47" s="84" t="n">
        <f aca="false">S47*$AL$7</f>
        <v>989.017133879671</v>
      </c>
      <c r="U47" s="85" t="n">
        <f aca="false">N47/H47*L47</f>
        <v>0</v>
      </c>
      <c r="V47" s="84" t="n">
        <f aca="false">U47*$AL$7</f>
        <v>0</v>
      </c>
      <c r="W47" s="84" t="n">
        <f aca="false">Q47+S47+U47</f>
        <v>258.894187836798</v>
      </c>
      <c r="X47" s="84" t="n">
        <f aca="false">W47*$AL$7</f>
        <v>3626.39615755879</v>
      </c>
      <c r="Y47" s="86" t="n">
        <f aca="false">O47/N47*W47</f>
        <v>1478.07313317937</v>
      </c>
      <c r="Z47" s="73" t="s">
        <v>160</v>
      </c>
      <c r="AA47" s="74"/>
      <c r="AM47" s="63"/>
      <c r="AN47" s="139" t="s">
        <v>161</v>
      </c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</row>
    <row r="48" customFormat="false" ht="23.25" hidden="false" customHeight="false" outlineLevel="0" collapsed="false">
      <c r="A48" s="144"/>
      <c r="B48" s="144"/>
      <c r="C48" s="144"/>
      <c r="D48" s="144"/>
      <c r="E48" s="144"/>
      <c r="F48" s="145"/>
      <c r="G48" s="155"/>
      <c r="H48" s="156"/>
      <c r="I48" s="156"/>
      <c r="J48" s="156"/>
      <c r="K48" s="156"/>
      <c r="L48" s="156"/>
      <c r="M48" s="156"/>
      <c r="N48" s="157"/>
      <c r="O48" s="157"/>
      <c r="P48" s="148"/>
      <c r="Q48" s="158" t="n">
        <f aca="false">SUM(Q47:Q47)</f>
        <v>188.286682063125</v>
      </c>
      <c r="R48" s="159" t="n">
        <f aca="false">SUM(R47:R47)</f>
        <v>2052.32483448807</v>
      </c>
      <c r="S48" s="160" t="n">
        <f aca="false">SUM(S47:S47)</f>
        <v>70.6075057736721</v>
      </c>
      <c r="T48" s="158" t="n">
        <f aca="false">SUM(T47:T47)</f>
        <v>989.017133879671</v>
      </c>
      <c r="U48" s="158" t="n">
        <f aca="false">SUM(U47:U47)</f>
        <v>0</v>
      </c>
      <c r="V48" s="158" t="n">
        <f aca="false">SUM(V47:V47)</f>
        <v>0</v>
      </c>
      <c r="W48" s="148" t="n">
        <f aca="false">SUM(W47:W47)</f>
        <v>258.894187836798</v>
      </c>
      <c r="X48" s="148" t="n">
        <f aca="false">SUM(X47:X47)</f>
        <v>3626.39615755879</v>
      </c>
      <c r="Y48" s="146"/>
      <c r="Z48" s="73"/>
      <c r="AA48" s="74"/>
      <c r="AM48" s="63"/>
      <c r="AN48" s="119"/>
    </row>
    <row r="49" customFormat="false" ht="23.25" hidden="false" customHeight="false" outlineLevel="0" collapsed="false">
      <c r="A49" s="65" t="s">
        <v>162</v>
      </c>
      <c r="B49" s="66"/>
      <c r="C49" s="66"/>
      <c r="D49" s="66"/>
      <c r="E49" s="66"/>
      <c r="F49" s="66"/>
      <c r="G49" s="149"/>
      <c r="H49" s="150"/>
      <c r="I49" s="150"/>
      <c r="J49" s="150"/>
      <c r="K49" s="150"/>
      <c r="L49" s="150"/>
      <c r="M49" s="150"/>
      <c r="N49" s="151"/>
      <c r="O49" s="151"/>
      <c r="P49" s="152"/>
      <c r="Q49" s="152"/>
      <c r="R49" s="153"/>
      <c r="S49" s="154"/>
      <c r="T49" s="152"/>
      <c r="U49" s="152"/>
      <c r="V49" s="152"/>
      <c r="W49" s="152"/>
      <c r="X49" s="152"/>
      <c r="Y49" s="153"/>
      <c r="Z49" s="73"/>
      <c r="AA49" s="74"/>
      <c r="AM49" s="63"/>
      <c r="AN49" s="119"/>
    </row>
    <row r="50" customFormat="false" ht="24" hidden="false" customHeight="false" outlineLevel="0" collapsed="false">
      <c r="A50" s="65" t="s">
        <v>163</v>
      </c>
      <c r="B50" s="66"/>
      <c r="C50" s="66"/>
      <c r="D50" s="66"/>
      <c r="E50" s="66"/>
      <c r="F50" s="75"/>
      <c r="G50" s="149"/>
      <c r="H50" s="150"/>
      <c r="I50" s="150"/>
      <c r="J50" s="150"/>
      <c r="K50" s="150"/>
      <c r="L50" s="150"/>
      <c r="M50" s="150"/>
      <c r="N50" s="151"/>
      <c r="O50" s="151"/>
      <c r="P50" s="152"/>
      <c r="Q50" s="152"/>
      <c r="R50" s="153"/>
      <c r="S50" s="154"/>
      <c r="T50" s="152"/>
      <c r="U50" s="152"/>
      <c r="V50" s="152"/>
      <c r="W50" s="152"/>
      <c r="X50" s="152"/>
      <c r="Y50" s="153"/>
      <c r="Z50" s="73"/>
      <c r="AA50" s="74"/>
      <c r="AM50" s="63"/>
      <c r="AN50" s="119"/>
    </row>
    <row r="51" s="143" customFormat="true" ht="69" hidden="false" customHeight="true" outlineLevel="0" collapsed="false">
      <c r="A51" s="78" t="n">
        <v>23</v>
      </c>
      <c r="B51" s="79" t="s">
        <v>164</v>
      </c>
      <c r="C51" s="79" t="s">
        <v>165</v>
      </c>
      <c r="D51" s="79" t="s">
        <v>166</v>
      </c>
      <c r="E51" s="162" t="s">
        <v>167</v>
      </c>
      <c r="F51" s="163" t="s">
        <v>168</v>
      </c>
      <c r="G51" s="164" t="s">
        <v>146</v>
      </c>
      <c r="H51" s="82" t="n">
        <v>43630</v>
      </c>
      <c r="I51" s="82" t="n">
        <f aca="false">H51</f>
        <v>43630</v>
      </c>
      <c r="J51" s="82" t="n">
        <v>500</v>
      </c>
      <c r="K51" s="82" t="n">
        <v>0</v>
      </c>
      <c r="L51" s="82" t="n">
        <v>0</v>
      </c>
      <c r="M51" s="82" t="n">
        <f aca="false">H51/N51*W51</f>
        <v>500</v>
      </c>
      <c r="N51" s="83" t="n">
        <v>2520.08</v>
      </c>
      <c r="O51" s="83" t="n">
        <v>4920.39</v>
      </c>
      <c r="P51" s="84" t="n">
        <f aca="false">N51</f>
        <v>2520.08</v>
      </c>
      <c r="Q51" s="85" t="n">
        <f aca="false">N51/H51*J51</f>
        <v>28.8801283520513</v>
      </c>
      <c r="R51" s="86" t="n">
        <f aca="false">Q51*$AQ$6</f>
        <v>314.79339903736</v>
      </c>
      <c r="S51" s="87" t="n">
        <f aca="false">N51/H51*K51</f>
        <v>0</v>
      </c>
      <c r="T51" s="84" t="n">
        <f aca="false">S51*$AL$7</f>
        <v>0</v>
      </c>
      <c r="U51" s="85" t="n">
        <f aca="false">N51/H51*L51</f>
        <v>0</v>
      </c>
      <c r="V51" s="84" t="n">
        <f aca="false">U51*$AL$7</f>
        <v>0</v>
      </c>
      <c r="W51" s="84" t="n">
        <f aca="false">Q51+S51+U51</f>
        <v>28.8801283520513</v>
      </c>
      <c r="X51" s="84" t="n">
        <f aca="false">W51*$AL$7</f>
        <v>404.531238653006</v>
      </c>
      <c r="Y51" s="86" t="n">
        <f aca="false">O51/N51*W51</f>
        <v>56.3876919550768</v>
      </c>
      <c r="Z51" s="73" t="s">
        <v>169</v>
      </c>
      <c r="AA51" s="74"/>
      <c r="AM51" s="63"/>
      <c r="AN51" s="89" t="s">
        <v>55</v>
      </c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</row>
    <row r="52" s="6" customFormat="true" ht="89.25" hidden="false" customHeight="true" outlineLevel="0" collapsed="false">
      <c r="A52" s="78" t="n">
        <v>24</v>
      </c>
      <c r="B52" s="79" t="s">
        <v>170</v>
      </c>
      <c r="C52" s="79" t="s">
        <v>171</v>
      </c>
      <c r="D52" s="79" t="s">
        <v>172</v>
      </c>
      <c r="E52" s="162" t="s">
        <v>173</v>
      </c>
      <c r="F52" s="163"/>
      <c r="G52" s="164" t="s">
        <v>76</v>
      </c>
      <c r="H52" s="82" t="n">
        <f aca="false">1722+1868+1758+94</f>
        <v>5442</v>
      </c>
      <c r="I52" s="82" t="n">
        <f aca="false">124+356+446+94</f>
        <v>1020</v>
      </c>
      <c r="J52" s="82" t="n">
        <v>105</v>
      </c>
      <c r="K52" s="82" t="n">
        <v>200</v>
      </c>
      <c r="L52" s="82" t="n">
        <v>200</v>
      </c>
      <c r="M52" s="82" t="n">
        <v>505</v>
      </c>
      <c r="N52" s="83" t="n">
        <v>10777.82</v>
      </c>
      <c r="O52" s="83" t="n">
        <v>21710</v>
      </c>
      <c r="P52" s="84" t="n">
        <f aca="false">N52-8639.659</f>
        <v>2138.161</v>
      </c>
      <c r="Q52" s="85" t="n">
        <f aca="false">N52/H52*J52</f>
        <v>207.951323042999</v>
      </c>
      <c r="R52" s="86" t="n">
        <f aca="false">Q52*$AQ$6</f>
        <v>2266.66942116869</v>
      </c>
      <c r="S52" s="87" t="n">
        <f aca="false">N52/H52*K52</f>
        <v>396.097758177141</v>
      </c>
      <c r="T52" s="84" t="n">
        <f aca="false">S52*$AL$7</f>
        <v>5548.24115702714</v>
      </c>
      <c r="U52" s="85" t="n">
        <f aca="false">N52/H52*L52</f>
        <v>396.097758177141</v>
      </c>
      <c r="V52" s="84" t="n">
        <f aca="false">U52*$AL$7</f>
        <v>5548.24115702714</v>
      </c>
      <c r="W52" s="84" t="n">
        <f aca="false">Q52+S52+U52</f>
        <v>1000.14683939728</v>
      </c>
      <c r="X52" s="84" t="n">
        <f aca="false">W52*$AL$7</f>
        <v>14009.3089214935</v>
      </c>
      <c r="Y52" s="86" t="n">
        <f aca="false">O52/N52*W52</f>
        <v>2014.6177875781</v>
      </c>
      <c r="Z52" s="73" t="s">
        <v>169</v>
      </c>
      <c r="AA52" s="74"/>
      <c r="AM52" s="63"/>
      <c r="AN52" s="89" t="s">
        <v>55</v>
      </c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</row>
    <row r="53" customFormat="false" ht="23.25" hidden="false" customHeight="false" outlineLevel="0" collapsed="false">
      <c r="A53" s="144"/>
      <c r="B53" s="144"/>
      <c r="C53" s="144"/>
      <c r="D53" s="144"/>
      <c r="E53" s="144"/>
      <c r="F53" s="165"/>
      <c r="G53" s="155"/>
      <c r="H53" s="156"/>
      <c r="I53" s="156"/>
      <c r="J53" s="156"/>
      <c r="K53" s="156"/>
      <c r="L53" s="156"/>
      <c r="M53" s="156"/>
      <c r="N53" s="157"/>
      <c r="O53" s="157"/>
      <c r="P53" s="148"/>
      <c r="Q53" s="148" t="n">
        <f aca="false">SUM(Q51:Q52)</f>
        <v>236.83145139505</v>
      </c>
      <c r="R53" s="146" t="n">
        <f aca="false">SUM(R51:R52)</f>
        <v>2581.46282020605</v>
      </c>
      <c r="S53" s="147" t="n">
        <f aca="false">SUM(S51:S52)</f>
        <v>396.097758177141</v>
      </c>
      <c r="T53" s="148" t="n">
        <f aca="false">SUM(T51:T52)</f>
        <v>5548.24115702714</v>
      </c>
      <c r="U53" s="148" t="n">
        <f aca="false">SUM(U51:U52)</f>
        <v>396.097758177141</v>
      </c>
      <c r="V53" s="148" t="n">
        <f aca="false">SUM(V51:V52)</f>
        <v>5548.24115702714</v>
      </c>
      <c r="W53" s="148" t="n">
        <f aca="false">SUM(W51:W52)</f>
        <v>1029.02696774933</v>
      </c>
      <c r="X53" s="148" t="n">
        <f aca="false">SUM(X51:X52)</f>
        <v>14413.8401601465</v>
      </c>
      <c r="Y53" s="146"/>
      <c r="Z53" s="73"/>
      <c r="AA53" s="74"/>
      <c r="AM53" s="63"/>
      <c r="AN53" s="119"/>
    </row>
    <row r="54" customFormat="false" ht="23.25" hidden="false" customHeight="false" outlineLevel="0" collapsed="false">
      <c r="A54" s="65" t="s">
        <v>174</v>
      </c>
      <c r="B54" s="79"/>
      <c r="C54" s="79"/>
      <c r="D54" s="79"/>
      <c r="E54" s="79"/>
      <c r="F54" s="79"/>
      <c r="G54" s="81"/>
      <c r="H54" s="82"/>
      <c r="I54" s="82"/>
      <c r="J54" s="82"/>
      <c r="K54" s="82"/>
      <c r="L54" s="82"/>
      <c r="M54" s="82"/>
      <c r="N54" s="83"/>
      <c r="O54" s="83"/>
      <c r="P54" s="84"/>
      <c r="Q54" s="84"/>
      <c r="R54" s="86"/>
      <c r="S54" s="166"/>
      <c r="T54" s="84"/>
      <c r="U54" s="84"/>
      <c r="V54" s="84"/>
      <c r="W54" s="84"/>
      <c r="X54" s="84"/>
      <c r="Y54" s="86"/>
      <c r="Z54" s="73"/>
      <c r="AA54" s="74"/>
      <c r="AM54" s="63"/>
      <c r="AN54" s="119"/>
    </row>
    <row r="55" customFormat="false" ht="23.25" hidden="false" customHeight="false" outlineLevel="0" collapsed="false">
      <c r="A55" s="65" t="s">
        <v>175</v>
      </c>
      <c r="B55" s="79"/>
      <c r="C55" s="79"/>
      <c r="D55" s="79"/>
      <c r="E55" s="79"/>
      <c r="F55" s="79"/>
      <c r="G55" s="81"/>
      <c r="H55" s="82"/>
      <c r="I55" s="82"/>
      <c r="J55" s="82"/>
      <c r="K55" s="82"/>
      <c r="L55" s="82"/>
      <c r="M55" s="82"/>
      <c r="N55" s="83"/>
      <c r="O55" s="83"/>
      <c r="P55" s="84"/>
      <c r="Q55" s="84"/>
      <c r="R55" s="86"/>
      <c r="S55" s="166"/>
      <c r="T55" s="84"/>
      <c r="U55" s="84"/>
      <c r="V55" s="84"/>
      <c r="W55" s="84"/>
      <c r="X55" s="84"/>
      <c r="Y55" s="86"/>
      <c r="Z55" s="73"/>
      <c r="AA55" s="74"/>
      <c r="AM55" s="63"/>
      <c r="AN55" s="119"/>
    </row>
    <row r="56" s="143" customFormat="true" ht="78" hidden="false" customHeight="true" outlineLevel="0" collapsed="false">
      <c r="A56" s="78" t="n">
        <v>25</v>
      </c>
      <c r="B56" s="79" t="s">
        <v>176</v>
      </c>
      <c r="C56" s="79" t="s">
        <v>177</v>
      </c>
      <c r="D56" s="79" t="s">
        <v>178</v>
      </c>
      <c r="E56" s="79" t="s">
        <v>179</v>
      </c>
      <c r="F56" s="79"/>
      <c r="G56" s="81" t="s">
        <v>81</v>
      </c>
      <c r="H56" s="82" t="n">
        <v>68</v>
      </c>
      <c r="I56" s="82" t="n">
        <f aca="false">H56</f>
        <v>68</v>
      </c>
      <c r="J56" s="82" t="n">
        <v>68</v>
      </c>
      <c r="K56" s="82" t="n">
        <v>0</v>
      </c>
      <c r="L56" s="82" t="n">
        <v>0</v>
      </c>
      <c r="M56" s="82" t="n">
        <f aca="false">H56/N56*W56</f>
        <v>0</v>
      </c>
      <c r="N56" s="83" t="n">
        <v>29.27</v>
      </c>
      <c r="O56" s="83" t="n">
        <v>69.4</v>
      </c>
      <c r="P56" s="84" t="n">
        <f aca="false">N56</f>
        <v>29.27</v>
      </c>
      <c r="Q56" s="85" t="n">
        <f aca="false">N56/H56*J56</f>
        <v>29.27</v>
      </c>
      <c r="R56" s="86" t="n">
        <f aca="false">Q56*$AQ$6</f>
        <v>319.043</v>
      </c>
      <c r="S56" s="84" t="n">
        <f aca="false">P56</f>
        <v>29.27</v>
      </c>
      <c r="T56" s="84" t="n">
        <f aca="false">S56*$AL$7</f>
        <v>409.992269114429</v>
      </c>
      <c r="U56" s="85" t="n">
        <f aca="false">N56/H56*L56</f>
        <v>0</v>
      </c>
      <c r="V56" s="84" t="n">
        <f aca="false">U56*$AL$7</f>
        <v>0</v>
      </c>
      <c r="W56" s="84"/>
      <c r="X56" s="84"/>
      <c r="Y56" s="86" t="n">
        <f aca="false">O56/N56*W56</f>
        <v>0</v>
      </c>
      <c r="Z56" s="73" t="s">
        <v>53</v>
      </c>
      <c r="AA56" s="74"/>
      <c r="AM56" s="63"/>
      <c r="AN56" s="139" t="s">
        <v>180</v>
      </c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</row>
    <row r="57" s="143" customFormat="true" ht="18" hidden="false" customHeight="true" outlineLevel="0" collapsed="false">
      <c r="A57" s="144"/>
      <c r="B57" s="144"/>
      <c r="C57" s="144"/>
      <c r="D57" s="144"/>
      <c r="E57" s="144"/>
      <c r="F57" s="145"/>
      <c r="G57" s="81"/>
      <c r="H57" s="82"/>
      <c r="I57" s="82"/>
      <c r="J57" s="82"/>
      <c r="K57" s="82"/>
      <c r="L57" s="82"/>
      <c r="M57" s="82"/>
      <c r="N57" s="83"/>
      <c r="O57" s="83"/>
      <c r="P57" s="84"/>
      <c r="Q57" s="158" t="n">
        <f aca="false">Q56</f>
        <v>29.27</v>
      </c>
      <c r="R57" s="159" t="n">
        <f aca="false">R56</f>
        <v>319.043</v>
      </c>
      <c r="S57" s="87"/>
      <c r="T57" s="85"/>
      <c r="U57" s="85"/>
      <c r="V57" s="85"/>
      <c r="W57" s="148" t="n">
        <f aca="false">SUM(W56)</f>
        <v>0</v>
      </c>
      <c r="X57" s="148" t="n">
        <f aca="false">SUM(X56)</f>
        <v>0</v>
      </c>
      <c r="Y57" s="86"/>
      <c r="Z57" s="73"/>
      <c r="AA57" s="74"/>
      <c r="AM57" s="63"/>
      <c r="AN57" s="100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</row>
    <row r="58" customFormat="false" ht="21" hidden="false" customHeight="false" outlineLevel="0" collapsed="false">
      <c r="A58" s="167"/>
      <c r="B58" s="167"/>
      <c r="C58" s="167"/>
      <c r="D58" s="167"/>
      <c r="E58" s="167"/>
      <c r="F58" s="168"/>
      <c r="G58" s="169"/>
      <c r="H58" s="170"/>
      <c r="I58" s="170"/>
      <c r="J58" s="170"/>
      <c r="K58" s="170"/>
      <c r="L58" s="170"/>
      <c r="M58" s="170"/>
      <c r="N58" s="171"/>
      <c r="O58" s="171"/>
      <c r="P58" s="170"/>
      <c r="Q58" s="172" t="n">
        <f aca="false">Q57+Q53+Q48+Q45+Q39+Q27</f>
        <v>2966.9758713532</v>
      </c>
      <c r="R58" s="173" t="n">
        <f aca="false">R57+R53+R48+R45+R39+R27</f>
        <v>32340.0369977499</v>
      </c>
      <c r="S58" s="173" t="n">
        <f aca="false">S57+S53+S48+S45+S39+S27</f>
        <v>1904.13961274206</v>
      </c>
      <c r="T58" s="173" t="n">
        <f aca="false">T57+T53+T48+T45+T39+T27</f>
        <v>26671.7635988652</v>
      </c>
      <c r="U58" s="172" t="e">
        <f aca="false">#REF!+#REF!+U53+U48+U45+#REF!+#REF!+U39+U27+U57</f>
        <v>#REF!</v>
      </c>
      <c r="V58" s="172" t="e">
        <f aca="false">#REF!+#REF!+V53+V48+V45+#REF!+#REF!+V39+V27+V57</f>
        <v>#REF!</v>
      </c>
      <c r="W58" s="174" t="e">
        <f aca="false">#REF!+#REF!+W53+W48+W45+#REF!+#REF!+W39+W27+W57</f>
        <v>#REF!</v>
      </c>
      <c r="X58" s="174" t="e">
        <f aca="false">#REF!+#REF!+X53+X48+X45+#REF!+#REF!+X39+X27+X57</f>
        <v>#REF!</v>
      </c>
      <c r="Y58" s="175" t="n">
        <f aca="false">SUM(Y14:Y56)</f>
        <v>61761.2789600239</v>
      </c>
      <c r="Z58" s="176"/>
      <c r="AA58" s="74"/>
      <c r="AM58" s="177"/>
      <c r="AN58" s="178"/>
    </row>
    <row r="59" customFormat="false" ht="18.75" hidden="false" customHeight="false" outlineLevel="0" collapsed="false">
      <c r="A59" s="179"/>
      <c r="B59" s="180"/>
      <c r="C59" s="180"/>
      <c r="D59" s="180"/>
      <c r="E59" s="180"/>
      <c r="F59" s="180"/>
      <c r="G59" s="181"/>
      <c r="H59" s="182"/>
      <c r="I59" s="182"/>
      <c r="J59" s="182"/>
      <c r="K59" s="182"/>
      <c r="L59" s="182"/>
      <c r="M59" s="182"/>
      <c r="N59" s="183"/>
      <c r="O59" s="183"/>
      <c r="P59" s="184"/>
      <c r="Q59" s="185"/>
      <c r="R59" s="185"/>
      <c r="S59" s="185"/>
      <c r="T59" s="185"/>
      <c r="U59" s="185"/>
      <c r="V59" s="185"/>
      <c r="W59" s="186"/>
      <c r="X59" s="187"/>
      <c r="Y59" s="188"/>
      <c r="Z59" s="189"/>
      <c r="AA59" s="74"/>
    </row>
    <row r="60" customFormat="false" ht="18.75" hidden="false" customHeight="false" outlineLevel="0" collapsed="false">
      <c r="A60" s="179"/>
      <c r="B60" s="180"/>
      <c r="C60" s="180"/>
      <c r="D60" s="180"/>
      <c r="E60" s="180"/>
      <c r="F60" s="180"/>
      <c r="G60" s="181"/>
      <c r="H60" s="182"/>
      <c r="I60" s="182"/>
      <c r="J60" s="182"/>
      <c r="K60" s="182"/>
      <c r="L60" s="182"/>
      <c r="M60" s="182"/>
      <c r="N60" s="183"/>
      <c r="O60" s="183"/>
      <c r="P60" s="184"/>
      <c r="Q60" s="185"/>
      <c r="R60" s="185"/>
      <c r="S60" s="185"/>
      <c r="T60" s="185"/>
      <c r="U60" s="185"/>
      <c r="V60" s="185"/>
      <c r="W60" s="186"/>
      <c r="X60" s="187"/>
      <c r="Y60" s="188"/>
      <c r="Z60" s="189"/>
      <c r="AA60" s="74"/>
    </row>
    <row r="61" customFormat="false" ht="18.75" hidden="false" customHeight="false" outlineLevel="0" collapsed="false">
      <c r="A61" s="179"/>
      <c r="B61" s="180"/>
      <c r="C61" s="180"/>
      <c r="D61" s="180"/>
      <c r="E61" s="180"/>
      <c r="F61" s="180"/>
      <c r="G61" s="181"/>
      <c r="H61" s="182"/>
      <c r="I61" s="182"/>
      <c r="J61" s="182"/>
      <c r="K61" s="182"/>
      <c r="L61" s="182"/>
      <c r="M61" s="182"/>
      <c r="N61" s="183"/>
      <c r="O61" s="183"/>
      <c r="P61" s="184"/>
      <c r="Q61" s="185"/>
      <c r="R61" s="185"/>
      <c r="S61" s="185"/>
      <c r="T61" s="185"/>
      <c r="U61" s="185"/>
      <c r="V61" s="185"/>
      <c r="W61" s="186"/>
      <c r="X61" s="187"/>
      <c r="Y61" s="188"/>
      <c r="Z61" s="189"/>
      <c r="AA61" s="74"/>
    </row>
    <row r="62" customFormat="false" ht="31.5" hidden="false" customHeight="true" outlineLevel="0" collapsed="false">
      <c r="A62" s="179"/>
      <c r="B62" s="190" t="s">
        <v>181</v>
      </c>
      <c r="C62" s="190"/>
      <c r="D62" s="180"/>
      <c r="E62" s="180"/>
      <c r="F62" s="180"/>
      <c r="G62" s="181"/>
      <c r="H62" s="182"/>
      <c r="I62" s="182"/>
      <c r="J62" s="182"/>
      <c r="K62" s="182"/>
      <c r="L62" s="182"/>
      <c r="M62" s="182"/>
      <c r="N62" s="183"/>
      <c r="O62" s="183"/>
      <c r="P62" s="191" t="s">
        <v>182</v>
      </c>
      <c r="Q62" s="191"/>
      <c r="R62" s="185"/>
      <c r="S62" s="185"/>
      <c r="T62" s="185"/>
      <c r="U62" s="185"/>
      <c r="V62" s="185"/>
      <c r="W62" s="186"/>
      <c r="X62" s="187"/>
      <c r="Y62" s="188"/>
      <c r="Z62" s="189"/>
      <c r="AA62" s="74"/>
    </row>
    <row r="63" customFormat="false" ht="47.25" hidden="false" customHeight="true" outlineLevel="0" collapsed="false">
      <c r="A63" s="192"/>
      <c r="B63" s="193" t="s">
        <v>183</v>
      </c>
      <c r="C63" s="193"/>
      <c r="D63" s="194"/>
      <c r="E63" s="194"/>
      <c r="F63" s="194"/>
      <c r="G63" s="195" t="s">
        <v>184</v>
      </c>
      <c r="H63" s="196"/>
      <c r="I63" s="15"/>
      <c r="J63" s="197"/>
      <c r="K63" s="197"/>
      <c r="L63" s="197"/>
      <c r="M63" s="198" t="s">
        <v>185</v>
      </c>
      <c r="N63" s="199"/>
      <c r="O63" s="199"/>
      <c r="P63" s="200" t="s">
        <v>186</v>
      </c>
      <c r="Q63" s="200"/>
      <c r="R63" s="200"/>
      <c r="S63" s="201"/>
      <c r="T63" s="201"/>
      <c r="U63" s="202"/>
      <c r="V63" s="203"/>
      <c r="W63" s="204"/>
      <c r="X63" s="205"/>
      <c r="Y63" s="206"/>
      <c r="Z63" s="207" t="s">
        <v>187</v>
      </c>
      <c r="AA63" s="74"/>
    </row>
    <row r="64" customFormat="false" ht="23.25" hidden="false" customHeight="false" outlineLevel="0" collapsed="false">
      <c r="A64" s="192"/>
      <c r="B64" s="208"/>
      <c r="C64" s="209"/>
      <c r="D64" s="194"/>
      <c r="E64" s="194"/>
      <c r="F64" s="194"/>
      <c r="G64" s="195"/>
      <c r="H64" s="196"/>
      <c r="I64" s="15"/>
      <c r="J64" s="197"/>
      <c r="K64" s="197"/>
      <c r="L64" s="197"/>
      <c r="M64" s="210" t="s">
        <v>188</v>
      </c>
      <c r="N64" s="199"/>
      <c r="O64" s="199"/>
      <c r="P64" s="200"/>
      <c r="Q64" s="200"/>
      <c r="R64" s="200"/>
      <c r="S64" s="201"/>
      <c r="T64" s="201"/>
      <c r="U64" s="211"/>
      <c r="V64" s="211"/>
      <c r="W64" s="204"/>
      <c r="X64" s="205"/>
      <c r="Y64" s="206"/>
      <c r="Z64" s="207"/>
      <c r="AA64" s="74"/>
    </row>
    <row r="65" customFormat="false" ht="23.25" hidden="false" customHeight="false" outlineLevel="0" collapsed="false">
      <c r="A65" s="192"/>
      <c r="B65" s="209" t="s">
        <v>189</v>
      </c>
      <c r="C65" s="209"/>
      <c r="D65" s="194"/>
      <c r="E65" s="194"/>
      <c r="F65" s="194"/>
      <c r="G65" s="195" t="s">
        <v>190</v>
      </c>
      <c r="H65" s="196"/>
      <c r="I65" s="15"/>
      <c r="J65" s="212"/>
      <c r="K65" s="212"/>
      <c r="L65" s="212"/>
      <c r="M65" s="213"/>
      <c r="N65" s="212"/>
      <c r="O65" s="212"/>
      <c r="P65" s="214"/>
      <c r="Q65" s="215"/>
      <c r="R65" s="195"/>
      <c r="S65" s="201"/>
      <c r="T65" s="201"/>
      <c r="U65" s="195"/>
      <c r="V65" s="195"/>
      <c r="W65" s="204"/>
      <c r="X65" s="205"/>
      <c r="Y65" s="206"/>
      <c r="Z65" s="207"/>
      <c r="AA65" s="74"/>
    </row>
    <row r="66" customFormat="false" ht="23.25" hidden="false" customHeight="false" outlineLevel="0" collapsed="false">
      <c r="A66" s="192"/>
      <c r="B66" s="208"/>
      <c r="C66" s="209"/>
      <c r="D66" s="194"/>
      <c r="E66" s="194"/>
      <c r="F66" s="194"/>
      <c r="G66" s="195"/>
      <c r="H66" s="196"/>
      <c r="I66" s="15"/>
      <c r="J66" s="216"/>
      <c r="K66" s="216"/>
      <c r="L66" s="217"/>
      <c r="M66" s="213" t="s">
        <v>191</v>
      </c>
      <c r="N66" s="216"/>
      <c r="O66" s="216"/>
      <c r="P66" s="200"/>
      <c r="Q66" s="200"/>
      <c r="R66" s="200"/>
      <c r="S66" s="201"/>
      <c r="T66" s="201"/>
      <c r="U66" s="209"/>
      <c r="V66" s="209"/>
      <c r="W66" s="204"/>
      <c r="X66" s="205"/>
      <c r="Y66" s="218"/>
      <c r="Z66" s="207"/>
      <c r="AA66" s="74"/>
    </row>
    <row r="67" customFormat="false" ht="23.25" hidden="false" customHeight="false" outlineLevel="0" collapsed="false">
      <c r="A67" s="192"/>
      <c r="B67" s="209" t="s">
        <v>192</v>
      </c>
      <c r="C67" s="209"/>
      <c r="D67" s="194"/>
      <c r="E67" s="194"/>
      <c r="F67" s="194"/>
      <c r="G67" s="195" t="s">
        <v>193</v>
      </c>
      <c r="H67" s="196"/>
      <c r="I67" s="15"/>
      <c r="J67" s="216"/>
      <c r="K67" s="216"/>
      <c r="L67" s="216"/>
      <c r="M67" s="219" t="s">
        <v>194</v>
      </c>
      <c r="N67" s="216"/>
      <c r="O67" s="216"/>
      <c r="P67" s="200"/>
      <c r="Q67" s="200"/>
      <c r="R67" s="200"/>
      <c r="S67" s="201"/>
      <c r="T67" s="201"/>
      <c r="U67" s="220"/>
      <c r="V67" s="220"/>
      <c r="W67" s="204"/>
      <c r="X67" s="218"/>
      <c r="Y67" s="218"/>
      <c r="Z67" s="221"/>
      <c r="AA67" s="74"/>
    </row>
    <row r="68" customFormat="false" ht="23.25" hidden="false" customHeight="false" outlineLevel="0" collapsed="false">
      <c r="A68" s="192"/>
      <c r="B68" s="219"/>
      <c r="C68" s="219"/>
      <c r="D68" s="222"/>
      <c r="E68" s="222"/>
      <c r="F68" s="222"/>
      <c r="G68" s="213"/>
      <c r="H68" s="15"/>
      <c r="I68" s="15"/>
      <c r="J68" s="216"/>
      <c r="K68" s="216"/>
      <c r="L68" s="216"/>
      <c r="M68" s="219"/>
      <c r="N68" s="216"/>
      <c r="O68" s="216"/>
      <c r="P68" s="223"/>
      <c r="Q68" s="223"/>
      <c r="R68" s="223"/>
      <c r="S68" s="201"/>
      <c r="T68" s="201"/>
      <c r="U68" s="220"/>
      <c r="V68" s="220"/>
      <c r="W68" s="204"/>
      <c r="X68" s="218"/>
      <c r="Y68" s="218"/>
      <c r="Z68" s="221"/>
      <c r="AA68" s="74"/>
    </row>
    <row r="69" customFormat="false" ht="23.25" hidden="false" customHeight="false" outlineLevel="0" collapsed="false">
      <c r="A69" s="192"/>
      <c r="B69" s="224"/>
      <c r="H69" s="15"/>
      <c r="I69" s="15"/>
      <c r="J69" s="216"/>
      <c r="K69" s="216"/>
      <c r="L69" s="217"/>
      <c r="M69" s="219"/>
      <c r="N69" s="216"/>
      <c r="O69" s="216"/>
      <c r="P69" s="215" t="s">
        <v>0</v>
      </c>
      <c r="Q69" s="215"/>
      <c r="R69" s="209"/>
      <c r="S69" s="201"/>
      <c r="T69" s="201"/>
      <c r="U69" s="209"/>
      <c r="V69" s="209"/>
      <c r="W69" s="204"/>
      <c r="X69" s="218"/>
      <c r="Y69" s="218"/>
      <c r="Z69" s="221"/>
      <c r="AA69" s="74"/>
    </row>
    <row r="70" customFormat="false" ht="20.25" hidden="false" customHeight="true" outlineLevel="0" collapsed="false">
      <c r="A70" s="192"/>
      <c r="B70" s="224"/>
      <c r="H70" s="15"/>
      <c r="I70" s="15"/>
      <c r="J70" s="216"/>
      <c r="K70" s="216"/>
      <c r="L70" s="216"/>
      <c r="M70" s="219" t="s">
        <v>195</v>
      </c>
      <c r="N70" s="216"/>
      <c r="O70" s="216"/>
      <c r="P70" s="193" t="s">
        <v>196</v>
      </c>
      <c r="Q70" s="193"/>
      <c r="R70" s="193"/>
      <c r="S70" s="201"/>
      <c r="T70" s="201"/>
      <c r="U70" s="201"/>
      <c r="V70" s="220"/>
      <c r="W70" s="204"/>
      <c r="X70" s="218"/>
      <c r="Y70" s="218"/>
      <c r="Z70" s="221"/>
      <c r="AA70" s="74"/>
    </row>
    <row r="71" customFormat="false" ht="35.25" hidden="false" customHeight="true" outlineLevel="0" collapsed="false">
      <c r="P71" s="193"/>
      <c r="Q71" s="193"/>
      <c r="R71" s="193"/>
      <c r="S71" s="201"/>
      <c r="T71" s="201"/>
      <c r="U71" s="201"/>
      <c r="V71" s="201"/>
      <c r="W71" s="225"/>
      <c r="X71" s="226"/>
      <c r="Y71" s="218"/>
      <c r="Z71" s="207" t="s">
        <v>197</v>
      </c>
      <c r="AA71" s="74"/>
    </row>
    <row r="72" customFormat="false" ht="23.25" hidden="false" customHeight="false" outlineLevel="0" collapsed="false">
      <c r="P72" s="227"/>
      <c r="Q72" s="227"/>
      <c r="R72" s="227"/>
      <c r="S72" s="228"/>
      <c r="T72" s="228"/>
      <c r="U72" s="229"/>
      <c r="V72" s="229"/>
      <c r="W72" s="218"/>
      <c r="X72" s="226"/>
      <c r="Y72" s="218"/>
      <c r="Z72" s="230"/>
      <c r="AA72" s="74"/>
    </row>
    <row r="73" customFormat="false" ht="23.25" hidden="false" customHeight="false" outlineLevel="0" collapsed="false">
      <c r="A73" s="231"/>
      <c r="B73" s="232"/>
      <c r="C73" s="233"/>
      <c r="D73" s="233"/>
      <c r="E73" s="233"/>
      <c r="F73" s="233"/>
      <c r="G73" s="9"/>
      <c r="H73" s="9"/>
      <c r="I73" s="9"/>
      <c r="J73" s="9"/>
      <c r="K73" s="9"/>
      <c r="L73" s="9"/>
      <c r="M73" s="9"/>
      <c r="N73" s="9"/>
      <c r="O73" s="9"/>
      <c r="P73" s="215"/>
      <c r="Q73" s="218"/>
      <c r="R73" s="218"/>
      <c r="S73" s="218"/>
      <c r="T73" s="218"/>
      <c r="U73" s="218"/>
      <c r="V73" s="218"/>
      <c r="W73" s="218"/>
      <c r="X73" s="226"/>
      <c r="Y73" s="218"/>
      <c r="Z73" s="230"/>
      <c r="AA73" s="74"/>
    </row>
    <row r="74" customFormat="false" ht="15.75" hidden="false" customHeight="true" outlineLevel="0" collapsed="false">
      <c r="A74" s="231"/>
      <c r="B74" s="232"/>
      <c r="C74" s="233"/>
      <c r="D74" s="233"/>
      <c r="E74" s="233"/>
      <c r="F74" s="233"/>
      <c r="G74" s="9"/>
      <c r="H74" s="9"/>
      <c r="I74" s="9"/>
      <c r="J74" s="9"/>
      <c r="K74" s="9"/>
      <c r="L74" s="9"/>
      <c r="M74" s="9"/>
      <c r="N74" s="9"/>
      <c r="O74" s="9"/>
      <c r="P74" s="193" t="s">
        <v>198</v>
      </c>
      <c r="Q74" s="193"/>
      <c r="R74" s="193"/>
      <c r="S74" s="218"/>
      <c r="T74" s="218"/>
      <c r="U74" s="218"/>
      <c r="V74" s="218"/>
      <c r="W74" s="218"/>
      <c r="X74" s="226"/>
      <c r="Y74" s="218"/>
      <c r="Z74" s="230"/>
      <c r="AA74" s="74"/>
    </row>
    <row r="75" customFormat="false" ht="81" hidden="false" customHeight="true" outlineLevel="0" collapsed="false">
      <c r="A75" s="231"/>
      <c r="B75" s="232"/>
      <c r="C75" s="233"/>
      <c r="D75" s="233"/>
      <c r="E75" s="233"/>
      <c r="F75" s="233"/>
      <c r="G75" s="9"/>
      <c r="H75" s="9"/>
      <c r="I75" s="9"/>
      <c r="J75" s="9"/>
      <c r="K75" s="9"/>
      <c r="L75" s="9"/>
      <c r="M75" s="9"/>
      <c r="N75" s="9"/>
      <c r="O75" s="9"/>
      <c r="P75" s="193"/>
      <c r="Q75" s="193"/>
      <c r="R75" s="193"/>
      <c r="S75" s="218"/>
      <c r="T75" s="218"/>
      <c r="U75" s="218"/>
      <c r="V75" s="218"/>
      <c r="W75" s="218"/>
      <c r="X75" s="226"/>
      <c r="Y75" s="218"/>
      <c r="Z75" s="234" t="s">
        <v>199</v>
      </c>
      <c r="AA75" s="74"/>
    </row>
    <row r="76" customFormat="false" ht="15.75" hidden="false" customHeight="false" outlineLevel="0" collapsed="false">
      <c r="A76" s="231"/>
      <c r="B76" s="232"/>
      <c r="C76" s="233"/>
      <c r="D76" s="233"/>
      <c r="E76" s="233"/>
      <c r="F76" s="233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Z76" s="189"/>
      <c r="AA76" s="74"/>
    </row>
    <row r="77" customFormat="false" ht="15.75" hidden="false" customHeight="false" outlineLevel="0" collapsed="false">
      <c r="A77" s="231"/>
      <c r="B77" s="232"/>
      <c r="C77" s="233"/>
      <c r="D77" s="233"/>
      <c r="E77" s="233"/>
      <c r="F77" s="233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Z77" s="189"/>
      <c r="AA77" s="74"/>
    </row>
    <row r="78" customFormat="false" ht="15.75" hidden="false" customHeight="false" outlineLevel="0" collapsed="false">
      <c r="A78" s="231"/>
      <c r="B78" s="232"/>
      <c r="C78" s="233"/>
      <c r="D78" s="233"/>
      <c r="E78" s="233"/>
      <c r="F78" s="23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Z78" s="189"/>
      <c r="AA78" s="74"/>
    </row>
    <row r="79" customFormat="false" ht="15.75" hidden="false" customHeight="false" outlineLevel="0" collapsed="false">
      <c r="A79" s="231"/>
      <c r="B79" s="232"/>
      <c r="C79" s="233"/>
      <c r="D79" s="233"/>
      <c r="E79" s="233"/>
      <c r="F79" s="233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Z79" s="189"/>
      <c r="AA79" s="74"/>
    </row>
    <row r="80" customFormat="false" ht="15.75" hidden="false" customHeight="false" outlineLevel="0" collapsed="false">
      <c r="A80" s="231"/>
      <c r="B80" s="232"/>
      <c r="C80" s="233"/>
      <c r="D80" s="233"/>
      <c r="E80" s="233"/>
      <c r="F80" s="233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Z80" s="189"/>
      <c r="AA80" s="74"/>
    </row>
    <row r="81" customFormat="false" ht="15.75" hidden="false" customHeight="false" outlineLevel="0" collapsed="false">
      <c r="A81" s="231"/>
      <c r="B81" s="232"/>
      <c r="C81" s="233"/>
      <c r="D81" s="233"/>
      <c r="E81" s="233"/>
      <c r="F81" s="233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Z81" s="189"/>
      <c r="AA81" s="74"/>
    </row>
    <row r="82" customFormat="false" ht="15.75" hidden="false" customHeight="false" outlineLevel="0" collapsed="false">
      <c r="A82" s="231"/>
      <c r="B82" s="232"/>
      <c r="C82" s="233"/>
      <c r="D82" s="233"/>
      <c r="E82" s="233"/>
      <c r="F82" s="233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Z82" s="189"/>
      <c r="AA82" s="74"/>
    </row>
    <row r="83" customFormat="false" ht="15.75" hidden="false" customHeight="false" outlineLevel="0" collapsed="false">
      <c r="A83" s="231"/>
      <c r="B83" s="232"/>
      <c r="C83" s="233"/>
      <c r="D83" s="233"/>
      <c r="E83" s="233"/>
      <c r="F83" s="233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Z83" s="189"/>
      <c r="AA83" s="74"/>
    </row>
    <row r="84" customFormat="false" ht="15.75" hidden="false" customHeight="false" outlineLevel="0" collapsed="false">
      <c r="A84" s="231"/>
      <c r="B84" s="232"/>
      <c r="C84" s="233"/>
      <c r="D84" s="233"/>
      <c r="E84" s="233"/>
      <c r="F84" s="233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Z84" s="189"/>
      <c r="AA84" s="74"/>
    </row>
    <row r="85" customFormat="false" ht="15.75" hidden="false" customHeight="false" outlineLevel="0" collapsed="false">
      <c r="A85" s="231"/>
      <c r="B85" s="232"/>
      <c r="C85" s="233"/>
      <c r="D85" s="233"/>
      <c r="E85" s="233"/>
      <c r="F85" s="233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Z85" s="189"/>
      <c r="AA85" s="74"/>
    </row>
    <row r="86" customFormat="false" ht="15.75" hidden="false" customHeight="false" outlineLevel="0" collapsed="false">
      <c r="A86" s="231"/>
      <c r="B86" s="232"/>
      <c r="C86" s="233"/>
      <c r="D86" s="233"/>
      <c r="E86" s="233"/>
      <c r="F86" s="233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Z86" s="189"/>
      <c r="AA86" s="74"/>
    </row>
    <row r="87" customFormat="false" ht="15.75" hidden="false" customHeight="false" outlineLevel="0" collapsed="false">
      <c r="A87" s="231"/>
      <c r="B87" s="232"/>
      <c r="C87" s="233"/>
      <c r="D87" s="233"/>
      <c r="E87" s="233"/>
      <c r="F87" s="233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Z87" s="189"/>
      <c r="AA87" s="74"/>
    </row>
    <row r="88" customFormat="false" ht="15.75" hidden="false" customHeight="false" outlineLevel="0" collapsed="false">
      <c r="A88" s="231"/>
      <c r="B88" s="232"/>
      <c r="C88" s="233"/>
      <c r="D88" s="233"/>
      <c r="E88" s="233"/>
      <c r="F88" s="233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Z88" s="189"/>
      <c r="AA88" s="74"/>
    </row>
    <row r="89" customFormat="false" ht="15.75" hidden="false" customHeight="false" outlineLevel="0" collapsed="false">
      <c r="A89" s="231"/>
      <c r="B89" s="232"/>
      <c r="C89" s="233"/>
      <c r="D89" s="233"/>
      <c r="E89" s="233"/>
      <c r="F89" s="233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Z89" s="189"/>
      <c r="AA89" s="74"/>
    </row>
    <row r="90" customFormat="false" ht="15.75" hidden="false" customHeight="false" outlineLevel="0" collapsed="false">
      <c r="A90" s="231"/>
      <c r="B90" s="232"/>
      <c r="C90" s="233"/>
      <c r="D90" s="233"/>
      <c r="E90" s="233"/>
      <c r="F90" s="233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Z90" s="189"/>
      <c r="AA90" s="74"/>
    </row>
    <row r="91" customFormat="false" ht="15.75" hidden="false" customHeight="false" outlineLevel="0" collapsed="false">
      <c r="A91" s="231"/>
      <c r="B91" s="232"/>
      <c r="C91" s="233"/>
      <c r="D91" s="233"/>
      <c r="E91" s="233"/>
      <c r="F91" s="233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Z91" s="189"/>
      <c r="AA91" s="74"/>
    </row>
    <row r="92" customFormat="false" ht="15.75" hidden="false" customHeight="false" outlineLevel="0" collapsed="false">
      <c r="A92" s="231"/>
      <c r="B92" s="232"/>
      <c r="C92" s="233"/>
      <c r="D92" s="233"/>
      <c r="E92" s="233"/>
      <c r="F92" s="233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Z92" s="189"/>
      <c r="AA92" s="74"/>
    </row>
    <row r="93" customFormat="false" ht="15.75" hidden="false" customHeight="false" outlineLevel="0" collapsed="false">
      <c r="A93" s="231"/>
      <c r="B93" s="232"/>
      <c r="C93" s="233"/>
      <c r="D93" s="233"/>
      <c r="E93" s="233"/>
      <c r="F93" s="233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Z93" s="189"/>
      <c r="AA93" s="74"/>
    </row>
    <row r="94" customFormat="false" ht="15.75" hidden="false" customHeight="false" outlineLevel="0" collapsed="false">
      <c r="A94" s="231"/>
      <c r="B94" s="232"/>
      <c r="C94" s="233"/>
      <c r="D94" s="233"/>
      <c r="E94" s="233"/>
      <c r="F94" s="23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Z94" s="189"/>
      <c r="AA94" s="74"/>
    </row>
    <row r="95" customFormat="false" ht="15.75" hidden="false" customHeight="false" outlineLevel="0" collapsed="false">
      <c r="A95" s="231"/>
      <c r="B95" s="232"/>
      <c r="C95" s="233"/>
      <c r="D95" s="233"/>
      <c r="E95" s="233"/>
      <c r="F95" s="23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Z95" s="189"/>
      <c r="AA95" s="74"/>
    </row>
    <row r="96" customFormat="false" ht="15.75" hidden="false" customHeight="false" outlineLevel="0" collapsed="false">
      <c r="A96" s="231"/>
      <c r="B96" s="232"/>
      <c r="C96" s="233"/>
      <c r="D96" s="233"/>
      <c r="E96" s="233"/>
      <c r="F96" s="233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Z96" s="189"/>
      <c r="AA96" s="74"/>
    </row>
    <row r="97" customFormat="false" ht="15.75" hidden="false" customHeight="false" outlineLevel="0" collapsed="false">
      <c r="A97" s="231"/>
      <c r="B97" s="232"/>
      <c r="C97" s="233"/>
      <c r="D97" s="233"/>
      <c r="E97" s="233"/>
      <c r="F97" s="233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Z97" s="189"/>
      <c r="AA97" s="74"/>
    </row>
    <row r="98" customFormat="false" ht="15.75" hidden="false" customHeight="false" outlineLevel="0" collapsed="false">
      <c r="A98" s="231"/>
      <c r="B98" s="232"/>
      <c r="C98" s="233"/>
      <c r="D98" s="233"/>
      <c r="E98" s="233"/>
      <c r="F98" s="233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Z98" s="189"/>
      <c r="AA98" s="74"/>
    </row>
    <row r="99" customFormat="false" ht="15.75" hidden="false" customHeight="false" outlineLevel="0" collapsed="false">
      <c r="A99" s="231"/>
      <c r="B99" s="232"/>
      <c r="C99" s="233"/>
      <c r="D99" s="233"/>
      <c r="E99" s="233"/>
      <c r="F99" s="233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Z99" s="189"/>
      <c r="AA99" s="74"/>
    </row>
    <row r="100" customFormat="false" ht="15.75" hidden="false" customHeight="false" outlineLevel="0" collapsed="false">
      <c r="A100" s="231"/>
      <c r="B100" s="232"/>
      <c r="C100" s="233"/>
      <c r="D100" s="233"/>
      <c r="E100" s="233"/>
      <c r="F100" s="233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Z100" s="189"/>
      <c r="AA100" s="74"/>
    </row>
    <row r="101" customFormat="false" ht="15.75" hidden="false" customHeight="false" outlineLevel="0" collapsed="false">
      <c r="A101" s="231"/>
      <c r="B101" s="232"/>
      <c r="C101" s="233"/>
      <c r="D101" s="233"/>
      <c r="E101" s="233"/>
      <c r="F101" s="233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Z101" s="189"/>
      <c r="AA101" s="74"/>
    </row>
    <row r="102" customFormat="false" ht="15.75" hidden="false" customHeight="false" outlineLevel="0" collapsed="false">
      <c r="A102" s="231"/>
      <c r="B102" s="232"/>
      <c r="C102" s="233"/>
      <c r="D102" s="233"/>
      <c r="E102" s="233"/>
      <c r="F102" s="233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Z102" s="189"/>
      <c r="AA102" s="74"/>
    </row>
    <row r="103" customFormat="false" ht="15.75" hidden="false" customHeight="false" outlineLevel="0" collapsed="false">
      <c r="A103" s="231"/>
      <c r="B103" s="232"/>
      <c r="C103" s="233"/>
      <c r="D103" s="233"/>
      <c r="E103" s="233"/>
      <c r="F103" s="23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Z103" s="189"/>
      <c r="AA103" s="74"/>
    </row>
    <row r="104" customFormat="false" ht="15.75" hidden="false" customHeight="false" outlineLevel="0" collapsed="false">
      <c r="A104" s="231"/>
      <c r="B104" s="232"/>
      <c r="C104" s="233"/>
      <c r="D104" s="233"/>
      <c r="E104" s="233"/>
      <c r="F104" s="233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Z104" s="189"/>
      <c r="AA104" s="74"/>
    </row>
    <row r="105" customFormat="false" ht="15.75" hidden="false" customHeight="false" outlineLevel="0" collapsed="false">
      <c r="A105" s="231"/>
      <c r="B105" s="232"/>
      <c r="C105" s="233"/>
      <c r="D105" s="233"/>
      <c r="E105" s="233"/>
      <c r="F105" s="233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Z105" s="189"/>
      <c r="AA105" s="74"/>
    </row>
    <row r="106" customFormat="false" ht="15.75" hidden="false" customHeight="false" outlineLevel="0" collapsed="false">
      <c r="A106" s="231"/>
      <c r="B106" s="232"/>
      <c r="C106" s="233"/>
      <c r="D106" s="233"/>
      <c r="E106" s="233"/>
      <c r="F106" s="233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Z106" s="189"/>
      <c r="AA106" s="74"/>
    </row>
    <row r="107" customFormat="false" ht="15.75" hidden="false" customHeight="false" outlineLevel="0" collapsed="false">
      <c r="A107" s="231"/>
      <c r="B107" s="232"/>
      <c r="C107" s="233"/>
      <c r="D107" s="233"/>
      <c r="E107" s="233"/>
      <c r="F107" s="233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Z107" s="189"/>
      <c r="AA107" s="74"/>
    </row>
    <row r="108" customFormat="false" ht="15.75" hidden="false" customHeight="false" outlineLevel="0" collapsed="false">
      <c r="A108" s="231"/>
      <c r="B108" s="232"/>
      <c r="C108" s="233"/>
      <c r="D108" s="233"/>
      <c r="E108" s="233"/>
      <c r="F108" s="233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Z108" s="189"/>
      <c r="AA108" s="74"/>
    </row>
    <row r="109" customFormat="false" ht="15.75" hidden="false" customHeight="false" outlineLevel="0" collapsed="false">
      <c r="A109" s="231"/>
      <c r="B109" s="232"/>
      <c r="C109" s="233"/>
      <c r="D109" s="233"/>
      <c r="E109" s="233"/>
      <c r="F109" s="233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Z109" s="189"/>
      <c r="AA109" s="74"/>
    </row>
    <row r="110" customFormat="false" ht="15.75" hidden="false" customHeight="false" outlineLevel="0" collapsed="false">
      <c r="A110" s="231"/>
      <c r="B110" s="232"/>
      <c r="C110" s="233"/>
      <c r="D110" s="233"/>
      <c r="E110" s="233"/>
      <c r="F110" s="233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Z110" s="189"/>
      <c r="AA110" s="74"/>
    </row>
    <row r="111" customFormat="false" ht="15.75" hidden="false" customHeight="false" outlineLevel="0" collapsed="false">
      <c r="A111" s="231"/>
      <c r="B111" s="232"/>
      <c r="C111" s="233"/>
      <c r="D111" s="233"/>
      <c r="E111" s="233"/>
      <c r="F111" s="233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Z111" s="189"/>
      <c r="AA111" s="74"/>
    </row>
    <row r="112" customFormat="false" ht="15.75" hidden="false" customHeight="false" outlineLevel="0" collapsed="false">
      <c r="A112" s="231"/>
      <c r="B112" s="232"/>
      <c r="C112" s="233"/>
      <c r="D112" s="233"/>
      <c r="E112" s="233"/>
      <c r="F112" s="233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Z112" s="189"/>
      <c r="AA112" s="74"/>
    </row>
    <row r="113" customFormat="false" ht="15.75" hidden="false" customHeight="false" outlineLevel="0" collapsed="false">
      <c r="A113" s="231"/>
      <c r="B113" s="232"/>
      <c r="C113" s="233"/>
      <c r="D113" s="233"/>
      <c r="E113" s="233"/>
      <c r="F113" s="233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Z113" s="189"/>
      <c r="AA113" s="74"/>
    </row>
    <row r="114" customFormat="false" ht="15.75" hidden="false" customHeight="false" outlineLevel="0" collapsed="false">
      <c r="A114" s="231"/>
      <c r="B114" s="232"/>
      <c r="C114" s="233"/>
      <c r="D114" s="233"/>
      <c r="E114" s="233"/>
      <c r="F114" s="233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Z114" s="189"/>
      <c r="AA114" s="74"/>
    </row>
    <row r="115" customFormat="false" ht="15.75" hidden="false" customHeight="false" outlineLevel="0" collapsed="false">
      <c r="A115" s="231"/>
      <c r="B115" s="232"/>
      <c r="C115" s="233"/>
      <c r="D115" s="233"/>
      <c r="E115" s="233"/>
      <c r="F115" s="233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Z115" s="189"/>
      <c r="AA115" s="74"/>
    </row>
    <row r="116" customFormat="false" ht="15.75" hidden="false" customHeight="false" outlineLevel="0" collapsed="false">
      <c r="A116" s="231"/>
      <c r="B116" s="232"/>
      <c r="C116" s="233"/>
      <c r="D116" s="233"/>
      <c r="E116" s="233"/>
      <c r="F116" s="233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Z116" s="189"/>
      <c r="AA116" s="74"/>
    </row>
    <row r="117" customFormat="false" ht="15.75" hidden="false" customHeight="false" outlineLevel="0" collapsed="false">
      <c r="A117" s="231"/>
      <c r="B117" s="232"/>
      <c r="C117" s="233"/>
      <c r="D117" s="233"/>
      <c r="E117" s="233"/>
      <c r="F117" s="233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Z117" s="189"/>
      <c r="AA117" s="74"/>
    </row>
    <row r="118" customFormat="false" ht="15.75" hidden="false" customHeight="false" outlineLevel="0" collapsed="false">
      <c r="A118" s="231"/>
      <c r="B118" s="232"/>
      <c r="C118" s="233"/>
      <c r="D118" s="233"/>
      <c r="E118" s="233"/>
      <c r="F118" s="233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Z118" s="189"/>
      <c r="AA118" s="74"/>
    </row>
    <row r="119" customFormat="false" ht="15.75" hidden="false" customHeight="false" outlineLevel="0" collapsed="false">
      <c r="A119" s="231"/>
      <c r="B119" s="232"/>
      <c r="C119" s="233"/>
      <c r="D119" s="233"/>
      <c r="E119" s="233"/>
      <c r="F119" s="233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Z119" s="189"/>
      <c r="AA119" s="74"/>
    </row>
    <row r="120" customFormat="false" ht="15.75" hidden="false" customHeight="false" outlineLevel="0" collapsed="false">
      <c r="A120" s="231"/>
      <c r="B120" s="232"/>
      <c r="C120" s="233"/>
      <c r="D120" s="233"/>
      <c r="E120" s="233"/>
      <c r="F120" s="233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Z120" s="189"/>
      <c r="AA120" s="74"/>
    </row>
    <row r="121" customFormat="false" ht="15.75" hidden="false" customHeight="false" outlineLevel="0" collapsed="false">
      <c r="A121" s="231"/>
      <c r="B121" s="232"/>
      <c r="C121" s="233"/>
      <c r="D121" s="233"/>
      <c r="E121" s="233"/>
      <c r="F121" s="233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Z121" s="189"/>
      <c r="AA121" s="74"/>
    </row>
    <row r="122" customFormat="false" ht="15.75" hidden="false" customHeight="false" outlineLevel="0" collapsed="false">
      <c r="A122" s="231"/>
      <c r="B122" s="232"/>
      <c r="C122" s="233"/>
      <c r="D122" s="233"/>
      <c r="E122" s="233"/>
      <c r="F122" s="233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Z122" s="189"/>
      <c r="AA122" s="74"/>
    </row>
    <row r="123" customFormat="false" ht="15.75" hidden="false" customHeight="false" outlineLevel="0" collapsed="false">
      <c r="A123" s="231"/>
      <c r="B123" s="232"/>
      <c r="C123" s="233"/>
      <c r="D123" s="233"/>
      <c r="E123" s="233"/>
      <c r="F123" s="233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Z123" s="189"/>
      <c r="AA123" s="74"/>
    </row>
    <row r="124" customFormat="false" ht="15.75" hidden="false" customHeight="false" outlineLevel="0" collapsed="false">
      <c r="A124" s="231"/>
      <c r="B124" s="232"/>
      <c r="C124" s="233"/>
      <c r="D124" s="233"/>
      <c r="E124" s="233"/>
      <c r="F124" s="233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Z124" s="189"/>
      <c r="AA124" s="74"/>
    </row>
    <row r="125" customFormat="false" ht="15.75" hidden="false" customHeight="false" outlineLevel="0" collapsed="false">
      <c r="A125" s="231"/>
      <c r="B125" s="232"/>
      <c r="C125" s="233"/>
      <c r="D125" s="233"/>
      <c r="E125" s="233"/>
      <c r="F125" s="23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Z125" s="189"/>
      <c r="AA125" s="74"/>
    </row>
    <row r="126" customFormat="false" ht="15.75" hidden="false" customHeight="false" outlineLevel="0" collapsed="false">
      <c r="A126" s="231"/>
      <c r="B126" s="232"/>
      <c r="C126" s="233"/>
      <c r="D126" s="233"/>
      <c r="E126" s="233"/>
      <c r="F126" s="233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Z126" s="189"/>
      <c r="AA126" s="74"/>
    </row>
    <row r="127" customFormat="false" ht="15.75" hidden="false" customHeight="false" outlineLevel="0" collapsed="false">
      <c r="A127" s="231"/>
      <c r="B127" s="232"/>
      <c r="C127" s="233"/>
      <c r="D127" s="233"/>
      <c r="E127" s="233"/>
      <c r="F127" s="233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Z127" s="189"/>
      <c r="AA127" s="74"/>
    </row>
    <row r="128" customFormat="false" ht="15.75" hidden="false" customHeight="false" outlineLevel="0" collapsed="false">
      <c r="A128" s="231"/>
      <c r="B128" s="232"/>
      <c r="C128" s="233"/>
      <c r="D128" s="233"/>
      <c r="E128" s="233"/>
      <c r="F128" s="233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Z128" s="189"/>
      <c r="AA128" s="74"/>
    </row>
    <row r="129" customFormat="false" ht="15.75" hidden="false" customHeight="false" outlineLevel="0" collapsed="false">
      <c r="A129" s="231"/>
      <c r="B129" s="232"/>
      <c r="C129" s="233"/>
      <c r="D129" s="233"/>
      <c r="E129" s="233"/>
      <c r="F129" s="233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Z129" s="189"/>
      <c r="AA129" s="74"/>
    </row>
    <row r="130" customFormat="false" ht="15.75" hidden="false" customHeight="false" outlineLevel="0" collapsed="false">
      <c r="A130" s="231"/>
      <c r="B130" s="232"/>
      <c r="C130" s="233"/>
      <c r="D130" s="233"/>
      <c r="E130" s="233"/>
      <c r="F130" s="233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Z130" s="189"/>
      <c r="AA130" s="74"/>
    </row>
    <row r="131" customFormat="false" ht="15.75" hidden="false" customHeight="false" outlineLevel="0" collapsed="false">
      <c r="A131" s="231"/>
      <c r="B131" s="232"/>
      <c r="C131" s="233"/>
      <c r="D131" s="233"/>
      <c r="E131" s="233"/>
      <c r="F131" s="233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Z131" s="189"/>
      <c r="AA131" s="74"/>
    </row>
    <row r="132" customFormat="false" ht="15.75" hidden="false" customHeight="false" outlineLevel="0" collapsed="false">
      <c r="A132" s="231"/>
      <c r="B132" s="232"/>
      <c r="C132" s="233"/>
      <c r="D132" s="233"/>
      <c r="E132" s="233"/>
      <c r="F132" s="233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Z132" s="189"/>
      <c r="AA132" s="74"/>
    </row>
    <row r="133" customFormat="false" ht="15.75" hidden="false" customHeight="false" outlineLevel="0" collapsed="false">
      <c r="A133" s="231"/>
      <c r="B133" s="232"/>
      <c r="C133" s="233"/>
      <c r="D133" s="233"/>
      <c r="E133" s="233"/>
      <c r="F133" s="233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Z133" s="189"/>
      <c r="AA133" s="74"/>
    </row>
    <row r="134" customFormat="false" ht="15.75" hidden="false" customHeight="false" outlineLevel="0" collapsed="false">
      <c r="A134" s="231"/>
      <c r="B134" s="232"/>
      <c r="C134" s="233"/>
      <c r="D134" s="233"/>
      <c r="E134" s="233"/>
      <c r="F134" s="233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Z134" s="189"/>
      <c r="AA134" s="74"/>
    </row>
    <row r="135" customFormat="false" ht="15.75" hidden="false" customHeight="false" outlineLevel="0" collapsed="false">
      <c r="A135" s="231"/>
      <c r="B135" s="232"/>
      <c r="C135" s="233"/>
      <c r="D135" s="233"/>
      <c r="E135" s="233"/>
      <c r="F135" s="233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Z135" s="189"/>
      <c r="AA135" s="74"/>
    </row>
    <row r="136" customFormat="false" ht="15.75" hidden="false" customHeight="false" outlineLevel="0" collapsed="false">
      <c r="A136" s="231"/>
      <c r="B136" s="232"/>
      <c r="C136" s="233"/>
      <c r="D136" s="233"/>
      <c r="E136" s="233"/>
      <c r="F136" s="233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Z136" s="189"/>
      <c r="AA136" s="74"/>
    </row>
    <row r="137" customFormat="false" ht="15.75" hidden="false" customHeight="false" outlineLevel="0" collapsed="false">
      <c r="A137" s="231"/>
      <c r="B137" s="232"/>
      <c r="C137" s="233"/>
      <c r="D137" s="233"/>
      <c r="E137" s="233"/>
      <c r="F137" s="23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Z137" s="189"/>
      <c r="AA137" s="74"/>
    </row>
    <row r="138" customFormat="false" ht="15.75" hidden="false" customHeight="false" outlineLevel="0" collapsed="false">
      <c r="A138" s="231"/>
      <c r="B138" s="232"/>
      <c r="C138" s="233"/>
      <c r="D138" s="233"/>
      <c r="E138" s="233"/>
      <c r="F138" s="233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Z138" s="189"/>
      <c r="AA138" s="74"/>
    </row>
    <row r="139" customFormat="false" ht="15.75" hidden="false" customHeight="false" outlineLevel="0" collapsed="false">
      <c r="A139" s="231"/>
      <c r="B139" s="232"/>
      <c r="C139" s="233"/>
      <c r="D139" s="233"/>
      <c r="E139" s="233"/>
      <c r="F139" s="233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Z139" s="189"/>
      <c r="AA139" s="74"/>
    </row>
    <row r="140" customFormat="false" ht="15.75" hidden="false" customHeight="false" outlineLevel="0" collapsed="false">
      <c r="A140" s="231"/>
      <c r="B140" s="232"/>
      <c r="C140" s="233"/>
      <c r="D140" s="233"/>
      <c r="E140" s="233"/>
      <c r="F140" s="233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Z140" s="189"/>
      <c r="AA140" s="74"/>
    </row>
    <row r="141" customFormat="false" ht="15.75" hidden="false" customHeight="false" outlineLevel="0" collapsed="false">
      <c r="A141" s="231"/>
      <c r="B141" s="232"/>
      <c r="C141" s="233"/>
      <c r="D141" s="233"/>
      <c r="E141" s="233"/>
      <c r="F141" s="233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Z141" s="189"/>
      <c r="AA141" s="74"/>
    </row>
    <row r="142" customFormat="false" ht="15.75" hidden="false" customHeight="false" outlineLevel="0" collapsed="false">
      <c r="A142" s="231"/>
      <c r="B142" s="232"/>
      <c r="C142" s="233"/>
      <c r="D142" s="233"/>
      <c r="E142" s="233"/>
      <c r="F142" s="233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Z142" s="189"/>
      <c r="AA142" s="74"/>
    </row>
    <row r="143" customFormat="false" ht="15.75" hidden="false" customHeight="false" outlineLevel="0" collapsed="false">
      <c r="Z143" s="189"/>
      <c r="AA143" s="74"/>
    </row>
    <row r="144" customFormat="false" ht="15.75" hidden="false" customHeight="false" outlineLevel="0" collapsed="false">
      <c r="Z144" s="189"/>
      <c r="AA144" s="74"/>
    </row>
    <row r="145" customFormat="false" ht="15.75" hidden="false" customHeight="false" outlineLevel="0" collapsed="false">
      <c r="Z145" s="189"/>
      <c r="AA145" s="74"/>
    </row>
    <row r="146" customFormat="false" ht="15.75" hidden="false" customHeight="false" outlineLevel="0" collapsed="false">
      <c r="Z146" s="189"/>
      <c r="AA146" s="74"/>
    </row>
    <row r="147" customFormat="false" ht="15.75" hidden="false" customHeight="false" outlineLevel="0" collapsed="false">
      <c r="Z147" s="189"/>
      <c r="AA147" s="74"/>
    </row>
    <row r="148" customFormat="false" ht="15.75" hidden="false" customHeight="false" outlineLevel="0" collapsed="false">
      <c r="Z148" s="189"/>
      <c r="AA148" s="74"/>
    </row>
    <row r="149" customFormat="false" ht="15.75" hidden="false" customHeight="false" outlineLevel="0" collapsed="false">
      <c r="Z149" s="189"/>
      <c r="AA149" s="74"/>
    </row>
    <row r="150" customFormat="false" ht="15.75" hidden="false" customHeight="false" outlineLevel="0" collapsed="false">
      <c r="Z150" s="189"/>
      <c r="AA150" s="74"/>
    </row>
    <row r="151" customFormat="false" ht="15.75" hidden="false" customHeight="false" outlineLevel="0" collapsed="false">
      <c r="Z151" s="189"/>
      <c r="AA151" s="74"/>
    </row>
    <row r="152" customFormat="false" ht="15.75" hidden="false" customHeight="false" outlineLevel="0" collapsed="false">
      <c r="Z152" s="189"/>
      <c r="AA152" s="74"/>
    </row>
    <row r="153" customFormat="false" ht="15.75" hidden="false" customHeight="false" outlineLevel="0" collapsed="false">
      <c r="Z153" s="189"/>
      <c r="AA153" s="74"/>
    </row>
    <row r="154" customFormat="false" ht="15.75" hidden="false" customHeight="false" outlineLevel="0" collapsed="false">
      <c r="Z154" s="189"/>
      <c r="AA154" s="74"/>
    </row>
    <row r="155" customFormat="false" ht="15.75" hidden="false" customHeight="false" outlineLevel="0" collapsed="false">
      <c r="Z155" s="189"/>
      <c r="AA155" s="74"/>
    </row>
    <row r="156" customFormat="false" ht="15.75" hidden="false" customHeight="false" outlineLevel="0" collapsed="false">
      <c r="Z156" s="189"/>
      <c r="AA156" s="74"/>
    </row>
    <row r="157" customFormat="false" ht="15.75" hidden="false" customHeight="false" outlineLevel="0" collapsed="false">
      <c r="Z157" s="189"/>
      <c r="AA157" s="74"/>
    </row>
    <row r="158" customFormat="false" ht="15.75" hidden="false" customHeight="false" outlineLevel="0" collapsed="false">
      <c r="Z158" s="189"/>
      <c r="AA158" s="74"/>
    </row>
    <row r="159" customFormat="false" ht="15.75" hidden="false" customHeight="false" outlineLevel="0" collapsed="false">
      <c r="Z159" s="189"/>
      <c r="AA159" s="74"/>
    </row>
    <row r="160" customFormat="false" ht="15.75" hidden="false" customHeight="false" outlineLevel="0" collapsed="false">
      <c r="Z160" s="189"/>
      <c r="AA160" s="74"/>
    </row>
    <row r="161" customFormat="false" ht="15.75" hidden="false" customHeight="false" outlineLevel="0" collapsed="false">
      <c r="Z161" s="189"/>
      <c r="AA161" s="74"/>
    </row>
    <row r="162" customFormat="false" ht="15.75" hidden="false" customHeight="false" outlineLevel="0" collapsed="false">
      <c r="Z162" s="189"/>
      <c r="AA162" s="74"/>
    </row>
    <row r="163" customFormat="false" ht="15.75" hidden="false" customHeight="false" outlineLevel="0" collapsed="false">
      <c r="Z163" s="189"/>
      <c r="AA163" s="74"/>
    </row>
    <row r="164" customFormat="false" ht="15.75" hidden="false" customHeight="false" outlineLevel="0" collapsed="false">
      <c r="Z164" s="189"/>
      <c r="AA164" s="74"/>
    </row>
    <row r="165" customFormat="false" ht="15.75" hidden="false" customHeight="false" outlineLevel="0" collapsed="false">
      <c r="Z165" s="189"/>
      <c r="AA165" s="74"/>
    </row>
    <row r="166" customFormat="false" ht="15.75" hidden="false" customHeight="false" outlineLevel="0" collapsed="false">
      <c r="Z166" s="189"/>
      <c r="AA166" s="74"/>
    </row>
    <row r="167" customFormat="false" ht="15.75" hidden="false" customHeight="false" outlineLevel="0" collapsed="false">
      <c r="Z167" s="189"/>
      <c r="AA167" s="74"/>
    </row>
    <row r="168" customFormat="false" ht="15.75" hidden="false" customHeight="false" outlineLevel="0" collapsed="false">
      <c r="Z168" s="189"/>
      <c r="AA168" s="74"/>
    </row>
    <row r="169" customFormat="false" ht="15.75" hidden="false" customHeight="false" outlineLevel="0" collapsed="false">
      <c r="Z169" s="189"/>
      <c r="AA169" s="74"/>
    </row>
    <row r="170" customFormat="false" ht="15.75" hidden="false" customHeight="false" outlineLevel="0" collapsed="false">
      <c r="Z170" s="189"/>
      <c r="AA170" s="74"/>
    </row>
    <row r="171" customFormat="false" ht="15.75" hidden="false" customHeight="false" outlineLevel="0" collapsed="false">
      <c r="Z171" s="189"/>
      <c r="AA171" s="74"/>
    </row>
    <row r="172" customFormat="false" ht="15.75" hidden="false" customHeight="false" outlineLevel="0" collapsed="false">
      <c r="Z172" s="189"/>
      <c r="AA172" s="74"/>
    </row>
    <row r="173" customFormat="false" ht="15.75" hidden="false" customHeight="false" outlineLevel="0" collapsed="false">
      <c r="Z173" s="189"/>
      <c r="AA173" s="74"/>
    </row>
    <row r="174" customFormat="false" ht="15.75" hidden="false" customHeight="false" outlineLevel="0" collapsed="false">
      <c r="Z174" s="189"/>
      <c r="AA174" s="74"/>
    </row>
    <row r="175" customFormat="false" ht="15.75" hidden="false" customHeight="false" outlineLevel="0" collapsed="false">
      <c r="Z175" s="189"/>
      <c r="AA175" s="74"/>
    </row>
    <row r="176" customFormat="false" ht="15.75" hidden="false" customHeight="false" outlineLevel="0" collapsed="false">
      <c r="Z176" s="189"/>
      <c r="AA176" s="74"/>
    </row>
    <row r="177" customFormat="false" ht="15.75" hidden="false" customHeight="false" outlineLevel="0" collapsed="false">
      <c r="Z177" s="189"/>
      <c r="AA177" s="74"/>
    </row>
    <row r="178" customFormat="false" ht="15.75" hidden="false" customHeight="false" outlineLevel="0" collapsed="false">
      <c r="Z178" s="189"/>
      <c r="AA178" s="74"/>
    </row>
    <row r="179" customFormat="false" ht="15.75" hidden="false" customHeight="false" outlineLevel="0" collapsed="false">
      <c r="Z179" s="189"/>
      <c r="AA179" s="74"/>
    </row>
    <row r="180" customFormat="false" ht="15.75" hidden="false" customHeight="false" outlineLevel="0" collapsed="false">
      <c r="Z180" s="189"/>
      <c r="AA180" s="74"/>
    </row>
    <row r="181" customFormat="false" ht="15.75" hidden="false" customHeight="false" outlineLevel="0" collapsed="false">
      <c r="Z181" s="189"/>
      <c r="AA181" s="74"/>
    </row>
    <row r="182" customFormat="false" ht="15.75" hidden="false" customHeight="false" outlineLevel="0" collapsed="false">
      <c r="Z182" s="189"/>
      <c r="AA182" s="74"/>
    </row>
    <row r="183" customFormat="false" ht="15.75" hidden="false" customHeight="false" outlineLevel="0" collapsed="false">
      <c r="Z183" s="189"/>
      <c r="AA183" s="74"/>
    </row>
    <row r="184" customFormat="false" ht="15.75" hidden="false" customHeight="false" outlineLevel="0" collapsed="false">
      <c r="Z184" s="189"/>
      <c r="AA184" s="74"/>
    </row>
    <row r="185" customFormat="false" ht="15.75" hidden="false" customHeight="false" outlineLevel="0" collapsed="false">
      <c r="Z185" s="189"/>
      <c r="AA185" s="74"/>
    </row>
    <row r="186" customFormat="false" ht="15.75" hidden="false" customHeight="false" outlineLevel="0" collapsed="false">
      <c r="Z186" s="189"/>
      <c r="AA186" s="74"/>
    </row>
    <row r="187" customFormat="false" ht="15.75" hidden="false" customHeight="false" outlineLevel="0" collapsed="false">
      <c r="Z187" s="189"/>
      <c r="AA187" s="74"/>
    </row>
    <row r="188" customFormat="false" ht="15.75" hidden="false" customHeight="false" outlineLevel="0" collapsed="false">
      <c r="Z188" s="189"/>
      <c r="AA188" s="74"/>
    </row>
    <row r="189" customFormat="false" ht="15.75" hidden="false" customHeight="false" outlineLevel="0" collapsed="false">
      <c r="Z189" s="189"/>
      <c r="AA189" s="74"/>
    </row>
    <row r="190" customFormat="false" ht="15.75" hidden="false" customHeight="false" outlineLevel="0" collapsed="false">
      <c r="Z190" s="189"/>
      <c r="AA190" s="74"/>
    </row>
    <row r="191" customFormat="false" ht="15.75" hidden="false" customHeight="false" outlineLevel="0" collapsed="false">
      <c r="Z191" s="189"/>
      <c r="AA191" s="74"/>
    </row>
    <row r="192" customFormat="false" ht="15.75" hidden="false" customHeight="false" outlineLevel="0" collapsed="false">
      <c r="Z192" s="189"/>
      <c r="AA192" s="74"/>
    </row>
    <row r="193" customFormat="false" ht="15.75" hidden="false" customHeight="false" outlineLevel="0" collapsed="false">
      <c r="Z193" s="189"/>
      <c r="AA193" s="74"/>
    </row>
    <row r="194" customFormat="false" ht="15.75" hidden="false" customHeight="false" outlineLevel="0" collapsed="false">
      <c r="Z194" s="189"/>
      <c r="AA194" s="74"/>
    </row>
    <row r="195" customFormat="false" ht="15.75" hidden="false" customHeight="false" outlineLevel="0" collapsed="false">
      <c r="Z195" s="189"/>
      <c r="AA195" s="74"/>
    </row>
    <row r="196" customFormat="false" ht="15.75" hidden="false" customHeight="false" outlineLevel="0" collapsed="false">
      <c r="Z196" s="189"/>
      <c r="AA196" s="74"/>
    </row>
    <row r="197" customFormat="false" ht="15.75" hidden="false" customHeight="false" outlineLevel="0" collapsed="false">
      <c r="Z197" s="189"/>
      <c r="AA197" s="74"/>
    </row>
    <row r="198" customFormat="false" ht="15.75" hidden="false" customHeight="false" outlineLevel="0" collapsed="false">
      <c r="Z198" s="189"/>
      <c r="AA198" s="74"/>
    </row>
    <row r="199" customFormat="false" ht="15.75" hidden="false" customHeight="false" outlineLevel="0" collapsed="false">
      <c r="Z199" s="189"/>
      <c r="AA199" s="74"/>
    </row>
    <row r="200" customFormat="false" ht="15.75" hidden="false" customHeight="false" outlineLevel="0" collapsed="false">
      <c r="Z200" s="189"/>
      <c r="AA200" s="74"/>
    </row>
    <row r="201" customFormat="false" ht="15.75" hidden="false" customHeight="false" outlineLevel="0" collapsed="false">
      <c r="Z201" s="189"/>
      <c r="AA201" s="74"/>
    </row>
    <row r="202" customFormat="false" ht="15.75" hidden="false" customHeight="false" outlineLevel="0" collapsed="false">
      <c r="Z202" s="189"/>
      <c r="AA202" s="74"/>
    </row>
    <row r="203" customFormat="false" ht="15.75" hidden="false" customHeight="false" outlineLevel="0" collapsed="false">
      <c r="Z203" s="189"/>
      <c r="AA203" s="74"/>
    </row>
    <row r="204" customFormat="false" ht="15.75" hidden="false" customHeight="false" outlineLevel="0" collapsed="false">
      <c r="Z204" s="189"/>
      <c r="AA204" s="74"/>
    </row>
    <row r="205" customFormat="false" ht="15.75" hidden="false" customHeight="false" outlineLevel="0" collapsed="false">
      <c r="Z205" s="189"/>
      <c r="AA205" s="74"/>
    </row>
    <row r="206" customFormat="false" ht="15.75" hidden="false" customHeight="false" outlineLevel="0" collapsed="false">
      <c r="Z206" s="189"/>
      <c r="AA206" s="74"/>
    </row>
    <row r="207" customFormat="false" ht="15.75" hidden="false" customHeight="false" outlineLevel="0" collapsed="false">
      <c r="Z207" s="189"/>
      <c r="AA207" s="74"/>
    </row>
    <row r="208" customFormat="false" ht="15.75" hidden="false" customHeight="false" outlineLevel="0" collapsed="false">
      <c r="Z208" s="189"/>
      <c r="AA208" s="74"/>
    </row>
    <row r="209" customFormat="false" ht="15.75" hidden="false" customHeight="false" outlineLevel="0" collapsed="false">
      <c r="Z209" s="189"/>
      <c r="AA209" s="74"/>
    </row>
    <row r="210" customFormat="false" ht="15.75" hidden="false" customHeight="false" outlineLevel="0" collapsed="false">
      <c r="Z210" s="189"/>
      <c r="AA210" s="74"/>
    </row>
    <row r="211" customFormat="false" ht="15.75" hidden="false" customHeight="false" outlineLevel="0" collapsed="false">
      <c r="Z211" s="189"/>
      <c r="AA211" s="74"/>
    </row>
    <row r="212" customFormat="false" ht="15.75" hidden="false" customHeight="false" outlineLevel="0" collapsed="false">
      <c r="Z212" s="189"/>
      <c r="AA212" s="74"/>
    </row>
    <row r="213" customFormat="false" ht="15.75" hidden="false" customHeight="false" outlineLevel="0" collapsed="false">
      <c r="Z213" s="189"/>
      <c r="AA213" s="74"/>
    </row>
    <row r="214" customFormat="false" ht="15.75" hidden="false" customHeight="false" outlineLevel="0" collapsed="false">
      <c r="Z214" s="189"/>
      <c r="AA214" s="74"/>
    </row>
    <row r="215" customFormat="false" ht="15.75" hidden="false" customHeight="false" outlineLevel="0" collapsed="false">
      <c r="Z215" s="189"/>
      <c r="AA215" s="74"/>
    </row>
    <row r="216" customFormat="false" ht="15.75" hidden="false" customHeight="false" outlineLevel="0" collapsed="false">
      <c r="Z216" s="189"/>
      <c r="AA216" s="74"/>
    </row>
    <row r="217" customFormat="false" ht="15.75" hidden="false" customHeight="false" outlineLevel="0" collapsed="false">
      <c r="Z217" s="189"/>
      <c r="AA217" s="74"/>
    </row>
    <row r="218" customFormat="false" ht="15.75" hidden="false" customHeight="false" outlineLevel="0" collapsed="false">
      <c r="Z218" s="189"/>
      <c r="AA218" s="74"/>
    </row>
    <row r="219" customFormat="false" ht="15.75" hidden="false" customHeight="false" outlineLevel="0" collapsed="false">
      <c r="Z219" s="189"/>
      <c r="AA219" s="74"/>
    </row>
    <row r="220" customFormat="false" ht="15.75" hidden="false" customHeight="false" outlineLevel="0" collapsed="false">
      <c r="Z220" s="189"/>
      <c r="AA220" s="74"/>
    </row>
    <row r="221" customFormat="false" ht="15.75" hidden="false" customHeight="false" outlineLevel="0" collapsed="false">
      <c r="Z221" s="189"/>
      <c r="AA221" s="74"/>
    </row>
    <row r="222" customFormat="false" ht="15.75" hidden="false" customHeight="false" outlineLevel="0" collapsed="false">
      <c r="Z222" s="189"/>
      <c r="AA222" s="74"/>
    </row>
    <row r="223" customFormat="false" ht="15.75" hidden="false" customHeight="false" outlineLevel="0" collapsed="false">
      <c r="Z223" s="189"/>
      <c r="AA223" s="74"/>
    </row>
    <row r="224" customFormat="false" ht="15.75" hidden="false" customHeight="false" outlineLevel="0" collapsed="false">
      <c r="Z224" s="189"/>
      <c r="AA224" s="74"/>
    </row>
    <row r="225" customFormat="false" ht="15.75" hidden="false" customHeight="false" outlineLevel="0" collapsed="false">
      <c r="Z225" s="189"/>
      <c r="AA225" s="74"/>
    </row>
    <row r="226" customFormat="false" ht="15.75" hidden="false" customHeight="false" outlineLevel="0" collapsed="false">
      <c r="Z226" s="189"/>
      <c r="AA226" s="74"/>
    </row>
    <row r="227" customFormat="false" ht="15.75" hidden="false" customHeight="false" outlineLevel="0" collapsed="false">
      <c r="Z227" s="189"/>
      <c r="AA227" s="74"/>
    </row>
    <row r="228" customFormat="false" ht="15.75" hidden="false" customHeight="false" outlineLevel="0" collapsed="false">
      <c r="Z228" s="189"/>
      <c r="AA228" s="74"/>
    </row>
    <row r="229" customFormat="false" ht="15.75" hidden="false" customHeight="false" outlineLevel="0" collapsed="false">
      <c r="Z229" s="189"/>
      <c r="AA229" s="74"/>
    </row>
    <row r="230" customFormat="false" ht="15.75" hidden="false" customHeight="false" outlineLevel="0" collapsed="false">
      <c r="Z230" s="189"/>
      <c r="AA230" s="74"/>
    </row>
    <row r="231" customFormat="false" ht="15.75" hidden="false" customHeight="false" outlineLevel="0" collapsed="false">
      <c r="Z231" s="189"/>
      <c r="AA231" s="74"/>
    </row>
  </sheetData>
  <mergeCells count="60">
    <mergeCell ref="A2:D2"/>
    <mergeCell ref="Q2:Y2"/>
    <mergeCell ref="A3:C3"/>
    <mergeCell ref="C4:Z4"/>
    <mergeCell ref="C5:Z5"/>
    <mergeCell ref="C6:Z6"/>
    <mergeCell ref="A7:A10"/>
    <mergeCell ref="B7:B10"/>
    <mergeCell ref="C7:C10"/>
    <mergeCell ref="D7:D10"/>
    <mergeCell ref="E7:E10"/>
    <mergeCell ref="F7:F10"/>
    <mergeCell ref="G7:G10"/>
    <mergeCell ref="H7:M8"/>
    <mergeCell ref="N7:P8"/>
    <mergeCell ref="Q7:R8"/>
    <mergeCell ref="Y7:Y10"/>
    <mergeCell ref="Z7:Z10"/>
    <mergeCell ref="AA7:AA10"/>
    <mergeCell ref="AB7:AB10"/>
    <mergeCell ref="AC7:AC10"/>
    <mergeCell ref="AD7:AD10"/>
    <mergeCell ref="AE7:AE10"/>
    <mergeCell ref="AF7:AF10"/>
    <mergeCell ref="AG7:AG10"/>
    <mergeCell ref="AH7:AH10"/>
    <mergeCell ref="AI7:AI10"/>
    <mergeCell ref="AJ7:AJ10"/>
    <mergeCell ref="AM7:AM10"/>
    <mergeCell ref="AN7:AN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R9"/>
    <mergeCell ref="S9:T9"/>
    <mergeCell ref="U9:V9"/>
    <mergeCell ref="W9:X9"/>
    <mergeCell ref="F14:F19"/>
    <mergeCell ref="A27:E27"/>
    <mergeCell ref="F32:F33"/>
    <mergeCell ref="A39:E39"/>
    <mergeCell ref="A45:E45"/>
    <mergeCell ref="A48:E48"/>
    <mergeCell ref="F51:F52"/>
    <mergeCell ref="A53:E53"/>
    <mergeCell ref="A57:E57"/>
    <mergeCell ref="A58:E58"/>
    <mergeCell ref="B62:C62"/>
    <mergeCell ref="P62:Q62"/>
    <mergeCell ref="B63:C63"/>
    <mergeCell ref="P63:R64"/>
    <mergeCell ref="P66:R67"/>
    <mergeCell ref="P70:R71"/>
    <mergeCell ref="P74:R75"/>
  </mergeCells>
  <printOptions headings="false" gridLines="false" gridLinesSet="true" horizontalCentered="false" verticalCentered="false"/>
  <pageMargins left="0.7" right="0.7" top="0.75" bottom="0.75" header="0.511805555555555" footer="0.3"/>
  <pageSetup paperSize="8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&amp;CСтраница &amp;P</oddFooter>
  </headerFooter>
  <rowBreaks count="1" manualBreakCount="1">
    <brk id="52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2019-03-06T10:10:00Z</dcterms:created>
  <dc:creator>Наташа</dc:creator>
  <dc:description/>
  <dc:language>ru-RU</dc:language>
  <cp:lastModifiedBy>Дроздов</cp:lastModifiedBy>
  <cp:lastPrinted>2020-12-16T04:38:47Z</cp:lastPrinted>
  <dcterms:modified xsi:type="dcterms:W3CDTF">2020-12-16T04:57:00Z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