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8_{8527AD64-EB95-4353-9D36-B550DE946106}" xr6:coauthVersionLast="47" xr6:coauthVersionMax="47" xr10:uidLastSave="{00000000-0000-0000-0000-000000000000}"/>
  <bookViews>
    <workbookView xWindow="-108" yWindow="-108" windowWidth="23256" windowHeight="12456" tabRatio="857" activeTab="6" xr2:uid="{CA4A7B66-4482-45AC-9EF2-1AB6CC15BD49}"/>
  </bookViews>
  <sheets>
    <sheet name="ABL" sheetId="26" r:id="rId1"/>
    <sheet name="Composite Components" sheetId="24" r:id="rId2"/>
    <sheet name="ČKD" sheetId="14" r:id="rId3"/>
    <sheet name="Elbas" sheetId="2" r:id="rId4"/>
    <sheet name="Fau Pce" sheetId="1" r:id="rId5"/>
    <sheet name="Fau Bezděčín" sheetId="3" r:id="rId6"/>
    <sheet name="Fau Bakov" sheetId="22" r:id="rId7"/>
    <sheet name="GCE" sheetId="15" r:id="rId8"/>
    <sheet name="Ch Kovo" sheetId="17" r:id="rId9"/>
    <sheet name="Inventec" sheetId="23" r:id="rId10"/>
    <sheet name="Iveco" sheetId="4" r:id="rId11"/>
    <sheet name="Jtekt" sheetId="5" r:id="rId12"/>
    <sheet name="Kiekert" sheetId="6" r:id="rId13"/>
    <sheet name="Kingspan" sheetId="19" r:id="rId14"/>
    <sheet name="Kogel" sheetId="7" r:id="rId15"/>
    <sheet name="Kyb" sheetId="8" r:id="rId16"/>
    <sheet name="Letiště Praha" sheetId="25" r:id="rId17"/>
    <sheet name="Marelli" sheetId="9" r:id="rId18"/>
    <sheet name="Motorpal" sheetId="16" r:id="rId19"/>
    <sheet name="Novanta" sheetId="10" r:id="rId20"/>
    <sheet name="Nedcon" sheetId="11" r:id="rId21"/>
    <sheet name="Omnika" sheetId="20" r:id="rId22"/>
    <sheet name="Panasonic" sheetId="12" r:id="rId23"/>
    <sheet name="Technistone" sheetId="13" r:id="rId24"/>
    <sheet name="SOR" sheetId="27" r:id="rId25"/>
    <sheet name="JUSDA" sheetId="29" r:id="rId26"/>
    <sheet name="AUTOKABELY)" sheetId="30" r:id="rId27"/>
    <sheet name="TE CONNECTIVITY" sheetId="31" r:id="rId28"/>
    <sheet name="BV Elektronic" sheetId="32" r:id="rId29"/>
    <sheet name="Mlékarna Hlinsko" sheetId="34" r:id="rId30"/>
    <sheet name="Synthesia" sheetId="35" r:id="rId31"/>
    <sheet name="Adient" sheetId="36" r:id="rId32"/>
    <sheet name="Candy Plus" sheetId="37" r:id="rId33"/>
    <sheet name="List1" sheetId="33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4" l="1"/>
  <c r="C19" i="14"/>
  <c r="B19" i="14"/>
  <c r="D4" i="14"/>
  <c r="C4" i="14"/>
  <c r="B4" i="14"/>
  <c r="C20" i="36" l="1"/>
  <c r="C3" i="36"/>
  <c r="D17" i="20" l="1"/>
  <c r="D4" i="20"/>
  <c r="K10" i="20"/>
  <c r="J10" i="20"/>
  <c r="C17" i="20"/>
  <c r="C4" i="20"/>
  <c r="B17" i="20"/>
  <c r="I10" i="20"/>
  <c r="B4" i="20"/>
  <c r="H18" i="10"/>
  <c r="H28" i="10"/>
  <c r="H27" i="10"/>
  <c r="H23" i="10"/>
  <c r="H21" i="10"/>
  <c r="H29" i="10" s="1"/>
  <c r="H30" i="10" s="1"/>
  <c r="H31" i="10" s="1"/>
  <c r="H32" i="10" s="1"/>
  <c r="H33" i="10" s="1"/>
  <c r="H34" i="10" s="1"/>
  <c r="H13" i="10"/>
  <c r="H9" i="10"/>
  <c r="H3" i="10"/>
  <c r="H10" i="10"/>
  <c r="H5" i="10"/>
  <c r="E12" i="37"/>
  <c r="E13" i="37"/>
  <c r="E14" i="37"/>
  <c r="E16" i="37"/>
  <c r="C25" i="37"/>
  <c r="C26" i="37" s="1"/>
  <c r="C27" i="37" s="1"/>
  <c r="C28" i="37" s="1"/>
  <c r="C29" i="37" s="1"/>
  <c r="C30" i="37" s="1"/>
  <c r="C9" i="37"/>
  <c r="C10" i="37" s="1"/>
  <c r="C11" i="37" s="1"/>
  <c r="C12" i="37" s="1"/>
  <c r="B9" i="37"/>
  <c r="B10" i="37" s="1"/>
  <c r="B11" i="37" s="1"/>
  <c r="B12" i="37" s="1"/>
  <c r="B25" i="37"/>
  <c r="B26" i="37" s="1"/>
  <c r="B27" i="37" s="1"/>
  <c r="B28" i="37" s="1"/>
  <c r="B29" i="37" s="1"/>
  <c r="B30" i="37" s="1"/>
  <c r="F23" i="37"/>
  <c r="F7" i="37"/>
  <c r="F9" i="37"/>
  <c r="F10" i="37" s="1"/>
  <c r="F11" i="37" s="1"/>
  <c r="F12" i="37" s="1"/>
  <c r="F13" i="37" s="1"/>
  <c r="F14" i="37" s="1"/>
  <c r="D9" i="37"/>
  <c r="D10" i="37" s="1"/>
  <c r="D11" i="37" s="1"/>
  <c r="D12" i="37" s="1"/>
  <c r="P13" i="8"/>
  <c r="O13" i="8"/>
  <c r="N13" i="8"/>
  <c r="P29" i="8"/>
  <c r="P30" i="8" s="1"/>
  <c r="P31" i="8" s="1"/>
  <c r="P32" i="8" s="1"/>
  <c r="P33" i="8" s="1"/>
  <c r="P28" i="8"/>
  <c r="P27" i="8"/>
  <c r="O27" i="8"/>
  <c r="P24" i="8"/>
  <c r="O24" i="8"/>
  <c r="O28" i="8" s="1"/>
  <c r="O29" i="8" s="1"/>
  <c r="O30" i="8" s="1"/>
  <c r="O31" i="8" s="1"/>
  <c r="O32" i="8" s="1"/>
  <c r="O33" i="8" s="1"/>
  <c r="P10" i="8"/>
  <c r="O10" i="8"/>
  <c r="P7" i="8"/>
  <c r="P11" i="8" s="1"/>
  <c r="P12" i="8" s="1"/>
  <c r="P14" i="8" s="1"/>
  <c r="O7" i="8"/>
  <c r="O11" i="8" s="1"/>
  <c r="O12" i="8" s="1"/>
  <c r="B3" i="36"/>
  <c r="B5" i="36"/>
  <c r="B8" i="36"/>
  <c r="B20" i="36"/>
  <c r="B21" i="36"/>
  <c r="B27" i="36" s="1"/>
  <c r="B28" i="36" s="1"/>
  <c r="B29" i="36" s="1"/>
  <c r="B30" i="36" s="1"/>
  <c r="B31" i="36" s="1"/>
  <c r="B32" i="36" s="1"/>
  <c r="B22" i="36"/>
  <c r="B23" i="36"/>
  <c r="B24" i="36"/>
  <c r="B25" i="36"/>
  <c r="C25" i="36"/>
  <c r="C24" i="36"/>
  <c r="C22" i="36"/>
  <c r="C8" i="36"/>
  <c r="C5" i="36"/>
  <c r="C21" i="36"/>
  <c r="E2" i="36"/>
  <c r="C23" i="36" s="1"/>
  <c r="C27" i="36" s="1"/>
  <c r="F28" i="35"/>
  <c r="G28" i="35"/>
  <c r="B23" i="35"/>
  <c r="B22" i="35"/>
  <c r="B8" i="35"/>
  <c r="B7" i="35"/>
  <c r="B5" i="35"/>
  <c r="B9" i="35"/>
  <c r="B10" i="35" s="1"/>
  <c r="B11" i="35" s="1"/>
  <c r="B6" i="35"/>
  <c r="D17" i="27"/>
  <c r="D19" i="27" s="1"/>
  <c r="D16" i="27"/>
  <c r="D3" i="27"/>
  <c r="D6" i="27" s="1"/>
  <c r="D7" i="27" s="1"/>
  <c r="I15" i="32"/>
  <c r="I5" i="34"/>
  <c r="H5" i="34"/>
  <c r="G5" i="34"/>
  <c r="F5" i="34"/>
  <c r="I21" i="34"/>
  <c r="H21" i="34"/>
  <c r="G21" i="34"/>
  <c r="F21" i="34"/>
  <c r="F26" i="34" s="1"/>
  <c r="E26" i="34"/>
  <c r="D26" i="34"/>
  <c r="C26" i="34"/>
  <c r="B26" i="34"/>
  <c r="I19" i="34"/>
  <c r="H19" i="34"/>
  <c r="I3" i="34"/>
  <c r="H3" i="34"/>
  <c r="I24" i="34"/>
  <c r="H22" i="34"/>
  <c r="I20" i="34"/>
  <c r="I26" i="34" s="1"/>
  <c r="I27" i="34" s="1"/>
  <c r="I28" i="34" s="1"/>
  <c r="I29" i="34" s="1"/>
  <c r="I30" i="34" s="1"/>
  <c r="I31" i="34" s="1"/>
  <c r="H20" i="34"/>
  <c r="H26" i="34" s="1"/>
  <c r="H27" i="34" s="1"/>
  <c r="H28" i="34" s="1"/>
  <c r="H29" i="34" s="1"/>
  <c r="H30" i="34" s="1"/>
  <c r="H31" i="34" s="1"/>
  <c r="G24" i="34"/>
  <c r="F22" i="34"/>
  <c r="G20" i="34"/>
  <c r="F20" i="34"/>
  <c r="G19" i="34"/>
  <c r="F19" i="34"/>
  <c r="I8" i="34"/>
  <c r="H6" i="34"/>
  <c r="H9" i="34"/>
  <c r="H10" i="34" s="1"/>
  <c r="H11" i="34" s="1"/>
  <c r="H12" i="34" s="1"/>
  <c r="H13" i="34" s="1"/>
  <c r="H14" i="34" s="1"/>
  <c r="G8" i="34"/>
  <c r="F6" i="34"/>
  <c r="F9" i="34"/>
  <c r="F10" i="34" s="1"/>
  <c r="F11" i="34" s="1"/>
  <c r="F12" i="34" s="1"/>
  <c r="G3" i="34"/>
  <c r="F3" i="34"/>
  <c r="E19" i="34"/>
  <c r="D19" i="34"/>
  <c r="E24" i="34"/>
  <c r="D22" i="34"/>
  <c r="D21" i="34"/>
  <c r="E21" i="34"/>
  <c r="C21" i="34"/>
  <c r="D20" i="34"/>
  <c r="E20" i="34"/>
  <c r="C20" i="34"/>
  <c r="E3" i="34"/>
  <c r="D3" i="34"/>
  <c r="D9" i="34"/>
  <c r="E8" i="34"/>
  <c r="E9" i="34" s="1"/>
  <c r="D6" i="34"/>
  <c r="D5" i="34"/>
  <c r="E5" i="34"/>
  <c r="B21" i="34"/>
  <c r="C24" i="34"/>
  <c r="C8" i="34"/>
  <c r="C5" i="34"/>
  <c r="B5" i="34"/>
  <c r="B22" i="34"/>
  <c r="C3" i="34"/>
  <c r="C19" i="34"/>
  <c r="B19" i="34"/>
  <c r="B20" i="34"/>
  <c r="B6" i="34"/>
  <c r="B3" i="34"/>
  <c r="B19" i="2"/>
  <c r="B4" i="2"/>
  <c r="H11" i="10" l="1"/>
  <c r="H12" i="10" s="1"/>
  <c r="H14" i="10" s="1"/>
  <c r="H15" i="10" s="1"/>
  <c r="H16" i="10" s="1"/>
  <c r="C13" i="37"/>
  <c r="C14" i="37" s="1"/>
  <c r="C16" i="37"/>
  <c r="E9" i="37"/>
  <c r="E10" i="37" s="1"/>
  <c r="E11" i="37" s="1"/>
  <c r="D25" i="37"/>
  <c r="D26" i="37" s="1"/>
  <c r="D27" i="37" s="1"/>
  <c r="D28" i="37" s="1"/>
  <c r="D29" i="37" s="1"/>
  <c r="D30" i="37" s="1"/>
  <c r="B16" i="37"/>
  <c r="E25" i="37"/>
  <c r="E26" i="37" s="1"/>
  <c r="E27" i="37" s="1"/>
  <c r="E28" i="37" s="1"/>
  <c r="E29" i="37" s="1"/>
  <c r="E30" i="37" s="1"/>
  <c r="F25" i="37"/>
  <c r="F26" i="37" s="1"/>
  <c r="F27" i="37" s="1"/>
  <c r="F28" i="37" s="1"/>
  <c r="F29" i="37" s="1"/>
  <c r="F30" i="37" s="1"/>
  <c r="D13" i="37"/>
  <c r="D14" i="37" s="1"/>
  <c r="B13" i="37"/>
  <c r="B14" i="37" s="1"/>
  <c r="O14" i="8"/>
  <c r="O15" i="8"/>
  <c r="O16" i="8" s="1"/>
  <c r="O18" i="8"/>
  <c r="P15" i="8"/>
  <c r="P16" i="8" s="1"/>
  <c r="P18" i="8"/>
  <c r="B6" i="36"/>
  <c r="B10" i="36" s="1"/>
  <c r="B11" i="36" s="1"/>
  <c r="B12" i="36" s="1"/>
  <c r="B13" i="36" s="1"/>
  <c r="C6" i="36"/>
  <c r="C10" i="36" s="1"/>
  <c r="C11" i="36" s="1"/>
  <c r="C12" i="36" s="1"/>
  <c r="C13" i="36" s="1"/>
  <c r="C14" i="36" s="1"/>
  <c r="C15" i="36" s="1"/>
  <c r="C28" i="36"/>
  <c r="C29" i="36" s="1"/>
  <c r="C30" i="36"/>
  <c r="B24" i="35"/>
  <c r="B25" i="35" s="1"/>
  <c r="B26" i="35" s="1"/>
  <c r="B12" i="35"/>
  <c r="B13" i="35" s="1"/>
  <c r="D8" i="27"/>
  <c r="D9" i="27" s="1"/>
  <c r="D20" i="27"/>
  <c r="G9" i="34"/>
  <c r="G10" i="34" s="1"/>
  <c r="G11" i="34" s="1"/>
  <c r="G12" i="34" s="1"/>
  <c r="G13" i="34" s="1"/>
  <c r="G14" i="34" s="1"/>
  <c r="F13" i="34"/>
  <c r="F14" i="34" s="1"/>
  <c r="I9" i="34"/>
  <c r="I10" i="34" s="1"/>
  <c r="I11" i="34" s="1"/>
  <c r="I12" i="34" s="1"/>
  <c r="H16" i="34"/>
  <c r="F27" i="34"/>
  <c r="F28" i="34" s="1"/>
  <c r="F29" i="34" s="1"/>
  <c r="F30" i="34" s="1"/>
  <c r="F31" i="34" s="1"/>
  <c r="G26" i="34"/>
  <c r="G27" i="34" s="1"/>
  <c r="G28" i="34" s="1"/>
  <c r="G29" i="34" s="1"/>
  <c r="G30" i="34" s="1"/>
  <c r="G31" i="34" s="1"/>
  <c r="B9" i="34"/>
  <c r="C9" i="34"/>
  <c r="C10" i="34" s="1"/>
  <c r="C11" i="34" s="1"/>
  <c r="C12" i="34" s="1"/>
  <c r="D10" i="34"/>
  <c r="D11" i="34" s="1"/>
  <c r="D12" i="34" s="1"/>
  <c r="E10" i="34"/>
  <c r="E11" i="34" s="1"/>
  <c r="E12" i="34" s="1"/>
  <c r="E13" i="34" s="1"/>
  <c r="E14" i="34" s="1"/>
  <c r="B27" i="34"/>
  <c r="B28" i="34" s="1"/>
  <c r="B29" i="34" s="1"/>
  <c r="B30" i="34" s="1"/>
  <c r="B31" i="34" s="1"/>
  <c r="D27" i="34"/>
  <c r="D28" i="34" s="1"/>
  <c r="D29" i="34" s="1"/>
  <c r="D30" i="34" s="1"/>
  <c r="D31" i="34" s="1"/>
  <c r="C27" i="34"/>
  <c r="C28" i="34" s="1"/>
  <c r="C29" i="34" s="1"/>
  <c r="C30" i="34" s="1"/>
  <c r="C31" i="34" s="1"/>
  <c r="E27" i="34"/>
  <c r="E28" i="34" s="1"/>
  <c r="E29" i="34" s="1"/>
  <c r="E30" i="34" s="1"/>
  <c r="E31" i="34" s="1"/>
  <c r="B10" i="34"/>
  <c r="B11" i="34" s="1"/>
  <c r="B12" i="34" s="1"/>
  <c r="B13" i="34" s="1"/>
  <c r="B14" i="34" s="1"/>
  <c r="C13" i="34"/>
  <c r="C14" i="34" s="1"/>
  <c r="C5" i="29"/>
  <c r="C19" i="29"/>
  <c r="C21" i="29" s="1"/>
  <c r="C22" i="29" s="1"/>
  <c r="C23" i="29" s="1"/>
  <c r="B19" i="29"/>
  <c r="B21" i="29" s="1"/>
  <c r="B5" i="29"/>
  <c r="B7" i="29" s="1"/>
  <c r="F16" i="37" l="1"/>
  <c r="D16" i="37"/>
  <c r="B14" i="36"/>
  <c r="B15" i="36" s="1"/>
  <c r="B17" i="36"/>
  <c r="C31" i="36"/>
  <c r="C32" i="36" s="1"/>
  <c r="C17" i="36"/>
  <c r="B27" i="35"/>
  <c r="B28" i="35" s="1"/>
  <c r="B15" i="35"/>
  <c r="D21" i="27"/>
  <c r="D22" i="27" s="1"/>
  <c r="D10" i="27"/>
  <c r="D11" i="27" s="1"/>
  <c r="G16" i="34"/>
  <c r="F16" i="34"/>
  <c r="I13" i="34"/>
  <c r="I14" i="34" s="1"/>
  <c r="I16" i="34"/>
  <c r="D16" i="34"/>
  <c r="D13" i="34"/>
  <c r="D14" i="34" s="1"/>
  <c r="E16" i="34"/>
  <c r="C16" i="34"/>
  <c r="B16" i="34"/>
  <c r="C7" i="29"/>
  <c r="C8" i="29" s="1"/>
  <c r="C9" i="29" s="1"/>
  <c r="C10" i="29" s="1"/>
  <c r="C11" i="29" s="1"/>
  <c r="C12" i="29" s="1"/>
  <c r="C24" i="29"/>
  <c r="C25" i="29" s="1"/>
  <c r="C26" i="29" s="1"/>
  <c r="D23" i="27" l="1"/>
  <c r="D24" i="27" s="1"/>
  <c r="D13" i="27"/>
  <c r="C14" i="29"/>
  <c r="B23" i="30" l="1"/>
  <c r="B8" i="30"/>
  <c r="F8" i="30"/>
  <c r="E8" i="30"/>
  <c r="D8" i="30"/>
  <c r="C8" i="30"/>
  <c r="D17" i="31"/>
  <c r="C19" i="25" l="1"/>
  <c r="C4" i="25"/>
  <c r="G9" i="4"/>
  <c r="B7" i="31" l="1"/>
  <c r="B21" i="31"/>
  <c r="B16" i="12" l="1"/>
  <c r="C27" i="12"/>
  <c r="D27" i="12"/>
  <c r="E27" i="12"/>
  <c r="F27" i="12"/>
  <c r="G27" i="12"/>
  <c r="H27" i="12"/>
  <c r="I27" i="12"/>
  <c r="B27" i="12"/>
  <c r="H10" i="12"/>
  <c r="G10" i="12"/>
  <c r="F10" i="12"/>
  <c r="E10" i="12"/>
  <c r="D10" i="12"/>
  <c r="C10" i="12"/>
  <c r="B10" i="12"/>
  <c r="I10" i="12"/>
  <c r="D21" i="12"/>
  <c r="C21" i="12"/>
  <c r="D4" i="12"/>
  <c r="C4" i="12"/>
  <c r="E24" i="1" l="1"/>
  <c r="E26" i="1" s="1"/>
  <c r="E27" i="1" s="1"/>
  <c r="E28" i="1" s="1"/>
  <c r="E8" i="1"/>
  <c r="E10" i="1" s="1"/>
  <c r="E11" i="1" s="1"/>
  <c r="E12" i="1" s="1"/>
  <c r="B5" i="31"/>
  <c r="C19" i="32"/>
  <c r="D19" i="32"/>
  <c r="E19" i="32"/>
  <c r="B19" i="32"/>
  <c r="E21" i="32"/>
  <c r="E22" i="32" s="1"/>
  <c r="E23" i="32" s="1"/>
  <c r="E24" i="32" s="1"/>
  <c r="E25" i="32" s="1"/>
  <c r="E26" i="32" s="1"/>
  <c r="C5" i="32"/>
  <c r="D5" i="32"/>
  <c r="E5" i="32"/>
  <c r="B5" i="32"/>
  <c r="E7" i="32"/>
  <c r="E8" i="32" s="1"/>
  <c r="E9" i="32" s="1"/>
  <c r="E10" i="32" s="1"/>
  <c r="E11" i="32" s="1"/>
  <c r="E12" i="32" s="1"/>
  <c r="E17" i="32"/>
  <c r="E3" i="32"/>
  <c r="D17" i="32"/>
  <c r="D3" i="32"/>
  <c r="D7" i="32" s="1"/>
  <c r="D8" i="32" s="1"/>
  <c r="D9" i="32" s="1"/>
  <c r="D10" i="32" s="1"/>
  <c r="D11" i="32" s="1"/>
  <c r="D12" i="32" s="1"/>
  <c r="D21" i="32"/>
  <c r="D22" i="32" s="1"/>
  <c r="D23" i="32" s="1"/>
  <c r="D24" i="32" s="1"/>
  <c r="D25" i="32" s="1"/>
  <c r="D26" i="32" s="1"/>
  <c r="C17" i="32"/>
  <c r="C3" i="32"/>
  <c r="B17" i="32"/>
  <c r="C7" i="32"/>
  <c r="C8" i="32" s="1"/>
  <c r="C9" i="32" s="1"/>
  <c r="C10" i="32" s="1"/>
  <c r="C11" i="32" s="1"/>
  <c r="C12" i="32" s="1"/>
  <c r="B3" i="32"/>
  <c r="B19" i="31"/>
  <c r="B3" i="31"/>
  <c r="B8" i="31"/>
  <c r="B9" i="31" s="1"/>
  <c r="B17" i="31"/>
  <c r="E29" i="1" l="1"/>
  <c r="E30" i="1" s="1"/>
  <c r="E31" i="1" s="1"/>
  <c r="E13" i="1"/>
  <c r="E14" i="32"/>
  <c r="D14" i="32"/>
  <c r="C21" i="32"/>
  <c r="C22" i="32" s="1"/>
  <c r="C23" i="32" s="1"/>
  <c r="C24" i="32" s="1"/>
  <c r="C25" i="32" s="1"/>
  <c r="C26" i="32" s="1"/>
  <c r="B21" i="32"/>
  <c r="B22" i="32" s="1"/>
  <c r="B7" i="32"/>
  <c r="F21" i="30"/>
  <c r="F23" i="30" s="1"/>
  <c r="F24" i="30" s="1"/>
  <c r="F25" i="30" s="1"/>
  <c r="E21" i="30"/>
  <c r="E23" i="30" s="1"/>
  <c r="E24" i="30" s="1"/>
  <c r="E25" i="30" s="1"/>
  <c r="E26" i="30" s="1"/>
  <c r="E27" i="30" s="1"/>
  <c r="E28" i="30" s="1"/>
  <c r="D21" i="30"/>
  <c r="D23" i="30" s="1"/>
  <c r="D24" i="30" s="1"/>
  <c r="D25" i="30" s="1"/>
  <c r="D26" i="30" s="1"/>
  <c r="D27" i="30" s="1"/>
  <c r="D28" i="30" s="1"/>
  <c r="C21" i="30"/>
  <c r="C23" i="30" s="1"/>
  <c r="C24" i="30" s="1"/>
  <c r="C25" i="30" s="1"/>
  <c r="C26" i="30" s="1"/>
  <c r="C27" i="30" s="1"/>
  <c r="C28" i="30" s="1"/>
  <c r="B21" i="30"/>
  <c r="B24" i="30" s="1"/>
  <c r="B25" i="30" s="1"/>
  <c r="B26" i="30" s="1"/>
  <c r="B27" i="30" s="1"/>
  <c r="B28" i="30" s="1"/>
  <c r="C6" i="30"/>
  <c r="C9" i="30" s="1"/>
  <c r="C10" i="30" s="1"/>
  <c r="C11" i="30" s="1"/>
  <c r="C12" i="30" s="1"/>
  <c r="D6" i="30"/>
  <c r="D9" i="30" s="1"/>
  <c r="D10" i="30" s="1"/>
  <c r="D11" i="30" s="1"/>
  <c r="D12" i="30" s="1"/>
  <c r="E6" i="30"/>
  <c r="E9" i="30" s="1"/>
  <c r="E10" i="30" s="1"/>
  <c r="E11" i="30" s="1"/>
  <c r="E12" i="30" s="1"/>
  <c r="F6" i="30"/>
  <c r="F9" i="30" s="1"/>
  <c r="F10" i="30" s="1"/>
  <c r="B6" i="30"/>
  <c r="B9" i="30"/>
  <c r="B10" i="30" s="1"/>
  <c r="B11" i="30" s="1"/>
  <c r="B12" i="30" s="1"/>
  <c r="E14" i="1" l="1"/>
  <c r="E15" i="1" s="1"/>
  <c r="E17" i="1"/>
  <c r="C14" i="32"/>
  <c r="B23" i="32"/>
  <c r="B24" i="32" s="1"/>
  <c r="B25" i="32" s="1"/>
  <c r="B26" i="32" s="1"/>
  <c r="B8" i="32"/>
  <c r="B10" i="31"/>
  <c r="B11" i="31" s="1"/>
  <c r="B12" i="31" s="1"/>
  <c r="B22" i="31"/>
  <c r="B23" i="31" s="1"/>
  <c r="B24" i="31" s="1"/>
  <c r="F26" i="30"/>
  <c r="F27" i="30" s="1"/>
  <c r="F28" i="30" s="1"/>
  <c r="F11" i="30"/>
  <c r="F12" i="30" s="1"/>
  <c r="F13" i="30" s="1"/>
  <c r="E13" i="30"/>
  <c r="E15" i="30"/>
  <c r="B15" i="30"/>
  <c r="B13" i="30"/>
  <c r="C15" i="30"/>
  <c r="C13" i="30"/>
  <c r="D15" i="30"/>
  <c r="D13" i="30"/>
  <c r="B9" i="32" l="1"/>
  <c r="B10" i="32" s="1"/>
  <c r="B25" i="31"/>
  <c r="B26" i="31" s="1"/>
  <c r="B14" i="31"/>
  <c r="F15" i="30"/>
  <c r="B14" i="32" l="1"/>
  <c r="B11" i="32"/>
  <c r="B12" i="32" s="1"/>
  <c r="G17" i="11"/>
  <c r="F17" i="11"/>
  <c r="E17" i="11"/>
  <c r="D17" i="11"/>
  <c r="C17" i="11"/>
  <c r="B17" i="11"/>
  <c r="G4" i="11"/>
  <c r="F4" i="11"/>
  <c r="E4" i="11"/>
  <c r="D4" i="11"/>
  <c r="C4" i="11"/>
  <c r="B4" i="11"/>
  <c r="C18" i="27" l="1"/>
  <c r="C5" i="27"/>
  <c r="C16" i="27"/>
  <c r="C17" i="27" s="1"/>
  <c r="C3" i="27"/>
  <c r="D23" i="24"/>
  <c r="C23" i="24"/>
  <c r="D4" i="24"/>
  <c r="C4" i="24"/>
  <c r="J23" i="24"/>
  <c r="I23" i="24"/>
  <c r="J4" i="24"/>
  <c r="I4" i="24"/>
  <c r="F23" i="24"/>
  <c r="E23" i="24"/>
  <c r="F4" i="24"/>
  <c r="E4" i="24"/>
  <c r="C6" i="27" l="1"/>
  <c r="C7" i="27" s="1"/>
  <c r="C8" i="27" s="1"/>
  <c r="C9" i="27" s="1"/>
  <c r="C10" i="27" s="1"/>
  <c r="C11" i="27" s="1"/>
  <c r="C19" i="27"/>
  <c r="C20" i="27"/>
  <c r="E22" i="13"/>
  <c r="E20" i="13"/>
  <c r="E23" i="13" s="1"/>
  <c r="E24" i="13" s="1"/>
  <c r="E7" i="13"/>
  <c r="E5" i="13"/>
  <c r="E8" i="13" s="1"/>
  <c r="E9" i="13" s="1"/>
  <c r="E10" i="13" s="1"/>
  <c r="D22" i="13"/>
  <c r="D20" i="13"/>
  <c r="D23" i="13" s="1"/>
  <c r="D24" i="13" s="1"/>
  <c r="D25" i="13" s="1"/>
  <c r="D7" i="13"/>
  <c r="D5" i="13"/>
  <c r="D8" i="13" s="1"/>
  <c r="D9" i="13" s="1"/>
  <c r="C22" i="13"/>
  <c r="C20" i="13"/>
  <c r="C23" i="13" s="1"/>
  <c r="C24" i="13" s="1"/>
  <c r="C25" i="13" s="1"/>
  <c r="C7" i="13"/>
  <c r="C5" i="13"/>
  <c r="C8" i="13" s="1"/>
  <c r="C9" i="13" s="1"/>
  <c r="C10" i="13" s="1"/>
  <c r="C21" i="27" l="1"/>
  <c r="C22" i="27" s="1"/>
  <c r="E25" i="13"/>
  <c r="E26" i="13" s="1"/>
  <c r="D10" i="13"/>
  <c r="D11" i="13" s="1"/>
  <c r="D26" i="13"/>
  <c r="D27" i="13" s="1"/>
  <c r="D28" i="13" s="1"/>
  <c r="C26" i="13"/>
  <c r="C27" i="13" s="1"/>
  <c r="C28" i="13" s="1"/>
  <c r="E11" i="13"/>
  <c r="C11" i="13"/>
  <c r="E12" i="13"/>
  <c r="E13" i="13" s="1"/>
  <c r="C23" i="27" l="1"/>
  <c r="C24" i="27" s="1"/>
  <c r="C13" i="27"/>
  <c r="E27" i="13"/>
  <c r="E28" i="13" s="1"/>
  <c r="E15" i="13"/>
  <c r="C15" i="13"/>
  <c r="D15" i="13"/>
  <c r="D12" i="13"/>
  <c r="D13" i="13" s="1"/>
  <c r="C12" i="13"/>
  <c r="C13" i="13" s="1"/>
  <c r="C3" i="10" l="1"/>
  <c r="B3" i="10"/>
  <c r="D27" i="10"/>
  <c r="D9" i="10"/>
  <c r="C21" i="10"/>
  <c r="B21" i="10"/>
  <c r="C27" i="10"/>
  <c r="C9" i="10"/>
  <c r="C28" i="10"/>
  <c r="C25" i="10"/>
  <c r="C23" i="10"/>
  <c r="C10" i="10"/>
  <c r="C5" i="10"/>
  <c r="D21" i="10"/>
  <c r="D3" i="10"/>
  <c r="G21" i="10"/>
  <c r="G3" i="10"/>
  <c r="E21" i="10"/>
  <c r="E3" i="10"/>
  <c r="D6" i="24"/>
  <c r="C25" i="24"/>
  <c r="C6" i="24"/>
  <c r="F6" i="24"/>
  <c r="E25" i="24"/>
  <c r="E6" i="24"/>
  <c r="G25" i="24"/>
  <c r="H25" i="24"/>
  <c r="H6" i="24"/>
  <c r="B8" i="29"/>
  <c r="B9" i="29" s="1"/>
  <c r="B10" i="29" s="1"/>
  <c r="B11" i="29" s="1"/>
  <c r="B12" i="29" s="1"/>
  <c r="B16" i="27"/>
  <c r="B17" i="27" s="1"/>
  <c r="B3" i="27"/>
  <c r="B6" i="27" s="1"/>
  <c r="B7" i="27" s="1"/>
  <c r="B8" i="27" s="1"/>
  <c r="B9" i="27" s="1"/>
  <c r="D5" i="22"/>
  <c r="E5" i="22"/>
  <c r="C5" i="22"/>
  <c r="D23" i="26"/>
  <c r="C23" i="26"/>
  <c r="D8" i="26"/>
  <c r="C8" i="26"/>
  <c r="D19" i="26"/>
  <c r="D25" i="26" s="1"/>
  <c r="C19" i="26"/>
  <c r="C25" i="26" s="1"/>
  <c r="D4" i="26"/>
  <c r="D9" i="26" s="1"/>
  <c r="C4" i="26"/>
  <c r="C9" i="26" s="1"/>
  <c r="J29" i="24"/>
  <c r="I29" i="24"/>
  <c r="H29" i="24"/>
  <c r="G29" i="24"/>
  <c r="F29" i="24"/>
  <c r="E29" i="24"/>
  <c r="D29" i="24"/>
  <c r="C29" i="24"/>
  <c r="J10" i="24"/>
  <c r="I10" i="24"/>
  <c r="H10" i="24"/>
  <c r="G10" i="24"/>
  <c r="F10" i="24"/>
  <c r="E10" i="24"/>
  <c r="D10" i="24"/>
  <c r="C10" i="24"/>
  <c r="E1" i="25"/>
  <c r="C29" i="10" l="1"/>
  <c r="C30" i="10" s="1"/>
  <c r="C31" i="10" s="1"/>
  <c r="C32" i="10" s="1"/>
  <c r="C11" i="10"/>
  <c r="C12" i="10" s="1"/>
  <c r="C13" i="10" s="1"/>
  <c r="C14" i="10" s="1"/>
  <c r="C15" i="10" s="1"/>
  <c r="C16" i="10" s="1"/>
  <c r="B22" i="29"/>
  <c r="B23" i="29" s="1"/>
  <c r="B24" i="29" s="1"/>
  <c r="B19" i="27"/>
  <c r="B20" i="27" s="1"/>
  <c r="B21" i="27" s="1"/>
  <c r="B22" i="27" s="1"/>
  <c r="B23" i="27" s="1"/>
  <c r="B24" i="27" s="1"/>
  <c r="B10" i="27"/>
  <c r="B11" i="27" s="1"/>
  <c r="B13" i="27"/>
  <c r="D26" i="26"/>
  <c r="D27" i="26" s="1"/>
  <c r="D28" i="26" s="1"/>
  <c r="D29" i="26" s="1"/>
  <c r="D30" i="26" s="1"/>
  <c r="C26" i="26"/>
  <c r="C27" i="26" s="1"/>
  <c r="C28" i="26" s="1"/>
  <c r="C29" i="26" s="1"/>
  <c r="C30" i="26" s="1"/>
  <c r="D10" i="26"/>
  <c r="D11" i="26" s="1"/>
  <c r="D12" i="26" s="1"/>
  <c r="C10" i="26"/>
  <c r="C11" i="26" s="1"/>
  <c r="C12" i="26" s="1"/>
  <c r="C13" i="26" s="1"/>
  <c r="C14" i="26" s="1"/>
  <c r="C20" i="25"/>
  <c r="C8" i="25"/>
  <c r="C5" i="25"/>
  <c r="C23" i="25"/>
  <c r="C33" i="10" l="1"/>
  <c r="C34" i="10" s="1"/>
  <c r="C18" i="10"/>
  <c r="B25" i="29"/>
  <c r="B26" i="29" s="1"/>
  <c r="B14" i="29"/>
  <c r="C16" i="26"/>
  <c r="D13" i="26"/>
  <c r="D14" i="26" s="1"/>
  <c r="D16" i="26"/>
  <c r="C7" i="25"/>
  <c r="C9" i="25" s="1"/>
  <c r="C10" i="25" s="1"/>
  <c r="C11" i="25" s="1"/>
  <c r="C12" i="25" s="1"/>
  <c r="C22" i="25"/>
  <c r="C24" i="25"/>
  <c r="C25" i="25" s="1"/>
  <c r="C26" i="25" s="1"/>
  <c r="C27" i="25" s="1"/>
  <c r="C28" i="25" s="1"/>
  <c r="C29" i="25" s="1"/>
  <c r="C13" i="25" l="1"/>
  <c r="C14" i="25" s="1"/>
  <c r="C16" i="25"/>
  <c r="J27" i="24" l="1"/>
  <c r="I27" i="24"/>
  <c r="H27" i="24"/>
  <c r="G27" i="24"/>
  <c r="F27" i="24"/>
  <c r="E27" i="24"/>
  <c r="D27" i="24"/>
  <c r="C27" i="24"/>
  <c r="J25" i="24"/>
  <c r="F25" i="24"/>
  <c r="D25" i="24"/>
  <c r="H23" i="24"/>
  <c r="G23" i="24"/>
  <c r="F24" i="24"/>
  <c r="E24" i="24"/>
  <c r="D24" i="24"/>
  <c r="C24" i="24"/>
  <c r="J6" i="24"/>
  <c r="J8" i="24"/>
  <c r="I8" i="24"/>
  <c r="H8" i="24"/>
  <c r="G8" i="24"/>
  <c r="F8" i="24"/>
  <c r="E8" i="24"/>
  <c r="D8" i="24"/>
  <c r="C8" i="24"/>
  <c r="I5" i="24"/>
  <c r="H4" i="24"/>
  <c r="H5" i="24" s="1"/>
  <c r="G4" i="24"/>
  <c r="F5" i="24"/>
  <c r="C5" i="24"/>
  <c r="J30" i="24"/>
  <c r="I30" i="24"/>
  <c r="H30" i="24"/>
  <c r="G30" i="24"/>
  <c r="F30" i="24"/>
  <c r="E30" i="24"/>
  <c r="D30" i="24"/>
  <c r="C30" i="24"/>
  <c r="J11" i="24"/>
  <c r="I11" i="24"/>
  <c r="H11" i="24"/>
  <c r="G11" i="24"/>
  <c r="F11" i="24"/>
  <c r="E11" i="24"/>
  <c r="D11" i="24"/>
  <c r="C11" i="24"/>
  <c r="G26" i="10"/>
  <c r="F26" i="10"/>
  <c r="E26" i="10"/>
  <c r="D28" i="10"/>
  <c r="D25" i="10"/>
  <c r="B25" i="10"/>
  <c r="G23" i="10"/>
  <c r="F23" i="10"/>
  <c r="E23" i="10"/>
  <c r="D23" i="10"/>
  <c r="B23" i="10"/>
  <c r="G5" i="10"/>
  <c r="F5" i="10"/>
  <c r="E5" i="10"/>
  <c r="D5" i="10"/>
  <c r="B5" i="10"/>
  <c r="D6" i="23"/>
  <c r="E6" i="23"/>
  <c r="F6" i="23"/>
  <c r="G6" i="23"/>
  <c r="H6" i="23"/>
  <c r="I6" i="23"/>
  <c r="J6" i="23"/>
  <c r="C6" i="23"/>
  <c r="F21" i="23"/>
  <c r="F25" i="23" s="1"/>
  <c r="F26" i="23" s="1"/>
  <c r="F27" i="23" s="1"/>
  <c r="F28" i="23" s="1"/>
  <c r="F29" i="23" s="1"/>
  <c r="F30" i="23" s="1"/>
  <c r="F10" i="23"/>
  <c r="F11" i="23" s="1"/>
  <c r="F12" i="23" s="1"/>
  <c r="F13" i="23" s="1"/>
  <c r="F14" i="23" s="1"/>
  <c r="F15" i="23" s="1"/>
  <c r="J10" i="23"/>
  <c r="J11" i="23" s="1"/>
  <c r="I10" i="23"/>
  <c r="I11" i="23" s="1"/>
  <c r="G24" i="24" l="1"/>
  <c r="G32" i="24" s="1"/>
  <c r="G33" i="24" s="1"/>
  <c r="G34" i="24" s="1"/>
  <c r="G35" i="24" s="1"/>
  <c r="G36" i="24" s="1"/>
  <c r="G37" i="24" s="1"/>
  <c r="H24" i="24"/>
  <c r="H32" i="24" s="1"/>
  <c r="H33" i="24" s="1"/>
  <c r="H34" i="24" s="1"/>
  <c r="H35" i="24" s="1"/>
  <c r="H36" i="24" s="1"/>
  <c r="H37" i="24" s="1"/>
  <c r="I24" i="24"/>
  <c r="I32" i="24" s="1"/>
  <c r="I33" i="24" s="1"/>
  <c r="I34" i="24" s="1"/>
  <c r="I35" i="24" s="1"/>
  <c r="I36" i="24" s="1"/>
  <c r="I37" i="24" s="1"/>
  <c r="J24" i="24"/>
  <c r="J32" i="24" s="1"/>
  <c r="J33" i="24" s="1"/>
  <c r="J34" i="24" s="1"/>
  <c r="J35" i="24" s="1"/>
  <c r="J36" i="24" s="1"/>
  <c r="J37" i="24" s="1"/>
  <c r="C32" i="24"/>
  <c r="C33" i="24" s="1"/>
  <c r="C34" i="24" s="1"/>
  <c r="C35" i="24" s="1"/>
  <c r="C36" i="24" s="1"/>
  <c r="C37" i="24" s="1"/>
  <c r="D32" i="24"/>
  <c r="D33" i="24" s="1"/>
  <c r="D34" i="24" s="1"/>
  <c r="D35" i="24" s="1"/>
  <c r="D36" i="24" s="1"/>
  <c r="D37" i="24" s="1"/>
  <c r="E32" i="24"/>
  <c r="E33" i="24" s="1"/>
  <c r="E34" i="24" s="1"/>
  <c r="E35" i="24" s="1"/>
  <c r="E36" i="24" s="1"/>
  <c r="E37" i="24" s="1"/>
  <c r="F32" i="24"/>
  <c r="F33" i="24" s="1"/>
  <c r="F34" i="24" s="1"/>
  <c r="F35" i="24" s="1"/>
  <c r="F36" i="24" s="1"/>
  <c r="F37" i="24" s="1"/>
  <c r="D5" i="24"/>
  <c r="D13" i="24" s="1"/>
  <c r="D14" i="24" s="1"/>
  <c r="D15" i="24" s="1"/>
  <c r="D16" i="24" s="1"/>
  <c r="E5" i="24"/>
  <c r="E13" i="24" s="1"/>
  <c r="E14" i="24" s="1"/>
  <c r="E15" i="24" s="1"/>
  <c r="E16" i="24" s="1"/>
  <c r="J5" i="24"/>
  <c r="J13" i="24" s="1"/>
  <c r="J14" i="24" s="1"/>
  <c r="J15" i="24" s="1"/>
  <c r="J16" i="24" s="1"/>
  <c r="J17" i="24" s="1"/>
  <c r="C13" i="24"/>
  <c r="C14" i="24" s="1"/>
  <c r="C15" i="24" s="1"/>
  <c r="C16" i="24" s="1"/>
  <c r="F13" i="24"/>
  <c r="F14" i="24" s="1"/>
  <c r="F15" i="24" s="1"/>
  <c r="F16" i="24" s="1"/>
  <c r="F17" i="24" s="1"/>
  <c r="H13" i="24"/>
  <c r="H14" i="24" s="1"/>
  <c r="H15" i="24" s="1"/>
  <c r="H16" i="24" s="1"/>
  <c r="H17" i="24" s="1"/>
  <c r="I13" i="24"/>
  <c r="I14" i="24" s="1"/>
  <c r="I15" i="24" s="1"/>
  <c r="I16" i="24" s="1"/>
  <c r="I17" i="24" s="1"/>
  <c r="G5" i="24"/>
  <c r="G13" i="24" s="1"/>
  <c r="G14" i="24" s="1"/>
  <c r="G15" i="24" s="1"/>
  <c r="G16" i="24" s="1"/>
  <c r="G17" i="24" s="1"/>
  <c r="F17" i="23"/>
  <c r="I12" i="23"/>
  <c r="I13" i="23" s="1"/>
  <c r="J12" i="23"/>
  <c r="J13" i="23" s="1"/>
  <c r="J14" i="23"/>
  <c r="J15" i="23" s="1"/>
  <c r="J21" i="23"/>
  <c r="J25" i="23" s="1"/>
  <c r="J26" i="23" s="1"/>
  <c r="J27" i="23" s="1"/>
  <c r="J28" i="23" s="1"/>
  <c r="I14" i="23"/>
  <c r="I15" i="23" s="1"/>
  <c r="I21" i="23"/>
  <c r="I25" i="23" s="1"/>
  <c r="I26" i="23" s="1"/>
  <c r="I27" i="23" s="1"/>
  <c r="I28" i="23" s="1"/>
  <c r="H21" i="23"/>
  <c r="G21" i="23"/>
  <c r="E21" i="23"/>
  <c r="D21" i="23"/>
  <c r="C21" i="23"/>
  <c r="C17" i="24" l="1"/>
  <c r="C18" i="24" s="1"/>
  <c r="E17" i="24"/>
  <c r="E18" i="24" s="1"/>
  <c r="D17" i="24"/>
  <c r="D18" i="24" s="1"/>
  <c r="J18" i="24"/>
  <c r="J20" i="24"/>
  <c r="G18" i="24"/>
  <c r="G20" i="24"/>
  <c r="I18" i="24"/>
  <c r="I20" i="24"/>
  <c r="H18" i="24"/>
  <c r="H20" i="24"/>
  <c r="F18" i="24"/>
  <c r="F20" i="24"/>
  <c r="E20" i="24"/>
  <c r="D20" i="24"/>
  <c r="C20" i="24"/>
  <c r="J29" i="23"/>
  <c r="J30" i="23" s="1"/>
  <c r="J17" i="23"/>
  <c r="I29" i="23"/>
  <c r="I30" i="23" s="1"/>
  <c r="I17" i="23"/>
  <c r="G10" i="23"/>
  <c r="G11" i="23" s="1"/>
  <c r="G12" i="23" s="1"/>
  <c r="G13" i="23" s="1"/>
  <c r="E10" i="23"/>
  <c r="E11" i="23" s="1"/>
  <c r="E12" i="23" s="1"/>
  <c r="E13" i="23" s="1"/>
  <c r="C25" i="23"/>
  <c r="C26" i="23" s="1"/>
  <c r="C27" i="23" s="1"/>
  <c r="C28" i="23" s="1"/>
  <c r="C29" i="23" s="1"/>
  <c r="C30" i="23" s="1"/>
  <c r="D25" i="23"/>
  <c r="D26" i="23" s="1"/>
  <c r="D27" i="23" s="1"/>
  <c r="D28" i="23" s="1"/>
  <c r="D29" i="23" s="1"/>
  <c r="D30" i="23" s="1"/>
  <c r="E25" i="23"/>
  <c r="E26" i="23" s="1"/>
  <c r="E27" i="23" s="1"/>
  <c r="E28" i="23" s="1"/>
  <c r="E29" i="23" s="1"/>
  <c r="E30" i="23" s="1"/>
  <c r="G25" i="23"/>
  <c r="G26" i="23" s="1"/>
  <c r="G27" i="23" s="1"/>
  <c r="G28" i="23" s="1"/>
  <c r="G29" i="23" s="1"/>
  <c r="G30" i="23" s="1"/>
  <c r="H25" i="23"/>
  <c r="H26" i="23" s="1"/>
  <c r="H27" i="23" s="1"/>
  <c r="H28" i="23" s="1"/>
  <c r="H29" i="23" s="1"/>
  <c r="H30" i="23" s="1"/>
  <c r="C10" i="23"/>
  <c r="C11" i="23" s="1"/>
  <c r="H10" i="23"/>
  <c r="H11" i="23" s="1"/>
  <c r="D10" i="23"/>
  <c r="D11" i="23" s="1"/>
  <c r="E17" i="23" l="1"/>
  <c r="H12" i="23"/>
  <c r="H13" i="23" s="1"/>
  <c r="G14" i="23"/>
  <c r="G15" i="23" s="1"/>
  <c r="G17" i="23"/>
  <c r="D12" i="23"/>
  <c r="D13" i="23" s="1"/>
  <c r="C12" i="23"/>
  <c r="C13" i="23" s="1"/>
  <c r="E14" i="23"/>
  <c r="E15" i="23" s="1"/>
  <c r="H17" i="23" l="1"/>
  <c r="H14" i="23"/>
  <c r="H15" i="23" s="1"/>
  <c r="D14" i="23"/>
  <c r="D15" i="23" s="1"/>
  <c r="D17" i="23"/>
  <c r="C14" i="23"/>
  <c r="C15" i="23" s="1"/>
  <c r="C17" i="23"/>
  <c r="E25" i="22"/>
  <c r="D25" i="22"/>
  <c r="C25" i="22"/>
  <c r="E9" i="22"/>
  <c r="D9" i="22"/>
  <c r="C9" i="22"/>
  <c r="B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M11" i="8"/>
  <c r="M12" i="8" s="1"/>
  <c r="M13" i="8" s="1"/>
  <c r="N24" i="8"/>
  <c r="N28" i="8" s="1"/>
  <c r="N29" i="8" s="1"/>
  <c r="M24" i="8"/>
  <c r="M28" i="8" s="1"/>
  <c r="M29" i="8" s="1"/>
  <c r="L24" i="8"/>
  <c r="K24" i="8"/>
  <c r="J24" i="8"/>
  <c r="I24" i="8"/>
  <c r="H24" i="8"/>
  <c r="G24" i="8"/>
  <c r="F24" i="8"/>
  <c r="E24" i="8"/>
  <c r="D24" i="8"/>
  <c r="C24" i="8"/>
  <c r="B24" i="8"/>
  <c r="N7" i="8"/>
  <c r="M7" i="8"/>
  <c r="L7" i="8"/>
  <c r="K7" i="8"/>
  <c r="J7" i="8"/>
  <c r="I7" i="8"/>
  <c r="H7" i="8"/>
  <c r="G7" i="8"/>
  <c r="F7" i="8"/>
  <c r="E7" i="8"/>
  <c r="C7" i="8"/>
  <c r="D7" i="8"/>
  <c r="N11" i="8"/>
  <c r="N12" i="8" s="1"/>
  <c r="N14" i="8" l="1"/>
  <c r="N15" i="8" s="1"/>
  <c r="N16" i="8" s="1"/>
  <c r="M14" i="8"/>
  <c r="M15" i="8" s="1"/>
  <c r="M16" i="8" s="1"/>
  <c r="D24" i="1" l="1"/>
  <c r="C24" i="1"/>
  <c r="B24" i="1"/>
  <c r="D8" i="1"/>
  <c r="E24" i="22"/>
  <c r="D24" i="22"/>
  <c r="C24" i="22"/>
  <c r="E8" i="22"/>
  <c r="D8" i="22"/>
  <c r="C8" i="22"/>
  <c r="E22" i="22"/>
  <c r="D22" i="22"/>
  <c r="C22" i="22"/>
  <c r="E6" i="22"/>
  <c r="D6" i="22"/>
  <c r="C6" i="22"/>
  <c r="E23" i="22"/>
  <c r="D23" i="22"/>
  <c r="C23" i="22"/>
  <c r="C7" i="22"/>
  <c r="D7" i="22"/>
  <c r="E7" i="22"/>
  <c r="D19" i="20"/>
  <c r="C19" i="20"/>
  <c r="B19" i="20"/>
  <c r="B18" i="20"/>
  <c r="C6" i="20"/>
  <c r="D6" i="20"/>
  <c r="B6" i="20"/>
  <c r="D7" i="15"/>
  <c r="D26" i="15"/>
  <c r="E12" i="15"/>
  <c r="D12" i="15"/>
  <c r="E31" i="15"/>
  <c r="D31" i="15"/>
  <c r="E30" i="15"/>
  <c r="D30" i="15"/>
  <c r="E28" i="15"/>
  <c r="D28" i="15"/>
  <c r="E11" i="15"/>
  <c r="E9" i="15"/>
  <c r="E27" i="15"/>
  <c r="D27" i="15"/>
  <c r="C27" i="15"/>
  <c r="B27" i="15"/>
  <c r="E8" i="15"/>
  <c r="D11" i="15"/>
  <c r="C11" i="15"/>
  <c r="B9" i="15"/>
  <c r="C9" i="15"/>
  <c r="D9" i="15"/>
  <c r="D8" i="15"/>
  <c r="C23" i="15"/>
  <c r="B23" i="15"/>
  <c r="C4" i="15"/>
  <c r="B4" i="15"/>
  <c r="E13" i="15" l="1"/>
  <c r="E14" i="15" s="1"/>
  <c r="E15" i="15" s="1"/>
  <c r="E16" i="15" s="1"/>
  <c r="D13" i="15"/>
  <c r="D14" i="15" s="1"/>
  <c r="D15" i="15" s="1"/>
  <c r="D16" i="15" s="1"/>
  <c r="E32" i="15"/>
  <c r="E33" i="15" s="1"/>
  <c r="E34" i="15" s="1"/>
  <c r="E35" i="15" s="1"/>
  <c r="E36" i="15" s="1"/>
  <c r="E37" i="15" s="1"/>
  <c r="D32" i="15"/>
  <c r="D33" i="15" s="1"/>
  <c r="D34" i="15" s="1"/>
  <c r="D35" i="15" s="1"/>
  <c r="D36" i="15" s="1"/>
  <c r="D37" i="15" s="1"/>
  <c r="E10" i="22"/>
  <c r="E11" i="22" s="1"/>
  <c r="E12" i="22" s="1"/>
  <c r="E13" i="22" s="1"/>
  <c r="E14" i="22" s="1"/>
  <c r="E15" i="22" s="1"/>
  <c r="D10" i="22"/>
  <c r="D11" i="22" s="1"/>
  <c r="D12" i="22" s="1"/>
  <c r="D13" i="22" s="1"/>
  <c r="D14" i="22" s="1"/>
  <c r="D15" i="22" s="1"/>
  <c r="C10" i="22"/>
  <c r="C11" i="22" s="1"/>
  <c r="C12" i="22" s="1"/>
  <c r="C13" i="22" s="1"/>
  <c r="C14" i="22" s="1"/>
  <c r="C15" i="22" s="1"/>
  <c r="C26" i="22"/>
  <c r="C27" i="22" s="1"/>
  <c r="C28" i="22" s="1"/>
  <c r="C29" i="22" s="1"/>
  <c r="D26" i="22"/>
  <c r="D27" i="22" s="1"/>
  <c r="D28" i="22" s="1"/>
  <c r="D29" i="22" s="1"/>
  <c r="E26" i="22"/>
  <c r="E27" i="22" s="1"/>
  <c r="E28" i="22" s="1"/>
  <c r="E29" i="22" s="1"/>
  <c r="C18" i="20"/>
  <c r="C20" i="20" s="1"/>
  <c r="C21" i="20" s="1"/>
  <c r="C22" i="20" s="1"/>
  <c r="C23" i="20" s="1"/>
  <c r="C24" i="20" s="1"/>
  <c r="C25" i="20" s="1"/>
  <c r="C5" i="20"/>
  <c r="C7" i="20" s="1"/>
  <c r="C8" i="20" s="1"/>
  <c r="C9" i="20" s="1"/>
  <c r="C10" i="20" s="1"/>
  <c r="D5" i="20"/>
  <c r="D7" i="20" s="1"/>
  <c r="D8" i="20" s="1"/>
  <c r="D9" i="20" s="1"/>
  <c r="D10" i="20" s="1"/>
  <c r="B5" i="20"/>
  <c r="B7" i="20" s="1"/>
  <c r="B8" i="20" s="1"/>
  <c r="B9" i="20" s="1"/>
  <c r="B10" i="20" s="1"/>
  <c r="B11" i="20" s="1"/>
  <c r="B12" i="20" s="1"/>
  <c r="B20" i="20"/>
  <c r="B21" i="20" s="1"/>
  <c r="B22" i="20" s="1"/>
  <c r="B23" i="20" s="1"/>
  <c r="B24" i="20" s="1"/>
  <c r="B25" i="20" s="1"/>
  <c r="B20" i="2"/>
  <c r="B5" i="2"/>
  <c r="B9" i="19"/>
  <c r="B25" i="19"/>
  <c r="B22" i="19"/>
  <c r="B23" i="19"/>
  <c r="B7" i="19"/>
  <c r="B8" i="19"/>
  <c r="B24" i="19"/>
  <c r="B20" i="19"/>
  <c r="B4" i="19"/>
  <c r="C23" i="17"/>
  <c r="D23" i="17"/>
  <c r="B23" i="17"/>
  <c r="D8" i="17"/>
  <c r="C8" i="17"/>
  <c r="B8" i="17"/>
  <c r="D22" i="17"/>
  <c r="C22" i="17"/>
  <c r="B22" i="17"/>
  <c r="D7" i="17"/>
  <c r="C7" i="17"/>
  <c r="B7" i="17"/>
  <c r="D19" i="17"/>
  <c r="D4" i="17"/>
  <c r="B19" i="17"/>
  <c r="C19" i="17"/>
  <c r="C4" i="17"/>
  <c r="B4" i="17"/>
  <c r="C31" i="15"/>
  <c r="C12" i="15"/>
  <c r="D20" i="14"/>
  <c r="C20" i="14"/>
  <c r="B20" i="14"/>
  <c r="D5" i="14"/>
  <c r="C5" i="14"/>
  <c r="B5" i="14"/>
  <c r="D23" i="14"/>
  <c r="C23" i="14"/>
  <c r="B23" i="14"/>
  <c r="D8" i="14"/>
  <c r="C8" i="14"/>
  <c r="B6" i="14"/>
  <c r="C30" i="15"/>
  <c r="C28" i="15"/>
  <c r="B28" i="15"/>
  <c r="C8" i="15"/>
  <c r="B8" i="15"/>
  <c r="D31" i="6"/>
  <c r="D32" i="6" s="1"/>
  <c r="D33" i="6" s="1"/>
  <c r="D34" i="6" s="1"/>
  <c r="D35" i="6" s="1"/>
  <c r="D36" i="6" s="1"/>
  <c r="C31" i="6"/>
  <c r="C32" i="6" s="1"/>
  <c r="C33" i="6" s="1"/>
  <c r="C34" i="6" s="1"/>
  <c r="C35" i="6" s="1"/>
  <c r="C36" i="6" s="1"/>
  <c r="E28" i="6"/>
  <c r="F27" i="6"/>
  <c r="D27" i="6"/>
  <c r="F26" i="6"/>
  <c r="E26" i="6"/>
  <c r="D26" i="6"/>
  <c r="F25" i="6"/>
  <c r="E25" i="6"/>
  <c r="D25" i="6"/>
  <c r="C25" i="6"/>
  <c r="F23" i="6"/>
  <c r="F31" i="6" s="1"/>
  <c r="F32" i="6" s="1"/>
  <c r="F33" i="6" s="1"/>
  <c r="F34" i="6" s="1"/>
  <c r="F35" i="6" s="1"/>
  <c r="F36" i="6" s="1"/>
  <c r="E23" i="6"/>
  <c r="E31" i="6" s="1"/>
  <c r="E32" i="6" s="1"/>
  <c r="E33" i="6" s="1"/>
  <c r="E34" i="6" s="1"/>
  <c r="E35" i="6" s="1"/>
  <c r="E36" i="6" s="1"/>
  <c r="D23" i="6"/>
  <c r="C23" i="6"/>
  <c r="E9" i="6"/>
  <c r="F8" i="6"/>
  <c r="D8" i="6"/>
  <c r="F7" i="6"/>
  <c r="F12" i="6" s="1"/>
  <c r="F13" i="6" s="1"/>
  <c r="F14" i="6" s="1"/>
  <c r="F15" i="6" s="1"/>
  <c r="E7" i="6"/>
  <c r="E12" i="6" s="1"/>
  <c r="E13" i="6" s="1"/>
  <c r="E14" i="6" s="1"/>
  <c r="E15" i="6" s="1"/>
  <c r="D7" i="6"/>
  <c r="F4" i="6"/>
  <c r="E4" i="6"/>
  <c r="D4" i="6"/>
  <c r="D12" i="6" s="1"/>
  <c r="D13" i="6" s="1"/>
  <c r="D14" i="6" s="1"/>
  <c r="D15" i="6" s="1"/>
  <c r="C4" i="6"/>
  <c r="C12" i="6" s="1"/>
  <c r="C13" i="6" s="1"/>
  <c r="C14" i="6" s="1"/>
  <c r="C15" i="6" s="1"/>
  <c r="I24" i="12"/>
  <c r="H24" i="12"/>
  <c r="G24" i="12"/>
  <c r="F24" i="12"/>
  <c r="E24" i="12"/>
  <c r="D24" i="12"/>
  <c r="C24" i="12"/>
  <c r="B24" i="12"/>
  <c r="B6" i="12"/>
  <c r="I9" i="12"/>
  <c r="N25" i="5"/>
  <c r="M25" i="5"/>
  <c r="L25" i="5"/>
  <c r="K25" i="5"/>
  <c r="J25" i="5"/>
  <c r="I25" i="5"/>
  <c r="H25" i="5"/>
  <c r="G25" i="5"/>
  <c r="F25" i="5"/>
  <c r="E25" i="5"/>
  <c r="D25" i="5"/>
  <c r="C25" i="5"/>
  <c r="N23" i="5"/>
  <c r="M23" i="5"/>
  <c r="L23" i="5"/>
  <c r="K23" i="5"/>
  <c r="J23" i="5"/>
  <c r="I23" i="5"/>
  <c r="H23" i="5"/>
  <c r="G23" i="5"/>
  <c r="F23" i="5"/>
  <c r="E23" i="5"/>
  <c r="D23" i="5"/>
  <c r="C23" i="5"/>
  <c r="N7" i="5"/>
  <c r="N10" i="5" s="1"/>
  <c r="M7" i="5"/>
  <c r="L7" i="5"/>
  <c r="K7" i="5"/>
  <c r="J7" i="5"/>
  <c r="I7" i="5"/>
  <c r="H7" i="5"/>
  <c r="G7" i="5"/>
  <c r="F7" i="5"/>
  <c r="E7" i="5"/>
  <c r="D7" i="5"/>
  <c r="D10" i="5" s="1"/>
  <c r="C7" i="5"/>
  <c r="N9" i="5"/>
  <c r="M9" i="5"/>
  <c r="M10" i="5" s="1"/>
  <c r="L9" i="5"/>
  <c r="L10" i="5" s="1"/>
  <c r="K9" i="5"/>
  <c r="K10" i="5" s="1"/>
  <c r="J9" i="5"/>
  <c r="J10" i="5" s="1"/>
  <c r="I9" i="5"/>
  <c r="I10" i="5" s="1"/>
  <c r="H9" i="5"/>
  <c r="H10" i="5" s="1"/>
  <c r="G9" i="5"/>
  <c r="F9" i="5"/>
  <c r="F10" i="5" s="1"/>
  <c r="E9" i="5"/>
  <c r="E10" i="5" s="1"/>
  <c r="D9" i="5"/>
  <c r="C9" i="5"/>
  <c r="B10" i="5"/>
  <c r="C8" i="16"/>
  <c r="C26" i="16"/>
  <c r="C25" i="16"/>
  <c r="C29" i="16"/>
  <c r="B29" i="16"/>
  <c r="B25" i="16"/>
  <c r="C11" i="16"/>
  <c r="C7" i="16"/>
  <c r="B11" i="16"/>
  <c r="B7" i="16"/>
  <c r="L11" i="8"/>
  <c r="L12" i="8" s="1"/>
  <c r="L13" i="8" s="1"/>
  <c r="L14" i="8" s="1"/>
  <c r="L15" i="8" s="1"/>
  <c r="L16" i="8" s="1"/>
  <c r="B5" i="13"/>
  <c r="B20" i="13"/>
  <c r="H6" i="9"/>
  <c r="G6" i="9"/>
  <c r="F6" i="9"/>
  <c r="E6" i="9"/>
  <c r="D6" i="9"/>
  <c r="C6" i="9"/>
  <c r="B6" i="9"/>
  <c r="I23" i="12"/>
  <c r="H23" i="12"/>
  <c r="G23" i="12"/>
  <c r="F23" i="12"/>
  <c r="E23" i="12"/>
  <c r="I6" i="12"/>
  <c r="H6" i="12"/>
  <c r="G6" i="12"/>
  <c r="F6" i="12"/>
  <c r="E6" i="12"/>
  <c r="D26" i="10"/>
  <c r="D8" i="10"/>
  <c r="B17" i="7"/>
  <c r="B4" i="7"/>
  <c r="B4" i="4"/>
  <c r="B7" i="4" s="1"/>
  <c r="C4" i="4"/>
  <c r="C7" i="4" s="1"/>
  <c r="D4" i="4"/>
  <c r="D7" i="4"/>
  <c r="F4" i="4"/>
  <c r="G4" i="4"/>
  <c r="F26" i="4"/>
  <c r="G22" i="4"/>
  <c r="F22" i="4"/>
  <c r="F23" i="4"/>
  <c r="F19" i="4"/>
  <c r="E22" i="4"/>
  <c r="D22" i="4"/>
  <c r="C22" i="4"/>
  <c r="B22" i="4"/>
  <c r="F11" i="4"/>
  <c r="F8" i="4"/>
  <c r="G7" i="4"/>
  <c r="F7" i="4"/>
  <c r="F29" i="4"/>
  <c r="F28" i="4"/>
  <c r="F27" i="4"/>
  <c r="F25" i="4"/>
  <c r="F24" i="4"/>
  <c r="F16" i="4"/>
  <c r="F14" i="4"/>
  <c r="F13" i="4"/>
  <c r="F12" i="4"/>
  <c r="F10" i="4"/>
  <c r="F9" i="4"/>
  <c r="B19" i="4"/>
  <c r="C19" i="4"/>
  <c r="D19" i="4"/>
  <c r="E19" i="4"/>
  <c r="G19" i="4"/>
  <c r="I28" i="8"/>
  <c r="I29" i="8" s="1"/>
  <c r="I30" i="8" s="1"/>
  <c r="G10" i="5" l="1"/>
  <c r="C12" i="16"/>
  <c r="C13" i="16" s="1"/>
  <c r="C14" i="16" s="1"/>
  <c r="C15" i="16" s="1"/>
  <c r="C16" i="16" s="1"/>
  <c r="C17" i="16" s="1"/>
  <c r="C30" i="16"/>
  <c r="C31" i="16" s="1"/>
  <c r="C32" i="16" s="1"/>
  <c r="C33" i="16" s="1"/>
  <c r="C34" i="16" s="1"/>
  <c r="C35" i="16" s="1"/>
  <c r="B12" i="16"/>
  <c r="B13" i="16" s="1"/>
  <c r="B14" i="16" s="1"/>
  <c r="B15" i="16" s="1"/>
  <c r="B16" i="16" s="1"/>
  <c r="B17" i="16" s="1"/>
  <c r="B30" i="16"/>
  <c r="B31" i="16" s="1"/>
  <c r="B32" i="16" s="1"/>
  <c r="B33" i="16" s="1"/>
  <c r="B19" i="16" s="1"/>
  <c r="E17" i="15"/>
  <c r="E18" i="15" s="1"/>
  <c r="E20" i="15"/>
  <c r="K11" i="8"/>
  <c r="K12" i="8" s="1"/>
  <c r="K13" i="8" s="1"/>
  <c r="K14" i="8" s="1"/>
  <c r="K15" i="8" s="1"/>
  <c r="K16" i="8" s="1"/>
  <c r="K28" i="8"/>
  <c r="K29" i="8" s="1"/>
  <c r="K30" i="8" s="1"/>
  <c r="K31" i="8" s="1"/>
  <c r="K32" i="8" s="1"/>
  <c r="K33" i="8" s="1"/>
  <c r="L28" i="8"/>
  <c r="L29" i="8" s="1"/>
  <c r="L30" i="8" s="1"/>
  <c r="L31" i="8" s="1"/>
  <c r="L32" i="8" s="1"/>
  <c r="L33" i="8" s="1"/>
  <c r="E30" i="22"/>
  <c r="E31" i="22" s="1"/>
  <c r="E17" i="22"/>
  <c r="D30" i="22"/>
  <c r="D31" i="22" s="1"/>
  <c r="D17" i="22"/>
  <c r="C30" i="22"/>
  <c r="C31" i="22" s="1"/>
  <c r="C17" i="22"/>
  <c r="C14" i="20"/>
  <c r="C11" i="20"/>
  <c r="C12" i="20" s="1"/>
  <c r="D11" i="20"/>
  <c r="D12" i="20" s="1"/>
  <c r="B14" i="20"/>
  <c r="B8" i="14"/>
  <c r="B9" i="14" s="1"/>
  <c r="B10" i="14" s="1"/>
  <c r="B11" i="14" s="1"/>
  <c r="B12" i="14" s="1"/>
  <c r="B13" i="14" s="1"/>
  <c r="B14" i="14" s="1"/>
  <c r="C9" i="17"/>
  <c r="C10" i="17" s="1"/>
  <c r="D17" i="15"/>
  <c r="D18" i="15" s="1"/>
  <c r="D20" i="15"/>
  <c r="C13" i="15"/>
  <c r="C14" i="15" s="1"/>
  <c r="B13" i="15"/>
  <c r="B14" i="15" s="1"/>
  <c r="B15" i="15" s="1"/>
  <c r="C32" i="15"/>
  <c r="C33" i="15" s="1"/>
  <c r="C34" i="15" s="1"/>
  <c r="C35" i="15" s="1"/>
  <c r="C36" i="15" s="1"/>
  <c r="C37" i="15" s="1"/>
  <c r="B32" i="15"/>
  <c r="B33" i="15" s="1"/>
  <c r="B34" i="15" s="1"/>
  <c r="B35" i="15" s="1"/>
  <c r="B36" i="15" s="1"/>
  <c r="B37" i="15" s="1"/>
  <c r="B26" i="19"/>
  <c r="B27" i="19" s="1"/>
  <c r="B28" i="19" s="1"/>
  <c r="B29" i="19" s="1"/>
  <c r="B30" i="19" s="1"/>
  <c r="B31" i="19" s="1"/>
  <c r="B10" i="19"/>
  <c r="B11" i="19" s="1"/>
  <c r="B12" i="19" s="1"/>
  <c r="B13" i="19" s="1"/>
  <c r="B14" i="19" s="1"/>
  <c r="B15" i="19" s="1"/>
  <c r="C24" i="17"/>
  <c r="C25" i="17" s="1"/>
  <c r="C26" i="17" s="1"/>
  <c r="C27" i="17" s="1"/>
  <c r="C28" i="17" s="1"/>
  <c r="C29" i="17" s="1"/>
  <c r="B9" i="17"/>
  <c r="B10" i="17" s="1"/>
  <c r="B11" i="17" s="1"/>
  <c r="B12" i="17" s="1"/>
  <c r="B24" i="17"/>
  <c r="B25" i="17" s="1"/>
  <c r="B26" i="17" s="1"/>
  <c r="B27" i="17" s="1"/>
  <c r="B28" i="17" s="1"/>
  <c r="B29" i="17" s="1"/>
  <c r="D24" i="17"/>
  <c r="D25" i="17" s="1"/>
  <c r="D26" i="17" s="1"/>
  <c r="D27" i="17" s="1"/>
  <c r="D28" i="17" s="1"/>
  <c r="D29" i="17" s="1"/>
  <c r="D9" i="17"/>
  <c r="D10" i="17" s="1"/>
  <c r="D11" i="17" s="1"/>
  <c r="D12" i="17" s="1"/>
  <c r="C11" i="17"/>
  <c r="C12" i="17" s="1"/>
  <c r="C6" i="14"/>
  <c r="C9" i="14" s="1"/>
  <c r="C10" i="14" s="1"/>
  <c r="C11" i="14" s="1"/>
  <c r="C12" i="14" s="1"/>
  <c r="D6" i="14"/>
  <c r="D9" i="14" s="1"/>
  <c r="D10" i="14" s="1"/>
  <c r="D11" i="14" s="1"/>
  <c r="D12" i="14" s="1"/>
  <c r="B21" i="14"/>
  <c r="B24" i="14" s="1"/>
  <c r="B25" i="14" s="1"/>
  <c r="B26" i="14" s="1"/>
  <c r="B27" i="14" s="1"/>
  <c r="C21" i="14"/>
  <c r="D21" i="14"/>
  <c r="D24" i="14" s="1"/>
  <c r="D25" i="14" s="1"/>
  <c r="D26" i="14" s="1"/>
  <c r="D27" i="14" s="1"/>
  <c r="D28" i="14" s="1"/>
  <c r="D29" i="14" s="1"/>
  <c r="C24" i="14"/>
  <c r="C25" i="14" s="1"/>
  <c r="C26" i="14" s="1"/>
  <c r="C27" i="14" s="1"/>
  <c r="C28" i="14" s="1"/>
  <c r="C29" i="14" s="1"/>
  <c r="C16" i="6"/>
  <c r="C17" i="6" s="1"/>
  <c r="C19" i="6"/>
  <c r="D16" i="6"/>
  <c r="D17" i="6" s="1"/>
  <c r="D19" i="6"/>
  <c r="E19" i="6"/>
  <c r="E16" i="6"/>
  <c r="E17" i="6" s="1"/>
  <c r="F19" i="6"/>
  <c r="F16" i="6"/>
  <c r="F17" i="6" s="1"/>
  <c r="C10" i="5"/>
  <c r="I11" i="8"/>
  <c r="I12" i="8" s="1"/>
  <c r="I13" i="8" s="1"/>
  <c r="I14" i="8" s="1"/>
  <c r="I31" i="8"/>
  <c r="I32" i="8" s="1"/>
  <c r="I33" i="8" s="1"/>
  <c r="H26" i="9"/>
  <c r="H27" i="9" s="1"/>
  <c r="H28" i="9" s="1"/>
  <c r="H29" i="9" s="1"/>
  <c r="H30" i="9" s="1"/>
  <c r="H31" i="9" s="1"/>
  <c r="G26" i="9"/>
  <c r="G27" i="9" s="1"/>
  <c r="G28" i="9" s="1"/>
  <c r="G29" i="9" s="1"/>
  <c r="G30" i="9" s="1"/>
  <c r="G31" i="9" s="1"/>
  <c r="H24" i="9"/>
  <c r="G24" i="9"/>
  <c r="H23" i="9"/>
  <c r="G23" i="9"/>
  <c r="H8" i="9"/>
  <c r="G8" i="9"/>
  <c r="H7" i="9"/>
  <c r="H10" i="9" s="1"/>
  <c r="H11" i="9" s="1"/>
  <c r="H12" i="9" s="1"/>
  <c r="G7" i="9"/>
  <c r="G10" i="9" s="1"/>
  <c r="G11" i="9" s="1"/>
  <c r="G12" i="9" s="1"/>
  <c r="B22" i="13"/>
  <c r="B7" i="13"/>
  <c r="B8" i="13"/>
  <c r="B9" i="13" s="1"/>
  <c r="B10" i="13" s="1"/>
  <c r="B11" i="13" s="1"/>
  <c r="C19" i="16" l="1"/>
  <c r="B34" i="16"/>
  <c r="B35" i="16" s="1"/>
  <c r="C15" i="15"/>
  <c r="C16" i="15" s="1"/>
  <c r="C17" i="15" s="1"/>
  <c r="C18" i="15" s="1"/>
  <c r="L18" i="8"/>
  <c r="D16" i="17"/>
  <c r="B17" i="19"/>
  <c r="B16" i="17"/>
  <c r="B13" i="17"/>
  <c r="B14" i="17" s="1"/>
  <c r="D13" i="17"/>
  <c r="D14" i="17" s="1"/>
  <c r="C13" i="17"/>
  <c r="C14" i="17" s="1"/>
  <c r="C16" i="17"/>
  <c r="D16" i="14"/>
  <c r="C16" i="14"/>
  <c r="D13" i="14"/>
  <c r="D14" i="14" s="1"/>
  <c r="C13" i="14"/>
  <c r="C14" i="14" s="1"/>
  <c r="B28" i="14"/>
  <c r="B29" i="14" s="1"/>
  <c r="B16" i="14"/>
  <c r="I18" i="8"/>
  <c r="I15" i="8"/>
  <c r="I16" i="8" s="1"/>
  <c r="K18" i="8"/>
  <c r="H13" i="9"/>
  <c r="G13" i="9"/>
  <c r="B12" i="13"/>
  <c r="B13" i="13" s="1"/>
  <c r="I7" i="12"/>
  <c r="G28" i="12"/>
  <c r="G29" i="12" s="1"/>
  <c r="G30" i="12" s="1"/>
  <c r="G31" i="12" s="1"/>
  <c r="G32" i="12" s="1"/>
  <c r="G33" i="12" s="1"/>
  <c r="F28" i="12"/>
  <c r="F29" i="12" s="1"/>
  <c r="F30" i="12" s="1"/>
  <c r="F31" i="12" s="1"/>
  <c r="F32" i="12" s="1"/>
  <c r="F33" i="12" s="1"/>
  <c r="G11" i="12"/>
  <c r="G12" i="12" s="1"/>
  <c r="G13" i="12" s="1"/>
  <c r="G14" i="12" s="1"/>
  <c r="F11" i="12"/>
  <c r="F12" i="12" s="1"/>
  <c r="F13" i="12" s="1"/>
  <c r="F14" i="12" s="1"/>
  <c r="E11" i="12"/>
  <c r="E12" i="12" s="1"/>
  <c r="E13" i="12" s="1"/>
  <c r="E14" i="12" s="1"/>
  <c r="E15" i="12" s="1"/>
  <c r="E16" i="12" s="1"/>
  <c r="C6" i="12"/>
  <c r="F6" i="11"/>
  <c r="F7" i="11" s="1"/>
  <c r="F8" i="11" s="1"/>
  <c r="F9" i="11" s="1"/>
  <c r="E6" i="11"/>
  <c r="E7" i="11" s="1"/>
  <c r="E8" i="11" s="1"/>
  <c r="G18" i="11"/>
  <c r="F18" i="11"/>
  <c r="E18" i="11"/>
  <c r="D18" i="11"/>
  <c r="G28" i="10"/>
  <c r="F28" i="10"/>
  <c r="E28" i="10"/>
  <c r="B28" i="10"/>
  <c r="G10" i="10"/>
  <c r="F10" i="10"/>
  <c r="E10" i="10"/>
  <c r="D10" i="10"/>
  <c r="B10" i="10"/>
  <c r="B11" i="10" s="1"/>
  <c r="C20" i="15" l="1"/>
  <c r="D6" i="12"/>
  <c r="D11" i="12" s="1"/>
  <c r="D12" i="12" s="1"/>
  <c r="D13" i="12" s="1"/>
  <c r="D14" i="12" s="1"/>
  <c r="D15" i="12" s="1"/>
  <c r="D16" i="12" s="1"/>
  <c r="H14" i="9"/>
  <c r="H15" i="9" s="1"/>
  <c r="H17" i="9"/>
  <c r="G14" i="9"/>
  <c r="G15" i="9" s="1"/>
  <c r="G17" i="9"/>
  <c r="B23" i="13"/>
  <c r="B24" i="13" s="1"/>
  <c r="B25" i="13" s="1"/>
  <c r="B26" i="13" s="1"/>
  <c r="I11" i="12"/>
  <c r="I12" i="12" s="1"/>
  <c r="I13" i="12" s="1"/>
  <c r="I14" i="12" s="1"/>
  <c r="I15" i="12" s="1"/>
  <c r="I16" i="12" s="1"/>
  <c r="E28" i="12"/>
  <c r="E29" i="12" s="1"/>
  <c r="E30" i="12" s="1"/>
  <c r="E31" i="12" s="1"/>
  <c r="E32" i="12" s="1"/>
  <c r="E33" i="12" s="1"/>
  <c r="H11" i="12"/>
  <c r="H12" i="12" s="1"/>
  <c r="H13" i="12" s="1"/>
  <c r="H14" i="12" s="1"/>
  <c r="H15" i="12" s="1"/>
  <c r="H16" i="12" s="1"/>
  <c r="I28" i="12"/>
  <c r="I29" i="12" s="1"/>
  <c r="I30" i="12" s="1"/>
  <c r="I31" i="12" s="1"/>
  <c r="I32" i="12" s="1"/>
  <c r="I33" i="12" s="1"/>
  <c r="H28" i="12"/>
  <c r="H29" i="12" s="1"/>
  <c r="H30" i="12" s="1"/>
  <c r="H31" i="12" s="1"/>
  <c r="H32" i="12" s="1"/>
  <c r="H33" i="12" s="1"/>
  <c r="C11" i="12"/>
  <c r="C12" i="12" s="1"/>
  <c r="C13" i="12" s="1"/>
  <c r="C14" i="12" s="1"/>
  <c r="C15" i="12" s="1"/>
  <c r="C16" i="12" s="1"/>
  <c r="B11" i="12"/>
  <c r="B12" i="12" s="1"/>
  <c r="B13" i="12" s="1"/>
  <c r="B14" i="12" s="1"/>
  <c r="B15" i="12" s="1"/>
  <c r="F15" i="12"/>
  <c r="F16" i="12" s="1"/>
  <c r="F18" i="12"/>
  <c r="G15" i="12"/>
  <c r="G16" i="12" s="1"/>
  <c r="G18" i="12"/>
  <c r="E19" i="11"/>
  <c r="E20" i="11" s="1"/>
  <c r="E21" i="11" s="1"/>
  <c r="E22" i="11" s="1"/>
  <c r="E23" i="11" s="1"/>
  <c r="E24" i="11" s="1"/>
  <c r="B19" i="11"/>
  <c r="B20" i="11" s="1"/>
  <c r="B21" i="11" s="1"/>
  <c r="B22" i="11" s="1"/>
  <c r="B23" i="11" s="1"/>
  <c r="B24" i="11" s="1"/>
  <c r="E9" i="11"/>
  <c r="E10" i="11" s="1"/>
  <c r="E11" i="11" s="1"/>
  <c r="D6" i="11"/>
  <c r="D7" i="11" s="1"/>
  <c r="D8" i="11" s="1"/>
  <c r="D9" i="11" s="1"/>
  <c r="D10" i="11" s="1"/>
  <c r="D11" i="11" s="1"/>
  <c r="G6" i="11"/>
  <c r="G7" i="11" s="1"/>
  <c r="G8" i="11" s="1"/>
  <c r="G9" i="11" s="1"/>
  <c r="G10" i="11" s="1"/>
  <c r="G11" i="11" s="1"/>
  <c r="G19" i="11"/>
  <c r="G20" i="11" s="1"/>
  <c r="G21" i="11" s="1"/>
  <c r="G22" i="11" s="1"/>
  <c r="G23" i="11" s="1"/>
  <c r="G24" i="11" s="1"/>
  <c r="F19" i="11"/>
  <c r="F20" i="11" s="1"/>
  <c r="F21" i="11" s="1"/>
  <c r="F22" i="11" s="1"/>
  <c r="F23" i="11" s="1"/>
  <c r="F24" i="11" s="1"/>
  <c r="B6" i="11"/>
  <c r="B7" i="11" s="1"/>
  <c r="B8" i="11" s="1"/>
  <c r="B9" i="11" s="1"/>
  <c r="B10" i="11" s="1"/>
  <c r="B11" i="11" s="1"/>
  <c r="F10" i="11"/>
  <c r="F11" i="11" s="1"/>
  <c r="C19" i="11"/>
  <c r="C20" i="11" s="1"/>
  <c r="C21" i="11" s="1"/>
  <c r="C22" i="11" s="1"/>
  <c r="C23" i="11" s="1"/>
  <c r="C24" i="11" s="1"/>
  <c r="D19" i="11"/>
  <c r="D20" i="11" s="1"/>
  <c r="D21" i="11" s="1"/>
  <c r="D22" i="11" s="1"/>
  <c r="D23" i="11" s="1"/>
  <c r="D24" i="11" s="1"/>
  <c r="C6" i="11"/>
  <c r="C7" i="11" s="1"/>
  <c r="C8" i="11" s="1"/>
  <c r="C9" i="11" s="1"/>
  <c r="D29" i="10"/>
  <c r="D30" i="10" s="1"/>
  <c r="D31" i="10" s="1"/>
  <c r="D32" i="10" s="1"/>
  <c r="D33" i="10" s="1"/>
  <c r="D34" i="10" s="1"/>
  <c r="F29" i="10"/>
  <c r="F30" i="10" s="1"/>
  <c r="F31" i="10" s="1"/>
  <c r="F32" i="10" s="1"/>
  <c r="F33" i="10" s="1"/>
  <c r="F34" i="10" s="1"/>
  <c r="G29" i="10"/>
  <c r="G30" i="10" s="1"/>
  <c r="G31" i="10" s="1"/>
  <c r="G32" i="10" s="1"/>
  <c r="G33" i="10" s="1"/>
  <c r="G34" i="10" s="1"/>
  <c r="B12" i="10"/>
  <c r="B13" i="10" s="1"/>
  <c r="B29" i="10"/>
  <c r="B30" i="10" s="1"/>
  <c r="B31" i="10" s="1"/>
  <c r="B32" i="10" s="1"/>
  <c r="B33" i="10" s="1"/>
  <c r="B34" i="10" s="1"/>
  <c r="F11" i="10"/>
  <c r="F12" i="10" s="1"/>
  <c r="F13" i="10" s="1"/>
  <c r="F14" i="10" s="1"/>
  <c r="F15" i="10" s="1"/>
  <c r="F16" i="10" s="1"/>
  <c r="G11" i="10"/>
  <c r="G12" i="10" s="1"/>
  <c r="G13" i="10" s="1"/>
  <c r="G14" i="10" s="1"/>
  <c r="G15" i="10" s="1"/>
  <c r="G16" i="10" s="1"/>
  <c r="E11" i="10"/>
  <c r="E12" i="10" s="1"/>
  <c r="E13" i="10" s="1"/>
  <c r="E14" i="10" s="1"/>
  <c r="E15" i="10" s="1"/>
  <c r="E16" i="10" s="1"/>
  <c r="D11" i="10"/>
  <c r="D12" i="10" s="1"/>
  <c r="D13" i="10" s="1"/>
  <c r="D14" i="10" s="1"/>
  <c r="E29" i="10"/>
  <c r="E30" i="10" s="1"/>
  <c r="E31" i="10" s="1"/>
  <c r="E32" i="10" s="1"/>
  <c r="E33" i="10" s="1"/>
  <c r="E34" i="10" s="1"/>
  <c r="F10" i="9"/>
  <c r="E10" i="9"/>
  <c r="F26" i="9"/>
  <c r="E26" i="9"/>
  <c r="D26" i="9"/>
  <c r="C26" i="9"/>
  <c r="B26" i="9"/>
  <c r="F24" i="9"/>
  <c r="E24" i="9"/>
  <c r="D24" i="9"/>
  <c r="C24" i="9"/>
  <c r="B24" i="9"/>
  <c r="F23" i="9"/>
  <c r="E23" i="9"/>
  <c r="D23" i="9"/>
  <c r="C23" i="9"/>
  <c r="B23" i="9"/>
  <c r="F7" i="9"/>
  <c r="E7" i="9"/>
  <c r="D7" i="9"/>
  <c r="D10" i="9" s="1"/>
  <c r="C7" i="9"/>
  <c r="C10" i="9" s="1"/>
  <c r="B7" i="9"/>
  <c r="B10" i="9" s="1"/>
  <c r="F8" i="9"/>
  <c r="E8" i="9"/>
  <c r="D8" i="9"/>
  <c r="C8" i="9"/>
  <c r="B8" i="9"/>
  <c r="D5" i="3"/>
  <c r="D7" i="3" s="1"/>
  <c r="C5" i="3"/>
  <c r="C7" i="3" s="1"/>
  <c r="B5" i="3"/>
  <c r="B7" i="3" s="1"/>
  <c r="C18" i="7"/>
  <c r="C19" i="7" s="1"/>
  <c r="B18" i="7"/>
  <c r="B19" i="7" s="1"/>
  <c r="C17" i="7"/>
  <c r="C4" i="7"/>
  <c r="C6" i="7" s="1"/>
  <c r="B6" i="7"/>
  <c r="N24" i="5"/>
  <c r="M24" i="5"/>
  <c r="L24" i="5"/>
  <c r="K24" i="5"/>
  <c r="J24" i="5"/>
  <c r="I24" i="5"/>
  <c r="H24" i="5"/>
  <c r="G24" i="5"/>
  <c r="F24" i="5"/>
  <c r="E24" i="5"/>
  <c r="D24" i="5"/>
  <c r="C24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M21" i="5"/>
  <c r="L21" i="5"/>
  <c r="K21" i="5"/>
  <c r="J21" i="5"/>
  <c r="J26" i="5" s="1"/>
  <c r="I21" i="5"/>
  <c r="I26" i="5" s="1"/>
  <c r="H21" i="5"/>
  <c r="H26" i="5" s="1"/>
  <c r="G21" i="5"/>
  <c r="F21" i="5"/>
  <c r="E21" i="5"/>
  <c r="D21" i="5"/>
  <c r="C21" i="5"/>
  <c r="B21" i="5"/>
  <c r="B5" i="5"/>
  <c r="N8" i="5"/>
  <c r="M8" i="5"/>
  <c r="L8" i="5"/>
  <c r="K8" i="5"/>
  <c r="J8" i="5"/>
  <c r="I8" i="5"/>
  <c r="H8" i="5"/>
  <c r="G8" i="5"/>
  <c r="F8" i="5"/>
  <c r="E8" i="5"/>
  <c r="D8" i="5"/>
  <c r="C8" i="5"/>
  <c r="G23" i="4"/>
  <c r="E23" i="4"/>
  <c r="D23" i="4"/>
  <c r="C23" i="4"/>
  <c r="B23" i="4"/>
  <c r="E4" i="4"/>
  <c r="E7" i="4" s="1"/>
  <c r="G8" i="4"/>
  <c r="E8" i="4"/>
  <c r="D8" i="4"/>
  <c r="C8" i="4"/>
  <c r="B8" i="4"/>
  <c r="C8" i="1"/>
  <c r="C10" i="1" s="1"/>
  <c r="C11" i="1" s="1"/>
  <c r="C12" i="1" s="1"/>
  <c r="D26" i="1"/>
  <c r="D27" i="1" s="1"/>
  <c r="D28" i="1" s="1"/>
  <c r="C26" i="1"/>
  <c r="B26" i="1"/>
  <c r="B27" i="1" s="1"/>
  <c r="B28" i="1" s="1"/>
  <c r="D10" i="1"/>
  <c r="D11" i="1" s="1"/>
  <c r="D12" i="1" s="1"/>
  <c r="B8" i="1"/>
  <c r="B10" i="1" s="1"/>
  <c r="D21" i="3"/>
  <c r="D23" i="3" s="1"/>
  <c r="C21" i="3"/>
  <c r="C23" i="3" s="1"/>
  <c r="B21" i="3"/>
  <c r="B23" i="3" s="1"/>
  <c r="B24" i="2"/>
  <c r="B25" i="2" s="1"/>
  <c r="B26" i="2" s="1"/>
  <c r="B27" i="2" s="1"/>
  <c r="B28" i="2" s="1"/>
  <c r="B29" i="2" s="1"/>
  <c r="L26" i="5" l="1"/>
  <c r="N26" i="5"/>
  <c r="C26" i="5"/>
  <c r="D26" i="5"/>
  <c r="D27" i="5" s="1"/>
  <c r="D28" i="5" s="1"/>
  <c r="D29" i="5" s="1"/>
  <c r="E26" i="5"/>
  <c r="E27" i="5" s="1"/>
  <c r="E28" i="5" s="1"/>
  <c r="E29" i="5" s="1"/>
  <c r="E30" i="5" s="1"/>
  <c r="E31" i="5" s="1"/>
  <c r="F26" i="5"/>
  <c r="F27" i="5" s="1"/>
  <c r="F28" i="5" s="1"/>
  <c r="F29" i="5" s="1"/>
  <c r="B9" i="2"/>
  <c r="B10" i="2" s="1"/>
  <c r="B11" i="2" s="1"/>
  <c r="B12" i="2" s="1"/>
  <c r="K26" i="5"/>
  <c r="M26" i="5"/>
  <c r="M27" i="5" s="1"/>
  <c r="G26" i="5"/>
  <c r="B23" i="5"/>
  <c r="B28" i="5" s="1"/>
  <c r="B29" i="5" s="1"/>
  <c r="B30" i="5" s="1"/>
  <c r="J27" i="5"/>
  <c r="C27" i="5"/>
  <c r="C28" i="5" s="1"/>
  <c r="C29" i="5" s="1"/>
  <c r="C30" i="5" s="1"/>
  <c r="C31" i="5" s="1"/>
  <c r="H27" i="5"/>
  <c r="I27" i="5"/>
  <c r="K27" i="5"/>
  <c r="N27" i="5"/>
  <c r="G27" i="5"/>
  <c r="L27" i="5"/>
  <c r="B7" i="5"/>
  <c r="B12" i="5" s="1"/>
  <c r="B13" i="5" s="1"/>
  <c r="B14" i="10"/>
  <c r="G11" i="8"/>
  <c r="G12" i="8" s="1"/>
  <c r="G13" i="8" s="1"/>
  <c r="G14" i="8" s="1"/>
  <c r="G15" i="8" s="1"/>
  <c r="G16" i="8" s="1"/>
  <c r="B27" i="13"/>
  <c r="B28" i="13" s="1"/>
  <c r="B15" i="13"/>
  <c r="E18" i="12"/>
  <c r="H18" i="12"/>
  <c r="I18" i="12"/>
  <c r="F13" i="11"/>
  <c r="E13" i="11"/>
  <c r="G13" i="11"/>
  <c r="B13" i="11"/>
  <c r="D13" i="11"/>
  <c r="C10" i="11"/>
  <c r="C11" i="11" s="1"/>
  <c r="C13" i="11"/>
  <c r="D18" i="10"/>
  <c r="F18" i="10"/>
  <c r="G18" i="10"/>
  <c r="E18" i="10"/>
  <c r="D15" i="10"/>
  <c r="D16" i="10" s="1"/>
  <c r="B27" i="9"/>
  <c r="B28" i="9" s="1"/>
  <c r="B29" i="9" s="1"/>
  <c r="B30" i="9" s="1"/>
  <c r="B31" i="9" s="1"/>
  <c r="E27" i="9"/>
  <c r="E28" i="9" s="1"/>
  <c r="E29" i="9" s="1"/>
  <c r="E30" i="9" s="1"/>
  <c r="E31" i="9" s="1"/>
  <c r="D11" i="9"/>
  <c r="D12" i="9" s="1"/>
  <c r="D13" i="9" s="1"/>
  <c r="D14" i="9" s="1"/>
  <c r="D15" i="9" s="1"/>
  <c r="B11" i="9"/>
  <c r="B12" i="9" s="1"/>
  <c r="B13" i="9" s="1"/>
  <c r="F27" i="9"/>
  <c r="F28" i="9" s="1"/>
  <c r="F29" i="9" s="1"/>
  <c r="F30" i="9" s="1"/>
  <c r="F31" i="9" s="1"/>
  <c r="C27" i="9"/>
  <c r="C28" i="9" s="1"/>
  <c r="C29" i="9" s="1"/>
  <c r="C30" i="9" s="1"/>
  <c r="C31" i="9" s="1"/>
  <c r="C11" i="9"/>
  <c r="C12" i="9" s="1"/>
  <c r="C13" i="9" s="1"/>
  <c r="D27" i="9"/>
  <c r="D28" i="9" s="1"/>
  <c r="D29" i="9" s="1"/>
  <c r="E11" i="9"/>
  <c r="E12" i="9" s="1"/>
  <c r="E13" i="9" s="1"/>
  <c r="F11" i="9"/>
  <c r="F12" i="9" s="1"/>
  <c r="F13" i="9" s="1"/>
  <c r="J28" i="8"/>
  <c r="J29" i="8" s="1"/>
  <c r="J30" i="8" s="1"/>
  <c r="J31" i="8" s="1"/>
  <c r="J32" i="8" s="1"/>
  <c r="J33" i="8" s="1"/>
  <c r="H28" i="8"/>
  <c r="H29" i="8" s="1"/>
  <c r="H30" i="8" s="1"/>
  <c r="H31" i="8" s="1"/>
  <c r="H32" i="8" s="1"/>
  <c r="H33" i="8" s="1"/>
  <c r="H11" i="8"/>
  <c r="H12" i="8" s="1"/>
  <c r="H13" i="8" s="1"/>
  <c r="H14" i="8" s="1"/>
  <c r="B11" i="8"/>
  <c r="B12" i="8" s="1"/>
  <c r="B13" i="8" s="1"/>
  <c r="B14" i="8" s="1"/>
  <c r="B15" i="8" s="1"/>
  <c r="B16" i="8" s="1"/>
  <c r="J11" i="8"/>
  <c r="J12" i="8" s="1"/>
  <c r="J13" i="8" s="1"/>
  <c r="J14" i="8" s="1"/>
  <c r="D11" i="8"/>
  <c r="D12" i="8" s="1"/>
  <c r="D13" i="8" s="1"/>
  <c r="D14" i="8" s="1"/>
  <c r="D15" i="8" s="1"/>
  <c r="D16" i="8" s="1"/>
  <c r="B28" i="8"/>
  <c r="B29" i="8" s="1"/>
  <c r="B30" i="8" s="1"/>
  <c r="B31" i="8" s="1"/>
  <c r="C28" i="8"/>
  <c r="C29" i="8" s="1"/>
  <c r="C30" i="8" s="1"/>
  <c r="C31" i="8" s="1"/>
  <c r="C32" i="8" s="1"/>
  <c r="C33" i="8" s="1"/>
  <c r="C11" i="8"/>
  <c r="C12" i="8" s="1"/>
  <c r="C13" i="8" s="1"/>
  <c r="C14" i="8" s="1"/>
  <c r="D28" i="8"/>
  <c r="D29" i="8" s="1"/>
  <c r="D30" i="8" s="1"/>
  <c r="D31" i="8" s="1"/>
  <c r="E28" i="8"/>
  <c r="E29" i="8" s="1"/>
  <c r="E30" i="8" s="1"/>
  <c r="E31" i="8" s="1"/>
  <c r="E32" i="8" s="1"/>
  <c r="E33" i="8" s="1"/>
  <c r="E11" i="8"/>
  <c r="E12" i="8" s="1"/>
  <c r="E13" i="8" s="1"/>
  <c r="E14" i="8" s="1"/>
  <c r="F28" i="8"/>
  <c r="F29" i="8" s="1"/>
  <c r="F30" i="8" s="1"/>
  <c r="F31" i="8" s="1"/>
  <c r="F32" i="8" s="1"/>
  <c r="F33" i="8" s="1"/>
  <c r="F11" i="8"/>
  <c r="F12" i="8" s="1"/>
  <c r="F13" i="8" s="1"/>
  <c r="F14" i="8" s="1"/>
  <c r="G28" i="8"/>
  <c r="G29" i="8" s="1"/>
  <c r="G30" i="8" s="1"/>
  <c r="G31" i="8" s="1"/>
  <c r="G32" i="8" s="1"/>
  <c r="G33" i="8" s="1"/>
  <c r="B20" i="7"/>
  <c r="B21" i="7" s="1"/>
  <c r="B22" i="7" s="1"/>
  <c r="B23" i="7" s="1"/>
  <c r="B24" i="7" s="1"/>
  <c r="B25" i="7" s="1"/>
  <c r="C20" i="7"/>
  <c r="C21" i="7" s="1"/>
  <c r="C22" i="7" s="1"/>
  <c r="C23" i="7" s="1"/>
  <c r="C24" i="7" s="1"/>
  <c r="C25" i="7" s="1"/>
  <c r="C7" i="7"/>
  <c r="C8" i="7" s="1"/>
  <c r="C9" i="7" s="1"/>
  <c r="C10" i="7" s="1"/>
  <c r="C14" i="7" s="1"/>
  <c r="B7" i="7"/>
  <c r="B8" i="7" s="1"/>
  <c r="B9" i="7" s="1"/>
  <c r="B10" i="7" s="1"/>
  <c r="E11" i="5"/>
  <c r="E12" i="5" s="1"/>
  <c r="E13" i="5" s="1"/>
  <c r="D11" i="5"/>
  <c r="D12" i="5" s="1"/>
  <c r="D13" i="5" s="1"/>
  <c r="D14" i="5" s="1"/>
  <c r="D15" i="5" s="1"/>
  <c r="C11" i="5"/>
  <c r="C12" i="5" s="1"/>
  <c r="C13" i="5" s="1"/>
  <c r="I11" i="5"/>
  <c r="G11" i="5"/>
  <c r="H11" i="5"/>
  <c r="M11" i="5"/>
  <c r="F11" i="5"/>
  <c r="F12" i="5" s="1"/>
  <c r="F13" i="5" s="1"/>
  <c r="F14" i="5" s="1"/>
  <c r="F15" i="5" s="1"/>
  <c r="L11" i="5"/>
  <c r="J11" i="5"/>
  <c r="K11" i="5"/>
  <c r="N11" i="5"/>
  <c r="G10" i="4"/>
  <c r="G11" i="4" s="1"/>
  <c r="G12" i="4" s="1"/>
  <c r="E9" i="4"/>
  <c r="E10" i="4" s="1"/>
  <c r="E11" i="4" s="1"/>
  <c r="E12" i="4" s="1"/>
  <c r="D9" i="4"/>
  <c r="D10" i="4" s="1"/>
  <c r="D11" i="4" s="1"/>
  <c r="D12" i="4" s="1"/>
  <c r="C9" i="4"/>
  <c r="C10" i="4" s="1"/>
  <c r="C11" i="4" s="1"/>
  <c r="C12" i="4" s="1"/>
  <c r="C13" i="4" s="1"/>
  <c r="C14" i="4" s="1"/>
  <c r="B9" i="4"/>
  <c r="B10" i="4" s="1"/>
  <c r="B11" i="4" s="1"/>
  <c r="B12" i="4" s="1"/>
  <c r="B13" i="4" s="1"/>
  <c r="B14" i="4" s="1"/>
  <c r="D26" i="3"/>
  <c r="D27" i="3" s="1"/>
  <c r="D28" i="3" s="1"/>
  <c r="D29" i="3" s="1"/>
  <c r="D30" i="3" s="1"/>
  <c r="D31" i="3" s="1"/>
  <c r="B26" i="3"/>
  <c r="B27" i="3" s="1"/>
  <c r="B28" i="3" s="1"/>
  <c r="B29" i="3" s="1"/>
  <c r="B30" i="3" s="1"/>
  <c r="B31" i="3" s="1"/>
  <c r="C26" i="3"/>
  <c r="C27" i="3" s="1"/>
  <c r="C28" i="3" s="1"/>
  <c r="C29" i="3" s="1"/>
  <c r="C30" i="3" s="1"/>
  <c r="C31" i="3" s="1"/>
  <c r="D10" i="3"/>
  <c r="D11" i="3" s="1"/>
  <c r="D12" i="3" s="1"/>
  <c r="D13" i="3" s="1"/>
  <c r="D14" i="3" s="1"/>
  <c r="D15" i="3" s="1"/>
  <c r="C10" i="3"/>
  <c r="C11" i="3" s="1"/>
  <c r="C12" i="3" s="1"/>
  <c r="C13" i="3" s="1"/>
  <c r="C14" i="3" s="1"/>
  <c r="C15" i="3" s="1"/>
  <c r="B10" i="3"/>
  <c r="B11" i="3" s="1"/>
  <c r="B12" i="3" s="1"/>
  <c r="B13" i="3" s="1"/>
  <c r="B14" i="3" s="1"/>
  <c r="B15" i="3" s="1"/>
  <c r="B11" i="1"/>
  <c r="B12" i="1" s="1"/>
  <c r="C27" i="1"/>
  <c r="C28" i="1" s="1"/>
  <c r="B13" i="2" l="1"/>
  <c r="B14" i="2" s="1"/>
  <c r="B16" i="2"/>
  <c r="J28" i="5"/>
  <c r="J29" i="5" s="1"/>
  <c r="J30" i="5" s="1"/>
  <c r="J31" i="5" s="1"/>
  <c r="K28" i="5"/>
  <c r="K29" i="5" s="1"/>
  <c r="K30" i="5" s="1"/>
  <c r="K31" i="5" s="1"/>
  <c r="L28" i="5"/>
  <c r="L29" i="5" s="1"/>
  <c r="L30" i="5" s="1"/>
  <c r="L31" i="5" s="1"/>
  <c r="H28" i="5"/>
  <c r="H29" i="5" s="1"/>
  <c r="H30" i="5" s="1"/>
  <c r="H31" i="5" s="1"/>
  <c r="I28" i="5"/>
  <c r="I29" i="5" s="1"/>
  <c r="I30" i="5" s="1"/>
  <c r="I31" i="5" s="1"/>
  <c r="C17" i="5"/>
  <c r="M28" i="5"/>
  <c r="M29" i="5" s="1"/>
  <c r="M30" i="5" s="1"/>
  <c r="M31" i="5" s="1"/>
  <c r="N28" i="5"/>
  <c r="N29" i="5" s="1"/>
  <c r="N30" i="5" s="1"/>
  <c r="N31" i="5" s="1"/>
  <c r="G28" i="5"/>
  <c r="G29" i="5" s="1"/>
  <c r="G30" i="5" s="1"/>
  <c r="G31" i="5" s="1"/>
  <c r="N12" i="5"/>
  <c r="N13" i="5" s="1"/>
  <c r="M12" i="5"/>
  <c r="M13" i="5" s="1"/>
  <c r="L12" i="5"/>
  <c r="L13" i="5" s="1"/>
  <c r="K12" i="5"/>
  <c r="K13" i="5" s="1"/>
  <c r="J12" i="5"/>
  <c r="J13" i="5" s="1"/>
  <c r="I12" i="5"/>
  <c r="I13" i="5" s="1"/>
  <c r="H12" i="5"/>
  <c r="H13" i="5" s="1"/>
  <c r="G12" i="5"/>
  <c r="G13" i="5" s="1"/>
  <c r="G14" i="5" s="1"/>
  <c r="G15" i="5" s="1"/>
  <c r="B15" i="10"/>
  <c r="B16" i="10" s="1"/>
  <c r="B18" i="10"/>
  <c r="B17" i="9"/>
  <c r="B14" i="9"/>
  <c r="B15" i="9" s="1"/>
  <c r="F17" i="9"/>
  <c r="F14" i="9"/>
  <c r="F15" i="9" s="1"/>
  <c r="C17" i="9"/>
  <c r="C14" i="9"/>
  <c r="C15" i="9" s="1"/>
  <c r="E17" i="9"/>
  <c r="E14" i="9"/>
  <c r="E15" i="9" s="1"/>
  <c r="D30" i="9"/>
  <c r="D31" i="9" s="1"/>
  <c r="D17" i="9"/>
  <c r="H18" i="8"/>
  <c r="H15" i="8"/>
  <c r="H16" i="8" s="1"/>
  <c r="J15" i="8"/>
  <c r="J16" i="8" s="1"/>
  <c r="J18" i="8"/>
  <c r="B32" i="8"/>
  <c r="B33" i="8" s="1"/>
  <c r="B18" i="8"/>
  <c r="E18" i="8"/>
  <c r="E15" i="8"/>
  <c r="E16" i="8" s="1"/>
  <c r="F18" i="8"/>
  <c r="F15" i="8"/>
  <c r="F16" i="8" s="1"/>
  <c r="D32" i="8"/>
  <c r="D33" i="8" s="1"/>
  <c r="D18" i="8"/>
  <c r="C15" i="8"/>
  <c r="C16" i="8" s="1"/>
  <c r="C18" i="8"/>
  <c r="G18" i="8"/>
  <c r="B14" i="7"/>
  <c r="C11" i="7"/>
  <c r="C12" i="7" s="1"/>
  <c r="B11" i="7"/>
  <c r="B12" i="7" s="1"/>
  <c r="E17" i="5"/>
  <c r="B17" i="5"/>
  <c r="E14" i="5"/>
  <c r="E15" i="5" s="1"/>
  <c r="C14" i="5"/>
  <c r="C15" i="5" s="1"/>
  <c r="B14" i="5"/>
  <c r="D30" i="5"/>
  <c r="D31" i="5" s="1"/>
  <c r="D17" i="5"/>
  <c r="F30" i="5"/>
  <c r="F31" i="5" s="1"/>
  <c r="F17" i="5"/>
  <c r="G13" i="4"/>
  <c r="G14" i="4" s="1"/>
  <c r="E13" i="4"/>
  <c r="E14" i="4" s="1"/>
  <c r="D13" i="4"/>
  <c r="D14" i="4" s="1"/>
  <c r="D17" i="3"/>
  <c r="C17" i="3"/>
  <c r="B17" i="3"/>
  <c r="D29" i="1"/>
  <c r="D30" i="1" s="1"/>
  <c r="D31" i="1" s="1"/>
  <c r="D13" i="1"/>
  <c r="D14" i="1" s="1"/>
  <c r="D15" i="1" s="1"/>
  <c r="C13" i="1"/>
  <c r="C14" i="1" s="1"/>
  <c r="C15" i="1" s="1"/>
  <c r="B13" i="1"/>
  <c r="M30" i="8" l="1"/>
  <c r="M31" i="8" s="1"/>
  <c r="N30" i="8"/>
  <c r="N31" i="8" s="1"/>
  <c r="H14" i="5"/>
  <c r="H15" i="5" s="1"/>
  <c r="H17" i="5"/>
  <c r="N17" i="5"/>
  <c r="N14" i="5"/>
  <c r="N15" i="5" s="1"/>
  <c r="M17" i="5"/>
  <c r="M14" i="5"/>
  <c r="M15" i="5" s="1"/>
  <c r="L17" i="5"/>
  <c r="L14" i="5"/>
  <c r="L15" i="5" s="1"/>
  <c r="K14" i="5"/>
  <c r="K15" i="5" s="1"/>
  <c r="K17" i="5"/>
  <c r="J14" i="5"/>
  <c r="J15" i="5" s="1"/>
  <c r="J17" i="5"/>
  <c r="I17" i="5"/>
  <c r="I14" i="5"/>
  <c r="I15" i="5" s="1"/>
  <c r="G17" i="5"/>
  <c r="C29" i="1"/>
  <c r="C30" i="1" s="1"/>
  <c r="C31" i="1" s="1"/>
  <c r="B29" i="1"/>
  <c r="D17" i="1"/>
  <c r="B14" i="1"/>
  <c r="B15" i="1" s="1"/>
  <c r="N32" i="8" l="1"/>
  <c r="N33" i="8" s="1"/>
  <c r="N18" i="8"/>
  <c r="M32" i="8"/>
  <c r="M33" i="8" s="1"/>
  <c r="M18" i="8"/>
  <c r="C17" i="1"/>
  <c r="B30" i="1"/>
  <c r="B31" i="1" s="1"/>
  <c r="B17" i="1"/>
  <c r="C24" i="4"/>
  <c r="C25" i="4"/>
  <c r="C26" i="4"/>
  <c r="C27" i="4"/>
  <c r="C16" i="4" s="1"/>
  <c r="E24" i="4"/>
  <c r="E25" i="4" s="1"/>
  <c r="E26" i="4" s="1"/>
  <c r="E27" i="4" s="1"/>
  <c r="G24" i="4"/>
  <c r="G25" i="4" s="1"/>
  <c r="G26" i="4" s="1"/>
  <c r="G27" i="4" s="1"/>
  <c r="B24" i="4"/>
  <c r="B25" i="4" s="1"/>
  <c r="B26" i="4" s="1"/>
  <c r="B27" i="4" s="1"/>
  <c r="D24" i="4"/>
  <c r="D25" i="4"/>
  <c r="D26" i="4"/>
  <c r="D27" i="4"/>
  <c r="D16" i="4" s="1"/>
  <c r="G28" i="4" l="1"/>
  <c r="G29" i="4" s="1"/>
  <c r="G16" i="4"/>
  <c r="E28" i="4"/>
  <c r="E29" i="4" s="1"/>
  <c r="E16" i="4"/>
  <c r="B16" i="4"/>
  <c r="B28" i="4"/>
  <c r="B29" i="4" s="1"/>
  <c r="C28" i="4"/>
  <c r="C29" i="4" s="1"/>
  <c r="D28" i="4"/>
  <c r="D29" i="4" s="1"/>
  <c r="B23" i="12" l="1"/>
  <c r="B28" i="12" s="1"/>
  <c r="B29" i="12" s="1"/>
  <c r="B30" i="12" s="1"/>
  <c r="B31" i="12" s="1"/>
  <c r="B32" i="12" l="1"/>
  <c r="B33" i="12" s="1"/>
  <c r="B18" i="12"/>
  <c r="B16" i="15"/>
  <c r="B20" i="15" l="1"/>
  <c r="B17" i="15"/>
  <c r="B18" i="15" s="1"/>
  <c r="D18" i="20"/>
  <c r="D20" i="20" s="1"/>
  <c r="D21" i="20" s="1"/>
  <c r="D22" i="20" s="1"/>
  <c r="D23" i="20" s="1"/>
  <c r="D14" i="20" l="1"/>
  <c r="D24" i="20"/>
  <c r="D25" i="20" s="1"/>
  <c r="C23" i="12" l="1"/>
  <c r="C28" i="12" s="1"/>
  <c r="C29" i="12" s="1"/>
  <c r="C30" i="12" s="1"/>
  <c r="C31" i="12" s="1"/>
  <c r="D23" i="12"/>
  <c r="D28" i="12" s="1"/>
  <c r="D29" i="12" s="1"/>
  <c r="D30" i="12" s="1"/>
  <c r="D31" i="12" s="1"/>
  <c r="D32" i="12" l="1"/>
  <c r="D33" i="12" s="1"/>
  <c r="D18" i="12"/>
  <c r="C18" i="12"/>
  <c r="C32" i="12"/>
  <c r="C3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Michal Blažej</author>
  </authors>
  <commentList>
    <comment ref="D1" authorId="0" shapeId="0" xr:uid="{F8B3D30E-7FC6-4E70-AB74-FCE640525981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pracvník předmontáře od 1.11.2025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Michal Blažej</author>
  </authors>
  <commentList>
    <comment ref="B19" authorId="0" shapeId="0" xr:uid="{2A78E170-43F3-4DED-90B2-FBCD9F86A20F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krátí je se jen v případě porušení pravidel BOZP</t>
        </r>
      </text>
    </comment>
    <comment ref="C19" authorId="0" shapeId="0" xr:uid="{EC683467-DA74-424B-9A9B-DF07DAD7CFA7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krátí je se jen v případě porušení pravidel BOZP</t>
        </r>
      </text>
    </comment>
    <comment ref="D19" authorId="0" shapeId="0" xr:uid="{95D826A9-702C-4112-AD29-276007DE00B9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krátí je se jen v případě porušení pravidel BOZP</t>
        </r>
      </text>
    </comment>
    <comment ref="E19" authorId="0" shapeId="0" xr:uid="{3D5A4EB5-82DA-4C6C-9BCD-AA078BCCFB1B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krátí je se jen v případě porušení pravidel BOZP</t>
        </r>
      </text>
    </comment>
    <comment ref="F19" authorId="0" shapeId="0" xr:uid="{B5080A4F-0291-48B0-BF7E-87DB32DAAA5C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krátí je se jen v případě porušení pravidel BOZP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Michal Blažej</author>
  </authors>
  <commentList>
    <comment ref="A7" authorId="0" shapeId="0" xr:uid="{86CBE117-D0CC-45F3-8BC0-755D50F2F98D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(průměrný počet hodin odpracovaných v So a Ne je v rámci nepřetržitého provozu 44h/měsíc) </t>
        </r>
      </text>
    </comment>
    <comment ref="A22" authorId="0" shapeId="0" xr:uid="{DCBEDE20-9095-4E5E-A8EB-1F60F8403728}">
      <text>
        <r>
          <rPr>
            <b/>
            <sz val="9"/>
            <color indexed="81"/>
            <rFont val="Tahoma"/>
            <family val="2"/>
            <charset val="238"/>
          </rPr>
          <t>Michal Blažej:</t>
        </r>
        <r>
          <rPr>
            <sz val="9"/>
            <color indexed="81"/>
            <rFont val="Tahoma"/>
            <family val="2"/>
            <charset val="238"/>
          </rPr>
          <t xml:space="preserve">
(průměrný počet hodin odpracovaných v So a Ne je v rámci nepřetržitého provozu 44h/měsíc) </t>
        </r>
      </text>
    </comment>
  </commentList>
</comments>
</file>

<file path=xl/sharedStrings.xml><?xml version="1.0" encoding="utf-8"?>
<sst xmlns="http://schemas.openxmlformats.org/spreadsheetml/2006/main" count="1305" uniqueCount="402">
  <si>
    <t xml:space="preserve">aktualizace: </t>
  </si>
  <si>
    <t>Základní mzda</t>
  </si>
  <si>
    <t>Mzda brutto/měsíc</t>
  </si>
  <si>
    <t>Mzda netto/měsíc</t>
  </si>
  <si>
    <t>ČISTÁ hodinová mzda</t>
  </si>
  <si>
    <t>Netto nejnižší</t>
  </si>
  <si>
    <t>Hrubá měsíční mzda nejnižší</t>
  </si>
  <si>
    <t>Průměrný čistý hodinový výdělek</t>
  </si>
  <si>
    <t>Netto nejvyšší</t>
  </si>
  <si>
    <t>Hrubá měsíční mzda nejvyšší</t>
  </si>
  <si>
    <t>Faurecia Interiors Pardubice</t>
  </si>
  <si>
    <t>T1-N operátoři</t>
  </si>
  <si>
    <t>T1-1 operátoři polyvalence, skladník</t>
  </si>
  <si>
    <t>Příplatek za noční směnu 10% min. 16 Kč/hod</t>
  </si>
  <si>
    <t>Doprava</t>
  </si>
  <si>
    <t>Příplatek za noční směnu 10%, min. 16 Kč/hod</t>
  </si>
  <si>
    <t>NORN (+maximum os.hodnocení)</t>
  </si>
  <si>
    <t>Elbas (Choceň)</t>
  </si>
  <si>
    <t>Dělník výroby ve 3 měsících</t>
  </si>
  <si>
    <t>Příplatek  za odpolední směnu 30Kč/hod</t>
  </si>
  <si>
    <t>(+ příspěvek na ubytování 3000kč)</t>
  </si>
  <si>
    <t>Faurecia Mladá Boleslav - Bezděčín</t>
  </si>
  <si>
    <t>T0 operátoři</t>
  </si>
  <si>
    <t>T2 operátoři polyvalence, skladník</t>
  </si>
  <si>
    <t>T4  Svářeč</t>
  </si>
  <si>
    <t>Os. hodnocení (až 25% základu)</t>
  </si>
  <si>
    <t>Stabilizační bonus (0-500kč)</t>
  </si>
  <si>
    <t>Bonus za přítomnost</t>
  </si>
  <si>
    <t>Strojník</t>
  </si>
  <si>
    <t>Svářeč</t>
  </si>
  <si>
    <t>Dělník:
 - v lakovně
 - manipulanční
 - strojírenský
- v čalouně
 - v elektrodílně</t>
  </si>
  <si>
    <t>Strojní zámečník</t>
  </si>
  <si>
    <t>Autoelektrikář / Automechanik</t>
  </si>
  <si>
    <t>Variabilní složka (0-3000kč)</t>
  </si>
  <si>
    <t>Příplatek za noční směnu 18%</t>
  </si>
  <si>
    <t>Motivační odměna (1750kč)</t>
  </si>
  <si>
    <t>Příplatek za směnnost (12kč/h)</t>
  </si>
  <si>
    <t>vypláceno pololetně</t>
  </si>
  <si>
    <t>Jtekt (Pardubice)</t>
  </si>
  <si>
    <t>Iveco (Vysoké Mýto)</t>
  </si>
  <si>
    <t>Pozice: operátoři výroby, logistiky, slévárny, obrobny či seřizovači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</si>
  <si>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</si>
  <si>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</si>
  <si>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</si>
  <si>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</si>
  <si>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</si>
  <si>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</si>
  <si>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</si>
  <si>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</si>
  <si>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</si>
  <si>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</si>
  <si>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</si>
  <si>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</si>
  <si>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</si>
  <si>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Příplatek za noční směnu 12%</t>
  </si>
  <si>
    <t>KPI bonus (0-10%)</t>
  </si>
  <si>
    <t>Měsíční bonus (0-5%)</t>
  </si>
  <si>
    <t>Doprava 30kč/směna</t>
  </si>
  <si>
    <t>Kogel (Choceň)</t>
  </si>
  <si>
    <t>Variabilní složka (5%)</t>
  </si>
  <si>
    <t>Noční směna (10%)</t>
  </si>
  <si>
    <t>Skladník / motnážní dělník</t>
  </si>
  <si>
    <t>reálné mzdy jsou o 35-50kč/h vyšší</t>
  </si>
  <si>
    <t>Kyb (Pardubice)</t>
  </si>
  <si>
    <t>Operátor v zk.</t>
  </si>
  <si>
    <t>Operátor po zk.</t>
  </si>
  <si>
    <t>Operátor po 2 letech</t>
  </si>
  <si>
    <t>Skladník v zk.</t>
  </si>
  <si>
    <t>Skladník po zk.</t>
  </si>
  <si>
    <t>Skladník po 2 letech</t>
  </si>
  <si>
    <t>Odměna za kvalitu</t>
  </si>
  <si>
    <t>Odměna za kvantitu</t>
  </si>
  <si>
    <t>Odpolední směna 6kč</t>
  </si>
  <si>
    <t>RNOR (+minimální os.hodnocení)</t>
  </si>
  <si>
    <t>Věrnostní bonus</t>
  </si>
  <si>
    <t>Marelli Lightning (Jihlava)</t>
  </si>
  <si>
    <t>montážní výrobní dělník</t>
  </si>
  <si>
    <t>2B</t>
  </si>
  <si>
    <t>2D</t>
  </si>
  <si>
    <t>2E</t>
  </si>
  <si>
    <t>2F</t>
  </si>
  <si>
    <t>2C</t>
  </si>
  <si>
    <t>osobní bonus (0-10%)</t>
  </si>
  <si>
    <t>Příplatek za noční směnu 32kč</t>
  </si>
  <si>
    <t>Odpolední směna 7kč</t>
  </si>
  <si>
    <t>Příspěvek na zdraví (0-1500kč)</t>
  </si>
  <si>
    <t>Novanta (Přelouč)</t>
  </si>
  <si>
    <t>Odpolední směna 5kč</t>
  </si>
  <si>
    <t>Příplatek za noční směnu 15%</t>
  </si>
  <si>
    <t>Prémie za úklid</t>
  </si>
  <si>
    <t>Prémie za úklid (0-1000)</t>
  </si>
  <si>
    <t>Pomocný skladník (2s)</t>
  </si>
  <si>
    <t>Operátor skladu (2s)</t>
  </si>
  <si>
    <t>Uklízečka (2s)</t>
  </si>
  <si>
    <t>(pouze v případě nepřetržitého)</t>
  </si>
  <si>
    <t>Pomocný dělník</t>
  </si>
  <si>
    <t>Pomocný dělník (zm+)</t>
  </si>
  <si>
    <t>Nástrojář</t>
  </si>
  <si>
    <t>Elektrikář</t>
  </si>
  <si>
    <t>Řidič vzv</t>
  </si>
  <si>
    <t>Variabilní složka 0-10%</t>
  </si>
  <si>
    <t>Nedcon (Pardubice)</t>
  </si>
  <si>
    <t>Panasonic (Pardubice)</t>
  </si>
  <si>
    <t>Tarifikace všech pozic</t>
  </si>
  <si>
    <t>T1</t>
  </si>
  <si>
    <t>T2</t>
  </si>
  <si>
    <t>T3</t>
  </si>
  <si>
    <t>T4</t>
  </si>
  <si>
    <t>T5</t>
  </si>
  <si>
    <t>T6</t>
  </si>
  <si>
    <t>T7</t>
  </si>
  <si>
    <t>T8</t>
  </si>
  <si>
    <t>Příplatek za noční směnu 10%</t>
  </si>
  <si>
    <t>Vícesměnný provoz 0-1670kč</t>
  </si>
  <si>
    <t>Příplatek za clean room 16kč</t>
  </si>
  <si>
    <t>Pračkovné</t>
  </si>
  <si>
    <t>Technistone (Hradec Králové)</t>
  </si>
  <si>
    <t>Operátor výroby</t>
  </si>
  <si>
    <t>Prémie 0-5000kč</t>
  </si>
  <si>
    <t>Příspěvek na dopravu 200-2000kč</t>
  </si>
  <si>
    <t>Stravné</t>
  </si>
  <si>
    <t>Odměna za docházku</t>
  </si>
  <si>
    <t>2G</t>
  </si>
  <si>
    <t>2H</t>
  </si>
  <si>
    <t>Prémie (0-10%)</t>
  </si>
  <si>
    <t>Kiekert (Přelouč)</t>
  </si>
  <si>
    <t>Příplatek za noční směnu 18kč</t>
  </si>
  <si>
    <t>Příplatek za směnnost 13,70kč</t>
  </si>
  <si>
    <t>Mimořádná odměna (0-1000kč)</t>
  </si>
  <si>
    <t>Odměna za pořádek</t>
  </si>
  <si>
    <t>Příspěvek ny ubytování není!</t>
  </si>
  <si>
    <t>Fond pro 2024</t>
  </si>
  <si>
    <t>Lakýrník</t>
  </si>
  <si>
    <t>ČKD (Kutná Hora)</t>
  </si>
  <si>
    <t>Tlumočník</t>
  </si>
  <si>
    <t>Kvality inspektor</t>
  </si>
  <si>
    <t>Kvalifikovaný operátor  (Machining -zkl)</t>
  </si>
  <si>
    <t>Kvalifikovaný operátor (2roky praxe)</t>
  </si>
  <si>
    <t>Kvalifikovaný operátor s certifikací)</t>
  </si>
  <si>
    <t>Produktivita</t>
  </si>
  <si>
    <t>Kvalita</t>
  </si>
  <si>
    <t>Fond Vedoucího</t>
  </si>
  <si>
    <t>Příplatek za odpolední směnu 11Kč/hod</t>
  </si>
  <si>
    <t>Příplatek za noční směnu 21Kč/hod</t>
  </si>
  <si>
    <t>GCE (Chotěboř)</t>
  </si>
  <si>
    <t>Obraběč kovů</t>
  </si>
  <si>
    <t>Strojírenský dělník</t>
  </si>
  <si>
    <t>Příplatek za noční směnu 10% (min15kč)</t>
  </si>
  <si>
    <t>Odpolední směna 10kč</t>
  </si>
  <si>
    <t>Odměna za výkon 0-1300</t>
  </si>
  <si>
    <t>Dovolené</t>
  </si>
  <si>
    <t>5 týdnů</t>
  </si>
  <si>
    <t>Motorpal (Jihlava)</t>
  </si>
  <si>
    <t>Příplatek na pracovišti 0-1000(ST) / 15kč/h (OK)</t>
  </si>
  <si>
    <t>Ztížené pracovní prostředí 12%</t>
  </si>
  <si>
    <t xml:space="preserve"> +8kč/h řidič vzv</t>
  </si>
  <si>
    <t>Finanční bonus 0-6000kč (dle tarifu)</t>
  </si>
  <si>
    <t>Manipulant / Skladník</t>
  </si>
  <si>
    <t>Prémie 0-20kč</t>
  </si>
  <si>
    <t>Nepřetržitý provoz 43,80kč</t>
  </si>
  <si>
    <t>T1-1 operátoři+, skladník</t>
  </si>
  <si>
    <t>T1-2  skladník+</t>
  </si>
  <si>
    <t>OPERÁTOR</t>
  </si>
  <si>
    <t>Jednosměnný provoz</t>
  </si>
  <si>
    <t>Třísměnný provoz</t>
  </si>
  <si>
    <t>Nepřetržitý provoz</t>
  </si>
  <si>
    <t>Nejnižší zaručená mzda</t>
  </si>
  <si>
    <t>Optimální mzda</t>
  </si>
  <si>
    <t>Příplatek za noční směnu 21kč/h</t>
  </si>
  <si>
    <t>Příplatek za odpolední směnu 11Kč/h</t>
  </si>
  <si>
    <t>Operátor 2s</t>
  </si>
  <si>
    <t>Operátor 3s</t>
  </si>
  <si>
    <t>Doprava 2Kč/od 5km/den</t>
  </si>
  <si>
    <t>(neplatí při svozu)</t>
  </si>
  <si>
    <t>Odměna z fondu mistra 0-1,5</t>
  </si>
  <si>
    <t>Odpolední 5kč/h</t>
  </si>
  <si>
    <t xml:space="preserve">Noční směna 10% </t>
  </si>
  <si>
    <t>Variabilní složka 0-4000</t>
  </si>
  <si>
    <t>Ztížené podmínky 10%</t>
  </si>
  <si>
    <t>OP výroby, logistiky, slévárny, obrobny</t>
  </si>
  <si>
    <t>Stravenkový paušál PŘI NOČNÍ</t>
  </si>
  <si>
    <t>Ch Kovo - Chroustovice</t>
  </si>
  <si>
    <t>Variabilní složka mzdy 0-6500</t>
  </si>
  <si>
    <t>Doprava při bydlišti nad 20km (1500)</t>
  </si>
  <si>
    <t>Příplatek za odpolední směnu 5Kč/h</t>
  </si>
  <si>
    <t>Dělník ve výrobě</t>
  </si>
  <si>
    <t>Operátor</t>
  </si>
  <si>
    <t>Operátor TEST</t>
  </si>
  <si>
    <t>Nejnižší zaručená</t>
  </si>
  <si>
    <t>Kingspan (Hradec Králové)</t>
  </si>
  <si>
    <t>Příplatek za odpolední  5Kč</t>
  </si>
  <si>
    <t>Příplatek za noční 15kč</t>
  </si>
  <si>
    <t>Příspěvek na údržbu oblečení</t>
  </si>
  <si>
    <t>Variabilní složka (0-30%)</t>
  </si>
  <si>
    <t>Stravenkový paušál 110kč/směna</t>
  </si>
  <si>
    <t>Variabilní složka 13kč/h</t>
  </si>
  <si>
    <t>R (+minimální os.hodnocení)</t>
  </si>
  <si>
    <t>R (+maximum os.hodnocení)</t>
  </si>
  <si>
    <t>Os. Hodnocení 0-1000kč</t>
  </si>
  <si>
    <t>Docházkový bonus 1500kč</t>
  </si>
  <si>
    <t>Mistr montáží</t>
  </si>
  <si>
    <t>Technik kvality</t>
  </si>
  <si>
    <t>Skladník</t>
  </si>
  <si>
    <t>Omnika s.r.o. (Hodonín)</t>
  </si>
  <si>
    <t>Variabilní složka mzdy 0-35%</t>
  </si>
  <si>
    <t>Faurecia Mladá Boleslav - Bakov</t>
  </si>
  <si>
    <t>T1 Operátor</t>
  </si>
  <si>
    <t>T2 Operátor/ Skladník/Svářeč</t>
  </si>
  <si>
    <t>T3 Operátor/ Skladník/Svářeč</t>
  </si>
  <si>
    <t>Příplatek za odpolední směnu 8kč/h</t>
  </si>
  <si>
    <t>Foreman SA+ST (základ)</t>
  </si>
  <si>
    <t>Foreman SA+ST (certifikát)</t>
  </si>
  <si>
    <t>Nepřetržitý provoz se základním množstvím nočních smen</t>
  </si>
  <si>
    <t>Nepřetržitý provoz s vyšším množstvím nočních smen</t>
  </si>
  <si>
    <t>Noční směnu 10% (min16kč)</t>
  </si>
  <si>
    <t>Prémie noční směna (1000-4000kč)</t>
  </si>
  <si>
    <t>Navýšení Simix pro nízké SP</t>
  </si>
  <si>
    <t>Doprava 40kč/d</t>
  </si>
  <si>
    <r>
      <t xml:space="preserve">Nejnižší </t>
    </r>
    <r>
      <rPr>
        <b/>
        <u/>
        <sz val="11"/>
        <color theme="1"/>
        <rFont val="Calibri"/>
        <family val="2"/>
        <charset val="238"/>
        <scheme val="minor"/>
      </rPr>
      <t>zaručená</t>
    </r>
    <r>
      <rPr>
        <sz val="11"/>
        <color theme="1"/>
        <rFont val="Calibri"/>
        <family val="2"/>
        <charset val="238"/>
        <scheme val="minor"/>
      </rPr>
      <t xml:space="preserve"> mzda při základním fondu</t>
    </r>
  </si>
  <si>
    <r>
      <rPr>
        <b/>
        <u/>
        <sz val="11"/>
        <color theme="1"/>
        <rFont val="Calibri"/>
        <family val="2"/>
        <charset val="238"/>
        <scheme val="minor"/>
      </rPr>
      <t>Optimální</t>
    </r>
    <r>
      <rPr>
        <sz val="11"/>
        <color theme="1"/>
        <rFont val="Calibri"/>
        <family val="2"/>
        <charset val="238"/>
        <scheme val="minor"/>
      </rPr>
      <t xml:space="preserve"> mzda při základním  a standardních odměnách</t>
    </r>
  </si>
  <si>
    <t>(3s provoz) Dvě noční směny v měsíci +plné prémie</t>
  </si>
  <si>
    <t>(3s provoz) Jedna noční směna v měsíci + základní prémie</t>
  </si>
  <si>
    <t>Příplatek za směnnost 8kč/ každá h</t>
  </si>
  <si>
    <t>Příplatek za směnnost 8kč/každá h</t>
  </si>
  <si>
    <t>Toto nabízet:</t>
  </si>
  <si>
    <r>
      <t xml:space="preserve">Průměrný </t>
    </r>
    <r>
      <rPr>
        <b/>
        <u/>
        <sz val="11"/>
        <rFont val="Calibri"/>
        <family val="2"/>
        <charset val="238"/>
        <scheme val="minor"/>
      </rPr>
      <t>čistý</t>
    </r>
    <r>
      <rPr>
        <b/>
        <sz val="11"/>
        <rFont val="Calibri"/>
        <family val="2"/>
        <charset val="238"/>
        <scheme val="minor"/>
      </rPr>
      <t xml:space="preserve"> hodinový výdělek od:</t>
    </r>
  </si>
  <si>
    <t xml:space="preserve">Aktualizace: </t>
  </si>
  <si>
    <t>Základní mzda (mzdový výměr)</t>
  </si>
  <si>
    <t>Operátor výroby SPCA</t>
  </si>
  <si>
    <t>Operátor kvality SPCA</t>
  </si>
  <si>
    <t>Operátor výroby Assembly</t>
  </si>
  <si>
    <t>(+500kč za každý přesčas od minima dvou přesčasů)</t>
  </si>
  <si>
    <t>Měsíční bonus za noční směny 0-4500kč</t>
  </si>
  <si>
    <t xml:space="preserve">Operátor kvality Assembly </t>
  </si>
  <si>
    <t>Měsíční odměma pro řidiče vzv</t>
  </si>
  <si>
    <t>Operátor skladu bez vzv</t>
  </si>
  <si>
    <t>Operátor skladu s platným vzv</t>
  </si>
  <si>
    <t>Automotive BLUČINA</t>
  </si>
  <si>
    <t>ASSEMBLY MODŘICE</t>
  </si>
  <si>
    <t>Měsíční bonus 0-1500kč kpi</t>
  </si>
  <si>
    <t>Inventec (Brno) - dva závody</t>
  </si>
  <si>
    <t>Odměna za průměrné plnění</t>
  </si>
  <si>
    <t>Laminátník, plastikář - ZK</t>
  </si>
  <si>
    <t>Laminátník, plastikář - po ZK</t>
  </si>
  <si>
    <t>Dělník dokončovny- ZK</t>
  </si>
  <si>
    <t>Dělník dokončovny- po ZK</t>
  </si>
  <si>
    <t>Dělník brusírny - ZK</t>
  </si>
  <si>
    <t>Dělník brusírny - po ZK</t>
  </si>
  <si>
    <t>Lakýrník, přípravář - ZK</t>
  </si>
  <si>
    <t>Lakýrník, přípravář - po ZK</t>
  </si>
  <si>
    <t>(2s provoz) + základní prémie</t>
  </si>
  <si>
    <t>KPI bonus (0-33%)</t>
  </si>
  <si>
    <t>Osobní ohodnocení (0-50Kč/hod)</t>
  </si>
  <si>
    <t>Příplatek za pracovní prostředí</t>
  </si>
  <si>
    <t>Doprava 35kč/směna</t>
  </si>
  <si>
    <t>SIMIX motivace</t>
  </si>
  <si>
    <t>Příplatek za noční směnu (10%)</t>
  </si>
  <si>
    <t>Bonus za zdraví (2000Kč)</t>
  </si>
  <si>
    <t>Doprava 25kč/směna</t>
  </si>
  <si>
    <t>Letiště (Praha)</t>
  </si>
  <si>
    <t>Nepřetržitý s 30% Ns a nižší VS</t>
  </si>
  <si>
    <t>Variabilní složka (30kč/h) - alespoň 25%</t>
  </si>
  <si>
    <t>Parkovné/doprava 615kč</t>
  </si>
  <si>
    <t>Příplatek za noční 10-20% (dle období)</t>
  </si>
  <si>
    <t>Stravenkový paušál 77kč/směna</t>
  </si>
  <si>
    <t>Nepřetržitý s 50% Ns a maximum VS</t>
  </si>
  <si>
    <t xml:space="preserve">Variabilní složka (30kč/h) </t>
  </si>
  <si>
    <t>Composite Components - Choceň</t>
  </si>
  <si>
    <t>(2s provoz) + plné prémie</t>
  </si>
  <si>
    <t>Operátor - handling</t>
  </si>
  <si>
    <r>
      <t xml:space="preserve">Nejnižší </t>
    </r>
    <r>
      <rPr>
        <b/>
        <u/>
        <sz val="10"/>
        <color theme="1"/>
        <rFont val="Aptos"/>
        <family val="2"/>
      </rPr>
      <t>zaručená</t>
    </r>
    <r>
      <rPr>
        <sz val="10"/>
        <color theme="1"/>
        <rFont val="Aptos"/>
        <family val="2"/>
      </rPr>
      <t xml:space="preserve"> mzda při základním fondu</t>
    </r>
  </si>
  <si>
    <r>
      <t xml:space="preserve">Průměrný </t>
    </r>
    <r>
      <rPr>
        <b/>
        <u/>
        <sz val="10"/>
        <rFont val="Aptos"/>
        <family val="2"/>
      </rPr>
      <t>čistý</t>
    </r>
    <r>
      <rPr>
        <b/>
        <sz val="10"/>
        <rFont val="Aptos"/>
        <family val="2"/>
      </rPr>
      <t xml:space="preserve"> hodinový výdělek od:</t>
    </r>
  </si>
  <si>
    <r>
      <rPr>
        <b/>
        <u/>
        <sz val="10"/>
        <color theme="1"/>
        <rFont val="Aptos"/>
        <family val="2"/>
      </rPr>
      <t>Optimální</t>
    </r>
    <r>
      <rPr>
        <sz val="10"/>
        <color theme="1"/>
        <rFont val="Aptos"/>
        <family val="2"/>
      </rPr>
      <t xml:space="preserve"> mzda při základním  a standardních odměnách</t>
    </r>
  </si>
  <si>
    <t>ABL Technic - Pardubice (Semtín)</t>
  </si>
  <si>
    <t>Operátor výrovy (ve ZK)</t>
  </si>
  <si>
    <t>Operátor výrovy (po ZK)</t>
  </si>
  <si>
    <t>Odměna za dodržování fondu a bozp</t>
  </si>
  <si>
    <t>Os. hodnocení (0-5000kč) - 100%</t>
  </si>
  <si>
    <t>Odměna za normu (0-5000kč) - 100%</t>
  </si>
  <si>
    <t>Stravenkový paušál</t>
  </si>
  <si>
    <r>
      <t xml:space="preserve">Nadstandardní plnění norem </t>
    </r>
    <r>
      <rPr>
        <sz val="8"/>
        <color theme="0"/>
        <rFont val="Calibri"/>
        <family val="2"/>
        <charset val="238"/>
        <scheme val="minor"/>
      </rPr>
      <t>(není garance)</t>
    </r>
  </si>
  <si>
    <t>(2s provoz) +plné prémie + nadstandardní prémie</t>
  </si>
  <si>
    <t>(2s provoz) +nízké, ale garantované prémie</t>
  </si>
  <si>
    <r>
      <t xml:space="preserve">Odměna za dodržování </t>
    </r>
    <r>
      <rPr>
        <b/>
        <u/>
        <sz val="11"/>
        <color theme="0"/>
        <rFont val="Calibri"/>
        <family val="2"/>
        <charset val="238"/>
        <scheme val="minor"/>
      </rPr>
      <t>fondu</t>
    </r>
    <r>
      <rPr>
        <b/>
        <sz val="11"/>
        <color theme="0"/>
        <rFont val="Calibri"/>
        <family val="2"/>
        <charset val="238"/>
        <scheme val="minor"/>
      </rPr>
      <t xml:space="preserve"> a bozp</t>
    </r>
  </si>
  <si>
    <t>Os. hodnocení (0-5000kč) - 30%</t>
  </si>
  <si>
    <t>Odměna za normu (0-5000kč) - 30%</t>
  </si>
  <si>
    <t>Os. hodnocení (až 12% základu) - 1/2</t>
  </si>
  <si>
    <t>Os. hodnocení (až 12% základu) - full</t>
  </si>
  <si>
    <t>! Máme tarify T6 od 1.1.25 - v případně potřeby, dopplnit.</t>
  </si>
  <si>
    <t>Fond pro 2025</t>
  </si>
  <si>
    <t>Dělník montáže</t>
  </si>
  <si>
    <t>SOR (Libchavy)</t>
  </si>
  <si>
    <t>JUSDA (Pardubice, Kutná Hora)</t>
  </si>
  <si>
    <t>Variabilní složka 0-5%</t>
  </si>
  <si>
    <t>Pomocný pracov. - motací automaty (3s)</t>
  </si>
  <si>
    <t>Příplatek za 3s</t>
  </si>
  <si>
    <t>Montážní dělník (2s)</t>
  </si>
  <si>
    <t>Montážnídělník (3s)</t>
  </si>
  <si>
    <t>Montážní dělník (3s)</t>
  </si>
  <si>
    <t>za odpracovanou hodinu</t>
  </si>
  <si>
    <t>Operátor výroby - Odběr</t>
  </si>
  <si>
    <t>Operátor výroby - Mísení pigmentů</t>
  </si>
  <si>
    <t>Operátor výroby - Mísení směsi</t>
  </si>
  <si>
    <t>Operátor výroby - Řidič VZV</t>
  </si>
  <si>
    <t>Příplatek za směnnost (2s+3s)</t>
  </si>
  <si>
    <t>Příplatek za směnný provoz 15%</t>
  </si>
  <si>
    <t>Dělník P2</t>
  </si>
  <si>
    <t>Dělník P3</t>
  </si>
  <si>
    <t>Dělník P4</t>
  </si>
  <si>
    <t>Dělník P5</t>
  </si>
  <si>
    <t>Dělník P6</t>
  </si>
  <si>
    <t>Variabilní složka 0-2800Kč</t>
  </si>
  <si>
    <t>Výkonná odměna (0 - 5600Kč)</t>
  </si>
  <si>
    <t xml:space="preserve">Příplatek za noční směnu 10% </t>
  </si>
  <si>
    <t>TE CONNECTIVITY (kUŘÍM)</t>
  </si>
  <si>
    <t>dopravné (0-2500)</t>
  </si>
  <si>
    <t>dopravné (0 - 2500)</t>
  </si>
  <si>
    <t>Inzerát</t>
  </si>
  <si>
    <t>náborový příspěvěk 3000Kč po zkušební době. Podmínky: splněň fond na 100%.</t>
  </si>
  <si>
    <t>BV ELEKTRONIC (HOLICE)</t>
  </si>
  <si>
    <t>Variabilní složka (plný pracovní fond) 500Kč</t>
  </si>
  <si>
    <t>Prémie za odpolední směnu (20Kč/h)</t>
  </si>
  <si>
    <t>Dělník montáže - J</t>
  </si>
  <si>
    <t>Dělník montáže - O</t>
  </si>
  <si>
    <t>Dělník montáže - S</t>
  </si>
  <si>
    <t>Dělník montáže - M</t>
  </si>
  <si>
    <t>Variabilní složka 0-1500Kč</t>
  </si>
  <si>
    <t>T1 -3  Operátor (dělník, seniorní polyvalentní, seniorní řidič VZV)</t>
  </si>
  <si>
    <t>Nástupní příplatek 18,50kč (pouze ve zkušební době)</t>
  </si>
  <si>
    <t xml:space="preserve">Tento příplatek bude vyplácen od prvního dne zaměstnání do konce kalendářního měsíce, ve kterém zaměstnanci skončí zkušební doba. Pokud zaměstnanci skončí zkušební doba v rámci prvních třech pracovních dnů kalendářního měsíce, nástupní příplatek mu za tento měsíc již nenáleží. </t>
  </si>
  <si>
    <t>administrativní poplatek 1500Kč/ubytování/osobě/měsíc</t>
  </si>
  <si>
    <t>Mzda 26 000 Kč měsíčně +</t>
  </si>
  <si>
    <t>Příplatky za směnný provoz (cca 2 000 Kč měsíčně)</t>
  </si>
  <si>
    <t>Bonus za docházku a kvalitní práci (1 500 Kč měsíčně)</t>
  </si>
  <si>
    <t>Příspěvek na dopravu (podle vzdálenosti až 2 500 Kč měsíčně)</t>
  </si>
  <si>
    <t>PCE_Dělník montáže</t>
  </si>
  <si>
    <t>Kutná Hora_Dělník montáže</t>
  </si>
  <si>
    <t xml:space="preserve">Příplatek za noční směnu 15% </t>
  </si>
  <si>
    <t>pro 3s</t>
  </si>
  <si>
    <t>Mlékarna Hlinsko</t>
  </si>
  <si>
    <t>manipulační pracovník II.</t>
  </si>
  <si>
    <t>manipulační pracovník II.- 2s</t>
  </si>
  <si>
    <t>manipulační pracovník II. - 3s</t>
  </si>
  <si>
    <t>Prémie za odpolední směnu 5Kč/h) 2S</t>
  </si>
  <si>
    <t>Prémie za odpolední směnu (9Kč/h) 3S</t>
  </si>
  <si>
    <t xml:space="preserve">Variabilní složka (plný pracovní fond) </t>
  </si>
  <si>
    <t>Výkonnostní příplatek
Výkonnostní příplatek se poskytuje všem zaměstnancům v kategorii D, kteří se podílejí na pracovních činnostech na středisku přípravy tekutého produktu a kondenzace (tzn. kmenovým zaměstnancům, ale i kmenovým zaměstnancům z jiných středisek) v závislosti náročnosti vykonávaných pracovních činností. Tento příplatek náleží i mistrům těchto středisek a ostatním mistrům, kteří zastupují mistra střediska přípravy tekutého produktu a kondenzace. Pracovní činnosti výše uvedených středisek jsou definovány v samostatné příloze č. 3 – Pracovní činnosti střediska přípravy tekutého produktu kondenzace a sušárna v kombinaci s alespoň 1 činností na středisku přípravy tekutého produktu a kondenzaci. Tento příplatek je rozdělen do čtyř skupin:
A – 10,- Kč/hodinu -přísluší zaměstnancům, kteří se zaučují nebo jsou ve zkušební době na střediscích příprava tekutého produktu a kondenzace (nový zaměstnanec, ale i kmenovým zaměstnancům z jiných středisek)
B – 20,- Kč/hodinu – přísluší zaměstnancům, kteří jsou řádně zaučeni na daných střediscích a jsou schopni samostatně vykonávat minimálně 3 pracovní činnosti na daných střediscích (v libovolné kombinaci, a to i mezi danými středisky)
Tento příplatek náleží i zaměstnancům z jiných středisek mlékárny, kteří splní tuto podmínku.
C – 30,- Kč/hodinu – přísluší zaměstnancům, kteří jsou řádně zaučeni na daných střediscích a jsou schopni samostatně vykonávat minimálně 6 pracovních činností na daných střediscích (v libovolné kombinaci, a to i mezi danými středisky)
Tento příplatek náleží i zaměstnancům z jiných středisek mlékárny, kteří splní tuto podmínku.</t>
  </si>
  <si>
    <t>Výkonností příplatek (10Kč - 30Kč)</t>
  </si>
  <si>
    <t>pracovník pomocných úklidových prací ve výrobním provozu</t>
  </si>
  <si>
    <t>pracovník pomocných úklidových prací ve výrobním provozu - 2S</t>
  </si>
  <si>
    <t>pracovník pomocných úklidových prací ve výrobním provozu - 3s</t>
  </si>
  <si>
    <t>Operátor I.</t>
  </si>
  <si>
    <t>Operátor II.</t>
  </si>
  <si>
    <t>Operátor I. - 2s</t>
  </si>
  <si>
    <t>Operátor I.- 3s</t>
  </si>
  <si>
    <t>Operátor II. - 2s</t>
  </si>
  <si>
    <t>Operátor II. - 3s</t>
  </si>
  <si>
    <t>Mzda od
HM</t>
  </si>
  <si>
    <t>Mzda do
HM</t>
  </si>
  <si>
    <t>Pozice</t>
  </si>
  <si>
    <t>manipulační pracovník II.- 2s - ve ZD</t>
  </si>
  <si>
    <t>manipulační pracovník II. - 3s - po ZD</t>
  </si>
  <si>
    <t>ostatní (nakládka..)</t>
  </si>
  <si>
    <t xml:space="preserve">Synthesia </t>
  </si>
  <si>
    <t>Příplatek za směnu</t>
  </si>
  <si>
    <t>srovnatelné podmínky na pozici operátora ve výrobě.</t>
  </si>
  <si>
    <t>základní smluvní mzda = 23 000 Kč</t>
  </si>
  <si>
    <t>týmová měsíční prémie = až 10 % ze základní mzdy, tj. až 2 300 Kč</t>
  </si>
  <si>
    <t>Příplatek za směnu (jedná se o paušální měsíční příplatek a zahrnuje práci v noci a odpoledních hodinách) = 4 050 Kč</t>
  </si>
  <si>
    <t>Příplatek za prostředí (jedná se o paušální měsíční příplatek) = 1 400 Kč</t>
  </si>
  <si>
    <r>
      <t>Příplatek za práci v sobotu a neděli (průměrný počet hodin odpracovaných v So a Ne je v rámci nepřetržitého provozu</t>
    </r>
    <r>
      <rPr>
        <b/>
        <sz val="10"/>
        <color rgb="FF242424"/>
        <rFont val="Arial"/>
        <family val="2"/>
        <charset val="238"/>
      </rPr>
      <t> 44h/měsíc</t>
    </r>
    <r>
      <rPr>
        <sz val="10"/>
        <color rgb="FF242424"/>
        <rFont val="Arial"/>
        <family val="2"/>
        <charset val="238"/>
      </rPr>
      <t>) = 29 Kč/hod, tj. 1 276 Kč (29 Kč x 44 hod.)</t>
    </r>
  </si>
  <si>
    <t>Příplatek za práci v sobotu a neděli</t>
  </si>
  <si>
    <t>Inzerovat na 35000Kč/měsíc (to je včetně příspěvku na utytování)</t>
  </si>
  <si>
    <t>Vlastní ubytování</t>
  </si>
  <si>
    <t>Ubytovna</t>
  </si>
  <si>
    <t>Ubytování</t>
  </si>
  <si>
    <t>Adient</t>
  </si>
  <si>
    <t>Příplatek za odpolední směnu</t>
  </si>
  <si>
    <t>Příplatek za práci na čalounických pozicích</t>
  </si>
  <si>
    <t>Příplatek za noční směnu</t>
  </si>
  <si>
    <t>Příplatek za noční směn</t>
  </si>
  <si>
    <t>Pracovník na montáž sedaček_T1</t>
  </si>
  <si>
    <t>Pracovník na montáž sedaček_T2</t>
  </si>
  <si>
    <t xml:space="preserve">Ostatní </t>
  </si>
  <si>
    <t>Foreman WH(základ)</t>
  </si>
  <si>
    <t>Foreman WH (certifikát)</t>
  </si>
  <si>
    <t>Candy Plus</t>
  </si>
  <si>
    <t>Operátor výroby III. / Obsluha strojního zařízení  (skilled)</t>
  </si>
  <si>
    <t>Operátor výroby IV. / Předáci / Specialisté na pracovištích
 „Baličky, Varny, Mogul“  (skilled)</t>
  </si>
  <si>
    <t xml:space="preserve">Mechnik provozní údržby </t>
  </si>
  <si>
    <t>Elektromechanik</t>
  </si>
  <si>
    <t>Kvalifikovaný tarif</t>
  </si>
  <si>
    <t xml:space="preserve">Variabilní složka </t>
  </si>
  <si>
    <t>Motivační bonus</t>
  </si>
  <si>
    <t>Prémie za noční směnu 15%</t>
  </si>
  <si>
    <t>Operátor výroby II. / Obsluha strojního zařízení  (skilled)</t>
  </si>
  <si>
    <t>(+ příspěvek na ubytování nebo utytovnu 3000kč vyjma 3.zemců). 3.zemci na ubytovně mají ubytování plně hrazené.</t>
  </si>
  <si>
    <t>Příplatek za 3s/12h</t>
  </si>
  <si>
    <t>Pracovníka předmontáže</t>
  </si>
  <si>
    <t>plus 5Kč na oběd z 45 na 50Kč/den</t>
  </si>
  <si>
    <t>Fond pro 2026</t>
  </si>
  <si>
    <t>1..1.2026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</si>
</sst>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Kč&quot;;[Red]\-#,##0\ &quot;Kč&quot;"/>
    <numFmt numFmtId="164" formatCode="#,##0\ &quot;Kč&quot;"/>
    <numFmt numFmtId="165" formatCode="#,##0.00\ &quot;Kč&quot;"/>
  </numFmts>
  <fonts count="50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rgb="FFC0000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rgb="FFFFC000"/>
      <name val="Calibri"/>
      <family val="2"/>
      <charset val="238"/>
      <scheme val="minor"/>
    </font>
    <font>
      <sz val="11"/>
      <color rgb="FFFFC000"/>
      <name val="Calibri"/>
      <family val="2"/>
      <charset val="238"/>
      <scheme val="minor"/>
    </font>
    <font>
      <b/>
      <sz val="11"/>
      <color rgb="FFFFC00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rgb="FFFF0000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u/>
      <sz val="1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Aptos"/>
      <family val="2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10"/>
      <color rgb="FFFFC000"/>
      <name val="Aptos"/>
      <family val="2"/>
    </font>
    <font>
      <b/>
      <u/>
      <sz val="10"/>
      <color theme="1"/>
      <name val="Aptos"/>
      <family val="2"/>
    </font>
    <font>
      <b/>
      <sz val="10"/>
      <color rgb="FFFFC000"/>
      <name val="Aptos"/>
      <family val="2"/>
    </font>
    <font>
      <b/>
      <u/>
      <sz val="10"/>
      <name val="Aptos"/>
      <family val="2"/>
    </font>
    <font>
      <b/>
      <sz val="10"/>
      <color rgb="FFC00000"/>
      <name val="Aptos"/>
      <family val="2"/>
    </font>
    <font>
      <i/>
      <sz val="10"/>
      <color rgb="FFFFC000"/>
      <name val="Aptos"/>
      <family val="2"/>
    </font>
    <font>
      <sz val="8"/>
      <color theme="0"/>
      <name val="Calibri"/>
      <family val="2"/>
      <charset val="238"/>
      <scheme val="minor"/>
    </font>
    <font>
      <b/>
      <u/>
      <sz val="11"/>
      <color theme="0"/>
      <name val="Calibri"/>
      <family val="2"/>
      <charset val="238"/>
      <scheme val="minor"/>
    </font>
    <font>
      <sz val="10"/>
      <color theme="1"/>
      <name val="Montserrat SemiBold"/>
      <charset val="238"/>
    </font>
    <font>
      <sz val="11"/>
      <color rgb="FF242424"/>
      <name val="Calibri"/>
      <family val="2"/>
      <charset val="238"/>
      <scheme val="minor"/>
    </font>
    <font>
      <b/>
      <sz val="12"/>
      <color rgb="FF242424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rgb="FF242424"/>
      <name val="Inherit"/>
    </font>
    <font>
      <sz val="10"/>
      <color rgb="FF242424"/>
      <name val="Arial"/>
      <family val="2"/>
      <charset val="238"/>
    </font>
    <font>
      <sz val="11"/>
      <color theme="1"/>
      <name val="Cambria"/>
      <family val="1"/>
      <charset val="238"/>
    </font>
    <font>
      <b/>
      <sz val="11"/>
      <color rgb="FF242424"/>
      <name val="Calibri"/>
      <family val="2"/>
      <charset val="238"/>
      <scheme val="minor"/>
    </font>
    <font>
      <sz val="11"/>
      <color rgb="FF242424"/>
      <name val="Calibri"/>
      <family val="2"/>
      <charset val="238"/>
    </font>
    <font>
      <b/>
      <sz val="10"/>
      <color rgb="FF242424"/>
      <name val="Arial"/>
      <family val="2"/>
      <charset val="238"/>
    </font>
    <font>
      <sz val="10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9" fillId="0" borderId="0" applyFont="0" applyFill="0" applyBorder="0" applyAlignment="0" applyProtection="0"/>
  </cellStyleXfs>
  <cellXfs count="283">
    <xf numFmtId="0" fontId="0" fillId="0" borderId="0" xfId="0"/>
    <xf numFmtId="0" fontId="2" fillId="0" borderId="0" xfId="0" applyFont="1"/>
    <xf numFmtId="14" fontId="3" fillId="2" borderId="0" xfId="0" applyNumberFormat="1" applyFont="1" applyFill="1" applyAlignment="1">
      <alignment horizontal="left" vertical="center"/>
    </xf>
    <xf numFmtId="2" fontId="4" fillId="0" borderId="0" xfId="0" applyNumberFormat="1" applyFont="1"/>
    <xf numFmtId="0" fontId="1" fillId="4" borderId="1" xfId="0" applyFont="1" applyFill="1" applyBorder="1"/>
    <xf numFmtId="3" fontId="5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0" fontId="6" fillId="3" borderId="3" xfId="0" applyFont="1" applyFill="1" applyBorder="1"/>
    <xf numFmtId="0" fontId="1" fillId="2" borderId="4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4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164" fontId="11" fillId="0" borderId="4" xfId="0" applyNumberFormat="1" applyFont="1" applyBorder="1"/>
    <xf numFmtId="3" fontId="5" fillId="0" borderId="1" xfId="0" applyNumberFormat="1" applyFont="1" applyBorder="1"/>
    <xf numFmtId="2" fontId="6" fillId="0" borderId="1" xfId="0" applyNumberFormat="1" applyFont="1" applyBorder="1"/>
    <xf numFmtId="164" fontId="5" fillId="2" borderId="1" xfId="0" applyNumberFormat="1" applyFont="1" applyFill="1" applyBorder="1"/>
    <xf numFmtId="164" fontId="5" fillId="0" borderId="2" xfId="0" applyNumberFormat="1" applyFont="1" applyBorder="1"/>
    <xf numFmtId="164" fontId="6" fillId="3" borderId="3" xfId="0" applyNumberFormat="1" applyFont="1" applyFill="1" applyBorder="1"/>
    <xf numFmtId="2" fontId="4" fillId="0" borderId="5" xfId="0" applyNumberFormat="1" applyFont="1" applyBorder="1"/>
    <xf numFmtId="2" fontId="4" fillId="0" borderId="1" xfId="0" applyNumberFormat="1" applyFont="1" applyBorder="1"/>
    <xf numFmtId="164" fontId="6" fillId="0" borderId="4" xfId="0" applyNumberFormat="1" applyFont="1" applyBorder="1"/>
    <xf numFmtId="0" fontId="6" fillId="6" borderId="3" xfId="0" applyFont="1" applyFill="1" applyBorder="1"/>
    <xf numFmtId="164" fontId="6" fillId="6" borderId="3" xfId="0" applyNumberFormat="1" applyFont="1" applyFill="1" applyBorder="1"/>
    <xf numFmtId="164" fontId="6" fillId="6" borderId="7" xfId="0" applyNumberFormat="1" applyFont="1" applyFill="1" applyBorder="1"/>
    <xf numFmtId="0" fontId="12" fillId="5" borderId="6" xfId="0" applyFont="1" applyFill="1" applyBorder="1"/>
    <xf numFmtId="0" fontId="4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right"/>
    </xf>
    <xf numFmtId="0" fontId="2" fillId="0" borderId="1" xfId="0" applyFont="1" applyBorder="1"/>
    <xf numFmtId="0" fontId="9" fillId="0" borderId="1" xfId="0" applyFont="1" applyBorder="1" applyAlignment="1">
      <alignment vertical="center"/>
    </xf>
    <xf numFmtId="14" fontId="3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" fillId="4" borderId="1" xfId="0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164" fontId="6" fillId="3" borderId="3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164" fontId="6" fillId="6" borderId="3" xfId="0" applyNumberFormat="1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5" borderId="6" xfId="0" applyFont="1" applyFill="1" applyBorder="1"/>
    <xf numFmtId="0" fontId="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14" fontId="17" fillId="2" borderId="6" xfId="0" applyNumberFormat="1" applyFont="1" applyFill="1" applyBorder="1" applyAlignment="1">
      <alignment horizontal="center" vertical="center"/>
    </xf>
    <xf numFmtId="2" fontId="18" fillId="0" borderId="6" xfId="0" applyNumberFormat="1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/>
    </xf>
    <xf numFmtId="3" fontId="5" fillId="0" borderId="16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vertical="center"/>
    </xf>
    <xf numFmtId="3" fontId="5" fillId="0" borderId="19" xfId="0" applyNumberFormat="1" applyFont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2" fontId="6" fillId="0" borderId="16" xfId="0" applyNumberFormat="1" applyFont="1" applyBorder="1" applyAlignment="1">
      <alignment vertical="center"/>
    </xf>
    <xf numFmtId="2" fontId="6" fillId="0" borderId="17" xfId="0" applyNumberFormat="1" applyFont="1" applyBorder="1" applyAlignment="1">
      <alignment vertical="center"/>
    </xf>
    <xf numFmtId="2" fontId="6" fillId="0" borderId="19" xfId="0" applyNumberFormat="1" applyFont="1" applyBorder="1" applyAlignment="1">
      <alignment vertical="center"/>
    </xf>
    <xf numFmtId="164" fontId="5" fillId="2" borderId="16" xfId="0" applyNumberFormat="1" applyFont="1" applyFill="1" applyBorder="1" applyAlignment="1">
      <alignment vertical="center"/>
    </xf>
    <xf numFmtId="164" fontId="5" fillId="2" borderId="17" xfId="0" applyNumberFormat="1" applyFont="1" applyFill="1" applyBorder="1" applyAlignment="1">
      <alignment vertical="center"/>
    </xf>
    <xf numFmtId="164" fontId="5" fillId="2" borderId="19" xfId="0" applyNumberFormat="1" applyFont="1" applyFill="1" applyBorder="1" applyAlignment="1">
      <alignment vertical="center"/>
    </xf>
    <xf numFmtId="0" fontId="0" fillId="0" borderId="22" xfId="0" applyBorder="1" applyAlignment="1">
      <alignment vertical="center"/>
    </xf>
    <xf numFmtId="164" fontId="5" fillId="0" borderId="23" xfId="0" applyNumberFormat="1" applyFont="1" applyBorder="1" applyAlignment="1">
      <alignment vertical="center"/>
    </xf>
    <xf numFmtId="164" fontId="5" fillId="0" borderId="24" xfId="0" applyNumberFormat="1" applyFont="1" applyBorder="1" applyAlignment="1">
      <alignment vertical="center"/>
    </xf>
    <xf numFmtId="164" fontId="0" fillId="0" borderId="25" xfId="0" applyNumberFormat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64" fontId="6" fillId="3" borderId="26" xfId="0" applyNumberFormat="1" applyFont="1" applyFill="1" applyBorder="1" applyAlignment="1">
      <alignment vertical="center"/>
    </xf>
    <xf numFmtId="164" fontId="6" fillId="3" borderId="27" xfId="0" applyNumberFormat="1" applyFont="1" applyFill="1" applyBorder="1" applyAlignment="1">
      <alignment vertical="center"/>
    </xf>
    <xf numFmtId="164" fontId="6" fillId="3" borderId="28" xfId="0" applyNumberFormat="1" applyFont="1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6" fillId="6" borderId="29" xfId="0" applyFont="1" applyFill="1" applyBorder="1" applyAlignment="1">
      <alignment vertical="center"/>
    </xf>
    <xf numFmtId="0" fontId="1" fillId="4" borderId="30" xfId="0" applyFont="1" applyFill="1" applyBorder="1" applyAlignment="1">
      <alignment vertical="center"/>
    </xf>
    <xf numFmtId="0" fontId="19" fillId="0" borderId="0" xfId="0" applyFont="1"/>
    <xf numFmtId="0" fontId="1" fillId="4" borderId="8" xfId="0" applyFont="1" applyFill="1" applyBorder="1"/>
    <xf numFmtId="14" fontId="3" fillId="0" borderId="0" xfId="0" applyNumberFormat="1" applyFont="1" applyAlignment="1">
      <alignment horizontal="left" vertical="center"/>
    </xf>
    <xf numFmtId="164" fontId="11" fillId="0" borderId="0" xfId="0" applyNumberFormat="1" applyFont="1"/>
    <xf numFmtId="0" fontId="6" fillId="3" borderId="26" xfId="0" applyFont="1" applyFill="1" applyBorder="1"/>
    <xf numFmtId="0" fontId="6" fillId="6" borderId="26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6" fillId="6" borderId="29" xfId="0" applyFont="1" applyFill="1" applyBorder="1"/>
    <xf numFmtId="0" fontId="22" fillId="0" borderId="1" xfId="0" applyFont="1" applyBorder="1"/>
    <xf numFmtId="0" fontId="22" fillId="0" borderId="1" xfId="0" applyFont="1" applyBorder="1" applyAlignment="1">
      <alignment vertical="center"/>
    </xf>
    <xf numFmtId="2" fontId="23" fillId="0" borderId="1" xfId="0" applyNumberFormat="1" applyFont="1" applyBorder="1"/>
    <xf numFmtId="14" fontId="22" fillId="2" borderId="1" xfId="0" applyNumberFormat="1" applyFont="1" applyFill="1" applyBorder="1" applyAlignment="1">
      <alignment horizontal="center" vertical="center"/>
    </xf>
    <xf numFmtId="0" fontId="2" fillId="6" borderId="6" xfId="0" applyFont="1" applyFill="1" applyBorder="1"/>
    <xf numFmtId="3" fontId="5" fillId="0" borderId="30" xfId="0" applyNumberFormat="1" applyFont="1" applyBorder="1"/>
    <xf numFmtId="0" fontId="1" fillId="4" borderId="32" xfId="0" applyFont="1" applyFill="1" applyBorder="1"/>
    <xf numFmtId="3" fontId="5" fillId="0" borderId="33" xfId="0" applyNumberFormat="1" applyFont="1" applyBorder="1"/>
    <xf numFmtId="3" fontId="5" fillId="2" borderId="34" xfId="0" applyNumberFormat="1" applyFont="1" applyFill="1" applyBorder="1"/>
    <xf numFmtId="0" fontId="1" fillId="4" borderId="16" xfId="0" applyFont="1" applyFill="1" applyBorder="1"/>
    <xf numFmtId="3" fontId="5" fillId="0" borderId="17" xfId="0" applyNumberFormat="1" applyFont="1" applyBorder="1"/>
    <xf numFmtId="0" fontId="1" fillId="4" borderId="35" xfId="0" applyFont="1" applyFill="1" applyBorder="1"/>
    <xf numFmtId="3" fontId="5" fillId="0" borderId="36" xfId="0" applyNumberFormat="1" applyFont="1" applyBorder="1"/>
    <xf numFmtId="3" fontId="5" fillId="0" borderId="37" xfId="0" applyNumberFormat="1" applyFont="1" applyBorder="1"/>
    <xf numFmtId="0" fontId="0" fillId="3" borderId="6" xfId="0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0" fillId="0" borderId="4" xfId="0" applyBorder="1"/>
    <xf numFmtId="164" fontId="5" fillId="0" borderId="4" xfId="0" applyNumberFormat="1" applyFont="1" applyBorder="1"/>
    <xf numFmtId="164" fontId="0" fillId="0" borderId="4" xfId="0" applyNumberFormat="1" applyBorder="1"/>
    <xf numFmtId="3" fontId="5" fillId="0" borderId="34" xfId="0" applyNumberFormat="1" applyFont="1" applyBorder="1"/>
    <xf numFmtId="2" fontId="6" fillId="0" borderId="17" xfId="0" applyNumberFormat="1" applyFont="1" applyBorder="1"/>
    <xf numFmtId="164" fontId="5" fillId="2" borderId="36" xfId="0" applyNumberFormat="1" applyFont="1" applyFill="1" applyBorder="1"/>
    <xf numFmtId="164" fontId="5" fillId="2" borderId="37" xfId="0" applyNumberFormat="1" applyFont="1" applyFill="1" applyBorder="1"/>
    <xf numFmtId="0" fontId="1" fillId="4" borderId="38" xfId="0" applyFont="1" applyFill="1" applyBorder="1"/>
    <xf numFmtId="3" fontId="5" fillId="0" borderId="39" xfId="0" applyNumberFormat="1" applyFont="1" applyBorder="1"/>
    <xf numFmtId="3" fontId="5" fillId="0" borderId="40" xfId="0" applyNumberFormat="1" applyFont="1" applyBorder="1"/>
    <xf numFmtId="0" fontId="1" fillId="4" borderId="23" xfId="0" applyFont="1" applyFill="1" applyBorder="1"/>
    <xf numFmtId="3" fontId="5" fillId="0" borderId="2" xfId="0" applyNumberFormat="1" applyFont="1" applyBorder="1"/>
    <xf numFmtId="3" fontId="5" fillId="0" borderId="22" xfId="0" applyNumberFormat="1" applyFont="1" applyBorder="1"/>
    <xf numFmtId="3" fontId="5" fillId="0" borderId="24" xfId="0" applyNumberFormat="1" applyFont="1" applyBorder="1"/>
    <xf numFmtId="164" fontId="6" fillId="3" borderId="27" xfId="0" applyNumberFormat="1" applyFont="1" applyFill="1" applyBorder="1"/>
    <xf numFmtId="0" fontId="1" fillId="4" borderId="26" xfId="0" applyFont="1" applyFill="1" applyBorder="1"/>
    <xf numFmtId="3" fontId="5" fillId="0" borderId="3" xfId="0" applyNumberFormat="1" applyFont="1" applyBorder="1"/>
    <xf numFmtId="3" fontId="5" fillId="0" borderId="27" xfId="0" applyNumberFormat="1" applyFont="1" applyBorder="1"/>
    <xf numFmtId="0" fontId="8" fillId="4" borderId="42" xfId="0" applyFont="1" applyFill="1" applyBorder="1" applyAlignment="1">
      <alignment horizontal="center" vertical="center" wrapText="1"/>
    </xf>
    <xf numFmtId="3" fontId="5" fillId="0" borderId="43" xfId="0" applyNumberFormat="1" applyFont="1" applyBorder="1"/>
    <xf numFmtId="3" fontId="5" fillId="0" borderId="32" xfId="0" applyNumberFormat="1" applyFont="1" applyBorder="1"/>
    <xf numFmtId="3" fontId="5" fillId="0" borderId="16" xfId="0" applyNumberFormat="1" applyFont="1" applyBorder="1"/>
    <xf numFmtId="3" fontId="5" fillId="0" borderId="44" xfId="0" applyNumberFormat="1" applyFont="1" applyBorder="1"/>
    <xf numFmtId="3" fontId="5" fillId="0" borderId="45" xfId="0" applyNumberFormat="1" applyFont="1" applyBorder="1"/>
    <xf numFmtId="2" fontId="6" fillId="0" borderId="16" xfId="0" applyNumberFormat="1" applyFont="1" applyBorder="1"/>
    <xf numFmtId="164" fontId="5" fillId="2" borderId="35" xfId="0" applyNumberFormat="1" applyFont="1" applyFill="1" applyBorder="1"/>
    <xf numFmtId="164" fontId="0" fillId="0" borderId="46" xfId="0" applyNumberFormat="1" applyBorder="1"/>
    <xf numFmtId="164" fontId="0" fillId="0" borderId="47" xfId="0" applyNumberFormat="1" applyBorder="1"/>
    <xf numFmtId="164" fontId="6" fillId="3" borderId="26" xfId="0" applyNumberFormat="1" applyFont="1" applyFill="1" applyBorder="1"/>
    <xf numFmtId="3" fontId="5" fillId="0" borderId="26" xfId="0" applyNumberFormat="1" applyFont="1" applyBorder="1"/>
    <xf numFmtId="3" fontId="5" fillId="0" borderId="38" xfId="0" applyNumberFormat="1" applyFont="1" applyBorder="1"/>
    <xf numFmtId="0" fontId="22" fillId="0" borderId="0" xfId="0" applyFont="1"/>
    <xf numFmtId="0" fontId="22" fillId="0" borderId="0" xfId="0" applyFont="1" applyAlignment="1">
      <alignment vertical="center"/>
    </xf>
    <xf numFmtId="14" fontId="22" fillId="2" borderId="0" xfId="0" applyNumberFormat="1" applyFont="1" applyFill="1" applyAlignment="1">
      <alignment horizontal="center" vertical="center"/>
    </xf>
    <xf numFmtId="2" fontId="23" fillId="0" borderId="0" xfId="0" applyNumberFormat="1" applyFont="1"/>
    <xf numFmtId="164" fontId="6" fillId="6" borderId="26" xfId="0" applyNumberFormat="1" applyFont="1" applyFill="1" applyBorder="1"/>
    <xf numFmtId="164" fontId="6" fillId="6" borderId="27" xfId="0" applyNumberFormat="1" applyFont="1" applyFill="1" applyBorder="1"/>
    <xf numFmtId="0" fontId="6" fillId="0" borderId="1" xfId="0" applyFont="1" applyBorder="1" applyAlignment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/>
    <xf numFmtId="0" fontId="6" fillId="5" borderId="1" xfId="0" applyFont="1" applyFill="1" applyBorder="1"/>
    <xf numFmtId="3" fontId="5" fillId="0" borderId="5" xfId="0" applyNumberFormat="1" applyFont="1" applyBorder="1"/>
    <xf numFmtId="0" fontId="24" fillId="0" borderId="1" xfId="0" applyFont="1" applyBorder="1"/>
    <xf numFmtId="0" fontId="25" fillId="0" borderId="1" xfId="0" applyFont="1" applyBorder="1" applyAlignment="1">
      <alignment vertical="center"/>
    </xf>
    <xf numFmtId="14" fontId="25" fillId="2" borderId="1" xfId="0" applyNumberFormat="1" applyFont="1" applyFill="1" applyBorder="1" applyAlignment="1">
      <alignment horizontal="center" vertical="center"/>
    </xf>
    <xf numFmtId="2" fontId="25" fillId="0" borderId="1" xfId="0" applyNumberFormat="1" applyFont="1" applyBorder="1"/>
    <xf numFmtId="0" fontId="26" fillId="0" borderId="0" xfId="0" applyFont="1"/>
    <xf numFmtId="0" fontId="27" fillId="4" borderId="1" xfId="0" applyFont="1" applyFill="1" applyBorder="1" applyAlignment="1">
      <alignment horizontal="center" vertical="center" wrapText="1"/>
    </xf>
    <xf numFmtId="0" fontId="28" fillId="5" borderId="6" xfId="0" applyFont="1" applyFill="1" applyBorder="1"/>
    <xf numFmtId="0" fontId="29" fillId="0" borderId="0" xfId="0" applyFont="1"/>
    <xf numFmtId="0" fontId="26" fillId="3" borderId="6" xfId="0" applyFont="1" applyFill="1" applyBorder="1" applyAlignment="1">
      <alignment horizontal="center" vertical="center" wrapText="1"/>
    </xf>
    <xf numFmtId="0" fontId="27" fillId="4" borderId="1" xfId="0" applyFont="1" applyFill="1" applyBorder="1"/>
    <xf numFmtId="3" fontId="25" fillId="0" borderId="1" xfId="0" applyNumberFormat="1" applyFont="1" applyBorder="1"/>
    <xf numFmtId="2" fontId="24" fillId="0" borderId="1" xfId="0" applyNumberFormat="1" applyFont="1" applyBorder="1"/>
    <xf numFmtId="164" fontId="25" fillId="2" borderId="1" xfId="0" applyNumberFormat="1" applyFont="1" applyFill="1" applyBorder="1"/>
    <xf numFmtId="0" fontId="26" fillId="0" borderId="2" xfId="0" applyFont="1" applyBorder="1"/>
    <xf numFmtId="164" fontId="26" fillId="0" borderId="2" xfId="0" applyNumberFormat="1" applyFont="1" applyBorder="1"/>
    <xf numFmtId="164" fontId="25" fillId="0" borderId="2" xfId="0" applyNumberFormat="1" applyFont="1" applyBorder="1"/>
    <xf numFmtId="0" fontId="24" fillId="3" borderId="3" xfId="0" applyFont="1" applyFill="1" applyBorder="1"/>
    <xf numFmtId="164" fontId="24" fillId="3" borderId="3" xfId="0" applyNumberFormat="1" applyFont="1" applyFill="1" applyBorder="1"/>
    <xf numFmtId="0" fontId="27" fillId="2" borderId="4" xfId="0" applyFont="1" applyFill="1" applyBorder="1"/>
    <xf numFmtId="164" fontId="31" fillId="0" borderId="4" xfId="0" applyNumberFormat="1" applyFont="1" applyBorder="1"/>
    <xf numFmtId="164" fontId="24" fillId="0" borderId="4" xfId="0" applyNumberFormat="1" applyFont="1" applyBorder="1"/>
    <xf numFmtId="0" fontId="28" fillId="6" borderId="6" xfId="0" applyFont="1" applyFill="1" applyBorder="1"/>
    <xf numFmtId="0" fontId="24" fillId="6" borderId="29" xfId="0" applyFont="1" applyFill="1" applyBorder="1"/>
    <xf numFmtId="164" fontId="24" fillId="6" borderId="3" xfId="0" applyNumberFormat="1" applyFont="1" applyFill="1" applyBorder="1"/>
    <xf numFmtId="0" fontId="26" fillId="0" borderId="4" xfId="0" applyFont="1" applyBorder="1"/>
    <xf numFmtId="164" fontId="25" fillId="0" borderId="4" xfId="0" applyNumberFormat="1" applyFont="1" applyBorder="1"/>
    <xf numFmtId="0" fontId="28" fillId="0" borderId="1" xfId="0" applyFont="1" applyBorder="1"/>
    <xf numFmtId="0" fontId="31" fillId="0" borderId="1" xfId="0" applyFont="1" applyBorder="1" applyAlignment="1">
      <alignment vertical="center"/>
    </xf>
    <xf numFmtId="14" fontId="33" fillId="2" borderId="1" xfId="0" applyNumberFormat="1" applyFont="1" applyFill="1" applyBorder="1" applyAlignment="1">
      <alignment horizontal="left" vertical="center"/>
    </xf>
    <xf numFmtId="2" fontId="26" fillId="0" borderId="5" xfId="0" applyNumberFormat="1" applyFont="1" applyBorder="1"/>
    <xf numFmtId="2" fontId="26" fillId="0" borderId="1" xfId="0" applyNumberFormat="1" applyFont="1" applyBorder="1"/>
    <xf numFmtId="2" fontId="26" fillId="0" borderId="0" xfId="0" applyNumberFormat="1" applyFont="1"/>
    <xf numFmtId="0" fontId="34" fillId="0" borderId="48" xfId="0" applyFont="1" applyBorder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4" fillId="3" borderId="6" xfId="0" applyFont="1" applyFill="1" applyBorder="1"/>
    <xf numFmtId="164" fontId="24" fillId="3" borderId="29" xfId="0" applyNumberFormat="1" applyFont="1" applyFill="1" applyBorder="1"/>
    <xf numFmtId="0" fontId="24" fillId="6" borderId="3" xfId="0" applyFont="1" applyFill="1" applyBorder="1"/>
    <xf numFmtId="0" fontId="1" fillId="4" borderId="49" xfId="0" applyFont="1" applyFill="1" applyBorder="1"/>
    <xf numFmtId="3" fontId="5" fillId="0" borderId="50" xfId="0" applyNumberFormat="1" applyFont="1" applyBorder="1"/>
    <xf numFmtId="3" fontId="5" fillId="0" borderId="51" xfId="0" applyNumberFormat="1" applyFont="1" applyBorder="1"/>
    <xf numFmtId="0" fontId="26" fillId="0" borderId="0" xfId="0" applyFont="1" applyAlignment="1">
      <alignment vertical="center" wrapText="1"/>
    </xf>
    <xf numFmtId="0" fontId="37" fillId="0" borderId="0" xfId="0" applyFont="1"/>
    <xf numFmtId="0" fontId="38" fillId="0" borderId="0" xfId="0" applyFont="1"/>
    <xf numFmtId="0" fontId="39" fillId="0" borderId="0" xfId="0" applyFont="1" applyAlignment="1">
      <alignment vertical="center" wrapText="1"/>
    </xf>
    <xf numFmtId="2" fontId="4" fillId="0" borderId="1" xfId="0" applyNumberFormat="1" applyFont="1" applyBorder="1" applyAlignment="1">
      <alignment horizontal="center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0" fillId="5" borderId="0" xfId="0" applyFill="1"/>
    <xf numFmtId="0" fontId="44" fillId="0" borderId="0" xfId="0" applyFont="1"/>
    <xf numFmtId="0" fontId="45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 indent="1"/>
    </xf>
    <xf numFmtId="0" fontId="38" fillId="0" borderId="0" xfId="0" applyFont="1" applyAlignment="1">
      <alignment vertical="center" wrapText="1"/>
    </xf>
    <xf numFmtId="14" fontId="3" fillId="2" borderId="0" xfId="0" applyNumberFormat="1" applyFont="1" applyFill="1" applyAlignment="1">
      <alignment horizontal="center" vertical="center"/>
    </xf>
    <xf numFmtId="0" fontId="0" fillId="2" borderId="20" xfId="0" applyFill="1" applyBorder="1"/>
    <xf numFmtId="0" fontId="2" fillId="2" borderId="32" xfId="0" applyFont="1" applyFill="1" applyBorder="1"/>
    <xf numFmtId="0" fontId="15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2" fillId="2" borderId="16" xfId="0" applyFont="1" applyFill="1" applyBorder="1"/>
    <xf numFmtId="0" fontId="0" fillId="2" borderId="16" xfId="0" applyFill="1" applyBorder="1"/>
    <xf numFmtId="0" fontId="0" fillId="2" borderId="35" xfId="0" applyFill="1" applyBorder="1"/>
    <xf numFmtId="0" fontId="0" fillId="2" borderId="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164" fontId="10" fillId="0" borderId="0" xfId="0" applyNumberFormat="1" applyFont="1"/>
    <xf numFmtId="3" fontId="5" fillId="5" borderId="1" xfId="0" applyNumberFormat="1" applyFont="1" applyFill="1" applyBorder="1"/>
    <xf numFmtId="3" fontId="5" fillId="8" borderId="1" xfId="0" applyNumberFormat="1" applyFont="1" applyFill="1" applyBorder="1"/>
    <xf numFmtId="3" fontId="5" fillId="8" borderId="1" xfId="0" applyNumberFormat="1" applyFont="1" applyFill="1" applyBorder="1" applyAlignment="1">
      <alignment vertical="center"/>
    </xf>
    <xf numFmtId="2" fontId="6" fillId="8" borderId="1" xfId="0" applyNumberFormat="1" applyFont="1" applyFill="1" applyBorder="1"/>
    <xf numFmtId="164" fontId="5" fillId="8" borderId="1" xfId="0" applyNumberFormat="1" applyFont="1" applyFill="1" applyBorder="1"/>
    <xf numFmtId="164" fontId="5" fillId="8" borderId="2" xfId="0" applyNumberFormat="1" applyFont="1" applyFill="1" applyBorder="1"/>
    <xf numFmtId="0" fontId="8" fillId="4" borderId="0" xfId="0" applyFont="1" applyFill="1" applyAlignment="1">
      <alignment horizontal="center" vertical="center" wrapText="1"/>
    </xf>
    <xf numFmtId="3" fontId="5" fillId="0" borderId="0" xfId="0" applyNumberFormat="1" applyFont="1"/>
    <xf numFmtId="6" fontId="7" fillId="0" borderId="0" xfId="0" applyNumberFormat="1" applyFont="1"/>
    <xf numFmtId="0" fontId="43" fillId="0" borderId="0" xfId="0" applyFont="1" applyAlignment="1">
      <alignment vertical="center" wrapText="1" readingOrder="1"/>
    </xf>
    <xf numFmtId="164" fontId="7" fillId="0" borderId="0" xfId="0" applyNumberFormat="1" applyFont="1"/>
    <xf numFmtId="165" fontId="0" fillId="0" borderId="0" xfId="0" applyNumberFormat="1"/>
    <xf numFmtId="0" fontId="0" fillId="9" borderId="0" xfId="0" applyFill="1"/>
    <xf numFmtId="0" fontId="26" fillId="9" borderId="0" xfId="0" applyFont="1" applyFill="1"/>
    <xf numFmtId="0" fontId="0" fillId="2" borderId="0" xfId="0" applyFill="1"/>
    <xf numFmtId="0" fontId="10" fillId="2" borderId="0" xfId="0" applyFont="1" applyFill="1"/>
    <xf numFmtId="165" fontId="0" fillId="2" borderId="0" xfId="0" applyNumberFormat="1" applyFill="1"/>
    <xf numFmtId="0" fontId="7" fillId="2" borderId="0" xfId="0" applyFont="1" applyFill="1"/>
    <xf numFmtId="0" fontId="48" fillId="2" borderId="0" xfId="0" applyFont="1" applyFill="1"/>
    <xf numFmtId="0" fontId="43" fillId="2" borderId="0" xfId="0" applyFont="1" applyFill="1" applyAlignment="1">
      <alignment vertical="center" wrapText="1" readingOrder="1"/>
    </xf>
    <xf numFmtId="0" fontId="43" fillId="2" borderId="0" xfId="0" applyFont="1" applyFill="1" applyAlignment="1">
      <alignment vertical="center" wrapText="1"/>
    </xf>
    <xf numFmtId="0" fontId="26" fillId="2" borderId="0" xfId="0" applyFont="1" applyFill="1"/>
    <xf numFmtId="0" fontId="12" fillId="2" borderId="6" xfId="0" applyFont="1" applyFill="1" applyBorder="1"/>
    <xf numFmtId="6" fontId="7" fillId="2" borderId="0" xfId="0" applyNumberFormat="1" applyFont="1" applyFill="1"/>
    <xf numFmtId="164" fontId="7" fillId="2" borderId="0" xfId="0" applyNumberFormat="1" applyFont="1" applyFill="1"/>
    <xf numFmtId="3" fontId="5" fillId="0" borderId="1" xfId="0" applyNumberFormat="1" applyFont="1" applyBorder="1" applyAlignment="1">
      <alignment horizontal="right"/>
    </xf>
    <xf numFmtId="164" fontId="6" fillId="0" borderId="0" xfId="0" applyNumberFormat="1" applyFont="1"/>
    <xf numFmtId="0" fontId="7" fillId="0" borderId="0" xfId="0" applyFont="1" applyAlignment="1">
      <alignment horizontal="center"/>
    </xf>
    <xf numFmtId="9" fontId="7" fillId="0" borderId="0" xfId="1" applyFont="1"/>
    <xf numFmtId="0" fontId="0" fillId="5" borderId="10" xfId="0" applyFill="1" applyBorder="1" applyAlignment="1">
      <alignment horizontal="center" vertical="center" textRotation="90" wrapText="1"/>
    </xf>
    <xf numFmtId="0" fontId="0" fillId="5" borderId="20" xfId="0" applyFill="1" applyBorder="1" applyAlignment="1">
      <alignment horizontal="center" vertical="center" textRotation="90" wrapText="1"/>
    </xf>
    <xf numFmtId="0" fontId="0" fillId="5" borderId="15" xfId="0" applyFill="1" applyBorder="1" applyAlignment="1">
      <alignment horizontal="center" vertical="center" textRotation="90" wrapText="1"/>
    </xf>
    <xf numFmtId="0" fontId="26" fillId="5" borderId="10" xfId="0" applyFont="1" applyFill="1" applyBorder="1" applyAlignment="1">
      <alignment horizontal="center" vertical="center" textRotation="90" wrapText="1"/>
    </xf>
    <xf numFmtId="0" fontId="26" fillId="5" borderId="20" xfId="0" applyFont="1" applyFill="1" applyBorder="1" applyAlignment="1">
      <alignment horizontal="center" vertical="center" textRotation="90" wrapText="1"/>
    </xf>
    <xf numFmtId="0" fontId="26" fillId="5" borderId="15" xfId="0" applyFont="1" applyFill="1" applyBorder="1" applyAlignment="1">
      <alignment horizontal="center" vertical="center" textRotation="90" wrapText="1"/>
    </xf>
    <xf numFmtId="0" fontId="12" fillId="5" borderId="9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6" fillId="5" borderId="42" xfId="0" applyFont="1" applyFill="1" applyBorder="1" applyAlignment="1">
      <alignment horizontal="center"/>
    </xf>
    <xf numFmtId="0" fontId="6" fillId="5" borderId="41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 textRotation="90"/>
    </xf>
    <xf numFmtId="0" fontId="0" fillId="5" borderId="20" xfId="0" applyFill="1" applyBorder="1" applyAlignment="1">
      <alignment horizontal="center" vertical="center" textRotation="90"/>
    </xf>
    <xf numFmtId="0" fontId="0" fillId="5" borderId="15" xfId="0" applyFill="1" applyBorder="1" applyAlignment="1">
      <alignment horizontal="center" vertical="center" textRotation="90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textRotation="180"/>
    </xf>
    <xf numFmtId="0" fontId="1" fillId="4" borderId="0" xfId="0" applyFont="1" applyFill="1" applyAlignment="1">
      <alignment horizontal="center"/>
    </xf>
    <xf numFmtId="0" fontId="12" fillId="5" borderId="9" xfId="0" applyFont="1" applyFill="1" applyBorder="1"/>
    <xf numFmtId="0" fontId="0" fillId="0" borderId="0" xfId="0"/>
    <xf numFmtId="0" fontId="12" fillId="5" borderId="9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0" borderId="3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147636</xdr:colOff>
      <xdr:row>1</xdr:row>
      <xdr:rowOff>240863</xdr:rowOff>
    </xdr:from>
    <xdr:to>
      <xdr:col>10</xdr:col>
      <xdr:colOff>216332</xdr:colOff>
      <xdr:row>20</xdr:row>
      <xdr:rowOff>48642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224A8E4C-A5B6-F76D-7D78-7D6F60218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4" y="421838"/>
          <a:ext cx="7150533" cy="3603492"/>
        </a:xfrm>
        <a:prstGeom prst="rect">
          <a:avLst/>
        </a:prstGeom>
      </xdr:spPr>
    </xdr:pic>
    <xdr:clientData/>
  </xdr:twoCellAnchor>
  <xdr:twoCellAnchor editAs="oneCell">
    <xdr:from>
      <xdr:col>5</xdr:col>
      <xdr:colOff>72638</xdr:colOff>
      <xdr:row>22</xdr:row>
      <xdr:rowOff>33337</xdr:rowOff>
    </xdr:from>
    <xdr:to>
      <xdr:col>7</xdr:col>
      <xdr:colOff>644301</xdr:colOff>
      <xdr:row>41</xdr:row>
      <xdr:rowOff>57149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B3755909-7750-0E1B-B277-A01ED872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5701" y="4371975"/>
          <a:ext cx="5096038" cy="3471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763D-726D-484E-A692-0C74A39CD752}">
  <sheetPr codeName="List1">
    <tabColor rgb="FF92D050"/>
  </sheetPr>
  <dimension ref="A1:G43"/>
  <sheetViews>
    <sheetView workbookViewId="0">
      <selection activeCell="D13" sqref="D13"/>
    </sheetView>
  </sheetViews>
  <sheetFormatPr defaultRowHeight="14.4"/>
  <cols>
    <col min="1" max="1" width="12.109375" customWidth="1"/>
    <col min="2" max="2" width="34.88671875" bestFit="1" customWidth="1"/>
    <col min="3" max="3" width="12" style="15" bestFit="1" customWidth="1"/>
    <col min="4" max="4" width="13.44140625" bestFit="1" customWidth="1"/>
    <col min="5" max="5" width="6.44140625" bestFit="1" customWidth="1"/>
    <col min="6" max="6" width="28.21875" bestFit="1" customWidth="1"/>
    <col min="7" max="7" width="10.21875" customWidth="1"/>
  </cols>
  <sheetData>
    <row r="1" spans="1:7">
      <c r="B1" s="99" t="s">
        <v>273</v>
      </c>
      <c r="C1" s="100" t="s">
        <v>226</v>
      </c>
      <c r="D1" s="102">
        <v>45582</v>
      </c>
      <c r="E1" s="101">
        <v>157.5</v>
      </c>
      <c r="F1" s="101" t="s">
        <v>131</v>
      </c>
    </row>
    <row r="2" spans="1:7" ht="15" thickBot="1"/>
    <row r="3" spans="1:7" s="11" customFormat="1" ht="29.4" thickBot="1">
      <c r="B3" s="113" t="s">
        <v>282</v>
      </c>
      <c r="C3" s="114" t="s">
        <v>274</v>
      </c>
      <c r="D3" s="114" t="s">
        <v>275</v>
      </c>
    </row>
    <row r="4" spans="1:7" ht="14.4" customHeight="1">
      <c r="A4" s="251" t="s">
        <v>218</v>
      </c>
      <c r="B4" s="105" t="s">
        <v>227</v>
      </c>
      <c r="C4" s="106">
        <f>$E$1*160</f>
        <v>25200</v>
      </c>
      <c r="D4" s="106">
        <f>$E$1*170</f>
        <v>26775</v>
      </c>
      <c r="E4" s="11"/>
      <c r="F4" s="11"/>
      <c r="G4" s="11"/>
    </row>
    <row r="5" spans="1:7">
      <c r="A5" s="252"/>
      <c r="B5" s="108" t="s">
        <v>284</v>
      </c>
      <c r="C5" s="17">
        <v>1500</v>
      </c>
      <c r="D5" s="17">
        <v>1500</v>
      </c>
      <c r="E5" s="11"/>
      <c r="F5" s="11"/>
      <c r="G5" s="11"/>
    </row>
    <row r="6" spans="1:7">
      <c r="A6" s="252"/>
      <c r="B6" s="108" t="s">
        <v>285</v>
      </c>
      <c r="C6" s="17">
        <v>1500</v>
      </c>
      <c r="D6" s="17">
        <v>1500</v>
      </c>
      <c r="E6" s="11"/>
      <c r="F6" s="11"/>
      <c r="G6" s="11"/>
    </row>
    <row r="7" spans="1:7">
      <c r="A7" s="252"/>
      <c r="B7" s="108" t="s">
        <v>283</v>
      </c>
      <c r="C7" s="17">
        <v>1500</v>
      </c>
      <c r="D7" s="17">
        <v>1500</v>
      </c>
      <c r="E7" s="11"/>
      <c r="F7" s="11"/>
      <c r="G7" s="11"/>
    </row>
    <row r="8" spans="1:7" ht="15" thickBot="1">
      <c r="A8" s="252"/>
      <c r="B8" s="122" t="s">
        <v>279</v>
      </c>
      <c r="C8" s="104">
        <f>200*($E$1/7.5)</f>
        <v>4200</v>
      </c>
      <c r="D8" s="104">
        <f>200*($E$1/7.5)</f>
        <v>4200</v>
      </c>
      <c r="E8" s="11"/>
      <c r="F8" s="11"/>
      <c r="G8" s="11"/>
    </row>
    <row r="9" spans="1:7">
      <c r="A9" s="252"/>
      <c r="B9" s="105" t="s">
        <v>2</v>
      </c>
      <c r="C9" s="106">
        <f>SUM(C4:C8)</f>
        <v>33900</v>
      </c>
      <c r="D9" s="106">
        <f>SUM(D4:D8)</f>
        <v>35475</v>
      </c>
      <c r="E9" s="11"/>
      <c r="F9" s="11"/>
      <c r="G9" s="11"/>
    </row>
    <row r="10" spans="1:7">
      <c r="A10" s="252"/>
      <c r="B10" s="108" t="s">
        <v>3</v>
      </c>
      <c r="C10" s="17">
        <f>(C9*0.74)+(30840/12)</f>
        <v>27656</v>
      </c>
      <c r="D10" s="17">
        <f>(D9*0.74)+(30840/12)</f>
        <v>28821.5</v>
      </c>
      <c r="E10" s="11"/>
      <c r="F10" s="11"/>
      <c r="G10" s="11"/>
    </row>
    <row r="11" spans="1:7">
      <c r="A11" s="252"/>
      <c r="B11" s="108" t="s">
        <v>4</v>
      </c>
      <c r="C11" s="18">
        <f>SUM(C10:C10)/E1</f>
        <v>175.5936507936508</v>
      </c>
      <c r="D11" s="18">
        <f>SUM(D10:D10)/E1</f>
        <v>182.9936507936508</v>
      </c>
      <c r="E11" s="11"/>
      <c r="F11" s="11"/>
      <c r="G11" s="11"/>
    </row>
    <row r="12" spans="1:7" ht="15" thickBot="1">
      <c r="A12" s="253"/>
      <c r="B12" s="110" t="s">
        <v>5</v>
      </c>
      <c r="C12" s="120">
        <f>C11</f>
        <v>175.5936507936508</v>
      </c>
      <c r="D12" s="120">
        <f t="shared" ref="D12" si="0">D11</f>
        <v>182.9936507936508</v>
      </c>
      <c r="E12" s="11"/>
      <c r="F12" s="11"/>
      <c r="G12" s="11"/>
    </row>
    <row r="13" spans="1:7" ht="15" thickBot="1">
      <c r="B13" s="115"/>
      <c r="C13" s="116">
        <f>C12*$E$1</f>
        <v>27656</v>
      </c>
      <c r="D13" s="117">
        <f>D12*$E$1</f>
        <v>28821.5</v>
      </c>
      <c r="E13" s="11"/>
      <c r="F13" s="11"/>
      <c r="G13" s="11"/>
    </row>
    <row r="14" spans="1:7" ht="15" thickBot="1">
      <c r="B14" s="8" t="s">
        <v>6</v>
      </c>
      <c r="C14" s="21">
        <f>(C13-2570)/0.74</f>
        <v>33900</v>
      </c>
      <c r="D14" s="21">
        <f>(D13-2570)/0.74</f>
        <v>35475</v>
      </c>
      <c r="E14" s="11"/>
      <c r="F14" s="11"/>
      <c r="G14" s="11"/>
    </row>
    <row r="15" spans="1:7" ht="15" thickBot="1">
      <c r="A15" s="11"/>
      <c r="B15" s="11"/>
      <c r="C15" s="11"/>
      <c r="D15" s="11"/>
      <c r="E15" s="11"/>
      <c r="F15" s="11"/>
      <c r="G15" s="11"/>
    </row>
    <row r="16" spans="1:7" ht="15" thickBot="1">
      <c r="A16" s="103" t="s">
        <v>224</v>
      </c>
      <c r="B16" s="98" t="s">
        <v>225</v>
      </c>
      <c r="C16" s="26">
        <f>AVERAGE(C12,C28)</f>
        <v>192.03809523809525</v>
      </c>
      <c r="D16" s="26">
        <f>AVERAGE(D12,D28)</f>
        <v>208.83492063492065</v>
      </c>
      <c r="F16" s="28" t="s">
        <v>20</v>
      </c>
      <c r="G16" s="11"/>
    </row>
    <row r="17" spans="1:7" ht="15" thickBot="1">
      <c r="E17" s="11"/>
      <c r="F17" s="11"/>
      <c r="G17" s="11"/>
    </row>
    <row r="18" spans="1:7" ht="29.4" thickBot="1">
      <c r="B18" s="113" t="s">
        <v>281</v>
      </c>
      <c r="C18" s="114" t="s">
        <v>274</v>
      </c>
      <c r="D18" s="114" t="s">
        <v>275</v>
      </c>
      <c r="E18" s="11"/>
      <c r="F18" s="11"/>
      <c r="G18" s="11"/>
    </row>
    <row r="19" spans="1:7" ht="14.4" customHeight="1">
      <c r="A19" s="251" t="s">
        <v>219</v>
      </c>
      <c r="B19" s="105" t="s">
        <v>227</v>
      </c>
      <c r="C19" s="106">
        <f>$E$1*160</f>
        <v>25200</v>
      </c>
      <c r="D19" s="118">
        <f>$E$1*170</f>
        <v>26775</v>
      </c>
      <c r="E19" s="11"/>
      <c r="F19" s="11"/>
      <c r="G19" s="11"/>
    </row>
    <row r="20" spans="1:7">
      <c r="A20" s="252"/>
      <c r="B20" s="108" t="s">
        <v>277</v>
      </c>
      <c r="C20" s="17">
        <v>5000</v>
      </c>
      <c r="D20" s="109">
        <v>5000</v>
      </c>
      <c r="E20" s="11"/>
      <c r="F20" s="11"/>
      <c r="G20" s="11"/>
    </row>
    <row r="21" spans="1:7">
      <c r="A21" s="252"/>
      <c r="B21" s="108" t="s">
        <v>278</v>
      </c>
      <c r="C21" s="17">
        <v>5000</v>
      </c>
      <c r="D21" s="109">
        <v>5000</v>
      </c>
      <c r="E21" s="11"/>
      <c r="F21" s="11"/>
      <c r="G21" s="11"/>
    </row>
    <row r="22" spans="1:7">
      <c r="A22" s="252"/>
      <c r="B22" s="108" t="s">
        <v>276</v>
      </c>
      <c r="C22" s="17">
        <v>1500</v>
      </c>
      <c r="D22" s="109">
        <v>1500</v>
      </c>
      <c r="E22" s="11"/>
      <c r="F22" s="11"/>
      <c r="G22" s="11"/>
    </row>
    <row r="23" spans="1:7">
      <c r="A23" s="252"/>
      <c r="B23" s="122" t="s">
        <v>279</v>
      </c>
      <c r="C23" s="104">
        <f>200*($E$1/7.5)</f>
        <v>4200</v>
      </c>
      <c r="D23" s="123">
        <f>200*($E$1/7.5)</f>
        <v>4200</v>
      </c>
      <c r="E23" s="11"/>
      <c r="F23" s="11"/>
      <c r="G23" s="11"/>
    </row>
    <row r="24" spans="1:7" ht="15" thickBot="1">
      <c r="A24" s="252"/>
      <c r="B24" s="194" t="s">
        <v>280</v>
      </c>
      <c r="C24" s="195">
        <v>0</v>
      </c>
      <c r="D24" s="196">
        <v>4000</v>
      </c>
      <c r="E24" s="11"/>
      <c r="F24" s="11"/>
      <c r="G24" s="11"/>
    </row>
    <row r="25" spans="1:7">
      <c r="A25" s="252"/>
      <c r="B25" s="122" t="s">
        <v>2</v>
      </c>
      <c r="C25" s="104">
        <f>SUM(C19:C24)</f>
        <v>40900</v>
      </c>
      <c r="D25" s="104">
        <f>SUM(D19:D24)</f>
        <v>46475</v>
      </c>
      <c r="E25" s="11"/>
      <c r="F25" s="11"/>
      <c r="G25" s="11"/>
    </row>
    <row r="26" spans="1:7">
      <c r="A26" s="252"/>
      <c r="B26" s="108" t="s">
        <v>3</v>
      </c>
      <c r="C26" s="17">
        <f>(C25*0.74)+(30840/12)</f>
        <v>32836</v>
      </c>
      <c r="D26" s="17">
        <f>(D25*0.74)+(30840/12)</f>
        <v>36961.5</v>
      </c>
      <c r="E26" s="11"/>
      <c r="F26" s="11"/>
      <c r="G26" s="11"/>
    </row>
    <row r="27" spans="1:7">
      <c r="A27" s="252"/>
      <c r="B27" s="108" t="s">
        <v>4</v>
      </c>
      <c r="C27" s="18">
        <f>SUM(C26:C26)/E1</f>
        <v>208.48253968253968</v>
      </c>
      <c r="D27" s="18">
        <f>SUM(D26:D26)/E1</f>
        <v>234.67619047619047</v>
      </c>
      <c r="E27" s="11"/>
      <c r="F27" s="11"/>
      <c r="G27" s="11"/>
    </row>
    <row r="28" spans="1:7" ht="15" thickBot="1">
      <c r="A28" s="253"/>
      <c r="B28" s="110" t="s">
        <v>8</v>
      </c>
      <c r="C28" s="120">
        <f>C27</f>
        <v>208.48253968253968</v>
      </c>
      <c r="D28" s="120">
        <f t="shared" ref="D28" si="1">D27</f>
        <v>234.67619047619047</v>
      </c>
      <c r="E28" s="11"/>
      <c r="F28" s="11"/>
      <c r="G28" s="11"/>
    </row>
    <row r="29" spans="1:7" ht="15" thickBot="1">
      <c r="B29" s="115"/>
      <c r="C29" s="116">
        <f>C28*$E$1</f>
        <v>32836</v>
      </c>
      <c r="D29" s="116">
        <f>D28*$E$1</f>
        <v>36961.5</v>
      </c>
      <c r="E29" s="11"/>
      <c r="F29" s="11"/>
      <c r="G29" s="11"/>
    </row>
    <row r="30" spans="1:7" ht="15" thickBot="1">
      <c r="B30" s="8" t="s">
        <v>9</v>
      </c>
      <c r="C30" s="21">
        <f>(C29-2570)/0.74</f>
        <v>40900</v>
      </c>
      <c r="D30" s="21">
        <f>(D29-2570)/0.74</f>
        <v>46475</v>
      </c>
      <c r="E30" s="11"/>
      <c r="F30" s="11"/>
      <c r="G30" s="11"/>
    </row>
    <row r="31" spans="1:7">
      <c r="E31" s="11"/>
      <c r="F31" s="11"/>
      <c r="G31" s="11"/>
    </row>
    <row r="32" spans="1:7">
      <c r="E32" s="11"/>
      <c r="F32" s="11"/>
      <c r="G32" s="11"/>
    </row>
    <row r="33" spans="6:7">
      <c r="F33" s="11"/>
      <c r="G33" s="11"/>
    </row>
    <row r="34" spans="6:7">
      <c r="F34" s="11"/>
      <c r="G34" s="11"/>
    </row>
    <row r="35" spans="6:7">
      <c r="F35" s="11"/>
      <c r="G35" s="11"/>
    </row>
    <row r="36" spans="6:7">
      <c r="F36" s="11"/>
      <c r="G36" s="11"/>
    </row>
    <row r="37" spans="6:7">
      <c r="F37" s="11"/>
      <c r="G37" s="11"/>
    </row>
    <row r="38" spans="6:7">
      <c r="F38" s="11"/>
      <c r="G38" s="11"/>
    </row>
    <row r="39" spans="6:7">
      <c r="F39" s="11"/>
      <c r="G39" s="11"/>
    </row>
    <row r="40" spans="6:7">
      <c r="F40" s="11"/>
      <c r="G40" s="11"/>
    </row>
    <row r="41" spans="6:7">
      <c r="F41" s="11"/>
      <c r="G41" s="11"/>
    </row>
    <row r="42" spans="6:7">
      <c r="F42" s="11"/>
      <c r="G42" s="11"/>
    </row>
    <row r="43" spans="6:7">
      <c r="F43" s="11"/>
      <c r="G43" s="11"/>
    </row>
  </sheetData>
  <mergeCells count="2">
    <mergeCell ref="A4:A12"/>
    <mergeCell ref="A19:A28"/>
  </mergeCells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6F81-F30E-43D8-8F7E-67167E62C9A2}">
  <sheetPr codeName="List2">
    <tabColor rgb="FF92D050"/>
  </sheetPr>
  <dimension ref="A1:K37"/>
  <sheetViews>
    <sheetView zoomScale="115" zoomScaleNormal="115" workbookViewId="0">
      <selection activeCell="D18" sqref="D18"/>
    </sheetView>
  </sheetViews>
  <sheetFormatPr defaultColWidth="8.88671875" defaultRowHeight="13.8"/>
  <cols>
    <col min="1" max="1" width="12.109375" style="161" customWidth="1"/>
    <col min="2" max="2" width="32.77734375" style="161" bestFit="1" customWidth="1"/>
    <col min="3" max="3" width="11" style="164" bestFit="1" customWidth="1"/>
    <col min="4" max="4" width="11.21875" style="161" bestFit="1" customWidth="1"/>
    <col min="5" max="5" width="11.109375" style="161" bestFit="1" customWidth="1"/>
    <col min="6" max="6" width="12.5546875" style="161" bestFit="1" customWidth="1"/>
    <col min="7" max="10" width="9.77734375" style="161" bestFit="1" customWidth="1"/>
    <col min="11" max="11" width="29.88671875" style="161" bestFit="1" customWidth="1"/>
    <col min="12" max="16384" width="8.88671875" style="161"/>
  </cols>
  <sheetData>
    <row r="1" spans="1:10">
      <c r="B1" s="157" t="s">
        <v>267</v>
      </c>
      <c r="C1" s="158" t="s">
        <v>226</v>
      </c>
      <c r="D1" s="159">
        <v>45758</v>
      </c>
      <c r="E1" s="160" t="s">
        <v>131</v>
      </c>
      <c r="F1" s="160">
        <v>162.75</v>
      </c>
    </row>
    <row r="2" spans="1:10" ht="14.4" thickBot="1"/>
    <row r="3" spans="1:10" ht="42" thickBot="1">
      <c r="B3" s="165" t="s">
        <v>250</v>
      </c>
      <c r="C3" s="162" t="s">
        <v>242</v>
      </c>
      <c r="D3" s="162" t="s">
        <v>243</v>
      </c>
      <c r="E3" s="162" t="s">
        <v>244</v>
      </c>
      <c r="F3" s="162" t="s">
        <v>245</v>
      </c>
      <c r="G3" s="162" t="s">
        <v>246</v>
      </c>
      <c r="H3" s="162" t="s">
        <v>247</v>
      </c>
      <c r="I3" s="162" t="s">
        <v>248</v>
      </c>
      <c r="J3" s="162" t="s">
        <v>249</v>
      </c>
    </row>
    <row r="4" spans="1:10" ht="14.4" customHeight="1">
      <c r="A4" s="254" t="s">
        <v>270</v>
      </c>
      <c r="B4" s="166" t="s">
        <v>1</v>
      </c>
      <c r="C4" s="167">
        <f>$F$1*104</f>
        <v>16926</v>
      </c>
      <c r="D4" s="167">
        <f>$F$1*110</f>
        <v>17902.5</v>
      </c>
      <c r="E4" s="167">
        <f>$F$1*111</f>
        <v>18065.25</v>
      </c>
      <c r="F4" s="167">
        <f>$F$1*116</f>
        <v>18879</v>
      </c>
      <c r="G4" s="167">
        <f>$F$1*103</f>
        <v>16763.25</v>
      </c>
      <c r="H4" s="167">
        <f>$F$1*109</f>
        <v>17739.75</v>
      </c>
      <c r="I4" s="167">
        <f>$F$1*140</f>
        <v>22785</v>
      </c>
      <c r="J4" s="167">
        <f>$F$1*146</f>
        <v>23761.5</v>
      </c>
    </row>
    <row r="5" spans="1:10">
      <c r="A5" s="255"/>
      <c r="B5" s="166" t="s">
        <v>251</v>
      </c>
      <c r="C5" s="167">
        <f>C4*0.2</f>
        <v>3385.2000000000003</v>
      </c>
      <c r="D5" s="167">
        <f>D4*0.2</f>
        <v>3580.5</v>
      </c>
      <c r="E5" s="167">
        <f>E4*0.2</f>
        <v>3613.05</v>
      </c>
      <c r="F5" s="167">
        <f>F4*0.2</f>
        <v>3775.8</v>
      </c>
      <c r="G5" s="167">
        <f>G4*0.2</f>
        <v>3352.65</v>
      </c>
      <c r="H5" s="167">
        <f t="shared" ref="H5:J5" si="0">H4*0.2</f>
        <v>3547.9500000000003</v>
      </c>
      <c r="I5" s="167">
        <f t="shared" si="0"/>
        <v>4557</v>
      </c>
      <c r="J5" s="167">
        <f t="shared" si="0"/>
        <v>4752.3</v>
      </c>
    </row>
    <row r="6" spans="1:10">
      <c r="A6" s="255"/>
      <c r="B6" s="166" t="s">
        <v>252</v>
      </c>
      <c r="C6" s="167">
        <f>5*$F$1</f>
        <v>813.75</v>
      </c>
      <c r="D6" s="167">
        <f>15*$F$1</f>
        <v>2441.25</v>
      </c>
      <c r="E6" s="167">
        <f>15*$F$1</f>
        <v>2441.25</v>
      </c>
      <c r="F6" s="167">
        <f>15*$F$1</f>
        <v>2441.25</v>
      </c>
      <c r="G6" s="167">
        <v>0</v>
      </c>
      <c r="H6" s="167">
        <f>47*$F$1</f>
        <v>7649.25</v>
      </c>
      <c r="I6" s="167">
        <v>0</v>
      </c>
      <c r="J6" s="167">
        <f>20*$F$1</f>
        <v>3255</v>
      </c>
    </row>
    <row r="7" spans="1:10">
      <c r="A7" s="255"/>
      <c r="B7" s="166" t="s">
        <v>257</v>
      </c>
      <c r="C7" s="167">
        <v>2000</v>
      </c>
      <c r="D7" s="167">
        <v>2000</v>
      </c>
      <c r="E7" s="167">
        <v>2000</v>
      </c>
      <c r="F7" s="167">
        <v>2000</v>
      </c>
      <c r="G7" s="167">
        <v>2000</v>
      </c>
      <c r="H7" s="167">
        <v>2000</v>
      </c>
      <c r="I7" s="167">
        <v>2000</v>
      </c>
      <c r="J7" s="167">
        <v>2000</v>
      </c>
    </row>
    <row r="8" spans="1:10">
      <c r="A8" s="255"/>
      <c r="B8" s="166" t="s">
        <v>253</v>
      </c>
      <c r="C8" s="167">
        <f>$F$1*3</f>
        <v>488.25</v>
      </c>
      <c r="D8" s="167">
        <f>$F$1*3</f>
        <v>488.25</v>
      </c>
      <c r="E8" s="167">
        <f>$F$1*5.86</f>
        <v>953.71500000000003</v>
      </c>
      <c r="F8" s="167">
        <f>$F$1*5.86</f>
        <v>953.71500000000003</v>
      </c>
      <c r="G8" s="167">
        <f>$F$1*12</f>
        <v>1953</v>
      </c>
      <c r="H8" s="167">
        <f>$F$1*12</f>
        <v>1953</v>
      </c>
      <c r="I8" s="167">
        <f>$F$1*12</f>
        <v>1953</v>
      </c>
      <c r="J8" s="167">
        <f>$F$1*12</f>
        <v>1953</v>
      </c>
    </row>
    <row r="9" spans="1:10">
      <c r="A9" s="255"/>
      <c r="B9" s="166" t="s">
        <v>256</v>
      </c>
      <c r="C9" s="167">
        <v>0</v>
      </c>
      <c r="D9" s="167">
        <v>0</v>
      </c>
      <c r="E9" s="167">
        <v>0</v>
      </c>
      <c r="F9" s="167">
        <v>0</v>
      </c>
      <c r="G9" s="167">
        <v>0</v>
      </c>
      <c r="H9" s="167">
        <v>0</v>
      </c>
      <c r="I9" s="167">
        <v>0</v>
      </c>
      <c r="J9" s="167">
        <v>0</v>
      </c>
    </row>
    <row r="10" spans="1:10">
      <c r="A10" s="255"/>
      <c r="B10" s="166" t="s">
        <v>304</v>
      </c>
      <c r="C10" s="167">
        <f>5*$F$1</f>
        <v>813.75</v>
      </c>
      <c r="D10" s="167">
        <f t="shared" ref="D10:J10" si="1">5*$F$1</f>
        <v>813.75</v>
      </c>
      <c r="E10" s="167">
        <f t="shared" si="1"/>
        <v>813.75</v>
      </c>
      <c r="F10" s="167">
        <f t="shared" si="1"/>
        <v>813.75</v>
      </c>
      <c r="G10" s="167">
        <f t="shared" si="1"/>
        <v>813.75</v>
      </c>
      <c r="H10" s="167">
        <f t="shared" si="1"/>
        <v>813.75</v>
      </c>
      <c r="I10" s="167">
        <f t="shared" si="1"/>
        <v>813.75</v>
      </c>
      <c r="J10" s="167">
        <f t="shared" si="1"/>
        <v>813.75</v>
      </c>
    </row>
    <row r="11" spans="1:10">
      <c r="A11" s="255"/>
      <c r="B11" s="166" t="s">
        <v>258</v>
      </c>
      <c r="C11" s="167">
        <f t="shared" ref="C11:J11" si="2">20*25</f>
        <v>500</v>
      </c>
      <c r="D11" s="167">
        <f>20*25</f>
        <v>500</v>
      </c>
      <c r="E11" s="167">
        <f t="shared" si="2"/>
        <v>500</v>
      </c>
      <c r="F11" s="167">
        <f t="shared" si="2"/>
        <v>500</v>
      </c>
      <c r="G11" s="167">
        <f>20*25</f>
        <v>500</v>
      </c>
      <c r="H11" s="167">
        <f t="shared" si="2"/>
        <v>500</v>
      </c>
      <c r="I11" s="167">
        <f t="shared" si="2"/>
        <v>500</v>
      </c>
      <c r="J11" s="167">
        <f t="shared" si="2"/>
        <v>500</v>
      </c>
    </row>
    <row r="12" spans="1:10">
      <c r="A12" s="255"/>
      <c r="B12" s="166" t="s">
        <v>255</v>
      </c>
      <c r="C12" s="167">
        <v>0</v>
      </c>
      <c r="D12" s="167">
        <v>0</v>
      </c>
      <c r="E12" s="167">
        <v>0</v>
      </c>
      <c r="F12" s="167">
        <v>0</v>
      </c>
      <c r="G12" s="167">
        <v>0</v>
      </c>
      <c r="H12" s="167">
        <v>0</v>
      </c>
      <c r="I12" s="167">
        <v>0</v>
      </c>
      <c r="J12" s="167">
        <v>0</v>
      </c>
    </row>
    <row r="13" spans="1:10">
      <c r="A13" s="255"/>
      <c r="B13" s="166" t="s">
        <v>2</v>
      </c>
      <c r="C13" s="167">
        <f>SUM(C4:C12)</f>
        <v>24926.95</v>
      </c>
      <c r="D13" s="167">
        <f>SUM(D4:D12)</f>
        <v>27726.25</v>
      </c>
      <c r="E13" s="167">
        <f>SUM(E4:E12)</f>
        <v>28387.014999999999</v>
      </c>
      <c r="F13" s="167">
        <f>SUM(F4:F12)</f>
        <v>29363.514999999999</v>
      </c>
      <c r="G13" s="167">
        <f t="shared" ref="G13:J13" si="3">SUM(G4:G12)</f>
        <v>25382.65</v>
      </c>
      <c r="H13" s="167">
        <f t="shared" si="3"/>
        <v>34203.699999999997</v>
      </c>
      <c r="I13" s="167">
        <f t="shared" si="3"/>
        <v>32608.75</v>
      </c>
      <c r="J13" s="167">
        <f t="shared" si="3"/>
        <v>37035.550000000003</v>
      </c>
    </row>
    <row r="14" spans="1:10">
      <c r="A14" s="255"/>
      <c r="B14" s="166" t="s">
        <v>3</v>
      </c>
      <c r="C14" s="167">
        <f t="shared" ref="C14:I14" si="4">(C13*0.74)+(30840/12)</f>
        <v>21015.942999999999</v>
      </c>
      <c r="D14" s="167">
        <f t="shared" si="4"/>
        <v>23087.424999999999</v>
      </c>
      <c r="E14" s="167">
        <f t="shared" si="4"/>
        <v>23576.391100000001</v>
      </c>
      <c r="F14" s="167">
        <f t="shared" si="4"/>
        <v>24299.001099999998</v>
      </c>
      <c r="G14" s="167">
        <f t="shared" si="4"/>
        <v>21353.161</v>
      </c>
      <c r="H14" s="167">
        <f t="shared" si="4"/>
        <v>27880.737999999998</v>
      </c>
      <c r="I14" s="167">
        <f t="shared" si="4"/>
        <v>26700.474999999999</v>
      </c>
      <c r="J14" s="167">
        <f t="shared" ref="J14" si="5">(J13*0.74)+(30840/12)</f>
        <v>29976.307000000001</v>
      </c>
    </row>
    <row r="15" spans="1:10">
      <c r="A15" s="255"/>
      <c r="B15" s="166" t="s">
        <v>4</v>
      </c>
      <c r="C15" s="168">
        <f>SUM(C14:C14)/F1</f>
        <v>129.13021812596006</v>
      </c>
      <c r="D15" s="168">
        <f>SUM(D14:D14)/F1</f>
        <v>141.85821812596006</v>
      </c>
      <c r="E15" s="168">
        <f>SUM(E14:E14)/F1</f>
        <v>144.86261812596007</v>
      </c>
      <c r="F15" s="168">
        <f>SUM(F14:F14)/F1</f>
        <v>149.30261812596004</v>
      </c>
      <c r="G15" s="168">
        <f>SUM(G14:G14)/F1</f>
        <v>131.20221812596006</v>
      </c>
      <c r="H15" s="168">
        <f>SUM(H14:H14)/F1</f>
        <v>171.31021812596003</v>
      </c>
      <c r="I15" s="168">
        <f>SUM(I14:I14)/F1</f>
        <v>164.05821812596005</v>
      </c>
      <c r="J15" s="168">
        <f>SUM(J14:J14)/F1</f>
        <v>184.18621812596007</v>
      </c>
    </row>
    <row r="16" spans="1:10" ht="14.4" thickBot="1">
      <c r="A16" s="256"/>
      <c r="B16" s="166" t="s">
        <v>5</v>
      </c>
      <c r="C16" s="169">
        <f>C15</f>
        <v>129.13021812596006</v>
      </c>
      <c r="D16" s="169">
        <f>D15</f>
        <v>141.85821812596006</v>
      </c>
      <c r="E16" s="169">
        <f>E15</f>
        <v>144.86261812596007</v>
      </c>
      <c r="F16" s="169">
        <f>F15</f>
        <v>149.30261812596004</v>
      </c>
      <c r="G16" s="169">
        <f>G15</f>
        <v>131.20221812596006</v>
      </c>
      <c r="H16" s="169">
        <f t="shared" ref="H16:J16" si="6">H15</f>
        <v>171.31021812596003</v>
      </c>
      <c r="I16" s="169">
        <f t="shared" si="6"/>
        <v>164.05821812596005</v>
      </c>
      <c r="J16" s="169">
        <f t="shared" si="6"/>
        <v>184.18621812596007</v>
      </c>
    </row>
    <row r="17" spans="1:11" ht="14.4" thickBot="1">
      <c r="B17" s="170"/>
      <c r="C17" s="171">
        <f t="shared" ref="C17:J17" si="7">C16*$F$1</f>
        <v>21015.942999999999</v>
      </c>
      <c r="D17" s="171">
        <f t="shared" si="7"/>
        <v>23087.424999999999</v>
      </c>
      <c r="E17" s="171">
        <f t="shared" si="7"/>
        <v>23576.391100000001</v>
      </c>
      <c r="F17" s="171">
        <f t="shared" si="7"/>
        <v>24299.001099999998</v>
      </c>
      <c r="G17" s="172">
        <f t="shared" si="7"/>
        <v>21353.161</v>
      </c>
      <c r="H17" s="171">
        <f t="shared" si="7"/>
        <v>27880.737999999994</v>
      </c>
      <c r="I17" s="171">
        <f t="shared" si="7"/>
        <v>26700.474999999999</v>
      </c>
      <c r="J17" s="171">
        <f t="shared" si="7"/>
        <v>29976.307000000001</v>
      </c>
    </row>
    <row r="18" spans="1:11" ht="14.4" thickBot="1">
      <c r="B18" s="173" t="s">
        <v>6</v>
      </c>
      <c r="C18" s="174">
        <f t="shared" ref="C18:I18" si="8">(C17-2570)/0.74</f>
        <v>24926.95</v>
      </c>
      <c r="D18" s="174">
        <f t="shared" si="8"/>
        <v>27726.25</v>
      </c>
      <c r="E18" s="174">
        <f t="shared" si="8"/>
        <v>28387.015000000003</v>
      </c>
      <c r="F18" s="174">
        <f t="shared" si="8"/>
        <v>29363.514999999996</v>
      </c>
      <c r="G18" s="174">
        <f t="shared" si="8"/>
        <v>25382.65</v>
      </c>
      <c r="H18" s="174">
        <f t="shared" si="8"/>
        <v>34203.69999999999</v>
      </c>
      <c r="I18" s="174">
        <f t="shared" si="8"/>
        <v>32608.75</v>
      </c>
      <c r="J18" s="174">
        <f t="shared" ref="J18" si="9">(J17-2570)/0.74</f>
        <v>37035.550000000003</v>
      </c>
    </row>
    <row r="19" spans="1:11" ht="14.4" thickBot="1">
      <c r="B19" s="175"/>
      <c r="C19" s="176"/>
      <c r="D19" s="177"/>
      <c r="E19" s="177"/>
    </row>
    <row r="20" spans="1:11" ht="14.4" thickBot="1">
      <c r="A20" s="178" t="s">
        <v>224</v>
      </c>
      <c r="B20" s="179" t="s">
        <v>271</v>
      </c>
      <c r="C20" s="180">
        <f>AVERAGE(C16,C35)</f>
        <v>136.8607287250384</v>
      </c>
      <c r="D20" s="180">
        <f>AVERAGE(D16,D35)</f>
        <v>162.8273287250384</v>
      </c>
      <c r="E20" s="180">
        <f>AVERAGE(E16,E35)</f>
        <v>152.92982872503842</v>
      </c>
      <c r="F20" s="180">
        <f t="shared" ref="F20:J20" si="10">AVERAGE(F16,F35)</f>
        <v>170.5603287250384</v>
      </c>
      <c r="G20" s="180">
        <f t="shared" si="10"/>
        <v>156.27462872503838</v>
      </c>
      <c r="H20" s="180">
        <f t="shared" si="10"/>
        <v>195.1912287250384</v>
      </c>
      <c r="I20" s="180">
        <f t="shared" si="10"/>
        <v>173.52032872503841</v>
      </c>
      <c r="J20" s="180">
        <f t="shared" si="10"/>
        <v>205.03692872503839</v>
      </c>
      <c r="K20" s="163" t="s">
        <v>20</v>
      </c>
    </row>
    <row r="21" spans="1:11" ht="14.4" thickBot="1"/>
    <row r="22" spans="1:11" ht="42" thickBot="1">
      <c r="B22" s="165" t="s">
        <v>268</v>
      </c>
      <c r="C22" s="162" t="s">
        <v>242</v>
      </c>
      <c r="D22" s="162" t="s">
        <v>243</v>
      </c>
      <c r="E22" s="162" t="s">
        <v>244</v>
      </c>
      <c r="F22" s="162" t="s">
        <v>245</v>
      </c>
      <c r="G22" s="162" t="s">
        <v>246</v>
      </c>
      <c r="H22" s="162" t="s">
        <v>247</v>
      </c>
      <c r="I22" s="162" t="s">
        <v>248</v>
      </c>
      <c r="J22" s="162" t="s">
        <v>249</v>
      </c>
    </row>
    <row r="23" spans="1:11" ht="14.4" customHeight="1">
      <c r="A23" s="254" t="s">
        <v>272</v>
      </c>
      <c r="B23" s="166" t="s">
        <v>1</v>
      </c>
      <c r="C23" s="167">
        <f>$F$1*104</f>
        <v>16926</v>
      </c>
      <c r="D23" s="167">
        <f>$F$1*110</f>
        <v>17902.5</v>
      </c>
      <c r="E23" s="167">
        <f>$F$1*111</f>
        <v>18065.25</v>
      </c>
      <c r="F23" s="167">
        <f>$F$1*116</f>
        <v>18879</v>
      </c>
      <c r="G23" s="167">
        <f>$F$1*103</f>
        <v>16763.25</v>
      </c>
      <c r="H23" s="167">
        <f>$F$1*109</f>
        <v>17739.75</v>
      </c>
      <c r="I23" s="167">
        <f>$F$1*140</f>
        <v>22785</v>
      </c>
      <c r="J23" s="167">
        <f>$F$1*146</f>
        <v>23761.5</v>
      </c>
    </row>
    <row r="24" spans="1:11">
      <c r="A24" s="255"/>
      <c r="B24" s="166" t="s">
        <v>251</v>
      </c>
      <c r="C24" s="167">
        <f>C23*0.33</f>
        <v>5585.58</v>
      </c>
      <c r="D24" s="167">
        <f>D23*0.33</f>
        <v>5907.8250000000007</v>
      </c>
      <c r="E24" s="167">
        <f>E23*0.33</f>
        <v>5961.5325000000003</v>
      </c>
      <c r="F24" s="167">
        <f>F23*0.33</f>
        <v>6230.0700000000006</v>
      </c>
      <c r="G24" s="167">
        <f>G23*0.33</f>
        <v>5531.8725000000004</v>
      </c>
      <c r="H24" s="167">
        <f t="shared" ref="H24:J24" si="11">H23*0.33</f>
        <v>5854.1175000000003</v>
      </c>
      <c r="I24" s="167">
        <f t="shared" si="11"/>
        <v>7519.05</v>
      </c>
      <c r="J24" s="167">
        <f t="shared" si="11"/>
        <v>7841.2950000000001</v>
      </c>
    </row>
    <row r="25" spans="1:11">
      <c r="A25" s="255"/>
      <c r="B25" s="166" t="s">
        <v>252</v>
      </c>
      <c r="C25" s="167">
        <f>5*$F$1</f>
        <v>813.75</v>
      </c>
      <c r="D25" s="167">
        <f t="shared" ref="D25:J25" si="12">50*$F$1</f>
        <v>8137.5</v>
      </c>
      <c r="E25" s="167">
        <f>15*$F$1</f>
        <v>2441.25</v>
      </c>
      <c r="F25" s="167">
        <f t="shared" si="12"/>
        <v>8137.5</v>
      </c>
      <c r="G25" s="167">
        <f>47*$F$1</f>
        <v>7649.25</v>
      </c>
      <c r="H25" s="167">
        <f>90*$F$1</f>
        <v>14647.5</v>
      </c>
      <c r="I25" s="167">
        <v>0</v>
      </c>
      <c r="J25" s="167">
        <f t="shared" si="12"/>
        <v>8137.5</v>
      </c>
    </row>
    <row r="26" spans="1:11">
      <c r="A26" s="255"/>
      <c r="B26" s="166" t="s">
        <v>257</v>
      </c>
      <c r="C26" s="167">
        <v>2000</v>
      </c>
      <c r="D26" s="167">
        <v>2000</v>
      </c>
      <c r="E26" s="167">
        <v>2000</v>
      </c>
      <c r="F26" s="167">
        <v>2000</v>
      </c>
      <c r="G26" s="167">
        <v>2000</v>
      </c>
      <c r="H26" s="167">
        <v>2000</v>
      </c>
      <c r="I26" s="167">
        <v>2000</v>
      </c>
      <c r="J26" s="167">
        <v>2000</v>
      </c>
    </row>
    <row r="27" spans="1:11">
      <c r="A27" s="255"/>
      <c r="B27" s="166" t="s">
        <v>253</v>
      </c>
      <c r="C27" s="167">
        <f>$F$1*3</f>
        <v>488.25</v>
      </c>
      <c r="D27" s="167">
        <f>$F$1*3</f>
        <v>488.25</v>
      </c>
      <c r="E27" s="167">
        <f>$F$1*5.86</f>
        <v>953.71500000000003</v>
      </c>
      <c r="F27" s="167">
        <f>$F$1*5.86</f>
        <v>953.71500000000003</v>
      </c>
      <c r="G27" s="167">
        <f>$F$1*12</f>
        <v>1953</v>
      </c>
      <c r="H27" s="167">
        <f>$F$1*12</f>
        <v>1953</v>
      </c>
      <c r="I27" s="167">
        <f>$F$1*12</f>
        <v>1953</v>
      </c>
      <c r="J27" s="167">
        <f>$F$1*12</f>
        <v>1953</v>
      </c>
    </row>
    <row r="28" spans="1:11">
      <c r="A28" s="255"/>
      <c r="B28" s="166" t="s">
        <v>256</v>
      </c>
      <c r="C28" s="167">
        <v>0</v>
      </c>
      <c r="D28" s="167">
        <v>0</v>
      </c>
      <c r="E28" s="167">
        <v>0</v>
      </c>
      <c r="F28" s="167">
        <v>0</v>
      </c>
      <c r="G28" s="167">
        <v>0</v>
      </c>
      <c r="H28" s="167">
        <v>0</v>
      </c>
      <c r="I28" s="167">
        <v>0</v>
      </c>
      <c r="J28" s="167">
        <v>0</v>
      </c>
    </row>
    <row r="29" spans="1:11">
      <c r="A29" s="255"/>
      <c r="B29" s="166" t="s">
        <v>304</v>
      </c>
      <c r="C29" s="167">
        <f>5*$F$1</f>
        <v>813.75</v>
      </c>
      <c r="D29" s="167">
        <f t="shared" ref="D29:J29" si="13">5*$F$1</f>
        <v>813.75</v>
      </c>
      <c r="E29" s="167">
        <f t="shared" si="13"/>
        <v>813.75</v>
      </c>
      <c r="F29" s="167">
        <f t="shared" si="13"/>
        <v>813.75</v>
      </c>
      <c r="G29" s="167">
        <f t="shared" si="13"/>
        <v>813.75</v>
      </c>
      <c r="H29" s="167">
        <f t="shared" si="13"/>
        <v>813.75</v>
      </c>
      <c r="I29" s="167">
        <f t="shared" si="13"/>
        <v>813.75</v>
      </c>
      <c r="J29" s="167">
        <f t="shared" si="13"/>
        <v>813.75</v>
      </c>
    </row>
    <row r="30" spans="1:11">
      <c r="A30" s="255"/>
      <c r="B30" s="166" t="s">
        <v>254</v>
      </c>
      <c r="C30" s="167">
        <f t="shared" ref="C30:J30" si="14">35*20</f>
        <v>700</v>
      </c>
      <c r="D30" s="167">
        <f t="shared" si="14"/>
        <v>700</v>
      </c>
      <c r="E30" s="167">
        <f t="shared" si="14"/>
        <v>700</v>
      </c>
      <c r="F30" s="167">
        <f t="shared" si="14"/>
        <v>700</v>
      </c>
      <c r="G30" s="167">
        <f>35*20</f>
        <v>700</v>
      </c>
      <c r="H30" s="167">
        <f>35*20</f>
        <v>700</v>
      </c>
      <c r="I30" s="167">
        <f t="shared" si="14"/>
        <v>700</v>
      </c>
      <c r="J30" s="167">
        <f t="shared" si="14"/>
        <v>700</v>
      </c>
    </row>
    <row r="31" spans="1:11">
      <c r="A31" s="255"/>
      <c r="B31" s="166" t="s">
        <v>255</v>
      </c>
      <c r="C31" s="167">
        <v>1000</v>
      </c>
      <c r="D31" s="167">
        <v>1000</v>
      </c>
      <c r="E31" s="167">
        <v>1000</v>
      </c>
      <c r="F31" s="167">
        <v>1000</v>
      </c>
      <c r="G31" s="167">
        <v>1000</v>
      </c>
      <c r="H31" s="167">
        <v>1000</v>
      </c>
      <c r="I31" s="167">
        <v>1000</v>
      </c>
      <c r="J31" s="167">
        <v>1000</v>
      </c>
    </row>
    <row r="32" spans="1:11">
      <c r="A32" s="255"/>
      <c r="B32" s="166" t="s">
        <v>2</v>
      </c>
      <c r="C32" s="167">
        <f>SUM(C23:C31)</f>
        <v>28327.33</v>
      </c>
      <c r="D32" s="167">
        <f>SUM(D23:D31)</f>
        <v>36949.824999999997</v>
      </c>
      <c r="E32" s="167">
        <f>SUM(E23:E31)</f>
        <v>31935.497500000001</v>
      </c>
      <c r="F32" s="167">
        <f>SUM(F23:F31)</f>
        <v>38714.034999999996</v>
      </c>
      <c r="G32" s="167">
        <f t="shared" ref="G32:J32" si="15">SUM(G23:G31)</f>
        <v>36411.122499999998</v>
      </c>
      <c r="H32" s="167">
        <f t="shared" si="15"/>
        <v>44708.1175</v>
      </c>
      <c r="I32" s="167">
        <f t="shared" si="15"/>
        <v>36770.800000000003</v>
      </c>
      <c r="J32" s="167">
        <f t="shared" si="15"/>
        <v>46207.044999999998</v>
      </c>
    </row>
    <row r="33" spans="1:10">
      <c r="A33" s="255"/>
      <c r="B33" s="166" t="s">
        <v>3</v>
      </c>
      <c r="C33" s="167">
        <f t="shared" ref="C33:I33" si="16">(C32*0.74)+(30840/12)</f>
        <v>23532.224200000001</v>
      </c>
      <c r="D33" s="167">
        <f t="shared" si="16"/>
        <v>29912.870499999997</v>
      </c>
      <c r="E33" s="167">
        <f t="shared" si="16"/>
        <v>26202.26815</v>
      </c>
      <c r="F33" s="167">
        <f t="shared" si="16"/>
        <v>31218.385899999997</v>
      </c>
      <c r="G33" s="167">
        <f t="shared" si="16"/>
        <v>29514.230649999998</v>
      </c>
      <c r="H33" s="167">
        <f t="shared" si="16"/>
        <v>35654.006950000003</v>
      </c>
      <c r="I33" s="167">
        <f t="shared" si="16"/>
        <v>29780.392000000003</v>
      </c>
      <c r="J33" s="167">
        <f t="shared" ref="J33" si="17">(J32*0.74)+(30840/12)</f>
        <v>36763.213299999996</v>
      </c>
    </row>
    <row r="34" spans="1:10">
      <c r="A34" s="255"/>
      <c r="B34" s="166" t="s">
        <v>4</v>
      </c>
      <c r="C34" s="168">
        <f>SUM(C33:C33)/F1</f>
        <v>144.59123932411674</v>
      </c>
      <c r="D34" s="168">
        <f>SUM(D33:D33)/F1</f>
        <v>183.79643932411673</v>
      </c>
      <c r="E34" s="168">
        <f>SUM(E33:E33)/F1</f>
        <v>160.99703932411674</v>
      </c>
      <c r="F34" s="168">
        <f>SUM(F33:F33)/F1</f>
        <v>191.81803932411674</v>
      </c>
      <c r="G34" s="168">
        <f>SUM(G33:G33)/F1</f>
        <v>181.34703932411674</v>
      </c>
      <c r="H34" s="168">
        <f>SUM(H33:H33)/F1</f>
        <v>219.07223932411677</v>
      </c>
      <c r="I34" s="168">
        <f>SUM(I33:I33)/F1</f>
        <v>182.98243932411677</v>
      </c>
      <c r="J34" s="168">
        <f>SUM(J33:J33)/F1</f>
        <v>225.88763932411672</v>
      </c>
    </row>
    <row r="35" spans="1:10" ht="14.4" thickBot="1">
      <c r="A35" s="256"/>
      <c r="B35" s="166" t="s">
        <v>5</v>
      </c>
      <c r="C35" s="169">
        <f>C34</f>
        <v>144.59123932411674</v>
      </c>
      <c r="D35" s="169">
        <f>D34</f>
        <v>183.79643932411673</v>
      </c>
      <c r="E35" s="169">
        <f>E34</f>
        <v>160.99703932411674</v>
      </c>
      <c r="F35" s="169">
        <f>F34</f>
        <v>191.81803932411674</v>
      </c>
      <c r="G35" s="169">
        <f>G34</f>
        <v>181.34703932411674</v>
      </c>
      <c r="H35" s="169">
        <f t="shared" ref="H35:J35" si="18">H34</f>
        <v>219.07223932411677</v>
      </c>
      <c r="I35" s="169">
        <f t="shared" si="18"/>
        <v>182.98243932411677</v>
      </c>
      <c r="J35" s="169">
        <f t="shared" si="18"/>
        <v>225.88763932411672</v>
      </c>
    </row>
    <row r="36" spans="1:10" ht="14.4" thickBot="1">
      <c r="B36" s="181"/>
      <c r="C36" s="182">
        <f t="shared" ref="C36:J36" si="19">C35*$F$1</f>
        <v>23532.224200000001</v>
      </c>
      <c r="D36" s="182">
        <f t="shared" si="19"/>
        <v>29912.870499999997</v>
      </c>
      <c r="E36" s="182">
        <f t="shared" si="19"/>
        <v>26202.26815</v>
      </c>
      <c r="F36" s="182">
        <f t="shared" si="19"/>
        <v>31218.385900000001</v>
      </c>
      <c r="G36" s="182">
        <f t="shared" si="19"/>
        <v>29514.230649999998</v>
      </c>
      <c r="H36" s="182">
        <f t="shared" si="19"/>
        <v>35654.006950000003</v>
      </c>
      <c r="I36" s="182">
        <f t="shared" si="19"/>
        <v>29780.392000000003</v>
      </c>
      <c r="J36" s="182">
        <f t="shared" si="19"/>
        <v>36763.213299999996</v>
      </c>
    </row>
    <row r="37" spans="1:10" ht="14.4" thickBot="1">
      <c r="B37" s="173" t="s">
        <v>9</v>
      </c>
      <c r="C37" s="174">
        <f t="shared" ref="C37:J37" si="20">(C36-2570)/0.74</f>
        <v>28327.33</v>
      </c>
      <c r="D37" s="174">
        <f t="shared" si="20"/>
        <v>36949.824999999997</v>
      </c>
      <c r="E37" s="174">
        <f t="shared" si="20"/>
        <v>31935.497500000001</v>
      </c>
      <c r="F37" s="174">
        <f t="shared" si="20"/>
        <v>38714.035000000003</v>
      </c>
      <c r="G37" s="174">
        <f t="shared" si="20"/>
        <v>36411.122499999998</v>
      </c>
      <c r="H37" s="174">
        <f t="shared" si="20"/>
        <v>44708.117500000008</v>
      </c>
      <c r="I37" s="174">
        <f t="shared" si="20"/>
        <v>36770.800000000003</v>
      </c>
      <c r="J37" s="174">
        <f t="shared" si="20"/>
        <v>46207.044999999998</v>
      </c>
    </row>
  </sheetData>
  <mergeCells count="2">
    <mergeCell ref="A4:A16"/>
    <mergeCell ref="A23:A3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E377-1974-4A90-8DA7-ABC17896AC7D}">
  <sheetPr codeName="List3">
    <tabColor theme="8" tint="0.59999389629810485"/>
  </sheetPr>
  <dimension ref="A1:F29"/>
  <sheetViews>
    <sheetView workbookViewId="0">
      <selection activeCell="F14" sqref="F14"/>
    </sheetView>
  </sheetViews>
  <sheetFormatPr defaultRowHeight="14.4"/>
  <cols>
    <col min="1" max="1" width="29.5546875" bestFit="1" customWidth="1"/>
    <col min="2" max="2" width="13" style="15" customWidth="1"/>
    <col min="3" max="3" width="11.21875" customWidth="1"/>
    <col min="4" max="4" width="11.88671875" customWidth="1"/>
    <col min="5" max="6" width="28.21875" bestFit="1" customWidth="1"/>
  </cols>
  <sheetData>
    <row r="1" spans="1:6">
      <c r="A1" s="1" t="s">
        <v>133</v>
      </c>
      <c r="B1" s="14" t="s">
        <v>0</v>
      </c>
      <c r="C1" s="93">
        <v>46023</v>
      </c>
      <c r="D1" s="22">
        <v>157.5</v>
      </c>
      <c r="E1" s="23" t="s">
        <v>131</v>
      </c>
    </row>
    <row r="2" spans="1:6">
      <c r="B2" s="92" t="s">
        <v>179</v>
      </c>
      <c r="C2" s="92"/>
      <c r="D2" s="92"/>
      <c r="E2" s="11"/>
    </row>
    <row r="3" spans="1:6" s="11" customFormat="1">
      <c r="A3" s="13" t="s">
        <v>73</v>
      </c>
      <c r="B3" s="10" t="s">
        <v>108</v>
      </c>
      <c r="C3" s="10" t="s">
        <v>109</v>
      </c>
      <c r="D3" s="10" t="s">
        <v>110</v>
      </c>
    </row>
    <row r="4" spans="1:6" ht="14.4" customHeight="1">
      <c r="A4" s="4" t="s">
        <v>1</v>
      </c>
      <c r="B4" s="17">
        <f>135*$D$1</f>
        <v>21262.5</v>
      </c>
      <c r="C4" s="17">
        <f>135*$D$1</f>
        <v>21262.5</v>
      </c>
      <c r="D4" s="17">
        <f>135*$D$1</f>
        <v>21262.5</v>
      </c>
      <c r="F4" s="11"/>
    </row>
    <row r="5" spans="1:6">
      <c r="A5" s="4" t="s">
        <v>175</v>
      </c>
      <c r="B5" s="17">
        <f>5*37.5</f>
        <v>187.5</v>
      </c>
      <c r="C5" s="17">
        <f>5*37.5</f>
        <v>187.5</v>
      </c>
      <c r="D5" s="17">
        <f>5*37.5</f>
        <v>187.5</v>
      </c>
      <c r="F5" s="11"/>
    </row>
    <row r="6" spans="1:6">
      <c r="A6" s="4" t="s">
        <v>176</v>
      </c>
      <c r="B6" s="17">
        <f>B4*0.1/$D$1*37.5</f>
        <v>506.25</v>
      </c>
      <c r="C6" s="17">
        <f>C4*0.1/$D$1*37.5</f>
        <v>506.25</v>
      </c>
      <c r="D6" s="17">
        <f>D4*0.1/$D$1*37.5</f>
        <v>506.25</v>
      </c>
      <c r="F6" s="11"/>
    </row>
    <row r="7" spans="1:6">
      <c r="A7" s="12" t="s">
        <v>177</v>
      </c>
      <c r="B7" s="17">
        <v>1000</v>
      </c>
      <c r="C7" s="17">
        <v>1000</v>
      </c>
      <c r="D7" s="17">
        <v>1000</v>
      </c>
      <c r="F7" s="11"/>
    </row>
    <row r="8" spans="1:6">
      <c r="A8" s="12" t="s">
        <v>178</v>
      </c>
      <c r="B8" s="17">
        <f>$D$1*(B4*0.1/$D$1)</f>
        <v>2126.25</v>
      </c>
      <c r="C8" s="17">
        <f>$D$1*(C4*0.1/$D$1)</f>
        <v>2126.25</v>
      </c>
      <c r="D8" s="17">
        <f>$D$1*(D4*0.1/$D$1)</f>
        <v>2126.25</v>
      </c>
      <c r="F8" s="11"/>
    </row>
    <row r="9" spans="1:6">
      <c r="A9" s="4"/>
      <c r="B9" s="17">
        <f>SUM(B4:B8)</f>
        <v>25082.5</v>
      </c>
      <c r="C9" s="17">
        <f>SUM(C4:C8)</f>
        <v>25082.5</v>
      </c>
      <c r="D9" s="17">
        <f>SUM(D4:D8)</f>
        <v>25082.5</v>
      </c>
      <c r="F9" s="11"/>
    </row>
    <row r="10" spans="1:6">
      <c r="A10" s="4" t="s">
        <v>3</v>
      </c>
      <c r="B10" s="17">
        <f>(B9*0.74)+(30840/12)</f>
        <v>21131.05</v>
      </c>
      <c r="C10" s="17">
        <f>(C9*0.74)+(30840/12)</f>
        <v>21131.05</v>
      </c>
      <c r="D10" s="17">
        <f>(D9*0.74)+(30840/12)</f>
        <v>21131.05</v>
      </c>
      <c r="F10" s="11"/>
    </row>
    <row r="11" spans="1:6">
      <c r="A11" s="4" t="s">
        <v>4</v>
      </c>
      <c r="B11" s="18">
        <f>SUM(B10:B10)/D1</f>
        <v>134.16539682539681</v>
      </c>
      <c r="C11" s="18">
        <f>SUM(C10:C10)/D1</f>
        <v>134.16539682539681</v>
      </c>
      <c r="D11" s="18">
        <f>SUM(D10:D10)/D1</f>
        <v>134.16539682539681</v>
      </c>
      <c r="F11" s="11"/>
    </row>
    <row r="12" spans="1:6">
      <c r="A12" s="4" t="s">
        <v>5</v>
      </c>
      <c r="B12" s="19">
        <f t="shared" ref="B12:D12" si="0">B11</f>
        <v>134.16539682539681</v>
      </c>
      <c r="C12" s="19">
        <f t="shared" si="0"/>
        <v>134.16539682539681</v>
      </c>
      <c r="D12" s="19">
        <f t="shared" si="0"/>
        <v>134.16539682539681</v>
      </c>
      <c r="F12" s="11"/>
    </row>
    <row r="13" spans="1:6" ht="15" thickBot="1">
      <c r="A13" s="6"/>
      <c r="B13" s="7">
        <f t="shared" ref="B13:D13" si="1">B12*$D$1</f>
        <v>21131.05</v>
      </c>
      <c r="C13" s="7">
        <f t="shared" si="1"/>
        <v>21131.05</v>
      </c>
      <c r="D13" s="7">
        <f t="shared" si="1"/>
        <v>21131.05</v>
      </c>
      <c r="F13" s="11"/>
    </row>
    <row r="14" spans="1:6" ht="15" thickBot="1">
      <c r="A14" s="8" t="s">
        <v>6</v>
      </c>
      <c r="B14" s="21">
        <f>(B13-2570)/0.74</f>
        <v>25082.5</v>
      </c>
      <c r="C14" s="21">
        <f>(C13-2570)/0.74</f>
        <v>25082.5</v>
      </c>
      <c r="D14" s="21">
        <f>(D13-2570)/0.74</f>
        <v>25082.5</v>
      </c>
      <c r="F14" s="11"/>
    </row>
    <row r="15" spans="1:6" ht="15" thickBot="1">
      <c r="A15" s="9"/>
      <c r="B15" s="24"/>
      <c r="C15" s="24"/>
      <c r="D15" s="24"/>
      <c r="F15" s="11"/>
    </row>
    <row r="16" spans="1:6" ht="15" thickBot="1">
      <c r="A16" s="25" t="s">
        <v>7</v>
      </c>
      <c r="B16" s="26">
        <f>AVERAGE(B12,B27)</f>
        <v>142.40230158730157</v>
      </c>
      <c r="C16" s="26">
        <f>AVERAGE(C12,C27)</f>
        <v>142.40230158730157</v>
      </c>
      <c r="D16" s="26">
        <f>AVERAGE(D12,D27)</f>
        <v>142.40230158730157</v>
      </c>
      <c r="E16" s="28" t="s">
        <v>20</v>
      </c>
    </row>
    <row r="17" spans="1:4">
      <c r="B17"/>
    </row>
    <row r="18" spans="1:4">
      <c r="A18" s="13" t="s">
        <v>16</v>
      </c>
      <c r="B18" s="10" t="s">
        <v>108</v>
      </c>
      <c r="C18" s="10" t="s">
        <v>109</v>
      </c>
      <c r="D18" s="10" t="s">
        <v>110</v>
      </c>
    </row>
    <row r="19" spans="1:4" ht="14.4" customHeight="1">
      <c r="A19" s="4" t="s">
        <v>1</v>
      </c>
      <c r="B19" s="17">
        <f>135*$D$1</f>
        <v>21262.5</v>
      </c>
      <c r="C19" s="17">
        <f>135*$D$1</f>
        <v>21262.5</v>
      </c>
      <c r="D19" s="17">
        <f>135*$D$1</f>
        <v>21262.5</v>
      </c>
    </row>
    <row r="20" spans="1:4">
      <c r="A20" s="4" t="s">
        <v>175</v>
      </c>
      <c r="B20" s="17">
        <f>5*37.5</f>
        <v>187.5</v>
      </c>
      <c r="C20" s="17">
        <f>5*37.5</f>
        <v>187.5</v>
      </c>
      <c r="D20" s="17">
        <f>5*37.5</f>
        <v>187.5</v>
      </c>
    </row>
    <row r="21" spans="1:4">
      <c r="A21" s="4" t="s">
        <v>176</v>
      </c>
      <c r="B21" s="17">
        <f>B19*0.1/$D$1*75</f>
        <v>1012.5</v>
      </c>
      <c r="C21" s="17">
        <f>C19*0.1/$D$1*75</f>
        <v>1012.5</v>
      </c>
      <c r="D21" s="17">
        <f>D19*0.1/$D$1*75</f>
        <v>1012.5</v>
      </c>
    </row>
    <row r="22" spans="1:4">
      <c r="A22" s="12" t="s">
        <v>177</v>
      </c>
      <c r="B22" s="17">
        <v>4000</v>
      </c>
      <c r="C22" s="17">
        <v>4000</v>
      </c>
      <c r="D22" s="17">
        <v>4000</v>
      </c>
    </row>
    <row r="23" spans="1:4">
      <c r="A23" s="12" t="s">
        <v>178</v>
      </c>
      <c r="B23" s="17">
        <f>$D$1*(B19*0.1/$D$1)</f>
        <v>2126.25</v>
      </c>
      <c r="C23" s="17">
        <f>$D$1*(C19*0.1/$D$1)</f>
        <v>2126.25</v>
      </c>
      <c r="D23" s="17">
        <f>$D$1*(D19*0.1/$D$1)</f>
        <v>2126.25</v>
      </c>
    </row>
    <row r="24" spans="1:4">
      <c r="A24" s="4"/>
      <c r="B24" s="17">
        <f>SUM(B19:B23)</f>
        <v>28588.75</v>
      </c>
      <c r="C24" s="17">
        <f>SUM(C19:C23)</f>
        <v>28588.75</v>
      </c>
      <c r="D24" s="17">
        <f>SUM(D19:D23)</f>
        <v>28588.75</v>
      </c>
    </row>
    <row r="25" spans="1:4">
      <c r="A25" s="4" t="s">
        <v>3</v>
      </c>
      <c r="B25" s="17">
        <f>(B24*0.74)+(30840/12)</f>
        <v>23725.674999999999</v>
      </c>
      <c r="C25" s="17">
        <f>(C24*0.74)+(30840/12)</f>
        <v>23725.674999999999</v>
      </c>
      <c r="D25" s="17">
        <f>(D24*0.74)+(30840/12)</f>
        <v>23725.674999999999</v>
      </c>
    </row>
    <row r="26" spans="1:4">
      <c r="A26" s="4" t="s">
        <v>4</v>
      </c>
      <c r="B26" s="18">
        <f>SUM(B25:B25)/D1</f>
        <v>150.63920634920635</v>
      </c>
      <c r="C26" s="18">
        <f>SUM(C25:C25)/D1</f>
        <v>150.63920634920635</v>
      </c>
      <c r="D26" s="18">
        <f>SUM(D25:D25)/D1</f>
        <v>150.63920634920635</v>
      </c>
    </row>
    <row r="27" spans="1:4">
      <c r="A27" s="4" t="s">
        <v>5</v>
      </c>
      <c r="B27" s="19">
        <f t="shared" ref="B27:D27" si="2">B26</f>
        <v>150.63920634920635</v>
      </c>
      <c r="C27" s="19">
        <f t="shared" si="2"/>
        <v>150.63920634920635</v>
      </c>
      <c r="D27" s="19">
        <f t="shared" si="2"/>
        <v>150.63920634920635</v>
      </c>
    </row>
    <row r="28" spans="1:4" ht="15" thickBot="1">
      <c r="A28" s="6"/>
      <c r="B28" s="20">
        <f t="shared" ref="B28:D28" si="3">B27*$D$1</f>
        <v>23725.674999999999</v>
      </c>
      <c r="C28" s="20">
        <f t="shared" si="3"/>
        <v>23725.674999999999</v>
      </c>
      <c r="D28" s="20">
        <f t="shared" si="3"/>
        <v>23725.674999999999</v>
      </c>
    </row>
    <row r="29" spans="1:4" ht="15" thickBot="1">
      <c r="A29" s="8" t="s">
        <v>9</v>
      </c>
      <c r="B29" s="21">
        <f>(B28-2570)/0.74</f>
        <v>28588.75</v>
      </c>
      <c r="C29" s="21">
        <f>(C28-2570)/0.74</f>
        <v>28588.75</v>
      </c>
      <c r="D29" s="21">
        <f>(D28-2570)/0.74</f>
        <v>28588.75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838A-91D5-4CC2-B524-88F95D2F4AC1}">
  <sheetPr codeName="List4">
    <tabColor rgb="FF92D050"/>
  </sheetPr>
  <dimension ref="A1:G41"/>
  <sheetViews>
    <sheetView workbookViewId="0">
      <selection activeCell="E16" sqref="E16"/>
    </sheetView>
  </sheetViews>
  <sheetFormatPr defaultRowHeight="14.4"/>
  <cols>
    <col min="1" max="1" width="35.5546875" bestFit="1" customWidth="1"/>
    <col min="2" max="2" width="14.21875" style="15" bestFit="1" customWidth="1"/>
    <col min="3" max="4" width="14.21875" bestFit="1" customWidth="1"/>
    <col min="5" max="5" width="28.21875" bestFit="1" customWidth="1"/>
    <col min="6" max="6" width="15.5546875" customWidth="1"/>
    <col min="7" max="8" width="14.77734375" bestFit="1" customWidth="1"/>
  </cols>
  <sheetData>
    <row r="1" spans="1:7">
      <c r="A1" s="1" t="s">
        <v>17</v>
      </c>
      <c r="B1" s="14" t="s">
        <v>0</v>
      </c>
      <c r="C1" s="2">
        <v>45839</v>
      </c>
      <c r="D1" s="22">
        <v>156.875</v>
      </c>
      <c r="E1" s="23" t="s">
        <v>289</v>
      </c>
      <c r="F1" s="3"/>
    </row>
    <row r="3" spans="1:7" s="11" customFormat="1" ht="27.6">
      <c r="A3" s="13" t="s">
        <v>196</v>
      </c>
      <c r="B3" s="10" t="s">
        <v>18</v>
      </c>
    </row>
    <row r="4" spans="1:7" ht="14.4" customHeight="1">
      <c r="A4" s="4" t="s">
        <v>1</v>
      </c>
      <c r="B4" s="17">
        <f>D1*164</f>
        <v>25727.5</v>
      </c>
      <c r="C4" s="11"/>
      <c r="D4" s="11"/>
      <c r="E4" s="11"/>
      <c r="F4" s="11"/>
      <c r="G4" s="11"/>
    </row>
    <row r="5" spans="1:7">
      <c r="A5" s="4" t="s">
        <v>195</v>
      </c>
      <c r="B5" s="17">
        <f>13*$D$1</f>
        <v>2039.375</v>
      </c>
      <c r="C5" s="11"/>
      <c r="D5" s="11"/>
      <c r="E5" s="11"/>
      <c r="F5" s="11"/>
      <c r="G5" s="11"/>
    </row>
    <row r="6" spans="1:7">
      <c r="A6" s="4" t="s">
        <v>199</v>
      </c>
      <c r="B6" s="17">
        <v>1500</v>
      </c>
      <c r="C6" s="11"/>
      <c r="D6" s="11"/>
      <c r="E6" s="11"/>
      <c r="F6" s="11"/>
      <c r="G6" s="11"/>
    </row>
    <row r="7" spans="1:7">
      <c r="A7" s="4" t="s">
        <v>198</v>
      </c>
      <c r="B7" s="17">
        <v>0</v>
      </c>
      <c r="C7" s="11"/>
      <c r="D7" s="11"/>
      <c r="E7" s="11"/>
      <c r="F7" s="11"/>
      <c r="G7" s="11"/>
    </row>
    <row r="8" spans="1:7">
      <c r="A8" s="4" t="s">
        <v>19</v>
      </c>
      <c r="B8" s="17">
        <v>0</v>
      </c>
      <c r="C8" s="11"/>
      <c r="D8" s="11"/>
      <c r="E8" s="11"/>
      <c r="F8" s="11"/>
      <c r="G8" s="11"/>
    </row>
    <row r="9" spans="1:7">
      <c r="A9" s="4" t="s">
        <v>2</v>
      </c>
      <c r="B9" s="17">
        <f>SUM(B4:B8)</f>
        <v>29266.875</v>
      </c>
      <c r="C9" s="11"/>
      <c r="D9" s="11"/>
      <c r="E9" s="11"/>
      <c r="F9" s="11"/>
      <c r="G9" s="11"/>
    </row>
    <row r="10" spans="1:7">
      <c r="A10" s="4" t="s">
        <v>3</v>
      </c>
      <c r="B10" s="17">
        <f>(B9*0.74)+(30840/12)</f>
        <v>24227.487499999999</v>
      </c>
      <c r="C10" s="11"/>
      <c r="D10" s="11"/>
      <c r="E10" s="11"/>
      <c r="F10" s="11"/>
      <c r="G10" s="11"/>
    </row>
    <row r="11" spans="1:7">
      <c r="A11" s="4" t="s">
        <v>4</v>
      </c>
      <c r="B11" s="18">
        <f>SUM(B10:B10)/D1</f>
        <v>154.43816733067729</v>
      </c>
      <c r="C11" s="11"/>
      <c r="D11" s="11"/>
      <c r="E11" s="11"/>
      <c r="F11" s="11"/>
      <c r="G11" s="11"/>
    </row>
    <row r="12" spans="1:7">
      <c r="A12" s="4" t="s">
        <v>5</v>
      </c>
      <c r="B12" s="19">
        <f>B11</f>
        <v>154.43816733067729</v>
      </c>
      <c r="C12" s="11"/>
      <c r="D12" s="11"/>
      <c r="E12" s="11"/>
      <c r="F12" s="11"/>
      <c r="G12" s="11"/>
    </row>
    <row r="13" spans="1:7" ht="15" thickBot="1">
      <c r="A13" s="6"/>
      <c r="B13" s="20">
        <f>B12*$D$1</f>
        <v>24227.487499999999</v>
      </c>
      <c r="C13" s="11"/>
      <c r="D13" s="11"/>
      <c r="E13" s="11"/>
      <c r="F13" s="11"/>
      <c r="G13" s="11"/>
    </row>
    <row r="14" spans="1:7" ht="15" thickBot="1">
      <c r="A14" s="8" t="s">
        <v>6</v>
      </c>
      <c r="B14" s="21">
        <f>(B13-2570)/0.74</f>
        <v>29266.875</v>
      </c>
      <c r="C14" s="11"/>
      <c r="D14" s="11"/>
      <c r="E14" s="11"/>
      <c r="F14" s="11"/>
      <c r="G14" s="11"/>
    </row>
    <row r="15" spans="1:7" ht="15" thickBot="1">
      <c r="A15" s="9"/>
      <c r="B15" s="16"/>
      <c r="C15" s="11"/>
      <c r="D15" s="11"/>
      <c r="E15" s="11"/>
      <c r="F15" s="11"/>
      <c r="G15" s="11"/>
    </row>
    <row r="16" spans="1:7" ht="15" thickBot="1">
      <c r="A16" s="25" t="s">
        <v>7</v>
      </c>
      <c r="B16" s="26">
        <f>AVERAGE(B12,B27)</f>
        <v>156.79673306772906</v>
      </c>
      <c r="C16" s="257" t="s">
        <v>20</v>
      </c>
      <c r="D16" s="258"/>
      <c r="F16" s="11"/>
      <c r="G16" s="11"/>
    </row>
    <row r="17" spans="1:7">
      <c r="C17" s="11"/>
      <c r="D17" s="11"/>
      <c r="E17" s="11"/>
      <c r="F17" s="11"/>
      <c r="G17" s="11"/>
    </row>
    <row r="18" spans="1:7" ht="27.6">
      <c r="A18" s="13" t="s">
        <v>197</v>
      </c>
      <c r="B18" s="10" t="s">
        <v>18</v>
      </c>
      <c r="C18" s="11"/>
      <c r="D18" s="11"/>
      <c r="E18" s="11"/>
      <c r="F18" s="11"/>
      <c r="G18" s="11"/>
    </row>
    <row r="19" spans="1:7" ht="14.4" customHeight="1">
      <c r="A19" s="4" t="s">
        <v>1</v>
      </c>
      <c r="B19" s="17">
        <f>D1*164</f>
        <v>25727.5</v>
      </c>
      <c r="C19" s="11"/>
      <c r="D19" s="11"/>
      <c r="E19" s="11"/>
      <c r="F19" s="11"/>
      <c r="G19" s="11"/>
    </row>
    <row r="20" spans="1:7">
      <c r="A20" s="4" t="s">
        <v>195</v>
      </c>
      <c r="B20" s="17">
        <f>13*$D$1</f>
        <v>2039.375</v>
      </c>
      <c r="C20" s="11"/>
      <c r="D20" s="11"/>
      <c r="E20" s="11"/>
      <c r="F20" s="11"/>
      <c r="G20" s="11"/>
    </row>
    <row r="21" spans="1:7">
      <c r="A21" s="4" t="s">
        <v>199</v>
      </c>
      <c r="B21" s="17">
        <v>1500</v>
      </c>
      <c r="C21" s="11"/>
      <c r="D21" s="11"/>
      <c r="E21" s="11"/>
      <c r="F21" s="11"/>
      <c r="G21" s="11"/>
    </row>
    <row r="22" spans="1:7">
      <c r="A22" s="4" t="s">
        <v>198</v>
      </c>
      <c r="B22" s="17">
        <v>1000</v>
      </c>
      <c r="C22" s="11"/>
      <c r="D22" s="11"/>
      <c r="E22" s="11"/>
      <c r="F22" s="11"/>
      <c r="G22" s="11"/>
    </row>
    <row r="23" spans="1:7">
      <c r="A23" s="4" t="s">
        <v>19</v>
      </c>
      <c r="B23" s="17">
        <v>0</v>
      </c>
      <c r="C23" s="11"/>
      <c r="D23" s="11"/>
      <c r="E23" s="11"/>
      <c r="F23" s="11"/>
      <c r="G23" s="11"/>
    </row>
    <row r="24" spans="1:7">
      <c r="A24" s="4" t="s">
        <v>2</v>
      </c>
      <c r="B24" s="17">
        <f>SUM(B19:B23)</f>
        <v>30266.875</v>
      </c>
      <c r="C24" s="11"/>
      <c r="D24" s="11"/>
      <c r="E24" s="11"/>
      <c r="F24" s="11"/>
      <c r="G24" s="11"/>
    </row>
    <row r="25" spans="1:7">
      <c r="A25" s="4" t="s">
        <v>3</v>
      </c>
      <c r="B25" s="17">
        <f>(B24*0.74)+(30840/12)</f>
        <v>24967.487499999999</v>
      </c>
      <c r="C25" s="11"/>
      <c r="D25" s="11"/>
      <c r="E25" s="11"/>
      <c r="F25" s="11"/>
      <c r="G25" s="11"/>
    </row>
    <row r="26" spans="1:7">
      <c r="A26" s="4" t="s">
        <v>4</v>
      </c>
      <c r="B26" s="18">
        <f>SUM(B25:B25)/D1</f>
        <v>159.15529880478087</v>
      </c>
      <c r="C26" s="11"/>
      <c r="D26" s="11"/>
      <c r="E26" s="11"/>
      <c r="F26" s="11"/>
      <c r="G26" s="11"/>
    </row>
    <row r="27" spans="1:7">
      <c r="A27" s="4" t="s">
        <v>8</v>
      </c>
      <c r="B27" s="19">
        <f>B26</f>
        <v>159.15529880478087</v>
      </c>
      <c r="C27" s="11"/>
      <c r="D27" s="11"/>
      <c r="E27" s="11"/>
      <c r="F27" s="11"/>
      <c r="G27" s="11"/>
    </row>
    <row r="28" spans="1:7" ht="15" thickBot="1">
      <c r="A28" s="6"/>
      <c r="B28" s="20">
        <f>B27*$D$1</f>
        <v>24967.487499999999</v>
      </c>
      <c r="C28" s="11"/>
      <c r="D28" s="11"/>
      <c r="E28" s="11"/>
      <c r="F28" s="11"/>
      <c r="G28" s="11"/>
    </row>
    <row r="29" spans="1:7" ht="15" thickBot="1">
      <c r="A29" s="8" t="s">
        <v>9</v>
      </c>
      <c r="B29" s="21">
        <f>(B28-2570)/0.74</f>
        <v>30266.875</v>
      </c>
      <c r="C29" s="11"/>
      <c r="D29" s="11"/>
      <c r="E29" s="11"/>
      <c r="F29" s="11"/>
      <c r="G29" s="11"/>
    </row>
    <row r="30" spans="1:7">
      <c r="E30" s="11"/>
      <c r="F30" s="11"/>
      <c r="G30" s="11"/>
    </row>
    <row r="31" spans="1:7">
      <c r="E31" s="11"/>
      <c r="F31" s="11"/>
      <c r="G31" s="11"/>
    </row>
    <row r="32" spans="1:7">
      <c r="E32" s="11"/>
      <c r="F32" s="11"/>
      <c r="G32" s="11"/>
    </row>
    <row r="33" spans="5:7">
      <c r="E33" s="11"/>
      <c r="F33" s="11"/>
      <c r="G33" s="11"/>
    </row>
    <row r="34" spans="5:7">
      <c r="E34" s="11"/>
      <c r="F34" s="11"/>
      <c r="G34" s="11"/>
    </row>
    <row r="35" spans="5:7">
      <c r="E35" s="11"/>
      <c r="F35" s="11"/>
      <c r="G35" s="11"/>
    </row>
    <row r="36" spans="5:7">
      <c r="E36" s="11"/>
      <c r="F36" s="11"/>
      <c r="G36" s="11"/>
    </row>
    <row r="37" spans="5:7">
      <c r="E37" s="11"/>
      <c r="F37" s="11"/>
      <c r="G37" s="11"/>
    </row>
    <row r="38" spans="5:7">
      <c r="E38" s="11"/>
      <c r="F38" s="11"/>
      <c r="G38" s="11"/>
    </row>
    <row r="39" spans="5:7">
      <c r="E39" s="11"/>
      <c r="F39" s="11"/>
      <c r="G39" s="11"/>
    </row>
    <row r="40" spans="5:7">
      <c r="E40" s="11"/>
      <c r="F40" s="11"/>
      <c r="G40" s="11"/>
    </row>
    <row r="41" spans="5:7">
      <c r="E41" s="11"/>
      <c r="F41" s="11"/>
      <c r="G41" s="11"/>
    </row>
  </sheetData>
  <mergeCells count="1">
    <mergeCell ref="C16:D16"/>
  </mergeCells>
  <pageMargins left="0.7" right="0.7" top="0.78740157499999996" bottom="0.78740157499999996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8D7A-C793-4A85-BA90-4C1A3B8692C9}">
  <sheetPr codeName="List5">
    <tabColor rgb="FF92D050"/>
    <pageSetUpPr fitToPage="1"/>
  </sheetPr>
  <dimension ref="A1:I31"/>
  <sheetViews>
    <sheetView showGridLines="0" zoomScale="108" zoomScaleNormal="115" workbookViewId="0">
      <selection activeCell="G34" sqref="G34"/>
    </sheetView>
  </sheetViews>
  <sheetFormatPr defaultRowHeight="14.4"/>
  <cols>
    <col min="1" max="1" width="38" bestFit="1" customWidth="1"/>
    <col min="2" max="2" width="12.44140625" style="15" bestFit="1" customWidth="1"/>
    <col min="3" max="3" width="12.21875" bestFit="1" customWidth="1"/>
    <col min="4" max="4" width="11.77734375" bestFit="1" customWidth="1"/>
    <col min="5" max="5" width="11.77734375" customWidth="1"/>
    <col min="6" max="6" width="13.21875" bestFit="1" customWidth="1"/>
    <col min="7" max="7" width="13.109375" bestFit="1" customWidth="1"/>
    <col min="8" max="8" width="28.21875" bestFit="1" customWidth="1"/>
    <col min="9" max="9" width="14.77734375" bestFit="1" customWidth="1"/>
  </cols>
  <sheetData>
    <row r="1" spans="1:9">
      <c r="A1" s="1" t="s">
        <v>10</v>
      </c>
      <c r="B1" s="14" t="s">
        <v>0</v>
      </c>
      <c r="C1" s="2">
        <v>45800</v>
      </c>
      <c r="D1" s="22">
        <v>157.5</v>
      </c>
      <c r="E1" s="22"/>
      <c r="F1" s="201" t="s">
        <v>131</v>
      </c>
      <c r="G1" s="3"/>
    </row>
    <row r="3" spans="1:9" s="11" customFormat="1" ht="96.6">
      <c r="A3" s="13" t="s">
        <v>73</v>
      </c>
      <c r="B3" s="10" t="s">
        <v>11</v>
      </c>
      <c r="C3" s="10" t="s">
        <v>160</v>
      </c>
      <c r="D3" s="10" t="s">
        <v>161</v>
      </c>
      <c r="E3" s="10" t="s">
        <v>327</v>
      </c>
    </row>
    <row r="4" spans="1:9" ht="14.4" customHeight="1">
      <c r="A4" s="4" t="s">
        <v>1</v>
      </c>
      <c r="B4" s="17">
        <v>25900</v>
      </c>
      <c r="C4" s="17">
        <v>26800</v>
      </c>
      <c r="D4" s="5">
        <v>26300</v>
      </c>
      <c r="E4" s="17">
        <v>29000</v>
      </c>
    </row>
    <row r="5" spans="1:9">
      <c r="A5" s="4" t="s">
        <v>121</v>
      </c>
      <c r="B5" s="17">
        <v>0</v>
      </c>
      <c r="C5" s="17">
        <v>0</v>
      </c>
      <c r="D5" s="17">
        <v>0</v>
      </c>
      <c r="E5" s="17">
        <v>0</v>
      </c>
    </row>
    <row r="6" spans="1:9">
      <c r="A6" s="4" t="s">
        <v>70</v>
      </c>
      <c r="B6" s="17">
        <v>0</v>
      </c>
      <c r="C6" s="17">
        <v>0</v>
      </c>
      <c r="D6" s="17">
        <v>0</v>
      </c>
      <c r="E6" s="17">
        <v>0</v>
      </c>
    </row>
    <row r="7" spans="1:9">
      <c r="A7" s="4" t="s">
        <v>174</v>
      </c>
      <c r="B7" s="17">
        <v>500</v>
      </c>
      <c r="C7" s="17">
        <v>500</v>
      </c>
      <c r="D7" s="17">
        <v>500</v>
      </c>
      <c r="E7" s="17">
        <v>500</v>
      </c>
    </row>
    <row r="8" spans="1:9">
      <c r="A8" s="12" t="s">
        <v>13</v>
      </c>
      <c r="B8" s="17">
        <f>37.5*16</f>
        <v>600</v>
      </c>
      <c r="C8" s="17">
        <f>37.5*16</f>
        <v>600</v>
      </c>
      <c r="D8" s="17">
        <f>(D4+D5)*0.1/$D$1*37.5</f>
        <v>626.19047619047626</v>
      </c>
      <c r="E8" s="17">
        <f>37.5*16</f>
        <v>600</v>
      </c>
      <c r="G8" s="202"/>
    </row>
    <row r="9" spans="1:9">
      <c r="A9" s="12" t="s">
        <v>14</v>
      </c>
      <c r="B9" s="17">
        <v>430</v>
      </c>
      <c r="C9" s="17">
        <v>430</v>
      </c>
      <c r="D9" s="17">
        <v>430</v>
      </c>
      <c r="E9" s="17">
        <v>430</v>
      </c>
      <c r="G9" s="202"/>
      <c r="I9" s="203"/>
    </row>
    <row r="10" spans="1:9">
      <c r="A10" s="4" t="s">
        <v>2</v>
      </c>
      <c r="B10" s="17">
        <f t="shared" ref="B10:E10" si="0">SUM(B4:B9)</f>
        <v>27430</v>
      </c>
      <c r="C10" s="17">
        <f t="shared" si="0"/>
        <v>28330</v>
      </c>
      <c r="D10" s="17">
        <f t="shared" si="0"/>
        <v>27856.190476190477</v>
      </c>
      <c r="E10" s="17">
        <f t="shared" si="0"/>
        <v>30530</v>
      </c>
      <c r="G10" s="202"/>
      <c r="I10" s="203"/>
    </row>
    <row r="11" spans="1:9">
      <c r="A11" s="4" t="s">
        <v>3</v>
      </c>
      <c r="B11" s="17">
        <f t="shared" ref="B11:E11" si="1">(B10*0.74)+(30840/12)</f>
        <v>22868.2</v>
      </c>
      <c r="C11" s="17">
        <f t="shared" si="1"/>
        <v>23534.2</v>
      </c>
      <c r="D11" s="17">
        <f t="shared" si="1"/>
        <v>23183.580952380951</v>
      </c>
      <c r="E11" s="17">
        <f t="shared" si="1"/>
        <v>25162.2</v>
      </c>
    </row>
    <row r="12" spans="1:9">
      <c r="A12" s="4" t="s">
        <v>4</v>
      </c>
      <c r="B12" s="18">
        <f>SUM(B11:B11)/D1</f>
        <v>145.19492063492063</v>
      </c>
      <c r="C12" s="18">
        <f>SUM(C11:C11)/D1</f>
        <v>149.42349206349206</v>
      </c>
      <c r="D12" s="18">
        <f>SUM(D11:D11)/D1</f>
        <v>147.19733938019652</v>
      </c>
      <c r="E12" s="18">
        <f>SUM(E11:E11)/D1</f>
        <v>159.76</v>
      </c>
    </row>
    <row r="13" spans="1:9">
      <c r="A13" s="4" t="s">
        <v>5</v>
      </c>
      <c r="B13" s="19">
        <f>B12</f>
        <v>145.19492063492063</v>
      </c>
      <c r="C13" s="19">
        <f t="shared" ref="C13:D13" si="2">C12</f>
        <v>149.42349206349206</v>
      </c>
      <c r="D13" s="19">
        <f t="shared" si="2"/>
        <v>147.19733938019652</v>
      </c>
      <c r="E13" s="19">
        <f>E12</f>
        <v>159.76</v>
      </c>
    </row>
    <row r="14" spans="1:9" ht="15" thickBot="1">
      <c r="A14" s="6"/>
      <c r="B14" s="20">
        <f>B13*$D$1</f>
        <v>22868.2</v>
      </c>
      <c r="C14" s="7">
        <f t="shared" ref="C14:D14" si="3">C13*$D$1</f>
        <v>23534.2</v>
      </c>
      <c r="D14" s="7">
        <f t="shared" si="3"/>
        <v>23183.580952380951</v>
      </c>
      <c r="E14" s="20">
        <f>E13*$D$1</f>
        <v>25162.199999999997</v>
      </c>
    </row>
    <row r="15" spans="1:9" ht="15" thickBot="1">
      <c r="A15" s="8" t="s">
        <v>6</v>
      </c>
      <c r="B15" s="21">
        <f t="shared" ref="B15:E15" si="4">(B14-2570)/0.74</f>
        <v>27430</v>
      </c>
      <c r="C15" s="21">
        <f t="shared" si="4"/>
        <v>28330</v>
      </c>
      <c r="D15" s="21">
        <f t="shared" si="4"/>
        <v>27856.190476190473</v>
      </c>
      <c r="E15" s="21">
        <f t="shared" si="4"/>
        <v>30529.999999999996</v>
      </c>
    </row>
    <row r="16" spans="1:9" ht="15" thickBot="1">
      <c r="A16" s="9"/>
      <c r="B16" s="16"/>
      <c r="C16" s="24"/>
      <c r="D16" s="24"/>
      <c r="E16" s="24"/>
    </row>
    <row r="17" spans="1:6" ht="15" thickBot="1">
      <c r="A17" s="25" t="s">
        <v>7</v>
      </c>
      <c r="B17" s="26">
        <f t="shared" ref="B17:E17" si="5">AVERAGE(B13,B29)</f>
        <v>151.38116402116401</v>
      </c>
      <c r="C17" s="26">
        <f t="shared" si="5"/>
        <v>155.7104157218443</v>
      </c>
      <c r="D17" s="26">
        <f t="shared" si="5"/>
        <v>153.36680272108845</v>
      </c>
      <c r="E17" s="26">
        <f t="shared" si="5"/>
        <v>166.29303099017383</v>
      </c>
      <c r="F17" s="28" t="s">
        <v>20</v>
      </c>
    </row>
    <row r="19" spans="1:6" ht="96.75" customHeight="1">
      <c r="A19" s="13" t="s">
        <v>16</v>
      </c>
      <c r="B19" s="10" t="s">
        <v>11</v>
      </c>
      <c r="C19" s="10" t="s">
        <v>160</v>
      </c>
      <c r="D19" s="10" t="s">
        <v>161</v>
      </c>
      <c r="E19" s="10" t="s">
        <v>327</v>
      </c>
    </row>
    <row r="20" spans="1:6">
      <c r="A20" s="4" t="s">
        <v>1</v>
      </c>
      <c r="B20" s="17">
        <v>25900</v>
      </c>
      <c r="C20" s="17">
        <v>26800</v>
      </c>
      <c r="D20" s="5">
        <v>26300</v>
      </c>
      <c r="E20" s="17">
        <v>29000</v>
      </c>
    </row>
    <row r="21" spans="1:6">
      <c r="A21" s="4" t="s">
        <v>121</v>
      </c>
      <c r="B21" s="17">
        <v>0</v>
      </c>
      <c r="C21" s="17">
        <v>0</v>
      </c>
      <c r="D21" s="17">
        <v>0</v>
      </c>
      <c r="E21" s="17">
        <v>0</v>
      </c>
    </row>
    <row r="22" spans="1:6">
      <c r="A22" s="4" t="s">
        <v>70</v>
      </c>
      <c r="B22" s="17">
        <v>1000</v>
      </c>
      <c r="C22" s="17">
        <v>1000</v>
      </c>
      <c r="D22" s="17">
        <v>1000</v>
      </c>
      <c r="E22" s="17">
        <v>1000</v>
      </c>
    </row>
    <row r="23" spans="1:6">
      <c r="A23" s="4" t="s">
        <v>174</v>
      </c>
      <c r="B23" s="17">
        <v>1500</v>
      </c>
      <c r="C23" s="17">
        <v>1500</v>
      </c>
      <c r="D23" s="17">
        <v>1500</v>
      </c>
      <c r="E23" s="17">
        <v>1500</v>
      </c>
    </row>
    <row r="24" spans="1:6">
      <c r="A24" s="12" t="s">
        <v>15</v>
      </c>
      <c r="B24" s="17">
        <f t="shared" ref="B24:E24" si="6">(B20+B21)*0.1/$D$1*75</f>
        <v>1233.3333333333333</v>
      </c>
      <c r="C24" s="17">
        <f t="shared" si="6"/>
        <v>1276.1904761904761</v>
      </c>
      <c r="D24" s="17">
        <f t="shared" si="6"/>
        <v>1252.3809523809525</v>
      </c>
      <c r="E24" s="17">
        <f t="shared" si="6"/>
        <v>1380.9523809523807</v>
      </c>
    </row>
    <row r="25" spans="1:6">
      <c r="A25" s="12" t="s">
        <v>14</v>
      </c>
      <c r="B25" s="17">
        <v>430</v>
      </c>
      <c r="C25" s="17">
        <v>430</v>
      </c>
      <c r="D25" s="17">
        <v>430</v>
      </c>
      <c r="E25" s="17">
        <v>430</v>
      </c>
    </row>
    <row r="26" spans="1:6">
      <c r="A26" s="4" t="s">
        <v>2</v>
      </c>
      <c r="B26" s="17">
        <f t="shared" ref="B26:E26" si="7">SUM(B20:B25)</f>
        <v>30063.333333333332</v>
      </c>
      <c r="C26" s="17">
        <f t="shared" si="7"/>
        <v>31006.190476190477</v>
      </c>
      <c r="D26" s="17">
        <f t="shared" si="7"/>
        <v>30482.380952380954</v>
      </c>
      <c r="E26" s="17">
        <f t="shared" si="7"/>
        <v>33310.952380952382</v>
      </c>
    </row>
    <row r="27" spans="1:6">
      <c r="A27" s="4" t="s">
        <v>3</v>
      </c>
      <c r="B27" s="17">
        <f t="shared" ref="B27:E27" si="8">(B26*0.74)+(30840/12)</f>
        <v>24816.866666666665</v>
      </c>
      <c r="C27" s="17">
        <f t="shared" si="8"/>
        <v>25514.580952380951</v>
      </c>
      <c r="D27" s="17">
        <f t="shared" si="8"/>
        <v>25126.961904761905</v>
      </c>
      <c r="E27" s="17">
        <f t="shared" si="8"/>
        <v>27220.10476190476</v>
      </c>
    </row>
    <row r="28" spans="1:6">
      <c r="A28" s="4" t="s">
        <v>4</v>
      </c>
      <c r="B28" s="18">
        <f>SUM(B27:B27)/D1</f>
        <v>157.56740740740739</v>
      </c>
      <c r="C28" s="18">
        <f>SUM(C27:C27)/D1</f>
        <v>161.99733938019651</v>
      </c>
      <c r="D28" s="18">
        <f>SUM(D27:D27)/D1</f>
        <v>159.53626606198034</v>
      </c>
      <c r="E28" s="18">
        <f>SUM(E27:E27)/D1</f>
        <v>172.82606198034767</v>
      </c>
    </row>
    <row r="29" spans="1:6">
      <c r="A29" s="4" t="s">
        <v>8</v>
      </c>
      <c r="B29" s="19">
        <f>B28</f>
        <v>157.56740740740739</v>
      </c>
      <c r="C29" s="19">
        <f t="shared" ref="C29:D29" si="9">C28</f>
        <v>161.99733938019651</v>
      </c>
      <c r="D29" s="19">
        <f t="shared" si="9"/>
        <v>159.53626606198034</v>
      </c>
      <c r="E29" s="19">
        <f>E28</f>
        <v>172.82606198034767</v>
      </c>
    </row>
    <row r="30" spans="1:6" ht="15" thickBot="1">
      <c r="A30" s="6"/>
      <c r="B30" s="20">
        <f>B29*$D$1</f>
        <v>24816.866666666665</v>
      </c>
      <c r="C30" s="20">
        <f t="shared" ref="C30:D30" si="10">C29*$D$1</f>
        <v>25514.580952380951</v>
      </c>
      <c r="D30" s="20">
        <f t="shared" si="10"/>
        <v>25126.961904761905</v>
      </c>
      <c r="E30" s="20">
        <f>E29*$D$1</f>
        <v>27220.10476190476</v>
      </c>
    </row>
    <row r="31" spans="1:6" ht="15" thickBot="1">
      <c r="A31" s="8" t="s">
        <v>9</v>
      </c>
      <c r="B31" s="21">
        <f t="shared" ref="B31:E31" si="11">(B30-2570)/0.74</f>
        <v>30063.333333333332</v>
      </c>
      <c r="C31" s="21">
        <f t="shared" si="11"/>
        <v>31006.190476190473</v>
      </c>
      <c r="D31" s="21">
        <f t="shared" si="11"/>
        <v>30482.380952380954</v>
      </c>
      <c r="E31" s="21">
        <f t="shared" si="11"/>
        <v>33310.952380952382</v>
      </c>
    </row>
  </sheetData>
  <pageMargins left="0.7" right="0.7" top="0.78740157499999996" bottom="0.78740157499999996" header="0.3" footer="0.3"/>
  <pageSetup paperSize="9"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07EF-7E8B-44C9-A579-BEE8E607A48A}">
  <sheetPr codeName="List6">
    <tabColor rgb="FF92D050"/>
  </sheetPr>
  <dimension ref="A1:G44"/>
  <sheetViews>
    <sheetView zoomScaleNormal="100" workbookViewId="0">
      <selection activeCell="J10" sqref="J10"/>
    </sheetView>
  </sheetViews>
  <sheetFormatPr defaultRowHeight="14.4"/>
  <cols>
    <col min="1" max="1" width="38" bestFit="1" customWidth="1"/>
    <col min="2" max="2" width="10.77734375" style="15" bestFit="1" customWidth="1"/>
    <col min="3" max="3" width="10.77734375" bestFit="1" customWidth="1"/>
    <col min="4" max="4" width="9.21875" bestFit="1" customWidth="1"/>
    <col min="5" max="5" width="28.21875" bestFit="1" customWidth="1"/>
    <col min="6" max="6" width="10.21875" customWidth="1"/>
    <col min="7" max="7" width="10.88671875" customWidth="1"/>
    <col min="8" max="8" width="10.21875" customWidth="1"/>
  </cols>
  <sheetData>
    <row r="1" spans="1:7">
      <c r="A1" s="1" t="s">
        <v>21</v>
      </c>
      <c r="B1" s="14" t="s">
        <v>0</v>
      </c>
      <c r="C1" s="2">
        <v>45748</v>
      </c>
      <c r="D1" s="22">
        <v>156.875</v>
      </c>
      <c r="E1" s="23" t="s">
        <v>131</v>
      </c>
      <c r="F1" s="3"/>
    </row>
    <row r="3" spans="1:7" s="11" customFormat="1" ht="41.4">
      <c r="A3" s="13" t="s">
        <v>73</v>
      </c>
      <c r="B3" s="10" t="s">
        <v>22</v>
      </c>
      <c r="C3" s="10" t="s">
        <v>23</v>
      </c>
      <c r="D3" s="10" t="s">
        <v>24</v>
      </c>
      <c r="G3"/>
    </row>
    <row r="4" spans="1:7" ht="14.4" customHeight="1">
      <c r="A4" s="4" t="s">
        <v>1</v>
      </c>
      <c r="B4" s="17">
        <v>24640</v>
      </c>
      <c r="C4" s="17">
        <v>28240</v>
      </c>
      <c r="D4" s="5">
        <v>29920</v>
      </c>
      <c r="E4" s="11"/>
      <c r="F4" s="11"/>
    </row>
    <row r="5" spans="1:7">
      <c r="A5" s="4" t="s">
        <v>25</v>
      </c>
      <c r="B5" s="17">
        <f>B4*0.25/4</f>
        <v>1540</v>
      </c>
      <c r="C5" s="17">
        <f>C4*0.25/4</f>
        <v>1765</v>
      </c>
      <c r="D5" s="17">
        <f>D4*0.25/4</f>
        <v>1870</v>
      </c>
      <c r="E5" s="11"/>
      <c r="F5" s="11"/>
    </row>
    <row r="6" spans="1:7">
      <c r="A6" s="4" t="s">
        <v>27</v>
      </c>
      <c r="B6" s="17">
        <v>0</v>
      </c>
      <c r="C6" s="17">
        <v>0</v>
      </c>
      <c r="D6" s="17">
        <v>0</v>
      </c>
      <c r="E6" s="11"/>
      <c r="F6" s="11"/>
    </row>
    <row r="7" spans="1:7">
      <c r="A7" s="12" t="s">
        <v>13</v>
      </c>
      <c r="B7" s="17">
        <f>(B4+B5)*0.1/$D$1*37.5</f>
        <v>625.81673306772916</v>
      </c>
      <c r="C7" s="17">
        <f>(C4+C5)*0.1/$D$1*37.5</f>
        <v>717.25099601593615</v>
      </c>
      <c r="D7" s="17">
        <f>(D4+D5)*0.1/$D$1*37.5</f>
        <v>759.92031872509961</v>
      </c>
      <c r="E7" s="11"/>
      <c r="F7" s="11"/>
    </row>
    <row r="8" spans="1:7">
      <c r="A8" s="12" t="s">
        <v>14</v>
      </c>
      <c r="B8" s="17">
        <v>0</v>
      </c>
      <c r="C8" s="17">
        <v>0</v>
      </c>
      <c r="D8" s="17">
        <v>0</v>
      </c>
      <c r="E8" s="11"/>
      <c r="F8" s="11"/>
    </row>
    <row r="9" spans="1:7">
      <c r="A9" s="12" t="s">
        <v>26</v>
      </c>
      <c r="B9" s="17">
        <v>0</v>
      </c>
      <c r="C9" s="17">
        <v>0</v>
      </c>
      <c r="D9" s="17">
        <v>0</v>
      </c>
      <c r="E9" s="11"/>
      <c r="F9" s="11"/>
    </row>
    <row r="10" spans="1:7">
      <c r="A10" s="4" t="s">
        <v>2</v>
      </c>
      <c r="B10" s="17">
        <f>SUM(B4:B9)</f>
        <v>26805.816733067728</v>
      </c>
      <c r="C10" s="17">
        <f>SUM(C4:C9)</f>
        <v>30722.250996015937</v>
      </c>
      <c r="D10" s="17">
        <f>SUM(D4:D9)</f>
        <v>32549.920318725101</v>
      </c>
      <c r="E10" s="11"/>
      <c r="F10" s="11"/>
    </row>
    <row r="11" spans="1:7">
      <c r="A11" s="4" t="s">
        <v>3</v>
      </c>
      <c r="B11" s="17">
        <f>(B10*0.74)+(30840/12)</f>
        <v>22406.30438247012</v>
      </c>
      <c r="C11" s="17">
        <f>(C10*0.74)+(30840/12)</f>
        <v>25304.465737051793</v>
      </c>
      <c r="D11" s="17">
        <f>(D10*0.74)+(30840/12)</f>
        <v>26656.941035856573</v>
      </c>
      <c r="E11" s="11"/>
      <c r="F11" s="11"/>
    </row>
    <row r="12" spans="1:7">
      <c r="A12" s="4" t="s">
        <v>4</v>
      </c>
      <c r="B12" s="18">
        <f>SUM(B11:B11)/D1</f>
        <v>142.82903192012824</v>
      </c>
      <c r="C12" s="18">
        <f>SUM(C11:C11)/D1</f>
        <v>161.30336724813893</v>
      </c>
      <c r="D12" s="18">
        <f>SUM(D11:D11)/D1</f>
        <v>169.9247237345439</v>
      </c>
      <c r="E12" s="11"/>
      <c r="F12" s="11"/>
    </row>
    <row r="13" spans="1:7">
      <c r="A13" s="4" t="s">
        <v>5</v>
      </c>
      <c r="B13" s="19">
        <f>B12</f>
        <v>142.82903192012824</v>
      </c>
      <c r="C13" s="19">
        <f t="shared" ref="C13:D13" si="0">C12</f>
        <v>161.30336724813893</v>
      </c>
      <c r="D13" s="19">
        <f t="shared" si="0"/>
        <v>169.9247237345439</v>
      </c>
      <c r="E13" s="11"/>
      <c r="F13" s="11"/>
    </row>
    <row r="14" spans="1:7" ht="15" thickBot="1">
      <c r="A14" s="6"/>
      <c r="B14" s="20">
        <f>B13*$D$1</f>
        <v>22406.30438247012</v>
      </c>
      <c r="C14" s="7">
        <f t="shared" ref="C14:D14" si="1">C13*$D$1</f>
        <v>25304.465737051793</v>
      </c>
      <c r="D14" s="7">
        <f t="shared" si="1"/>
        <v>26656.941035856576</v>
      </c>
      <c r="E14" s="11"/>
      <c r="F14" s="11"/>
    </row>
    <row r="15" spans="1:7" ht="15" thickBot="1">
      <c r="A15" s="8" t="s">
        <v>6</v>
      </c>
      <c r="B15" s="21">
        <f>(B14-2570)/0.74</f>
        <v>26805.816733067732</v>
      </c>
      <c r="C15" s="21">
        <f>(C14-2570)/0.74</f>
        <v>30722.250996015937</v>
      </c>
      <c r="D15" s="21">
        <f>(D14-2570)/0.74</f>
        <v>32549.920318725104</v>
      </c>
      <c r="E15" s="11"/>
      <c r="F15" s="11"/>
    </row>
    <row r="16" spans="1:7" ht="15" thickBot="1">
      <c r="A16" s="9"/>
      <c r="B16" s="16"/>
      <c r="C16" s="24"/>
      <c r="D16" s="24"/>
      <c r="E16" s="11"/>
      <c r="F16" s="11"/>
    </row>
    <row r="17" spans="1:6" ht="15" thickBot="1">
      <c r="A17" s="25" t="s">
        <v>7</v>
      </c>
      <c r="B17" s="26">
        <f>AVERAGE(B13,B29)</f>
        <v>156.90187012904556</v>
      </c>
      <c r="C17" s="26">
        <f>AVERAGE(C13,C29)</f>
        <v>177.2600041269186</v>
      </c>
      <c r="D17" s="26">
        <f>AVERAGE(D13,D29)</f>
        <v>186.76046665925938</v>
      </c>
      <c r="E17" s="28" t="s">
        <v>20</v>
      </c>
      <c r="F17" s="11"/>
    </row>
    <row r="18" spans="1:6">
      <c r="E18" s="11"/>
      <c r="F18" s="11"/>
    </row>
    <row r="19" spans="1:6" ht="41.4">
      <c r="A19" s="13" t="s">
        <v>16</v>
      </c>
      <c r="B19" s="10" t="s">
        <v>22</v>
      </c>
      <c r="C19" s="10" t="s">
        <v>23</v>
      </c>
      <c r="D19" s="10" t="s">
        <v>24</v>
      </c>
      <c r="E19" s="11"/>
      <c r="F19" s="11"/>
    </row>
    <row r="20" spans="1:6" ht="14.4" customHeight="1">
      <c r="A20" s="4" t="s">
        <v>1</v>
      </c>
      <c r="B20" s="17">
        <v>24640</v>
      </c>
      <c r="C20" s="17">
        <v>28240</v>
      </c>
      <c r="D20" s="5">
        <v>29920</v>
      </c>
      <c r="E20" s="11"/>
      <c r="F20" s="11"/>
    </row>
    <row r="21" spans="1:6">
      <c r="A21" s="4" t="s">
        <v>25</v>
      </c>
      <c r="B21" s="17">
        <f>B20*0.25</f>
        <v>6160</v>
      </c>
      <c r="C21" s="17">
        <f>C20*0.25</f>
        <v>7060</v>
      </c>
      <c r="D21" s="17">
        <f>D20*0.25</f>
        <v>7480</v>
      </c>
      <c r="E21" s="11"/>
      <c r="F21" s="11"/>
    </row>
    <row r="22" spans="1:6">
      <c r="A22" s="4" t="s">
        <v>27</v>
      </c>
      <c r="B22" s="17">
        <v>500</v>
      </c>
      <c r="C22" s="17">
        <v>500</v>
      </c>
      <c r="D22" s="5">
        <v>500</v>
      </c>
      <c r="E22" s="11"/>
      <c r="F22" s="11"/>
    </row>
    <row r="23" spans="1:6">
      <c r="A23" s="12" t="s">
        <v>15</v>
      </c>
      <c r="B23" s="17">
        <f>(B20+B21)*0.1/$D$1*75</f>
        <v>1472.5099601593627</v>
      </c>
      <c r="C23" s="17">
        <f>(C20+C21)*0.1/$D$1*75</f>
        <v>1687.6494023904384</v>
      </c>
      <c r="D23" s="17">
        <f>(D20+D21)*0.1/$D$1*75</f>
        <v>1788.0478087649403</v>
      </c>
      <c r="E23" s="11"/>
      <c r="F23" s="11"/>
    </row>
    <row r="24" spans="1:6">
      <c r="A24" s="12" t="s">
        <v>14</v>
      </c>
      <c r="B24" s="17">
        <v>0</v>
      </c>
      <c r="C24" s="17">
        <v>0</v>
      </c>
      <c r="D24" s="17">
        <v>0</v>
      </c>
      <c r="E24" s="11"/>
      <c r="F24" s="11"/>
    </row>
    <row r="25" spans="1:6">
      <c r="A25" s="12" t="s">
        <v>26</v>
      </c>
      <c r="B25" s="17">
        <v>0</v>
      </c>
      <c r="C25" s="17">
        <v>500</v>
      </c>
      <c r="D25" s="17">
        <v>500</v>
      </c>
      <c r="E25" s="11"/>
      <c r="F25" s="11"/>
    </row>
    <row r="26" spans="1:6">
      <c r="A26" s="4" t="s">
        <v>2</v>
      </c>
      <c r="B26" s="17">
        <f>SUM(B20:B24)</f>
        <v>32772.509960159361</v>
      </c>
      <c r="C26" s="17">
        <f>SUM(C20:C24)</f>
        <v>37487.649402390438</v>
      </c>
      <c r="D26" s="17">
        <f>SUM(D20:D24)</f>
        <v>39688.047808764939</v>
      </c>
      <c r="E26" s="11"/>
      <c r="F26" s="11"/>
    </row>
    <row r="27" spans="1:6">
      <c r="A27" s="4" t="s">
        <v>3</v>
      </c>
      <c r="B27" s="17">
        <f>(B26*0.74)+(30840/12)</f>
        <v>26821.657370517925</v>
      </c>
      <c r="C27" s="17">
        <f>(C26*0.74)+(30840/12)</f>
        <v>30310.860557768923</v>
      </c>
      <c r="D27" s="17">
        <f>(D26*0.74)+(30840/12)</f>
        <v>31939.155378486055</v>
      </c>
      <c r="E27" s="11"/>
      <c r="F27" s="11"/>
    </row>
    <row r="28" spans="1:6">
      <c r="A28" s="4" t="s">
        <v>4</v>
      </c>
      <c r="B28" s="18">
        <f>SUM(B27:B27)/D1</f>
        <v>170.97470833796288</v>
      </c>
      <c r="C28" s="18">
        <f>SUM(C27:C27)/D1</f>
        <v>193.21664100569831</v>
      </c>
      <c r="D28" s="18">
        <f>SUM(D27:D27)/D1</f>
        <v>203.59620958397485</v>
      </c>
      <c r="E28" s="11"/>
      <c r="F28" s="11"/>
    </row>
    <row r="29" spans="1:6">
      <c r="A29" s="4" t="s">
        <v>8</v>
      </c>
      <c r="B29" s="19">
        <f>B28</f>
        <v>170.97470833796288</v>
      </c>
      <c r="C29" s="19">
        <f t="shared" ref="C29:D29" si="2">C28</f>
        <v>193.21664100569831</v>
      </c>
      <c r="D29" s="19">
        <f t="shared" si="2"/>
        <v>203.59620958397485</v>
      </c>
      <c r="E29" s="11"/>
      <c r="F29" s="11"/>
    </row>
    <row r="30" spans="1:6" ht="15" thickBot="1">
      <c r="A30" s="6"/>
      <c r="B30" s="20">
        <f>B29*$D$1</f>
        <v>26821.657370517925</v>
      </c>
      <c r="C30" s="20">
        <f t="shared" ref="C30:D30" si="3">C29*$D$1</f>
        <v>30310.860557768923</v>
      </c>
      <c r="D30" s="20">
        <f t="shared" si="3"/>
        <v>31939.155378486055</v>
      </c>
      <c r="E30" s="11"/>
      <c r="F30" s="11"/>
    </row>
    <row r="31" spans="1:6" ht="15" thickBot="1">
      <c r="A31" s="8" t="s">
        <v>9</v>
      </c>
      <c r="B31" s="21">
        <f>(B30-2570)/0.74</f>
        <v>32772.509960159361</v>
      </c>
      <c r="C31" s="21">
        <f>(C30-2570)/0.74</f>
        <v>37487.649402390438</v>
      </c>
      <c r="D31" s="21">
        <f>(D30-2570)/0.74</f>
        <v>39688.047808764939</v>
      </c>
      <c r="E31" s="11"/>
      <c r="F31" s="11"/>
    </row>
    <row r="32" spans="1:6">
      <c r="E32" s="11"/>
      <c r="F32" s="11"/>
    </row>
    <row r="33" spans="5:6">
      <c r="E33" s="11"/>
      <c r="F33" s="11"/>
    </row>
    <row r="34" spans="5:6">
      <c r="E34" s="11"/>
      <c r="F34" s="11"/>
    </row>
    <row r="35" spans="5:6">
      <c r="E35" s="11"/>
      <c r="F35" s="11"/>
    </row>
    <row r="36" spans="5:6">
      <c r="E36" s="11"/>
      <c r="F36" s="11"/>
    </row>
    <row r="37" spans="5:6">
      <c r="E37" s="11"/>
      <c r="F37" s="11"/>
    </row>
    <row r="38" spans="5:6">
      <c r="E38" s="11"/>
      <c r="F38" s="11"/>
    </row>
    <row r="39" spans="5:6">
      <c r="E39" s="11"/>
      <c r="F39" s="11"/>
    </row>
    <row r="40" spans="5:6">
      <c r="E40" s="11"/>
      <c r="F40" s="11"/>
    </row>
    <row r="41" spans="5:6">
      <c r="E41" s="11"/>
      <c r="F41" s="11"/>
    </row>
    <row r="42" spans="5:6">
      <c r="E42" s="11"/>
      <c r="F42" s="11"/>
    </row>
    <row r="43" spans="5:6">
      <c r="E43" s="11"/>
      <c r="F43" s="11"/>
    </row>
    <row r="44" spans="5:6">
      <c r="E44" s="11"/>
      <c r="F44" s="1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EE22-82D5-4A3D-A3A9-C4635DB056DF}">
  <sheetPr codeName="List7">
    <tabColor rgb="FF92D050"/>
  </sheetPr>
  <dimension ref="A1:G44"/>
  <sheetViews>
    <sheetView tabSelected="1" zoomScaleNormal="100" workbookViewId="0">
      <selection activeCell="I14" sqref="I14"/>
    </sheetView>
  </sheetViews>
  <sheetFormatPr defaultRowHeight="14.4"/>
  <cols>
    <col min="1" max="1" width="12.109375" customWidth="1"/>
    <col min="2" max="2" width="32.77734375" bestFit="1" customWidth="1"/>
    <col min="3" max="3" width="10.77734375" style="15" bestFit="1" customWidth="1"/>
    <col min="4" max="4" width="14.77734375" customWidth="1"/>
    <col min="5" max="5" width="13.5546875" customWidth="1"/>
    <col min="6" max="6" width="28.21875" bestFit="1" customWidth="1"/>
    <col min="7" max="7" width="10.21875" customWidth="1"/>
  </cols>
  <sheetData>
    <row r="1" spans="1:7">
      <c r="B1" s="99" t="s">
        <v>205</v>
      </c>
      <c r="C1" s="100" t="s">
        <v>226</v>
      </c>
      <c r="D1" s="102">
        <v>45689</v>
      </c>
      <c r="E1" s="101">
        <v>157.5</v>
      </c>
      <c r="F1" s="101" t="s">
        <v>131</v>
      </c>
      <c r="G1" s="3"/>
    </row>
    <row r="2" spans="1:7" ht="15" thickBot="1"/>
    <row r="3" spans="1:7" s="11" customFormat="1" ht="29.4" thickBot="1">
      <c r="B3" s="113" t="s">
        <v>221</v>
      </c>
      <c r="C3" s="114" t="s">
        <v>206</v>
      </c>
      <c r="D3" s="114" t="s">
        <v>207</v>
      </c>
      <c r="E3" s="114" t="s">
        <v>208</v>
      </c>
    </row>
    <row r="4" spans="1:7" ht="14.4" customHeight="1">
      <c r="A4" s="251" t="s">
        <v>218</v>
      </c>
      <c r="B4" s="105" t="s">
        <v>227</v>
      </c>
      <c r="C4" s="106">
        <v>24955</v>
      </c>
      <c r="D4" s="106">
        <v>29298</v>
      </c>
      <c r="E4" s="107">
        <v>32192</v>
      </c>
      <c r="F4" s="11"/>
      <c r="G4" s="11"/>
    </row>
    <row r="5" spans="1:7">
      <c r="A5" s="252"/>
      <c r="B5" s="108" t="s">
        <v>286</v>
      </c>
      <c r="C5" s="17">
        <f>SUM(C21/2)</f>
        <v>1701.5</v>
      </c>
      <c r="D5" s="17">
        <f t="shared" ref="D5:E5" si="0">SUM(D21/2)</f>
        <v>1997.5</v>
      </c>
      <c r="E5" s="17">
        <f t="shared" si="0"/>
        <v>2195</v>
      </c>
      <c r="F5" s="11"/>
      <c r="G5" s="11"/>
    </row>
    <row r="6" spans="1:7">
      <c r="A6" s="252"/>
      <c r="B6" s="108" t="s">
        <v>209</v>
      </c>
      <c r="C6" s="17">
        <f>37.5*8</f>
        <v>300</v>
      </c>
      <c r="D6" s="17">
        <f>37.5*8</f>
        <v>300</v>
      </c>
      <c r="E6" s="109">
        <f>37.5*8</f>
        <v>300</v>
      </c>
      <c r="F6" s="11"/>
      <c r="G6" s="11"/>
    </row>
    <row r="7" spans="1:7">
      <c r="A7" s="252"/>
      <c r="B7" s="108" t="s">
        <v>112</v>
      </c>
      <c r="C7" s="17">
        <f>(C4+C5)*0.1/$E$1*37.5</f>
        <v>634.67857142857144</v>
      </c>
      <c r="D7" s="17">
        <f>(D4+D5)*0.1/$E$1*37.5</f>
        <v>745.13095238095241</v>
      </c>
      <c r="E7" s="109">
        <f>(E4+E5)*0.1/$E$1*37.5</f>
        <v>818.7380952380953</v>
      </c>
      <c r="F7" s="11"/>
      <c r="G7" s="11"/>
    </row>
    <row r="8" spans="1:7">
      <c r="A8" s="252"/>
      <c r="B8" s="108" t="s">
        <v>222</v>
      </c>
      <c r="C8" s="17">
        <f>$E$1*8</f>
        <v>1260</v>
      </c>
      <c r="D8" s="17">
        <f>$E$1*8</f>
        <v>1260</v>
      </c>
      <c r="E8" s="109">
        <f>$E$1*8</f>
        <v>1260</v>
      </c>
      <c r="F8" s="11"/>
      <c r="G8" s="11"/>
    </row>
    <row r="9" spans="1:7" ht="15" thickBot="1">
      <c r="A9" s="252"/>
      <c r="B9" s="110" t="s">
        <v>217</v>
      </c>
      <c r="C9" s="111">
        <f>SUM($E$1/7.5)*40</f>
        <v>840</v>
      </c>
      <c r="D9" s="111">
        <f>SUM($E$1/7.5)*40</f>
        <v>840</v>
      </c>
      <c r="E9" s="112">
        <f>SUM($E$1/7.5)*40</f>
        <v>840</v>
      </c>
      <c r="F9" s="11"/>
      <c r="G9" s="11"/>
    </row>
    <row r="10" spans="1:7">
      <c r="A10" s="252"/>
      <c r="B10" s="105" t="s">
        <v>2</v>
      </c>
      <c r="C10" s="106">
        <f>SUM(C4:C9)</f>
        <v>29691.178571428572</v>
      </c>
      <c r="D10" s="106">
        <f>SUM(D4:D9)</f>
        <v>34440.630952380954</v>
      </c>
      <c r="E10" s="118">
        <f>SUM(E4:E9)</f>
        <v>37605.738095238092</v>
      </c>
      <c r="F10" s="11"/>
      <c r="G10" s="11"/>
    </row>
    <row r="11" spans="1:7">
      <c r="A11" s="252"/>
      <c r="B11" s="108" t="s">
        <v>3</v>
      </c>
      <c r="C11" s="17">
        <f>(C10*0.74)+(30840/12)</f>
        <v>24541.472142857143</v>
      </c>
      <c r="D11" s="17">
        <f>(D10*0.74)+(30840/12)</f>
        <v>28056.066904761905</v>
      </c>
      <c r="E11" s="109">
        <f>(E10*0.74)+(30840/12)</f>
        <v>30398.246190476188</v>
      </c>
      <c r="F11" s="11"/>
      <c r="G11" s="11"/>
    </row>
    <row r="12" spans="1:7">
      <c r="A12" s="252"/>
      <c r="B12" s="108" t="s">
        <v>4</v>
      </c>
      <c r="C12" s="18">
        <f>SUM(C11:C11)/E1</f>
        <v>155.81887074829933</v>
      </c>
      <c r="D12" s="18">
        <f>SUM(D11:D11)/E1</f>
        <v>178.13375812547241</v>
      </c>
      <c r="E12" s="119">
        <f>SUM(E11:E11)/E1</f>
        <v>193.00473771730913</v>
      </c>
      <c r="F12" s="11"/>
      <c r="G12" s="11"/>
    </row>
    <row r="13" spans="1:7" ht="15" thickBot="1">
      <c r="A13" s="253"/>
      <c r="B13" s="110" t="s">
        <v>5</v>
      </c>
      <c r="C13" s="120">
        <f>C12</f>
        <v>155.81887074829933</v>
      </c>
      <c r="D13" s="120">
        <f t="shared" ref="D13:E13" si="1">D12</f>
        <v>178.13375812547241</v>
      </c>
      <c r="E13" s="121">
        <f t="shared" si="1"/>
        <v>193.00473771730913</v>
      </c>
      <c r="F13" s="11"/>
      <c r="G13" s="11"/>
    </row>
    <row r="14" spans="1:7" ht="15" thickBot="1">
      <c r="B14" s="115"/>
      <c r="C14" s="116">
        <f>C13*$E$1</f>
        <v>24541.472142857147</v>
      </c>
      <c r="D14" s="117">
        <f t="shared" ref="D14:E14" si="2">D13*$E$1</f>
        <v>28056.066904761905</v>
      </c>
      <c r="E14" s="117">
        <f t="shared" si="2"/>
        <v>30398.246190476188</v>
      </c>
      <c r="F14" s="11"/>
      <c r="G14" s="11"/>
    </row>
    <row r="15" spans="1:7" ht="15" thickBot="1">
      <c r="B15" s="8" t="s">
        <v>6</v>
      </c>
      <c r="C15" s="21">
        <f>(C14-2570)/0.74</f>
        <v>29691.178571428576</v>
      </c>
      <c r="D15" s="21">
        <f>(D14-2570)/0.74</f>
        <v>34440.630952380954</v>
      </c>
      <c r="E15" s="21">
        <f>(E14-2570)/0.74</f>
        <v>37605.738095238092</v>
      </c>
      <c r="F15" s="11"/>
      <c r="G15" s="11"/>
    </row>
    <row r="16" spans="1:7" ht="15" thickBot="1">
      <c r="B16" s="9"/>
      <c r="C16" s="16"/>
      <c r="D16" s="24"/>
      <c r="E16" s="24"/>
      <c r="F16" s="11"/>
      <c r="G16" s="11"/>
    </row>
    <row r="17" spans="1:7" ht="15" thickBot="1">
      <c r="A17" s="103" t="s">
        <v>224</v>
      </c>
      <c r="B17" s="98" t="s">
        <v>225</v>
      </c>
      <c r="C17" s="26">
        <f>AVERAGE(C13,C29)</f>
        <v>161.49737792894939</v>
      </c>
      <c r="D17" s="26">
        <f>AVERAGE(D13,D29)</f>
        <v>184.80021844293273</v>
      </c>
      <c r="E17" s="26">
        <f>AVERAGE(E13,E29)</f>
        <v>200.33017838246408</v>
      </c>
      <c r="F17" s="28" t="s">
        <v>20</v>
      </c>
      <c r="G17" s="11"/>
    </row>
    <row r="18" spans="1:7" ht="15" thickBot="1">
      <c r="F18" s="11"/>
      <c r="G18" s="11"/>
    </row>
    <row r="19" spans="1:7" ht="29.4" thickBot="1">
      <c r="B19" s="113" t="s">
        <v>220</v>
      </c>
      <c r="C19" s="114" t="s">
        <v>206</v>
      </c>
      <c r="D19" s="114" t="s">
        <v>207</v>
      </c>
      <c r="E19" s="114" t="s">
        <v>208</v>
      </c>
      <c r="F19" s="11"/>
      <c r="G19" s="11"/>
    </row>
    <row r="20" spans="1:7" ht="14.4" customHeight="1">
      <c r="A20" s="251" t="s">
        <v>219</v>
      </c>
      <c r="B20" s="105" t="s">
        <v>227</v>
      </c>
      <c r="C20" s="106">
        <v>24955</v>
      </c>
      <c r="D20" s="106">
        <v>29298</v>
      </c>
      <c r="E20" s="107">
        <v>32192</v>
      </c>
      <c r="F20" s="11"/>
      <c r="G20" s="11"/>
    </row>
    <row r="21" spans="1:7">
      <c r="A21" s="252"/>
      <c r="B21" s="108" t="s">
        <v>287</v>
      </c>
      <c r="C21" s="17">
        <v>3403</v>
      </c>
      <c r="D21" s="17">
        <v>3995</v>
      </c>
      <c r="E21" s="109">
        <v>4390</v>
      </c>
      <c r="F21" s="11"/>
      <c r="G21" s="11"/>
    </row>
    <row r="22" spans="1:7">
      <c r="A22" s="252"/>
      <c r="B22" s="108" t="s">
        <v>209</v>
      </c>
      <c r="C22" s="17">
        <f>37.5*8</f>
        <v>300</v>
      </c>
      <c r="D22" s="17">
        <f>37.5*8</f>
        <v>300</v>
      </c>
      <c r="E22" s="109">
        <f>37.5*8</f>
        <v>300</v>
      </c>
      <c r="F22" s="11"/>
      <c r="G22" s="11"/>
    </row>
    <row r="23" spans="1:7">
      <c r="A23" s="252"/>
      <c r="B23" s="108" t="s">
        <v>112</v>
      </c>
      <c r="C23" s="17">
        <f>(C20+C21)*0.1/$E$1*75</f>
        <v>1350.3809523809525</v>
      </c>
      <c r="D23" s="17">
        <f>(D20+D21)*0.1/$E$1*75</f>
        <v>1585.3809523809525</v>
      </c>
      <c r="E23" s="109">
        <f>(E20+E21)*0.1/$E$1*75</f>
        <v>1742.0000000000002</v>
      </c>
      <c r="F23" s="11"/>
      <c r="G23" s="11"/>
    </row>
    <row r="24" spans="1:7">
      <c r="A24" s="252"/>
      <c r="B24" s="108" t="s">
        <v>223</v>
      </c>
      <c r="C24" s="17">
        <f>$E$1*8</f>
        <v>1260</v>
      </c>
      <c r="D24" s="17">
        <f>$E$1*8</f>
        <v>1260</v>
      </c>
      <c r="E24" s="109">
        <f>$E$1*8</f>
        <v>1260</v>
      </c>
      <c r="F24" s="11"/>
      <c r="G24" s="11"/>
    </row>
    <row r="25" spans="1:7" ht="15" thickBot="1">
      <c r="A25" s="252"/>
      <c r="B25" s="110" t="s">
        <v>217</v>
      </c>
      <c r="C25" s="111">
        <f>SUM($E$1/7.5)*40</f>
        <v>840</v>
      </c>
      <c r="D25" s="111">
        <f>SUM($E$1/7.5)*40</f>
        <v>840</v>
      </c>
      <c r="E25" s="112">
        <f>SUM($E$1/7.5)*40</f>
        <v>840</v>
      </c>
      <c r="F25" s="11"/>
      <c r="G25" s="11"/>
    </row>
    <row r="26" spans="1:7">
      <c r="A26" s="252"/>
      <c r="B26" s="122" t="s">
        <v>2</v>
      </c>
      <c r="C26" s="104">
        <f>SUM(C20:C25)</f>
        <v>32108.380952380954</v>
      </c>
      <c r="D26" s="104">
        <f>SUM(D20:D25)</f>
        <v>37278.380952380954</v>
      </c>
      <c r="E26" s="123">
        <f>SUM(E20:E25)</f>
        <v>40724</v>
      </c>
      <c r="F26" s="11"/>
      <c r="G26" s="11"/>
    </row>
    <row r="27" spans="1:7">
      <c r="A27" s="252"/>
      <c r="B27" s="108" t="s">
        <v>3</v>
      </c>
      <c r="C27" s="17">
        <f>(C26*0.74)+(30840/12)</f>
        <v>26330.201904761907</v>
      </c>
      <c r="D27" s="17">
        <f>(D26*0.74)+(30840/12)</f>
        <v>30156.001904761906</v>
      </c>
      <c r="E27" s="109">
        <f>(E26*0.74)+(30840/12)</f>
        <v>32705.759999999998</v>
      </c>
      <c r="F27" s="11"/>
      <c r="G27" s="11"/>
    </row>
    <row r="28" spans="1:7">
      <c r="A28" s="252"/>
      <c r="B28" s="108" t="s">
        <v>4</v>
      </c>
      <c r="C28" s="18">
        <f>SUM(C27:C27)/E1</f>
        <v>167.17588510959942</v>
      </c>
      <c r="D28" s="18">
        <f>SUM(D27:D27)/E1</f>
        <v>191.46667876039305</v>
      </c>
      <c r="E28" s="119">
        <f>SUM(E27:E27)/E1</f>
        <v>207.65561904761904</v>
      </c>
      <c r="F28" s="11"/>
      <c r="G28" s="11"/>
    </row>
    <row r="29" spans="1:7" ht="15" thickBot="1">
      <c r="A29" s="253"/>
      <c r="B29" s="110" t="s">
        <v>8</v>
      </c>
      <c r="C29" s="120">
        <f>C28</f>
        <v>167.17588510959942</v>
      </c>
      <c r="D29" s="120">
        <f t="shared" ref="D29:E29" si="3">D28</f>
        <v>191.46667876039305</v>
      </c>
      <c r="E29" s="121">
        <f t="shared" si="3"/>
        <v>207.65561904761904</v>
      </c>
      <c r="F29" s="11"/>
      <c r="G29" s="11"/>
    </row>
    <row r="30" spans="1:7" ht="15" thickBot="1">
      <c r="B30" s="115"/>
      <c r="C30" s="116">
        <f>C29*$E$1</f>
        <v>26330.201904761907</v>
      </c>
      <c r="D30" s="116">
        <f t="shared" ref="D30:E30" si="4">D29*$E$1</f>
        <v>30156.001904761906</v>
      </c>
      <c r="E30" s="116">
        <f t="shared" si="4"/>
        <v>32705.759999999998</v>
      </c>
      <c r="F30" s="11"/>
      <c r="G30" s="11"/>
    </row>
    <row r="31" spans="1:7" ht="15" thickBot="1">
      <c r="B31" s="8" t="s">
        <v>9</v>
      </c>
      <c r="C31" s="21">
        <f>(C30-2570)/0.74</f>
        <v>32108.380952380954</v>
      </c>
      <c r="D31" s="21">
        <f>(D30-2570)/0.74</f>
        <v>37278.380952380954</v>
      </c>
      <c r="E31" s="21">
        <f>(E30-2570)/0.74</f>
        <v>40724</v>
      </c>
      <c r="F31" s="11"/>
      <c r="G31" s="11"/>
    </row>
    <row r="32" spans="1:7">
      <c r="F32" s="11"/>
      <c r="G32" s="11"/>
    </row>
    <row r="33" spans="6:7">
      <c r="F33" s="11"/>
      <c r="G33" s="11"/>
    </row>
    <row r="34" spans="6:7">
      <c r="F34" s="11"/>
      <c r="G34" s="11"/>
    </row>
    <row r="35" spans="6:7">
      <c r="F35" s="11"/>
      <c r="G35" s="11"/>
    </row>
    <row r="36" spans="6:7">
      <c r="F36" s="11"/>
      <c r="G36" s="11"/>
    </row>
    <row r="37" spans="6:7">
      <c r="F37" s="11"/>
      <c r="G37" s="11"/>
    </row>
    <row r="38" spans="6:7">
      <c r="F38" s="11"/>
      <c r="G38" s="11"/>
    </row>
    <row r="39" spans="6:7">
      <c r="F39" s="11"/>
      <c r="G39" s="11"/>
    </row>
    <row r="40" spans="6:7">
      <c r="F40" s="11"/>
      <c r="G40" s="11"/>
    </row>
    <row r="41" spans="6:7">
      <c r="F41" s="11"/>
      <c r="G41" s="11"/>
    </row>
    <row r="42" spans="6:7">
      <c r="F42" s="11"/>
      <c r="G42" s="11"/>
    </row>
    <row r="43" spans="6:7">
      <c r="F43" s="11"/>
      <c r="G43" s="11"/>
    </row>
    <row r="44" spans="6:7">
      <c r="F44" s="11"/>
      <c r="G44" s="11"/>
    </row>
  </sheetData>
  <mergeCells count="2">
    <mergeCell ref="A4:A13"/>
    <mergeCell ref="A20:A29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4F9-483D-426C-94AE-B8DE5673D8C8}">
  <sheetPr codeName="List8">
    <tabColor theme="8" tint="0.59999389629810485"/>
  </sheetPr>
  <dimension ref="A1:J49"/>
  <sheetViews>
    <sheetView zoomScale="145" workbookViewId="0">
      <selection activeCell="G4" sqref="G4"/>
    </sheetView>
  </sheetViews>
  <sheetFormatPr defaultRowHeight="14.4"/>
  <cols>
    <col min="1" max="1" width="35.109375" bestFit="1" customWidth="1"/>
    <col min="2" max="2" width="10.77734375" style="15" bestFit="1" customWidth="1"/>
    <col min="3" max="5" width="10.77734375" style="15" customWidth="1"/>
    <col min="6" max="6" width="10.109375" bestFit="1" customWidth="1"/>
    <col min="7" max="7" width="10.21875" bestFit="1" customWidth="1"/>
    <col min="8" max="8" width="5.109375" bestFit="1" customWidth="1"/>
    <col min="9" max="9" width="15.5546875" customWidth="1"/>
    <col min="10" max="11" width="14.77734375" bestFit="1" customWidth="1"/>
  </cols>
  <sheetData>
    <row r="1" spans="1:10">
      <c r="A1" s="32" t="s">
        <v>144</v>
      </c>
      <c r="B1" s="33" t="s">
        <v>0</v>
      </c>
      <c r="C1" s="2">
        <v>46023</v>
      </c>
      <c r="D1" s="23" t="s">
        <v>131</v>
      </c>
      <c r="E1" s="23">
        <v>157.5</v>
      </c>
      <c r="I1" s="3"/>
    </row>
    <row r="3" spans="1:10" s="11" customFormat="1" ht="27.6">
      <c r="A3" s="13" t="s">
        <v>73</v>
      </c>
      <c r="B3" s="10" t="s">
        <v>170</v>
      </c>
      <c r="C3" s="10" t="s">
        <v>171</v>
      </c>
      <c r="D3" s="10" t="s">
        <v>201</v>
      </c>
      <c r="E3" s="10" t="s">
        <v>200</v>
      </c>
    </row>
    <row r="4" spans="1:10">
      <c r="A4" s="4" t="s">
        <v>1</v>
      </c>
      <c r="B4" s="17">
        <f>$E$1*125</f>
        <v>19687.5</v>
      </c>
      <c r="C4" s="17">
        <f>$E$1*125</f>
        <v>19687.5</v>
      </c>
      <c r="D4" s="17">
        <v>33000</v>
      </c>
      <c r="E4" s="17">
        <v>42000</v>
      </c>
      <c r="F4" s="11"/>
      <c r="G4" s="11"/>
      <c r="H4" s="11"/>
      <c r="I4" s="11"/>
      <c r="J4" s="11"/>
    </row>
    <row r="5" spans="1:10">
      <c r="A5" s="4" t="s">
        <v>139</v>
      </c>
      <c r="B5" s="17">
        <v>600</v>
      </c>
      <c r="C5" s="17">
        <v>600</v>
      </c>
      <c r="D5" s="17">
        <v>0</v>
      </c>
      <c r="E5" s="17">
        <v>1500</v>
      </c>
      <c r="F5" s="11"/>
      <c r="G5" s="11"/>
      <c r="H5" s="11"/>
      <c r="I5" s="11"/>
      <c r="J5" s="11"/>
    </row>
    <row r="6" spans="1:10">
      <c r="A6" s="4" t="s">
        <v>140</v>
      </c>
      <c r="B6" s="17">
        <v>1200</v>
      </c>
      <c r="C6" s="17">
        <v>1200</v>
      </c>
      <c r="D6" s="17">
        <v>1200</v>
      </c>
      <c r="E6" s="17">
        <v>1200</v>
      </c>
      <c r="F6" s="11"/>
      <c r="G6" s="11"/>
      <c r="H6" s="11"/>
      <c r="I6" s="11"/>
      <c r="J6" s="11"/>
    </row>
    <row r="7" spans="1:10">
      <c r="A7" s="4" t="s">
        <v>141</v>
      </c>
      <c r="B7" s="17">
        <v>1600</v>
      </c>
      <c r="C7" s="17">
        <v>1600</v>
      </c>
      <c r="D7" s="17">
        <f>SUM(D4)*0.025</f>
        <v>825</v>
      </c>
      <c r="E7" s="17">
        <v>1000</v>
      </c>
      <c r="F7" s="11"/>
      <c r="G7" s="11"/>
      <c r="H7" s="11"/>
      <c r="I7" s="11"/>
      <c r="J7" s="11"/>
    </row>
    <row r="8" spans="1:10">
      <c r="A8" s="4" t="s">
        <v>172</v>
      </c>
      <c r="B8" s="17">
        <f>(2*5*20)*2</f>
        <v>400</v>
      </c>
      <c r="C8" s="17">
        <f>(2*5*20)*2</f>
        <v>400</v>
      </c>
      <c r="D8" s="17">
        <f>(2*5*20)*2</f>
        <v>400</v>
      </c>
      <c r="E8" s="17">
        <f>(2*5*20)*2</f>
        <v>400</v>
      </c>
      <c r="F8" s="91" t="s">
        <v>173</v>
      </c>
      <c r="G8" s="11"/>
      <c r="H8" s="11"/>
      <c r="I8" s="11"/>
      <c r="J8" s="11"/>
    </row>
    <row r="9" spans="1:10">
      <c r="A9" s="4" t="s">
        <v>169</v>
      </c>
      <c r="B9" s="17">
        <f>11*E1/2</f>
        <v>866.25</v>
      </c>
      <c r="C9" s="17">
        <f>11*$E$1/3</f>
        <v>577.5</v>
      </c>
      <c r="D9" s="17">
        <f>11*$E$1/3</f>
        <v>577.5</v>
      </c>
      <c r="E9" s="17">
        <f>11*$E$1/3</f>
        <v>577.5</v>
      </c>
      <c r="F9" s="11"/>
      <c r="G9" s="11"/>
      <c r="H9" s="11"/>
      <c r="I9" s="11"/>
      <c r="J9" s="11"/>
    </row>
    <row r="10" spans="1:10">
      <c r="A10" s="4" t="s">
        <v>215</v>
      </c>
      <c r="B10" s="17">
        <v>0</v>
      </c>
      <c r="C10" s="17">
        <v>1000</v>
      </c>
      <c r="D10" s="17">
        <v>1000</v>
      </c>
      <c r="E10" s="17">
        <v>1000</v>
      </c>
      <c r="F10" s="11"/>
      <c r="G10" s="11"/>
      <c r="H10" s="11"/>
      <c r="I10" s="11"/>
      <c r="J10" s="11"/>
    </row>
    <row r="11" spans="1:10">
      <c r="A11" s="4" t="s">
        <v>168</v>
      </c>
      <c r="B11" s="17">
        <v>0</v>
      </c>
      <c r="C11" s="17">
        <f>21*$E$1/3</f>
        <v>1102.5</v>
      </c>
      <c r="D11" s="17">
        <f>21*$E$1/3</f>
        <v>1102.5</v>
      </c>
      <c r="E11" s="17">
        <f>21*$E$1/3</f>
        <v>1102.5</v>
      </c>
      <c r="F11" s="11"/>
      <c r="G11" s="11"/>
      <c r="H11" s="11"/>
      <c r="I11" s="11"/>
      <c r="J11" s="11"/>
    </row>
    <row r="12" spans="1:10">
      <c r="A12" s="4" t="s">
        <v>180</v>
      </c>
      <c r="B12" s="17">
        <v>0</v>
      </c>
      <c r="C12" s="17">
        <f>63.25*($E$1/3)/7.5</f>
        <v>442.75</v>
      </c>
      <c r="D12" s="17">
        <f>63.25*($E$1/3)/7.5</f>
        <v>442.75</v>
      </c>
      <c r="E12" s="17">
        <f>63.25*($E$1/3)/7.5</f>
        <v>442.75</v>
      </c>
      <c r="F12" s="11"/>
      <c r="G12" s="11"/>
      <c r="H12" s="11"/>
      <c r="I12" s="11"/>
      <c r="J12" s="11"/>
    </row>
    <row r="13" spans="1:10">
      <c r="A13" s="4" t="s">
        <v>2</v>
      </c>
      <c r="B13" s="17">
        <f>SUM(B4:B12)</f>
        <v>24353.75</v>
      </c>
      <c r="C13" s="17">
        <f>SUM(C4:C12)</f>
        <v>26610.25</v>
      </c>
      <c r="D13" s="17">
        <f>SUM(D4:D12)</f>
        <v>38547.75</v>
      </c>
      <c r="E13" s="17">
        <f>SUM(E4:E12)</f>
        <v>49222.75</v>
      </c>
      <c r="F13" s="11"/>
      <c r="G13" s="11"/>
      <c r="H13" s="11"/>
      <c r="I13" s="11"/>
      <c r="J13" s="11"/>
    </row>
    <row r="14" spans="1:10">
      <c r="A14" s="4" t="s">
        <v>3</v>
      </c>
      <c r="B14" s="17">
        <f>(B13*0.74)+(30840/12)</f>
        <v>20591.775000000001</v>
      </c>
      <c r="C14" s="17">
        <f>(C13*0.74)+(30840/12)</f>
        <v>22261.584999999999</v>
      </c>
      <c r="D14" s="17">
        <f>(D13*0.74)+(30840/12)</f>
        <v>31095.334999999999</v>
      </c>
      <c r="E14" s="17">
        <f>(E13*0.74)+(30840/12)</f>
        <v>38994.834999999999</v>
      </c>
      <c r="F14" s="11"/>
      <c r="G14" s="11"/>
      <c r="H14" s="11"/>
      <c r="I14" s="11"/>
      <c r="J14" s="11"/>
    </row>
    <row r="15" spans="1:10">
      <c r="A15" s="4" t="s">
        <v>4</v>
      </c>
      <c r="B15" s="18">
        <f>SUM(B14:B14)/$E$1</f>
        <v>130.74142857142857</v>
      </c>
      <c r="C15" s="18">
        <f>SUM(C14:C14)/$E$1</f>
        <v>141.34339682539681</v>
      </c>
      <c r="D15" s="18">
        <f>SUM(D14:D14)/$E$1</f>
        <v>197.4306984126984</v>
      </c>
      <c r="E15" s="18">
        <f>SUM(E14:E14)/$E$1</f>
        <v>247.58625396825397</v>
      </c>
      <c r="F15" s="11"/>
      <c r="G15" s="11"/>
      <c r="H15" s="11"/>
      <c r="I15" s="11"/>
      <c r="J15" s="11"/>
    </row>
    <row r="16" spans="1:10">
      <c r="A16" s="4" t="s">
        <v>5</v>
      </c>
      <c r="B16" s="19">
        <f>B15</f>
        <v>130.74142857142857</v>
      </c>
      <c r="C16" s="19">
        <f>C15</f>
        <v>141.34339682539681</v>
      </c>
      <c r="D16" s="19">
        <f>D15</f>
        <v>197.4306984126984</v>
      </c>
      <c r="E16" s="19">
        <f>E15</f>
        <v>247.58625396825397</v>
      </c>
      <c r="F16" s="11"/>
      <c r="G16" s="11"/>
      <c r="H16" s="11"/>
      <c r="I16" s="11"/>
      <c r="J16" s="11"/>
    </row>
    <row r="17" spans="1:10" ht="15" thickBot="1">
      <c r="A17" s="6"/>
      <c r="B17" s="20">
        <f>B16*$E$1</f>
        <v>20591.775000000001</v>
      </c>
      <c r="C17" s="20">
        <f>C16*$E$1</f>
        <v>22261.584999999999</v>
      </c>
      <c r="D17" s="20">
        <f>D16*$E$1</f>
        <v>31095.334999999999</v>
      </c>
      <c r="E17" s="20">
        <f>E16*$E$1</f>
        <v>38994.834999999999</v>
      </c>
      <c r="F17" s="11"/>
      <c r="G17" s="11"/>
      <c r="H17" s="11"/>
      <c r="I17" s="11"/>
      <c r="J17" s="11"/>
    </row>
    <row r="18" spans="1:10" ht="15" thickBot="1">
      <c r="A18" s="95" t="s">
        <v>6</v>
      </c>
      <c r="B18" s="21">
        <f>(B17-2570)/0.74</f>
        <v>24353.750000000004</v>
      </c>
      <c r="C18" s="21">
        <f>(C17-2570)/0.74</f>
        <v>26610.25</v>
      </c>
      <c r="D18" s="21">
        <f>(D17-2570)/0.74</f>
        <v>38547.75</v>
      </c>
      <c r="E18" s="21">
        <f>(E17-2570)/0.74</f>
        <v>49222.75</v>
      </c>
      <c r="F18" s="11"/>
      <c r="G18" s="11"/>
      <c r="H18" s="11"/>
      <c r="I18" s="11"/>
      <c r="J18" s="11"/>
    </row>
    <row r="19" spans="1:10" ht="15" thickBot="1">
      <c r="A19" s="9"/>
      <c r="B19" s="16"/>
      <c r="C19" s="16"/>
      <c r="D19" s="94"/>
      <c r="E19" s="94"/>
      <c r="F19" s="11"/>
      <c r="G19" s="11"/>
      <c r="H19" s="11"/>
      <c r="I19" s="11"/>
      <c r="J19" s="11"/>
    </row>
    <row r="20" spans="1:10" ht="15" thickBot="1">
      <c r="A20" s="96" t="s">
        <v>7</v>
      </c>
      <c r="B20" s="26">
        <f>AVERAGE(B16,B35)</f>
        <v>132.15095238095239</v>
      </c>
      <c r="C20" s="26">
        <f>AVERAGE(C16,C35)</f>
        <v>151.09553968253965</v>
      </c>
      <c r="D20" s="26">
        <f>AVERAGE(D16,D35)</f>
        <v>207.71141269841269</v>
      </c>
      <c r="E20" s="26">
        <f>AVERAGE(E16,E35)</f>
        <v>261.80188888888893</v>
      </c>
      <c r="F20" s="257" t="s">
        <v>20</v>
      </c>
      <c r="G20" s="258"/>
      <c r="H20" s="258"/>
      <c r="I20" s="258"/>
      <c r="J20" s="11"/>
    </row>
    <row r="21" spans="1:10">
      <c r="F21" s="11"/>
      <c r="G21" s="11"/>
      <c r="H21" s="11"/>
      <c r="I21" s="11"/>
      <c r="J21" s="11"/>
    </row>
    <row r="22" spans="1:10" ht="27.6">
      <c r="A22" s="13" t="s">
        <v>16</v>
      </c>
      <c r="B22" s="10" t="s">
        <v>170</v>
      </c>
      <c r="C22" s="10" t="s">
        <v>171</v>
      </c>
      <c r="D22" s="10" t="s">
        <v>201</v>
      </c>
      <c r="E22" s="10" t="s">
        <v>200</v>
      </c>
      <c r="F22" s="11"/>
      <c r="G22" s="11"/>
      <c r="H22" s="11"/>
      <c r="I22" s="11"/>
      <c r="J22" s="11"/>
    </row>
    <row r="23" spans="1:10">
      <c r="A23" s="4" t="s">
        <v>1</v>
      </c>
      <c r="B23" s="17">
        <f>$E$1*125</f>
        <v>19687.5</v>
      </c>
      <c r="C23" s="17">
        <f>$E$1*125</f>
        <v>19687.5</v>
      </c>
      <c r="D23" s="17">
        <v>33000</v>
      </c>
      <c r="E23" s="17">
        <v>42000</v>
      </c>
      <c r="F23" s="11"/>
      <c r="G23" s="11"/>
      <c r="H23" s="11"/>
      <c r="I23" s="11"/>
      <c r="J23" s="11"/>
    </row>
    <row r="24" spans="1:10">
      <c r="A24" s="4" t="s">
        <v>139</v>
      </c>
      <c r="B24" s="17">
        <v>1200</v>
      </c>
      <c r="C24" s="17">
        <v>1200</v>
      </c>
      <c r="D24" s="17">
        <v>0</v>
      </c>
      <c r="E24" s="17">
        <v>3000</v>
      </c>
      <c r="F24" s="11"/>
      <c r="G24" s="11"/>
      <c r="H24" s="11"/>
      <c r="I24" s="11"/>
      <c r="J24" s="11"/>
    </row>
    <row r="25" spans="1:10">
      <c r="A25" s="4" t="s">
        <v>140</v>
      </c>
      <c r="B25" s="17">
        <v>1200</v>
      </c>
      <c r="C25" s="17">
        <v>1200</v>
      </c>
      <c r="D25" s="17">
        <v>1200</v>
      </c>
      <c r="E25" s="17">
        <v>1200</v>
      </c>
      <c r="F25" s="11"/>
      <c r="G25" s="11"/>
      <c r="H25" s="11"/>
      <c r="I25" s="11"/>
      <c r="J25" s="11"/>
    </row>
    <row r="26" spans="1:10">
      <c r="A26" s="4" t="s">
        <v>141</v>
      </c>
      <c r="B26" s="17">
        <v>1600</v>
      </c>
      <c r="C26" s="17">
        <v>1600</v>
      </c>
      <c r="D26" s="17">
        <f>SUM(D23)*0.05</f>
        <v>1650</v>
      </c>
      <c r="E26" s="17">
        <v>2000</v>
      </c>
      <c r="F26" s="11"/>
      <c r="G26" s="11"/>
      <c r="H26" s="11"/>
      <c r="I26" s="11"/>
      <c r="J26" s="11"/>
    </row>
    <row r="27" spans="1:10">
      <c r="A27" s="4" t="s">
        <v>14</v>
      </c>
      <c r="B27" s="17">
        <f>(2*5*20)*2</f>
        <v>400</v>
      </c>
      <c r="C27" s="17">
        <f>(2*5*20)*2</f>
        <v>400</v>
      </c>
      <c r="D27" s="17">
        <f>(2*5*20)*2</f>
        <v>400</v>
      </c>
      <c r="E27" s="17">
        <f>(2*5*20)*2</f>
        <v>400</v>
      </c>
      <c r="F27" s="91" t="s">
        <v>173</v>
      </c>
      <c r="G27" s="11"/>
      <c r="H27" s="11"/>
      <c r="I27" s="11"/>
      <c r="J27" s="11"/>
    </row>
    <row r="28" spans="1:10">
      <c r="A28" s="4" t="s">
        <v>142</v>
      </c>
      <c r="B28" s="17">
        <f>11*E1/2</f>
        <v>866.25</v>
      </c>
      <c r="C28" s="17">
        <f>11*E1/3</f>
        <v>577.5</v>
      </c>
      <c r="D28" s="17">
        <f>11*$E$1/3</f>
        <v>577.5</v>
      </c>
      <c r="E28" s="17">
        <f>11*$E$1/3</f>
        <v>577.5</v>
      </c>
      <c r="F28" s="11"/>
      <c r="G28" s="11"/>
      <c r="H28" s="11"/>
      <c r="I28" s="11"/>
      <c r="J28" s="11"/>
    </row>
    <row r="29" spans="1:10">
      <c r="A29" s="4" t="s">
        <v>215</v>
      </c>
      <c r="B29" s="17">
        <v>0</v>
      </c>
      <c r="C29" s="17">
        <v>4000</v>
      </c>
      <c r="D29" s="17">
        <v>4000</v>
      </c>
      <c r="E29" s="17">
        <v>4000</v>
      </c>
      <c r="F29" s="11"/>
      <c r="G29" s="11"/>
      <c r="H29" s="11"/>
      <c r="I29" s="11"/>
      <c r="J29" s="11"/>
    </row>
    <row r="30" spans="1:10">
      <c r="A30" s="4" t="s">
        <v>143</v>
      </c>
      <c r="B30" s="17">
        <v>0</v>
      </c>
      <c r="C30" s="17">
        <f>21*E1/2</f>
        <v>1653.75</v>
      </c>
      <c r="D30" s="17">
        <f>21*$E$1/2</f>
        <v>1653.75</v>
      </c>
      <c r="E30" s="17">
        <f>21*$E$1/2</f>
        <v>1653.75</v>
      </c>
      <c r="F30" s="11"/>
      <c r="G30" s="11"/>
      <c r="H30" s="11"/>
      <c r="I30" s="11"/>
      <c r="J30" s="11"/>
    </row>
    <row r="31" spans="1:10">
      <c r="A31" s="4" t="s">
        <v>180</v>
      </c>
      <c r="B31" s="17">
        <v>0</v>
      </c>
      <c r="C31" s="17">
        <f>63.25*($E$1/3)/7.5</f>
        <v>442.75</v>
      </c>
      <c r="D31" s="17">
        <f>63.25*($E$1/3)/7.5</f>
        <v>442.75</v>
      </c>
      <c r="E31" s="17">
        <f>63.25*($E$1/3)/7.5</f>
        <v>442.75</v>
      </c>
      <c r="F31" s="11"/>
      <c r="G31" s="11"/>
      <c r="H31" s="11"/>
      <c r="I31" s="11"/>
      <c r="J31" s="11"/>
    </row>
    <row r="32" spans="1:10">
      <c r="A32" s="4" t="s">
        <v>2</v>
      </c>
      <c r="B32" s="17">
        <f>SUM(B23:B31)</f>
        <v>24953.75</v>
      </c>
      <c r="C32" s="17">
        <f>SUM(C23:C31)</f>
        <v>30761.5</v>
      </c>
      <c r="D32" s="17">
        <f>SUM(D23:D31)</f>
        <v>42924</v>
      </c>
      <c r="E32" s="17">
        <f>SUM(E23:E31)</f>
        <v>55274</v>
      </c>
      <c r="F32" s="11"/>
      <c r="G32" s="11"/>
      <c r="H32" s="11"/>
      <c r="I32" s="11"/>
      <c r="J32" s="11"/>
    </row>
    <row r="33" spans="1:10">
      <c r="A33" s="4" t="s">
        <v>3</v>
      </c>
      <c r="B33" s="17">
        <f>(B32*0.74)+(30840/12)</f>
        <v>21035.775000000001</v>
      </c>
      <c r="C33" s="17">
        <f>(C32*0.74)+(30840/12)</f>
        <v>25333.51</v>
      </c>
      <c r="D33" s="17">
        <f>(D32*0.74)+(30840/12)</f>
        <v>34333.759999999995</v>
      </c>
      <c r="E33" s="17">
        <f>(E32*0.74)+(30840/12)</f>
        <v>43472.76</v>
      </c>
      <c r="F33" s="11"/>
      <c r="G33" s="11"/>
      <c r="H33" s="11"/>
      <c r="I33" s="11"/>
      <c r="J33" s="11"/>
    </row>
    <row r="34" spans="1:10">
      <c r="A34" s="4" t="s">
        <v>4</v>
      </c>
      <c r="B34" s="18">
        <f>SUM(B33:B33)/$E$1</f>
        <v>133.56047619047621</v>
      </c>
      <c r="C34" s="18">
        <f>SUM(C33:C33)/$E$1</f>
        <v>160.84768253968252</v>
      </c>
      <c r="D34" s="18">
        <f>SUM(D33:D33)/$E$1</f>
        <v>217.99212698412694</v>
      </c>
      <c r="E34" s="18">
        <f>SUM(E33:E33)/$E$1</f>
        <v>276.01752380952382</v>
      </c>
      <c r="F34" s="11"/>
      <c r="G34" s="11"/>
      <c r="H34" s="11"/>
      <c r="I34" s="11"/>
      <c r="J34" s="11"/>
    </row>
    <row r="35" spans="1:10">
      <c r="A35" s="4" t="s">
        <v>8</v>
      </c>
      <c r="B35" s="19">
        <f>B34</f>
        <v>133.56047619047621</v>
      </c>
      <c r="C35" s="19">
        <f>C34</f>
        <v>160.84768253968252</v>
      </c>
      <c r="D35" s="19">
        <f>D34</f>
        <v>217.99212698412694</v>
      </c>
      <c r="E35" s="19">
        <f>E34</f>
        <v>276.01752380952382</v>
      </c>
      <c r="F35" s="11"/>
      <c r="G35" s="11"/>
      <c r="H35" s="11"/>
      <c r="I35" s="11"/>
      <c r="J35" s="11"/>
    </row>
    <row r="36" spans="1:10" ht="15" thickBot="1">
      <c r="A36" s="6"/>
      <c r="B36" s="20">
        <f>B35*$E$1</f>
        <v>21035.775000000001</v>
      </c>
      <c r="C36" s="20">
        <f>C35*$E$1</f>
        <v>25333.51</v>
      </c>
      <c r="D36" s="20">
        <f>D35*$E$1</f>
        <v>34333.759999999995</v>
      </c>
      <c r="E36" s="20">
        <f>E35*$E$1</f>
        <v>43472.76</v>
      </c>
      <c r="F36" s="11"/>
      <c r="G36" s="11"/>
      <c r="H36" s="11"/>
      <c r="I36" s="11"/>
      <c r="J36" s="11"/>
    </row>
    <row r="37" spans="1:10" ht="15" thickBot="1">
      <c r="A37" s="95" t="s">
        <v>9</v>
      </c>
      <c r="B37" s="21">
        <f>(B36-2570)/0.74</f>
        <v>24953.750000000004</v>
      </c>
      <c r="C37" s="21">
        <f>(C36-2570)/0.74</f>
        <v>30761.5</v>
      </c>
      <c r="D37" s="21">
        <f>(D36-2570)/0.74</f>
        <v>42923.999999999993</v>
      </c>
      <c r="E37" s="21">
        <f>(E36-2570)/0.74</f>
        <v>55274</v>
      </c>
      <c r="F37" s="11"/>
      <c r="G37" s="11"/>
      <c r="H37" s="11"/>
      <c r="I37" s="11"/>
      <c r="J37" s="11"/>
    </row>
    <row r="38" spans="1:10">
      <c r="H38" s="11"/>
      <c r="I38" s="11"/>
      <c r="J38" s="11"/>
    </row>
    <row r="39" spans="1:10">
      <c r="H39" s="11"/>
      <c r="I39" s="11"/>
      <c r="J39" s="11"/>
    </row>
    <row r="40" spans="1:10">
      <c r="H40" s="11"/>
      <c r="I40" s="11"/>
      <c r="J40" s="11"/>
    </row>
    <row r="41" spans="1:10">
      <c r="H41" s="11"/>
      <c r="I41" s="11"/>
      <c r="J41" s="11"/>
    </row>
    <row r="42" spans="1:10">
      <c r="H42" s="11"/>
      <c r="I42" s="11"/>
      <c r="J42" s="11"/>
    </row>
    <row r="43" spans="1:10">
      <c r="H43" s="11"/>
      <c r="I43" s="11"/>
      <c r="J43" s="11"/>
    </row>
    <row r="44" spans="1:10">
      <c r="H44" s="11"/>
      <c r="I44" s="11"/>
      <c r="J44" s="11"/>
    </row>
    <row r="45" spans="1:10">
      <c r="H45" s="11"/>
      <c r="I45" s="11"/>
      <c r="J45" s="11"/>
    </row>
    <row r="46" spans="1:10">
      <c r="H46" s="11"/>
      <c r="I46" s="11"/>
      <c r="J46" s="11"/>
    </row>
    <row r="47" spans="1:10">
      <c r="H47" s="11"/>
      <c r="I47" s="11"/>
      <c r="J47" s="11"/>
    </row>
    <row r="48" spans="1:10">
      <c r="H48" s="11"/>
      <c r="I48" s="11"/>
      <c r="J48" s="11"/>
    </row>
    <row r="49" spans="8:10">
      <c r="H49" s="11"/>
      <c r="I49" s="11"/>
      <c r="J49" s="11"/>
    </row>
  </sheetData>
  <mergeCells count="1">
    <mergeCell ref="F20:I20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C440-E2D4-4E18-B6FF-026A10CADA88}">
  <sheetPr codeName="List9">
    <tabColor rgb="FF00B050"/>
  </sheetPr>
  <dimension ref="A1:I41"/>
  <sheetViews>
    <sheetView topLeftCell="A4" workbookViewId="0">
      <selection activeCell="H25" sqref="H25"/>
    </sheetView>
  </sheetViews>
  <sheetFormatPr defaultRowHeight="14.4"/>
  <cols>
    <col min="1" max="1" width="35.109375" bestFit="1" customWidth="1"/>
    <col min="2" max="2" width="10.77734375" style="15" bestFit="1" customWidth="1"/>
    <col min="3" max="4" width="10.77734375" style="15" customWidth="1"/>
    <col min="5" max="5" width="10.109375" bestFit="1" customWidth="1"/>
    <col min="6" max="6" width="10.21875" bestFit="1" customWidth="1"/>
    <col min="7" max="7" width="5.109375" bestFit="1" customWidth="1"/>
    <col min="8" max="8" width="15.5546875" customWidth="1"/>
    <col min="9" max="10" width="14.77734375" bestFit="1" customWidth="1"/>
  </cols>
  <sheetData>
    <row r="1" spans="1:9">
      <c r="A1" s="32" t="s">
        <v>181</v>
      </c>
      <c r="B1" s="33" t="s">
        <v>0</v>
      </c>
      <c r="C1" s="34">
        <v>45444</v>
      </c>
      <c r="D1" s="23" t="s">
        <v>131</v>
      </c>
      <c r="E1" s="23">
        <v>157.5</v>
      </c>
      <c r="H1" s="3"/>
    </row>
    <row r="3" spans="1:9" s="11" customFormat="1" ht="27.6">
      <c r="A3" s="13" t="s">
        <v>73</v>
      </c>
      <c r="B3" s="10" t="s">
        <v>185</v>
      </c>
      <c r="C3" s="10" t="s">
        <v>186</v>
      </c>
      <c r="D3" s="10" t="s">
        <v>29</v>
      </c>
    </row>
    <row r="4" spans="1:9" ht="14.4" customHeight="1">
      <c r="A4" s="4" t="s">
        <v>1</v>
      </c>
      <c r="B4" s="17">
        <f>E1*130</f>
        <v>20475</v>
      </c>
      <c r="C4" s="17">
        <f>E1*150</f>
        <v>23625</v>
      </c>
      <c r="D4" s="17">
        <f>E1*180</f>
        <v>28350</v>
      </c>
      <c r="E4" s="11"/>
      <c r="F4" s="11"/>
      <c r="G4" s="11"/>
      <c r="H4" s="11"/>
      <c r="I4" s="11"/>
    </row>
    <row r="5" spans="1:9">
      <c r="A5" s="4" t="s">
        <v>182</v>
      </c>
      <c r="B5" s="17">
        <v>2000</v>
      </c>
      <c r="C5" s="17">
        <v>2000</v>
      </c>
      <c r="D5" s="17">
        <v>2000</v>
      </c>
      <c r="E5" s="11"/>
      <c r="F5" s="11"/>
      <c r="G5" s="11"/>
      <c r="H5" s="11"/>
      <c r="I5" s="11"/>
    </row>
    <row r="6" spans="1:9">
      <c r="A6" s="4" t="s">
        <v>183</v>
      </c>
      <c r="B6" s="17">
        <v>0</v>
      </c>
      <c r="C6" s="17">
        <v>0</v>
      </c>
      <c r="D6" s="17">
        <v>0</v>
      </c>
      <c r="E6" s="91"/>
      <c r="F6" s="11"/>
      <c r="G6" s="11"/>
      <c r="H6" s="11"/>
      <c r="I6" s="11"/>
    </row>
    <row r="7" spans="1:9">
      <c r="A7" s="4" t="s">
        <v>184</v>
      </c>
      <c r="B7" s="17">
        <f>5*E1/3</f>
        <v>262.5</v>
      </c>
      <c r="C7" s="17">
        <f>5*E1/3</f>
        <v>262.5</v>
      </c>
      <c r="D7" s="17">
        <f>5*E1/3</f>
        <v>262.5</v>
      </c>
      <c r="E7" s="11"/>
      <c r="F7" s="11"/>
      <c r="G7" s="11"/>
      <c r="H7" s="11"/>
      <c r="I7" s="11"/>
    </row>
    <row r="8" spans="1:9">
      <c r="A8" s="4" t="s">
        <v>112</v>
      </c>
      <c r="B8" s="17">
        <f>130*0.1*E1/3</f>
        <v>682.5</v>
      </c>
      <c r="C8" s="17">
        <f>150*0.1*E1/3</f>
        <v>787.5</v>
      </c>
      <c r="D8" s="17">
        <f>180*0.1*E1/3</f>
        <v>945</v>
      </c>
      <c r="E8" s="11"/>
      <c r="F8" s="11"/>
      <c r="G8" s="11"/>
      <c r="H8" s="11"/>
      <c r="I8" s="11"/>
    </row>
    <row r="9" spans="1:9">
      <c r="A9" s="4" t="s">
        <v>2</v>
      </c>
      <c r="B9" s="17">
        <f>SUM(B4:B8)</f>
        <v>23420</v>
      </c>
      <c r="C9" s="17">
        <f>SUM(C4:C8)</f>
        <v>26675</v>
      </c>
      <c r="D9" s="17">
        <f>SUM(D4:D8)</f>
        <v>31557.5</v>
      </c>
      <c r="E9" s="11"/>
      <c r="F9" s="11"/>
      <c r="G9" s="11"/>
      <c r="H9" s="11"/>
      <c r="I9" s="11"/>
    </row>
    <row r="10" spans="1:9">
      <c r="A10" s="4" t="s">
        <v>3</v>
      </c>
      <c r="B10" s="17">
        <f>(B9*0.74)+(30840/12)</f>
        <v>19900.8</v>
      </c>
      <c r="C10" s="17">
        <f>(C9*0.74)+(30840/12)</f>
        <v>22309.5</v>
      </c>
      <c r="D10" s="17">
        <f>(D9*0.74)+(30840/12)</f>
        <v>25922.55</v>
      </c>
      <c r="E10" s="11"/>
      <c r="F10" s="11"/>
      <c r="G10" s="11"/>
      <c r="H10" s="11"/>
      <c r="I10" s="11"/>
    </row>
    <row r="11" spans="1:9">
      <c r="A11" s="4" t="s">
        <v>4</v>
      </c>
      <c r="B11" s="18">
        <f>SUM(B10:B10)/E1</f>
        <v>126.35428571428571</v>
      </c>
      <c r="C11" s="18">
        <f>SUM(C10:C10)/E1</f>
        <v>141.64761904761906</v>
      </c>
      <c r="D11" s="18">
        <f>SUM(D10:D10)/E1</f>
        <v>164.58761904761903</v>
      </c>
      <c r="E11" s="11"/>
      <c r="F11" s="11"/>
      <c r="G11" s="11"/>
      <c r="H11" s="11"/>
      <c r="I11" s="11"/>
    </row>
    <row r="12" spans="1:9">
      <c r="A12" s="4" t="s">
        <v>5</v>
      </c>
      <c r="B12" s="19">
        <f>B11</f>
        <v>126.35428571428571</v>
      </c>
      <c r="C12" s="19">
        <f>C11</f>
        <v>141.64761904761906</v>
      </c>
      <c r="D12" s="19">
        <f>D11</f>
        <v>164.58761904761903</v>
      </c>
      <c r="E12" s="11"/>
      <c r="F12" s="11"/>
      <c r="G12" s="11"/>
      <c r="H12" s="11"/>
      <c r="I12" s="11"/>
    </row>
    <row r="13" spans="1:9" ht="15" thickBot="1">
      <c r="A13" s="6"/>
      <c r="B13" s="20">
        <f>B12*$E$1</f>
        <v>19900.8</v>
      </c>
      <c r="C13" s="20">
        <f>C12*$E$1</f>
        <v>22309.500000000004</v>
      </c>
      <c r="D13" s="20">
        <f>D12*$E$1</f>
        <v>25922.549999999996</v>
      </c>
      <c r="E13" s="11"/>
      <c r="F13" s="11"/>
      <c r="G13" s="11"/>
      <c r="H13" s="11"/>
      <c r="I13" s="11"/>
    </row>
    <row r="14" spans="1:9" ht="15" thickBot="1">
      <c r="A14" s="8" t="s">
        <v>6</v>
      </c>
      <c r="B14" s="21">
        <f>(B13-2570)/0.74</f>
        <v>23420</v>
      </c>
      <c r="C14" s="21">
        <f>(C13-2570)/0.74</f>
        <v>26675.000000000004</v>
      </c>
      <c r="D14" s="21">
        <f>(D13-2570)/0.74</f>
        <v>31557.499999999993</v>
      </c>
      <c r="E14" s="11"/>
      <c r="F14" s="11"/>
      <c r="G14" s="11"/>
      <c r="H14" s="11"/>
      <c r="I14" s="11"/>
    </row>
    <row r="15" spans="1:9" ht="15" thickBot="1">
      <c r="A15" s="9"/>
      <c r="B15" s="16"/>
      <c r="C15" s="16"/>
      <c r="D15" s="16"/>
      <c r="E15" s="11"/>
      <c r="F15" s="11"/>
      <c r="G15" s="11"/>
      <c r="H15" s="11"/>
      <c r="I15" s="11"/>
    </row>
    <row r="16" spans="1:9" ht="15" thickBot="1">
      <c r="A16" s="25" t="s">
        <v>7</v>
      </c>
      <c r="B16" s="26">
        <f>AVERAGE(B12,B27)</f>
        <v>140.44952380952381</v>
      </c>
      <c r="C16" s="26">
        <f>AVERAGE(C12,C27)</f>
        <v>155.74285714285713</v>
      </c>
      <c r="D16" s="26">
        <f>AVERAGE(D12,D27)</f>
        <v>178.68285714285713</v>
      </c>
      <c r="E16" s="257" t="s">
        <v>20</v>
      </c>
      <c r="F16" s="258"/>
      <c r="G16" s="258"/>
      <c r="H16" s="258"/>
      <c r="I16" s="11"/>
    </row>
    <row r="17" spans="1:9">
      <c r="E17" s="11"/>
      <c r="F17" s="11"/>
      <c r="G17" s="11"/>
      <c r="H17" s="11"/>
      <c r="I17" s="11"/>
    </row>
    <row r="18" spans="1:9" ht="27.6">
      <c r="A18" s="13" t="s">
        <v>16</v>
      </c>
      <c r="B18" s="10" t="s">
        <v>185</v>
      </c>
      <c r="C18" s="10" t="s">
        <v>186</v>
      </c>
      <c r="D18" s="10" t="s">
        <v>29</v>
      </c>
      <c r="E18" s="11"/>
      <c r="F18" s="11"/>
      <c r="G18" s="11"/>
      <c r="H18" s="11"/>
      <c r="I18" s="11"/>
    </row>
    <row r="19" spans="1:9">
      <c r="A19" s="4" t="s">
        <v>1</v>
      </c>
      <c r="B19" s="17">
        <f>E1*130</f>
        <v>20475</v>
      </c>
      <c r="C19" s="17">
        <f>E1*150</f>
        <v>23625</v>
      </c>
      <c r="D19" s="17">
        <f>E1*180</f>
        <v>28350</v>
      </c>
      <c r="E19" s="11"/>
      <c r="F19" s="11"/>
      <c r="G19" s="11"/>
      <c r="H19" s="11"/>
      <c r="I19" s="11"/>
    </row>
    <row r="20" spans="1:9" ht="14.4" customHeight="1">
      <c r="A20" s="4" t="s">
        <v>182</v>
      </c>
      <c r="B20" s="17">
        <v>6500</v>
      </c>
      <c r="C20" s="17">
        <v>6500</v>
      </c>
      <c r="D20" s="17">
        <v>6500</v>
      </c>
      <c r="E20" s="11"/>
      <c r="F20" s="11"/>
      <c r="G20" s="11"/>
      <c r="H20" s="11"/>
      <c r="I20" s="11"/>
    </row>
    <row r="21" spans="1:9">
      <c r="A21" s="4" t="s">
        <v>183</v>
      </c>
      <c r="B21" s="17">
        <v>1500</v>
      </c>
      <c r="C21" s="17">
        <v>1500</v>
      </c>
      <c r="D21" s="17">
        <v>1500</v>
      </c>
      <c r="E21" s="91"/>
      <c r="F21" s="11"/>
      <c r="G21" s="11"/>
      <c r="H21" s="11"/>
      <c r="I21" s="11"/>
    </row>
    <row r="22" spans="1:9">
      <c r="A22" s="4" t="s">
        <v>184</v>
      </c>
      <c r="B22" s="17">
        <f>5*E1/3</f>
        <v>262.5</v>
      </c>
      <c r="C22" s="17">
        <f>5*E1/3</f>
        <v>262.5</v>
      </c>
      <c r="D22" s="17">
        <f>5*E1/3</f>
        <v>262.5</v>
      </c>
      <c r="E22" s="11"/>
      <c r="F22" s="11"/>
      <c r="G22" s="11"/>
      <c r="H22" s="11"/>
      <c r="I22" s="11"/>
    </row>
    <row r="23" spans="1:9">
      <c r="A23" s="4" t="s">
        <v>112</v>
      </c>
      <c r="B23" s="17">
        <f>130*0.1*E1/3</f>
        <v>682.5</v>
      </c>
      <c r="C23" s="17">
        <f>150*0.1*E1/3</f>
        <v>787.5</v>
      </c>
      <c r="D23" s="17">
        <f>180*0.1*E1/3</f>
        <v>945</v>
      </c>
      <c r="E23" s="11"/>
      <c r="F23" s="11"/>
      <c r="G23" s="11"/>
      <c r="H23" s="11"/>
      <c r="I23" s="11"/>
    </row>
    <row r="24" spans="1:9">
      <c r="A24" s="4" t="s">
        <v>2</v>
      </c>
      <c r="B24" s="17">
        <f>SUM(B19:B23)</f>
        <v>29420</v>
      </c>
      <c r="C24" s="17">
        <f>SUM(C19:C23)</f>
        <v>32675</v>
      </c>
      <c r="D24" s="17">
        <f>SUM(D19:D23)</f>
        <v>37557.5</v>
      </c>
      <c r="E24" s="11"/>
      <c r="F24" s="11"/>
      <c r="G24" s="11"/>
      <c r="H24" s="11"/>
      <c r="I24" s="11"/>
    </row>
    <row r="25" spans="1:9">
      <c r="A25" s="4" t="s">
        <v>3</v>
      </c>
      <c r="B25" s="17">
        <f>(B24*0.74)+(30840/12)</f>
        <v>24340.799999999999</v>
      </c>
      <c r="C25" s="17">
        <f>(C24*0.74)+(30840/12)</f>
        <v>26749.5</v>
      </c>
      <c r="D25" s="17">
        <f>(D24*0.74)+(30840/12)</f>
        <v>30362.55</v>
      </c>
      <c r="E25" s="11"/>
      <c r="F25" s="11"/>
      <c r="G25" s="11"/>
      <c r="H25" s="11"/>
      <c r="I25" s="11"/>
    </row>
    <row r="26" spans="1:9">
      <c r="A26" s="4" t="s">
        <v>4</v>
      </c>
      <c r="B26" s="18">
        <f>SUM(B25:B25)/E1</f>
        <v>154.54476190476191</v>
      </c>
      <c r="C26" s="18">
        <f>SUM(C25:C25)/E1</f>
        <v>169.83809523809524</v>
      </c>
      <c r="D26" s="18">
        <f>SUM(D25:D25)/E1</f>
        <v>192.77809523809523</v>
      </c>
      <c r="E26" s="11"/>
      <c r="F26" s="11"/>
      <c r="G26" s="11"/>
      <c r="H26" s="11"/>
      <c r="I26" s="11"/>
    </row>
    <row r="27" spans="1:9">
      <c r="A27" s="4" t="s">
        <v>8</v>
      </c>
      <c r="B27" s="19">
        <f>B26</f>
        <v>154.54476190476191</v>
      </c>
      <c r="C27" s="19">
        <f>C26</f>
        <v>169.83809523809524</v>
      </c>
      <c r="D27" s="19">
        <f>D26</f>
        <v>192.77809523809523</v>
      </c>
      <c r="E27" s="11"/>
      <c r="F27" s="11"/>
      <c r="G27" s="11"/>
      <c r="H27" s="11"/>
      <c r="I27" s="11"/>
    </row>
    <row r="28" spans="1:9" ht="15" thickBot="1">
      <c r="A28" s="6"/>
      <c r="B28" s="20">
        <f>B27*$E$1</f>
        <v>24340.800000000003</v>
      </c>
      <c r="C28" s="20">
        <f>C27*$E$1</f>
        <v>26749.5</v>
      </c>
      <c r="D28" s="20">
        <f>D27*$E$1</f>
        <v>30362.55</v>
      </c>
      <c r="E28" s="11"/>
      <c r="F28" s="11"/>
      <c r="G28" s="11"/>
      <c r="H28" s="11"/>
      <c r="I28" s="11"/>
    </row>
    <row r="29" spans="1:9" ht="15" thickBot="1">
      <c r="A29" s="8" t="s">
        <v>9</v>
      </c>
      <c r="B29" s="21">
        <f>(B28-2570)/0.74</f>
        <v>29420.000000000004</v>
      </c>
      <c r="C29" s="21">
        <f>(C28-2570)/0.74</f>
        <v>32675</v>
      </c>
      <c r="D29" s="21">
        <f>(D28-2570)/0.74</f>
        <v>37557.5</v>
      </c>
      <c r="E29" s="11"/>
      <c r="F29" s="11"/>
      <c r="G29" s="11"/>
      <c r="H29" s="11"/>
      <c r="I29" s="11"/>
    </row>
    <row r="30" spans="1:9">
      <c r="G30" s="11"/>
      <c r="H30" s="11"/>
      <c r="I30" s="11"/>
    </row>
    <row r="31" spans="1:9">
      <c r="G31" s="11"/>
      <c r="H31" s="11"/>
      <c r="I31" s="11"/>
    </row>
    <row r="32" spans="1:9">
      <c r="G32" s="11"/>
      <c r="H32" s="11"/>
      <c r="I32" s="11"/>
    </row>
    <row r="33" spans="7:9">
      <c r="G33" s="11"/>
      <c r="H33" s="11"/>
      <c r="I33" s="11"/>
    </row>
    <row r="34" spans="7:9">
      <c r="G34" s="11"/>
      <c r="H34" s="11"/>
      <c r="I34" s="11"/>
    </row>
    <row r="35" spans="7:9">
      <c r="G35" s="11"/>
      <c r="H35" s="11"/>
      <c r="I35" s="11"/>
    </row>
    <row r="36" spans="7:9">
      <c r="G36" s="11"/>
      <c r="H36" s="11"/>
      <c r="I36" s="11"/>
    </row>
    <row r="37" spans="7:9">
      <c r="G37" s="11"/>
      <c r="H37" s="11"/>
      <c r="I37" s="11"/>
    </row>
    <row r="38" spans="7:9">
      <c r="G38" s="11"/>
      <c r="H38" s="11"/>
      <c r="I38" s="11"/>
    </row>
    <row r="39" spans="7:9">
      <c r="G39" s="11"/>
      <c r="H39" s="11"/>
      <c r="I39" s="11"/>
    </row>
    <row r="40" spans="7:9">
      <c r="G40" s="11"/>
      <c r="H40" s="11"/>
      <c r="I40" s="11"/>
    </row>
    <row r="41" spans="7:9">
      <c r="G41" s="11"/>
      <c r="H41" s="11"/>
      <c r="I41" s="11"/>
    </row>
  </sheetData>
  <mergeCells count="1">
    <mergeCell ref="E16:H16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D65F-5EC1-476A-B561-363EEC685D68}">
  <sheetPr codeName="List10">
    <tabColor rgb="FF92D050"/>
  </sheetPr>
  <dimension ref="A1:L43"/>
  <sheetViews>
    <sheetView zoomScaleNormal="100" workbookViewId="0">
      <selection activeCell="K14" sqref="K14"/>
    </sheetView>
  </sheetViews>
  <sheetFormatPr defaultRowHeight="14.4"/>
  <cols>
    <col min="1" max="1" width="12.109375" customWidth="1"/>
    <col min="2" max="2" width="35.109375" bestFit="1" customWidth="1"/>
    <col min="3" max="3" width="11.77734375" style="15" bestFit="1" customWidth="1"/>
    <col min="4" max="7" width="14.77734375" customWidth="1"/>
    <col min="8" max="10" width="13.5546875" customWidth="1"/>
    <col min="11" max="11" width="28.21875" bestFit="1" customWidth="1"/>
    <col min="12" max="12" width="42.21875" bestFit="1" customWidth="1"/>
  </cols>
  <sheetData>
    <row r="1" spans="1:12">
      <c r="B1" s="155" t="s">
        <v>240</v>
      </c>
      <c r="C1" s="152" t="s">
        <v>226</v>
      </c>
      <c r="D1" s="153">
        <v>45559</v>
      </c>
      <c r="E1" s="154">
        <v>157.5</v>
      </c>
      <c r="F1" s="154" t="s">
        <v>131</v>
      </c>
      <c r="L1" s="3"/>
    </row>
    <row r="2" spans="1:12" ht="15" thickBot="1">
      <c r="B2" s="146"/>
      <c r="C2" s="147"/>
      <c r="D2" s="148"/>
      <c r="E2" s="149"/>
      <c r="F2" s="149"/>
      <c r="G2" s="149"/>
      <c r="L2" s="3"/>
    </row>
    <row r="3" spans="1:12" ht="15" thickBot="1">
      <c r="C3" s="259" t="s">
        <v>238</v>
      </c>
      <c r="D3" s="260"/>
      <c r="E3" s="260"/>
      <c r="F3" s="260"/>
      <c r="G3" s="259" t="s">
        <v>237</v>
      </c>
      <c r="H3" s="260"/>
      <c r="I3" s="260"/>
      <c r="J3" s="261"/>
    </row>
    <row r="4" spans="1:12" s="11" customFormat="1" ht="42" thickBot="1">
      <c r="B4" s="113" t="s">
        <v>221</v>
      </c>
      <c r="C4" s="114" t="s">
        <v>230</v>
      </c>
      <c r="D4" s="114" t="s">
        <v>233</v>
      </c>
      <c r="E4" s="114" t="s">
        <v>235</v>
      </c>
      <c r="F4" s="133" t="s">
        <v>236</v>
      </c>
      <c r="G4" s="114" t="s">
        <v>228</v>
      </c>
      <c r="H4" s="114" t="s">
        <v>229</v>
      </c>
      <c r="I4" s="114" t="s">
        <v>235</v>
      </c>
      <c r="J4" s="114" t="s">
        <v>236</v>
      </c>
    </row>
    <row r="5" spans="1:12" ht="14.4" customHeight="1">
      <c r="A5" s="251" t="s">
        <v>218</v>
      </c>
      <c r="B5" s="105" t="s">
        <v>227</v>
      </c>
      <c r="C5" s="106">
        <v>27635</v>
      </c>
      <c r="D5" s="106">
        <v>29420</v>
      </c>
      <c r="E5" s="106">
        <v>29420</v>
      </c>
      <c r="F5" s="134">
        <v>30420</v>
      </c>
      <c r="G5" s="135">
        <v>30050</v>
      </c>
      <c r="H5" s="118">
        <v>31100</v>
      </c>
      <c r="I5" s="118">
        <v>31100</v>
      </c>
      <c r="J5" s="118">
        <v>32100</v>
      </c>
      <c r="K5" s="11"/>
      <c r="L5" s="11"/>
    </row>
    <row r="6" spans="1:12">
      <c r="A6" s="252"/>
      <c r="B6" s="108" t="s">
        <v>112</v>
      </c>
      <c r="C6" s="17">
        <f>SUM(((C5+C7+C8+C9)*1.1)*10%)/4</f>
        <v>759.96250000000009</v>
      </c>
      <c r="D6" s="17">
        <f t="shared" ref="D6:J6" si="0">SUM(((D5+D7+D8+D9)*1.1)*10%)/4</f>
        <v>809.05000000000018</v>
      </c>
      <c r="E6" s="17">
        <f t="shared" si="0"/>
        <v>836.55000000000007</v>
      </c>
      <c r="F6" s="156">
        <f t="shared" si="0"/>
        <v>864.05000000000007</v>
      </c>
      <c r="G6" s="136">
        <f t="shared" si="0"/>
        <v>826.375</v>
      </c>
      <c r="H6" s="17">
        <f t="shared" si="0"/>
        <v>855.25</v>
      </c>
      <c r="I6" s="17">
        <f t="shared" si="0"/>
        <v>882.75</v>
      </c>
      <c r="J6" s="109">
        <f t="shared" si="0"/>
        <v>910.25</v>
      </c>
      <c r="K6" s="11"/>
      <c r="L6" s="11"/>
    </row>
    <row r="7" spans="1:12">
      <c r="A7" s="252"/>
      <c r="B7" s="125" t="s">
        <v>234</v>
      </c>
      <c r="C7" s="126">
        <v>0</v>
      </c>
      <c r="D7" s="126">
        <v>0</v>
      </c>
      <c r="E7" s="127">
        <v>1000</v>
      </c>
      <c r="F7" s="127">
        <v>1000</v>
      </c>
      <c r="G7" s="137">
        <v>0</v>
      </c>
      <c r="H7" s="128">
        <v>0</v>
      </c>
      <c r="I7" s="128">
        <v>1000</v>
      </c>
      <c r="J7" s="128">
        <v>1000</v>
      </c>
      <c r="K7" s="11"/>
      <c r="L7" s="11"/>
    </row>
    <row r="8" spans="1:12">
      <c r="A8" s="252"/>
      <c r="B8" s="125" t="s">
        <v>239</v>
      </c>
      <c r="C8" s="126">
        <v>0</v>
      </c>
      <c r="D8" s="126">
        <v>0</v>
      </c>
      <c r="E8" s="127">
        <v>0</v>
      </c>
      <c r="F8" s="127">
        <v>0</v>
      </c>
      <c r="G8" s="137">
        <v>0</v>
      </c>
      <c r="H8" s="128">
        <v>0</v>
      </c>
      <c r="I8" s="128">
        <v>0</v>
      </c>
      <c r="J8" s="128">
        <v>0</v>
      </c>
      <c r="K8" s="11"/>
      <c r="L8" s="11"/>
    </row>
    <row r="9" spans="1:12" ht="15" thickBot="1">
      <c r="A9" s="252"/>
      <c r="B9" s="110" t="s">
        <v>232</v>
      </c>
      <c r="C9" s="111">
        <v>0</v>
      </c>
      <c r="D9" s="111">
        <v>0</v>
      </c>
      <c r="E9" s="124">
        <v>0</v>
      </c>
      <c r="F9" s="124">
        <v>0</v>
      </c>
      <c r="G9" s="138">
        <v>0</v>
      </c>
      <c r="H9" s="112">
        <v>0</v>
      </c>
      <c r="I9" s="112">
        <v>0</v>
      </c>
      <c r="J9" s="112">
        <v>0</v>
      </c>
      <c r="K9" s="11"/>
      <c r="L9" s="11"/>
    </row>
    <row r="10" spans="1:12">
      <c r="A10" s="252"/>
      <c r="B10" s="105" t="s">
        <v>2</v>
      </c>
      <c r="C10" s="106">
        <f t="shared" ref="C10:J10" si="1">SUM(C5:C9)</f>
        <v>28394.962500000001</v>
      </c>
      <c r="D10" s="106">
        <f t="shared" si="1"/>
        <v>30229.05</v>
      </c>
      <c r="E10" s="106">
        <f t="shared" si="1"/>
        <v>31256.55</v>
      </c>
      <c r="F10" s="106">
        <f t="shared" si="1"/>
        <v>32284.05</v>
      </c>
      <c r="G10" s="135">
        <f t="shared" si="1"/>
        <v>30876.375</v>
      </c>
      <c r="H10" s="118">
        <f t="shared" si="1"/>
        <v>31955.25</v>
      </c>
      <c r="I10" s="118">
        <f t="shared" si="1"/>
        <v>32982.75</v>
      </c>
      <c r="J10" s="118">
        <f t="shared" si="1"/>
        <v>34010.25</v>
      </c>
      <c r="K10" s="11"/>
      <c r="L10" s="11"/>
    </row>
    <row r="11" spans="1:12">
      <c r="A11" s="252"/>
      <c r="B11" s="108" t="s">
        <v>3</v>
      </c>
      <c r="C11" s="17">
        <f t="shared" ref="C11:J11" si="2">(C10*0.74)+(30840/12)</f>
        <v>23582.272250000002</v>
      </c>
      <c r="D11" s="17">
        <f t="shared" si="2"/>
        <v>24939.496999999999</v>
      </c>
      <c r="E11" s="17">
        <f t="shared" si="2"/>
        <v>25699.846999999998</v>
      </c>
      <c r="F11" s="17">
        <f t="shared" si="2"/>
        <v>26460.197</v>
      </c>
      <c r="G11" s="136">
        <f t="shared" si="2"/>
        <v>25418.517499999998</v>
      </c>
      <c r="H11" s="109">
        <f t="shared" si="2"/>
        <v>26216.884999999998</v>
      </c>
      <c r="I11" s="109">
        <f t="shared" si="2"/>
        <v>26977.235000000001</v>
      </c>
      <c r="J11" s="109">
        <f t="shared" si="2"/>
        <v>27737.584999999999</v>
      </c>
      <c r="K11" s="11"/>
      <c r="L11" s="11"/>
    </row>
    <row r="12" spans="1:12">
      <c r="A12" s="252"/>
      <c r="B12" s="108" t="s">
        <v>4</v>
      </c>
      <c r="C12" s="18">
        <f t="shared" ref="C12:J12" si="3">SUM(C11:C11)/$E$1</f>
        <v>149.72871269841272</v>
      </c>
      <c r="D12" s="18">
        <f t="shared" si="3"/>
        <v>158.34601269841269</v>
      </c>
      <c r="E12" s="18">
        <f t="shared" si="3"/>
        <v>163.17363174603173</v>
      </c>
      <c r="F12" s="18">
        <f t="shared" si="3"/>
        <v>168.0012507936508</v>
      </c>
      <c r="G12" s="139">
        <f t="shared" si="3"/>
        <v>161.38741269841267</v>
      </c>
      <c r="H12" s="119">
        <f t="shared" si="3"/>
        <v>166.45641269841269</v>
      </c>
      <c r="I12" s="119">
        <f t="shared" si="3"/>
        <v>171.28403174603176</v>
      </c>
      <c r="J12" s="119">
        <f t="shared" si="3"/>
        <v>176.1116507936508</v>
      </c>
      <c r="K12" s="11"/>
      <c r="L12" s="11"/>
    </row>
    <row r="13" spans="1:12" ht="15" thickBot="1">
      <c r="A13" s="253"/>
      <c r="B13" s="110" t="s">
        <v>5</v>
      </c>
      <c r="C13" s="120">
        <f>C12</f>
        <v>149.72871269841272</v>
      </c>
      <c r="D13" s="120">
        <f t="shared" ref="D13:H13" si="4">D12</f>
        <v>158.34601269841269</v>
      </c>
      <c r="E13" s="120">
        <f t="shared" ref="E13:G13" si="5">E12</f>
        <v>163.17363174603173</v>
      </c>
      <c r="F13" s="120">
        <f t="shared" ref="F13" si="6">F12</f>
        <v>168.0012507936508</v>
      </c>
      <c r="G13" s="140">
        <f t="shared" si="5"/>
        <v>161.38741269841267</v>
      </c>
      <c r="H13" s="121">
        <f t="shared" si="4"/>
        <v>166.45641269841269</v>
      </c>
      <c r="I13" s="121">
        <f t="shared" ref="I13:J13" si="7">I12</f>
        <v>171.28403174603176</v>
      </c>
      <c r="J13" s="121">
        <f t="shared" si="7"/>
        <v>176.1116507936508</v>
      </c>
      <c r="K13" s="11"/>
      <c r="L13" s="11"/>
    </row>
    <row r="14" spans="1:12" ht="15" thickBot="1">
      <c r="B14" s="115"/>
      <c r="C14" s="116">
        <f t="shared" ref="C14:J14" si="8">C13*$E$1</f>
        <v>23582.272250000002</v>
      </c>
      <c r="D14" s="117">
        <f t="shared" si="8"/>
        <v>24939.496999999999</v>
      </c>
      <c r="E14" s="117">
        <f t="shared" si="8"/>
        <v>25699.846999999998</v>
      </c>
      <c r="F14" s="117">
        <f t="shared" si="8"/>
        <v>26460.197</v>
      </c>
      <c r="G14" s="141">
        <f t="shared" si="8"/>
        <v>25418.517499999994</v>
      </c>
      <c r="H14" s="117">
        <f t="shared" si="8"/>
        <v>26216.884999999998</v>
      </c>
      <c r="I14" s="117">
        <f t="shared" si="8"/>
        <v>26977.235000000001</v>
      </c>
      <c r="J14" s="142">
        <f t="shared" si="8"/>
        <v>27737.584999999999</v>
      </c>
      <c r="K14" s="11"/>
      <c r="L14" s="11"/>
    </row>
    <row r="15" spans="1:12" ht="15" thickBot="1">
      <c r="B15" s="95" t="s">
        <v>6</v>
      </c>
      <c r="C15" s="21">
        <f t="shared" ref="C15:J15" si="9">(C14-2570)/0.74</f>
        <v>28394.962500000001</v>
      </c>
      <c r="D15" s="21">
        <f t="shared" si="9"/>
        <v>30229.05</v>
      </c>
      <c r="E15" s="21">
        <f t="shared" si="9"/>
        <v>31256.55</v>
      </c>
      <c r="F15" s="21">
        <f t="shared" si="9"/>
        <v>32284.05</v>
      </c>
      <c r="G15" s="143">
        <f t="shared" si="9"/>
        <v>30876.374999999993</v>
      </c>
      <c r="H15" s="129">
        <f t="shared" si="9"/>
        <v>31955.25</v>
      </c>
      <c r="I15" s="129">
        <f t="shared" si="9"/>
        <v>32982.75</v>
      </c>
      <c r="J15" s="129">
        <f t="shared" si="9"/>
        <v>34010.25</v>
      </c>
      <c r="K15" s="11"/>
      <c r="L15" s="11"/>
    </row>
    <row r="16" spans="1:12" ht="15" thickBo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5" thickBot="1">
      <c r="A17" s="103" t="s">
        <v>224</v>
      </c>
      <c r="B17" s="98" t="s">
        <v>225</v>
      </c>
      <c r="C17" s="26">
        <f t="shared" ref="C17:J17" si="10">AVERAGE(C13,C28)</f>
        <v>165.98941984126986</v>
      </c>
      <c r="D17" s="26">
        <f t="shared" si="10"/>
        <v>174.70106984126983</v>
      </c>
      <c r="E17" s="26">
        <f t="shared" si="10"/>
        <v>179.58154603174603</v>
      </c>
      <c r="F17" s="27">
        <f t="shared" si="10"/>
        <v>184.46202222222223</v>
      </c>
      <c r="G17" s="150">
        <f t="shared" si="10"/>
        <v>177.77576984126983</v>
      </c>
      <c r="H17" s="26">
        <f t="shared" si="10"/>
        <v>182.90026984126985</v>
      </c>
      <c r="I17" s="26">
        <f t="shared" si="10"/>
        <v>187.78074603174605</v>
      </c>
      <c r="J17" s="151">
        <f t="shared" si="10"/>
        <v>192.66122222222219</v>
      </c>
      <c r="K17" s="28" t="s">
        <v>20</v>
      </c>
      <c r="L17" s="28" t="s">
        <v>231</v>
      </c>
    </row>
    <row r="18" spans="1:12" ht="15" thickBot="1">
      <c r="K18" s="11"/>
      <c r="L18" s="11"/>
    </row>
    <row r="19" spans="1:12" ht="42" thickBot="1">
      <c r="B19" s="113" t="s">
        <v>220</v>
      </c>
      <c r="C19" s="114" t="s">
        <v>230</v>
      </c>
      <c r="D19" s="114" t="s">
        <v>233</v>
      </c>
      <c r="E19" s="114" t="s">
        <v>235</v>
      </c>
      <c r="F19" s="133" t="s">
        <v>236</v>
      </c>
      <c r="G19" s="114" t="s">
        <v>228</v>
      </c>
      <c r="H19" s="114" t="s">
        <v>229</v>
      </c>
      <c r="I19" s="114" t="s">
        <v>235</v>
      </c>
      <c r="J19" s="114" t="s">
        <v>236</v>
      </c>
      <c r="K19" s="11"/>
      <c r="L19" s="11"/>
    </row>
    <row r="20" spans="1:12" ht="14.4" customHeight="1">
      <c r="A20" s="251" t="s">
        <v>219</v>
      </c>
      <c r="B20" s="105" t="s">
        <v>227</v>
      </c>
      <c r="C20" s="106">
        <v>27635</v>
      </c>
      <c r="D20" s="106">
        <v>29420</v>
      </c>
      <c r="E20" s="106">
        <v>29420</v>
      </c>
      <c r="F20" s="134">
        <v>30420</v>
      </c>
      <c r="G20" s="135">
        <v>30050</v>
      </c>
      <c r="H20" s="118">
        <v>31100</v>
      </c>
      <c r="I20" s="118">
        <v>31100</v>
      </c>
      <c r="J20" s="118">
        <v>32100</v>
      </c>
      <c r="K20" s="11"/>
      <c r="L20" s="11"/>
    </row>
    <row r="21" spans="1:12">
      <c r="A21" s="252"/>
      <c r="B21" s="108" t="s">
        <v>112</v>
      </c>
      <c r="C21" s="17">
        <f t="shared" ref="C21:J21" si="11">SUM((C20+C22+C23+C24)*10%)/2</f>
        <v>1681.75</v>
      </c>
      <c r="D21" s="17">
        <f t="shared" si="11"/>
        <v>1771</v>
      </c>
      <c r="E21" s="17">
        <f t="shared" si="11"/>
        <v>1821</v>
      </c>
      <c r="F21" s="17">
        <f t="shared" si="11"/>
        <v>1871</v>
      </c>
      <c r="G21" s="136">
        <f t="shared" si="11"/>
        <v>1802.5</v>
      </c>
      <c r="H21" s="109">
        <f t="shared" si="11"/>
        <v>1855</v>
      </c>
      <c r="I21" s="109">
        <f t="shared" si="11"/>
        <v>1905</v>
      </c>
      <c r="J21" s="109">
        <f t="shared" si="11"/>
        <v>1955</v>
      </c>
      <c r="K21" s="11"/>
      <c r="L21" s="11"/>
    </row>
    <row r="22" spans="1:12">
      <c r="A22" s="252"/>
      <c r="B22" s="125" t="s">
        <v>234</v>
      </c>
      <c r="C22" s="126">
        <v>0</v>
      </c>
      <c r="D22" s="126">
        <v>0</v>
      </c>
      <c r="E22" s="127">
        <v>1000</v>
      </c>
      <c r="F22" s="127">
        <v>1000</v>
      </c>
      <c r="G22" s="137">
        <v>0</v>
      </c>
      <c r="H22" s="128">
        <v>0</v>
      </c>
      <c r="I22" s="128">
        <v>1000</v>
      </c>
      <c r="J22" s="128">
        <v>1000</v>
      </c>
      <c r="K22" s="11"/>
      <c r="L22" s="11"/>
    </row>
    <row r="23" spans="1:12">
      <c r="A23" s="252"/>
      <c r="B23" s="125" t="s">
        <v>239</v>
      </c>
      <c r="C23" s="126">
        <v>1500</v>
      </c>
      <c r="D23" s="126">
        <v>1500</v>
      </c>
      <c r="E23" s="127">
        <v>1500</v>
      </c>
      <c r="F23" s="127">
        <v>1500</v>
      </c>
      <c r="G23" s="137">
        <v>1500</v>
      </c>
      <c r="H23" s="128">
        <v>1500</v>
      </c>
      <c r="I23" s="128">
        <v>1500</v>
      </c>
      <c r="J23" s="128">
        <v>1500</v>
      </c>
      <c r="K23" s="11"/>
      <c r="L23" s="11"/>
    </row>
    <row r="24" spans="1:12" ht="15" thickBot="1">
      <c r="A24" s="252"/>
      <c r="B24" s="110" t="s">
        <v>232</v>
      </c>
      <c r="C24" s="111">
        <v>4500</v>
      </c>
      <c r="D24" s="111">
        <v>4500</v>
      </c>
      <c r="E24" s="124">
        <v>4500</v>
      </c>
      <c r="F24" s="124">
        <v>4500</v>
      </c>
      <c r="G24" s="138">
        <v>4500</v>
      </c>
      <c r="H24" s="112">
        <v>4500</v>
      </c>
      <c r="I24" s="112">
        <v>4500</v>
      </c>
      <c r="J24" s="112">
        <v>4500</v>
      </c>
      <c r="K24" s="11"/>
      <c r="L24" s="11"/>
    </row>
    <row r="25" spans="1:12" ht="15" thickBot="1">
      <c r="A25" s="252"/>
      <c r="B25" s="130" t="s">
        <v>2</v>
      </c>
      <c r="C25" s="131">
        <f t="shared" ref="C25:J25" si="12">SUM(C18:C24)</f>
        <v>35316.75</v>
      </c>
      <c r="D25" s="131">
        <f t="shared" si="12"/>
        <v>37191</v>
      </c>
      <c r="E25" s="131">
        <f t="shared" si="12"/>
        <v>38241</v>
      </c>
      <c r="F25" s="131">
        <f t="shared" si="12"/>
        <v>39291</v>
      </c>
      <c r="G25" s="144">
        <f t="shared" si="12"/>
        <v>37852.5</v>
      </c>
      <c r="H25" s="132">
        <f t="shared" si="12"/>
        <v>38955</v>
      </c>
      <c r="I25" s="132">
        <f t="shared" si="12"/>
        <v>40005</v>
      </c>
      <c r="J25" s="132">
        <f t="shared" si="12"/>
        <v>41055</v>
      </c>
      <c r="K25" s="11"/>
      <c r="L25" s="11"/>
    </row>
    <row r="26" spans="1:12">
      <c r="A26" s="252"/>
      <c r="B26" s="122" t="s">
        <v>3</v>
      </c>
      <c r="C26" s="104">
        <f t="shared" ref="C26:J26" si="13">(C25*0.74)+(30840/12)</f>
        <v>28704.395</v>
      </c>
      <c r="D26" s="104">
        <f t="shared" si="13"/>
        <v>30091.34</v>
      </c>
      <c r="E26" s="104">
        <f t="shared" si="13"/>
        <v>30868.34</v>
      </c>
      <c r="F26" s="104">
        <f t="shared" si="13"/>
        <v>31645.34</v>
      </c>
      <c r="G26" s="145">
        <f t="shared" si="13"/>
        <v>30580.85</v>
      </c>
      <c r="H26" s="123">
        <f t="shared" si="13"/>
        <v>31396.7</v>
      </c>
      <c r="I26" s="123">
        <f t="shared" si="13"/>
        <v>32173.7</v>
      </c>
      <c r="J26" s="123">
        <f t="shared" si="13"/>
        <v>32950.699999999997</v>
      </c>
      <c r="K26" s="11"/>
      <c r="L26" s="11"/>
    </row>
    <row r="27" spans="1:12">
      <c r="A27" s="252"/>
      <c r="B27" s="108" t="s">
        <v>4</v>
      </c>
      <c r="C27" s="18">
        <f t="shared" ref="C27:J27" si="14">SUM(C26:C26)/$E$1</f>
        <v>182.25012698412698</v>
      </c>
      <c r="D27" s="18">
        <f t="shared" si="14"/>
        <v>191.05612698412699</v>
      </c>
      <c r="E27" s="18">
        <f t="shared" si="14"/>
        <v>195.98946031746033</v>
      </c>
      <c r="F27" s="18">
        <f t="shared" si="14"/>
        <v>200.92279365079366</v>
      </c>
      <c r="G27" s="139">
        <f t="shared" si="14"/>
        <v>194.16412698412697</v>
      </c>
      <c r="H27" s="119">
        <f t="shared" si="14"/>
        <v>199.344126984127</v>
      </c>
      <c r="I27" s="119">
        <f t="shared" si="14"/>
        <v>204.27746031746031</v>
      </c>
      <c r="J27" s="119">
        <f t="shared" si="14"/>
        <v>209.21079365079362</v>
      </c>
      <c r="K27" s="11"/>
      <c r="L27" s="11"/>
    </row>
    <row r="28" spans="1:12" ht="15" thickBot="1">
      <c r="A28" s="253"/>
      <c r="B28" s="110" t="s">
        <v>8</v>
      </c>
      <c r="C28" s="120">
        <f t="shared" ref="C28" si="15">C27</f>
        <v>182.25012698412698</v>
      </c>
      <c r="D28" s="120">
        <f t="shared" ref="D28" si="16">D27</f>
        <v>191.05612698412699</v>
      </c>
      <c r="E28" s="120">
        <f t="shared" ref="E28:H28" si="17">E27</f>
        <v>195.98946031746033</v>
      </c>
      <c r="F28" s="120">
        <f t="shared" ref="F28" si="18">F27</f>
        <v>200.92279365079366</v>
      </c>
      <c r="G28" s="140">
        <f t="shared" si="17"/>
        <v>194.16412698412697</v>
      </c>
      <c r="H28" s="121">
        <f t="shared" si="17"/>
        <v>199.344126984127</v>
      </c>
      <c r="I28" s="121">
        <f t="shared" ref="I28:J28" si="19">I27</f>
        <v>204.27746031746031</v>
      </c>
      <c r="J28" s="121">
        <f t="shared" si="19"/>
        <v>209.21079365079362</v>
      </c>
      <c r="K28" s="11"/>
      <c r="L28" s="11"/>
    </row>
    <row r="29" spans="1:12" ht="15" thickBot="1">
      <c r="B29" s="115"/>
      <c r="C29" s="117">
        <f t="shared" ref="C29:J29" si="20">C28*$E$1</f>
        <v>28704.395</v>
      </c>
      <c r="D29" s="117">
        <f t="shared" si="20"/>
        <v>30091.34</v>
      </c>
      <c r="E29" s="117">
        <f t="shared" si="20"/>
        <v>30868.34</v>
      </c>
      <c r="F29" s="117">
        <f t="shared" si="20"/>
        <v>31645.340000000004</v>
      </c>
      <c r="G29" s="141">
        <f t="shared" si="20"/>
        <v>30580.85</v>
      </c>
      <c r="H29" s="117">
        <f t="shared" si="20"/>
        <v>31396.700000000004</v>
      </c>
      <c r="I29" s="117">
        <f t="shared" si="20"/>
        <v>32173.699999999997</v>
      </c>
      <c r="J29" s="142">
        <f t="shared" si="20"/>
        <v>32950.699999999997</v>
      </c>
      <c r="K29" s="11"/>
      <c r="L29" s="11"/>
    </row>
    <row r="30" spans="1:12" ht="15" thickBot="1">
      <c r="B30" s="95" t="s">
        <v>9</v>
      </c>
      <c r="C30" s="21">
        <f t="shared" ref="C30:J30" si="21">(C29-2570)/0.74</f>
        <v>35316.75</v>
      </c>
      <c r="D30" s="21">
        <f t="shared" si="21"/>
        <v>37191</v>
      </c>
      <c r="E30" s="21">
        <f t="shared" si="21"/>
        <v>38241</v>
      </c>
      <c r="F30" s="21">
        <f t="shared" si="21"/>
        <v>39291.000000000007</v>
      </c>
      <c r="G30" s="143">
        <f t="shared" si="21"/>
        <v>37852.5</v>
      </c>
      <c r="H30" s="129">
        <f t="shared" si="21"/>
        <v>38955.000000000007</v>
      </c>
      <c r="I30" s="129">
        <f t="shared" si="21"/>
        <v>40005</v>
      </c>
      <c r="J30" s="129">
        <f t="shared" si="21"/>
        <v>41055</v>
      </c>
      <c r="K30" s="11"/>
      <c r="L30" s="11"/>
    </row>
    <row r="31" spans="1:12">
      <c r="K31" s="11"/>
      <c r="L31" s="11"/>
    </row>
    <row r="32" spans="1:12">
      <c r="K32" s="11"/>
      <c r="L32" s="11"/>
    </row>
    <row r="33" spans="11:12">
      <c r="K33" s="11"/>
      <c r="L33" s="11"/>
    </row>
    <row r="34" spans="11:12">
      <c r="K34" s="11"/>
      <c r="L34" s="11"/>
    </row>
    <row r="35" spans="11:12">
      <c r="K35" s="11"/>
      <c r="L35" s="11"/>
    </row>
    <row r="36" spans="11:12">
      <c r="K36" s="11"/>
      <c r="L36" s="11"/>
    </row>
    <row r="37" spans="11:12">
      <c r="K37" s="11"/>
      <c r="L37" s="11"/>
    </row>
    <row r="38" spans="11:12">
      <c r="K38" s="11"/>
      <c r="L38" s="11"/>
    </row>
    <row r="39" spans="11:12">
      <c r="K39" s="11"/>
      <c r="L39" s="11"/>
    </row>
    <row r="40" spans="11:12">
      <c r="K40" s="11"/>
      <c r="L40" s="11"/>
    </row>
    <row r="41" spans="11:12">
      <c r="K41" s="11"/>
      <c r="L41" s="11"/>
    </row>
    <row r="42" spans="11:12">
      <c r="K42" s="11"/>
      <c r="L42" s="11"/>
    </row>
    <row r="43" spans="11:12">
      <c r="K43" s="11"/>
      <c r="L43" s="11"/>
    </row>
  </sheetData>
  <mergeCells count="4">
    <mergeCell ref="A5:A13"/>
    <mergeCell ref="A20:A28"/>
    <mergeCell ref="C3:F3"/>
    <mergeCell ref="G3:J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5093-E85C-40D7-A489-56A82534748D}">
  <sheetPr codeName="List11">
    <tabColor theme="8" tint="0.59999389629810485"/>
  </sheetPr>
  <dimension ref="A1:H29"/>
  <sheetViews>
    <sheetView zoomScale="127" zoomScaleNormal="115" workbookViewId="0">
      <selection activeCell="H2" sqref="H2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3.44140625" bestFit="1" customWidth="1"/>
    <col min="4" max="4" width="14" bestFit="1" customWidth="1"/>
    <col min="5" max="5" width="13.77734375" bestFit="1" customWidth="1"/>
    <col min="6" max="6" width="10.88671875" customWidth="1"/>
    <col min="7" max="7" width="12" customWidth="1"/>
    <col min="8" max="8" width="28.21875" bestFit="1" customWidth="1"/>
    <col min="9" max="9" width="14.77734375" bestFit="1" customWidth="1"/>
  </cols>
  <sheetData>
    <row r="1" spans="1:8">
      <c r="A1" s="32" t="s">
        <v>39</v>
      </c>
      <c r="B1" s="33" t="s">
        <v>0</v>
      </c>
      <c r="C1" s="34">
        <v>46023</v>
      </c>
      <c r="D1" s="23">
        <v>157.5</v>
      </c>
      <c r="E1" s="23" t="s">
        <v>131</v>
      </c>
      <c r="F1" s="3"/>
      <c r="G1" s="3"/>
    </row>
    <row r="3" spans="1:8" s="11" customFormat="1" ht="82.8">
      <c r="A3" s="13" t="s">
        <v>73</v>
      </c>
      <c r="B3" s="10" t="s">
        <v>28</v>
      </c>
      <c r="C3" s="10" t="s">
        <v>30</v>
      </c>
      <c r="D3" s="10" t="s">
        <v>31</v>
      </c>
      <c r="E3" s="10" t="s">
        <v>32</v>
      </c>
      <c r="F3" s="10" t="s">
        <v>132</v>
      </c>
      <c r="G3" s="10" t="s">
        <v>29</v>
      </c>
    </row>
    <row r="4" spans="1:8">
      <c r="A4" s="4" t="s">
        <v>1</v>
      </c>
      <c r="B4" s="17">
        <f>207*D1</f>
        <v>32602.5</v>
      </c>
      <c r="C4" s="17">
        <f>191*D1</f>
        <v>30082.5</v>
      </c>
      <c r="D4" s="5">
        <f>194*D1</f>
        <v>30555</v>
      </c>
      <c r="E4" s="5">
        <f>195*D1</f>
        <v>30712.5</v>
      </c>
      <c r="F4" s="5">
        <f>202*D1</f>
        <v>31815</v>
      </c>
      <c r="G4" s="5">
        <f>212*D1</f>
        <v>33390</v>
      </c>
    </row>
    <row r="5" spans="1:8">
      <c r="A5" s="4" t="s">
        <v>33</v>
      </c>
      <c r="B5" s="17">
        <v>1000</v>
      </c>
      <c r="C5" s="17">
        <v>1000</v>
      </c>
      <c r="D5" s="17">
        <v>1000</v>
      </c>
      <c r="E5" s="17">
        <v>1000</v>
      </c>
      <c r="F5" s="17">
        <v>1000</v>
      </c>
      <c r="G5" s="17">
        <v>1000</v>
      </c>
    </row>
    <row r="6" spans="1:8">
      <c r="A6" s="4" t="s">
        <v>35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29" t="s">
        <v>37</v>
      </c>
    </row>
    <row r="7" spans="1:8">
      <c r="A7" s="12" t="s">
        <v>34</v>
      </c>
      <c r="B7" s="17">
        <f t="shared" ref="B7:G7" si="0">(B4+B5)*0.18/157.5*37.5</f>
        <v>1440.1071428571429</v>
      </c>
      <c r="C7" s="17">
        <f t="shared" si="0"/>
        <v>1332.1071428571429</v>
      </c>
      <c r="D7" s="17">
        <f t="shared" si="0"/>
        <v>1352.3571428571427</v>
      </c>
      <c r="E7" s="17">
        <f t="shared" si="0"/>
        <v>1359.1071428571427</v>
      </c>
      <c r="F7" s="17">
        <f t="shared" si="0"/>
        <v>1406.3571428571427</v>
      </c>
      <c r="G7" s="17">
        <f t="shared" si="0"/>
        <v>1473.8571428571429</v>
      </c>
    </row>
    <row r="8" spans="1:8">
      <c r="A8" s="12" t="s">
        <v>36</v>
      </c>
      <c r="B8" s="17">
        <f>SUM(D1)*12</f>
        <v>1890</v>
      </c>
      <c r="C8" s="17">
        <f>SUM(D1)*12</f>
        <v>1890</v>
      </c>
      <c r="D8" s="17">
        <f>SUM(D1)*12</f>
        <v>1890</v>
      </c>
      <c r="E8" s="17">
        <f>SUM(D1)*12</f>
        <v>1890</v>
      </c>
      <c r="F8" s="17">
        <f>SUM(D1)*12</f>
        <v>1890</v>
      </c>
      <c r="G8" s="17">
        <f>SUM(D1)*12</f>
        <v>1890</v>
      </c>
    </row>
    <row r="9" spans="1:8">
      <c r="A9" s="4" t="s">
        <v>2</v>
      </c>
      <c r="B9" s="17">
        <f t="shared" ref="B9:G9" si="1">SUM(B4:B8)</f>
        <v>36932.607142857145</v>
      </c>
      <c r="C9" s="17">
        <f t="shared" si="1"/>
        <v>34304.607142857145</v>
      </c>
      <c r="D9" s="17">
        <f t="shared" si="1"/>
        <v>34797.357142857145</v>
      </c>
      <c r="E9" s="17">
        <f t="shared" si="1"/>
        <v>34961.607142857145</v>
      </c>
      <c r="F9" s="17">
        <f t="shared" si="1"/>
        <v>36111.357142857145</v>
      </c>
      <c r="G9" s="17">
        <f t="shared" si="1"/>
        <v>37753.857142857145</v>
      </c>
    </row>
    <row r="10" spans="1:8">
      <c r="A10" s="4" t="s">
        <v>3</v>
      </c>
      <c r="B10" s="17">
        <f t="shared" ref="B10:G10" si="2">(B9*0.74)+(30840/12)</f>
        <v>29900.129285714287</v>
      </c>
      <c r="C10" s="17">
        <f t="shared" si="2"/>
        <v>27955.409285714286</v>
      </c>
      <c r="D10" s="17">
        <f t="shared" si="2"/>
        <v>28320.044285714288</v>
      </c>
      <c r="E10" s="17">
        <f t="shared" si="2"/>
        <v>28441.589285714286</v>
      </c>
      <c r="F10" s="17">
        <f t="shared" si="2"/>
        <v>29292.404285714289</v>
      </c>
      <c r="G10" s="17">
        <f t="shared" si="2"/>
        <v>30507.854285714286</v>
      </c>
    </row>
    <row r="11" spans="1:8">
      <c r="A11" s="4" t="s">
        <v>4</v>
      </c>
      <c r="B11" s="18">
        <f>SUM(B10:B10)/D1</f>
        <v>189.84209070294784</v>
      </c>
      <c r="C11" s="18">
        <f>SUM(C10:C10)/D1</f>
        <v>177.49466213151928</v>
      </c>
      <c r="D11" s="18">
        <f>SUM(D10:D10)/D1</f>
        <v>179.80980498866214</v>
      </c>
      <c r="E11" s="18">
        <f>SUM(E10:E10)/D1</f>
        <v>180.58151927437643</v>
      </c>
      <c r="F11" s="18">
        <f>SUM(F10:F10)/D1</f>
        <v>185.98351927437645</v>
      </c>
      <c r="G11" s="18">
        <f>SUM(G10:G10)/D1</f>
        <v>193.70066213151927</v>
      </c>
    </row>
    <row r="12" spans="1:8">
      <c r="A12" s="4" t="s">
        <v>5</v>
      </c>
      <c r="B12" s="19">
        <f>B11</f>
        <v>189.84209070294784</v>
      </c>
      <c r="C12" s="19">
        <f t="shared" ref="C12:G12" si="3">C11</f>
        <v>177.49466213151928</v>
      </c>
      <c r="D12" s="19">
        <f t="shared" si="3"/>
        <v>179.80980498866214</v>
      </c>
      <c r="E12" s="19">
        <f t="shared" si="3"/>
        <v>180.58151927437643</v>
      </c>
      <c r="F12" s="19">
        <f t="shared" ref="F12" si="4">F11</f>
        <v>185.98351927437645</v>
      </c>
      <c r="G12" s="19">
        <f t="shared" si="3"/>
        <v>193.70066213151927</v>
      </c>
    </row>
    <row r="13" spans="1:8" ht="15" thickBot="1">
      <c r="A13" s="6"/>
      <c r="B13" s="20">
        <f>B12*$D$1</f>
        <v>29900.129285714283</v>
      </c>
      <c r="C13" s="7">
        <f t="shared" ref="C13:G13" si="5">C12*$D$1</f>
        <v>27955.409285714286</v>
      </c>
      <c r="D13" s="7">
        <f t="shared" si="5"/>
        <v>28320.044285714288</v>
      </c>
      <c r="E13" s="7">
        <f t="shared" si="5"/>
        <v>28441.58928571429</v>
      </c>
      <c r="F13" s="7">
        <f t="shared" ref="F13" si="6">F12*$D$1</f>
        <v>29292.404285714292</v>
      </c>
      <c r="G13" s="7">
        <f t="shared" si="5"/>
        <v>30507.854285714286</v>
      </c>
    </row>
    <row r="14" spans="1:8" ht="15" thickBot="1">
      <c r="A14" s="8" t="s">
        <v>6</v>
      </c>
      <c r="B14" s="21">
        <f t="shared" ref="B14:G14" si="7">(B13-2570)/0.74</f>
        <v>36932.607142857138</v>
      </c>
      <c r="C14" s="21">
        <f t="shared" si="7"/>
        <v>34304.607142857145</v>
      </c>
      <c r="D14" s="21">
        <f t="shared" si="7"/>
        <v>34797.357142857145</v>
      </c>
      <c r="E14" s="21">
        <f t="shared" si="7"/>
        <v>34961.607142857152</v>
      </c>
      <c r="F14" s="21">
        <f t="shared" si="7"/>
        <v>36111.357142857152</v>
      </c>
      <c r="G14" s="21">
        <f t="shared" si="7"/>
        <v>37753.857142857145</v>
      </c>
    </row>
    <row r="15" spans="1:8" ht="15" thickBot="1">
      <c r="A15" s="9"/>
      <c r="B15" s="16"/>
      <c r="C15" s="24"/>
      <c r="D15" s="24"/>
      <c r="E15" s="24"/>
      <c r="F15" s="24"/>
      <c r="G15" s="24"/>
    </row>
    <row r="16" spans="1:8" ht="15" thickBot="1">
      <c r="A16" s="25" t="s">
        <v>7</v>
      </c>
      <c r="B16" s="26">
        <f t="shared" ref="B16:G16" si="8">AVERAGE(B12,B27)</f>
        <v>198.64368761904763</v>
      </c>
      <c r="C16" s="26">
        <f t="shared" si="8"/>
        <v>185.6930533333333</v>
      </c>
      <c r="D16" s="26">
        <f t="shared" si="8"/>
        <v>188.14414476190478</v>
      </c>
      <c r="E16" s="26">
        <f t="shared" si="8"/>
        <v>188.87547619047621</v>
      </c>
      <c r="F16" s="26">
        <f t="shared" si="8"/>
        <v>198.32125904761904</v>
      </c>
      <c r="G16" s="26">
        <f t="shared" si="8"/>
        <v>202.17983047619046</v>
      </c>
      <c r="H16" s="28" t="s">
        <v>20</v>
      </c>
    </row>
    <row r="18" spans="1:8" ht="82.8">
      <c r="A18" s="13" t="s">
        <v>16</v>
      </c>
      <c r="B18" s="10" t="s">
        <v>28</v>
      </c>
      <c r="C18" s="10" t="s">
        <v>30</v>
      </c>
      <c r="D18" s="10" t="s">
        <v>31</v>
      </c>
      <c r="E18" s="10" t="s">
        <v>32</v>
      </c>
      <c r="F18" s="10" t="s">
        <v>132</v>
      </c>
      <c r="G18" s="10" t="s">
        <v>29</v>
      </c>
    </row>
    <row r="19" spans="1:8">
      <c r="A19" s="4" t="s">
        <v>1</v>
      </c>
      <c r="B19" s="17">
        <f>207.79*D1</f>
        <v>32726.924999999999</v>
      </c>
      <c r="C19" s="17">
        <f>190.92*D1</f>
        <v>30069.899999999998</v>
      </c>
      <c r="D19" s="5">
        <f>194.14*D1</f>
        <v>30577.05</v>
      </c>
      <c r="E19" s="5">
        <f>195*D1</f>
        <v>30712.5</v>
      </c>
      <c r="F19" s="5">
        <f>211.79*D1</f>
        <v>33356.924999999996</v>
      </c>
      <c r="G19" s="5">
        <f>211.79*D1</f>
        <v>33356.924999999996</v>
      </c>
    </row>
    <row r="20" spans="1:8">
      <c r="A20" s="4" t="s">
        <v>33</v>
      </c>
      <c r="B20" s="17">
        <v>3000</v>
      </c>
      <c r="C20" s="17">
        <v>3000</v>
      </c>
      <c r="D20" s="17">
        <v>3000</v>
      </c>
      <c r="E20" s="17">
        <v>3000</v>
      </c>
      <c r="F20" s="17">
        <v>3000</v>
      </c>
      <c r="G20" s="17">
        <v>3000</v>
      </c>
    </row>
    <row r="21" spans="1:8">
      <c r="A21" s="4" t="s">
        <v>35</v>
      </c>
      <c r="B21" s="17">
        <v>0</v>
      </c>
      <c r="C21" s="17">
        <v>0</v>
      </c>
      <c r="D21" s="5">
        <v>0</v>
      </c>
      <c r="E21" s="5">
        <v>0</v>
      </c>
      <c r="F21" s="5">
        <v>0</v>
      </c>
      <c r="G21" s="5">
        <v>0</v>
      </c>
      <c r="H21" s="29" t="s">
        <v>37</v>
      </c>
    </row>
    <row r="22" spans="1:8">
      <c r="A22" s="12" t="s">
        <v>34</v>
      </c>
      <c r="B22" s="17">
        <f t="shared" ref="B22:G22" si="9">(B19+B20)*0.18/157.5*75</f>
        <v>3062.3078571428573</v>
      </c>
      <c r="C22" s="17">
        <f t="shared" si="9"/>
        <v>2834.562857142856</v>
      </c>
      <c r="D22" s="17">
        <f t="shared" si="9"/>
        <v>2878.0328571428572</v>
      </c>
      <c r="E22" s="17">
        <f t="shared" si="9"/>
        <v>2889.6428571428573</v>
      </c>
      <c r="F22" s="17">
        <f t="shared" si="9"/>
        <v>3116.3078571428568</v>
      </c>
      <c r="G22" s="17">
        <f t="shared" si="9"/>
        <v>3116.3078571428568</v>
      </c>
    </row>
    <row r="23" spans="1:8">
      <c r="A23" s="12" t="s">
        <v>36</v>
      </c>
      <c r="B23" s="17">
        <f>12*D1</f>
        <v>1890</v>
      </c>
      <c r="C23" s="17">
        <f>12*D1</f>
        <v>1890</v>
      </c>
      <c r="D23" s="17">
        <f>12*D1</f>
        <v>1890</v>
      </c>
      <c r="E23" s="17">
        <f>12*D1</f>
        <v>1890</v>
      </c>
      <c r="F23" s="17">
        <f>12*D1</f>
        <v>1890</v>
      </c>
      <c r="G23" s="17">
        <f>12*D1</f>
        <v>1890</v>
      </c>
    </row>
    <row r="24" spans="1:8">
      <c r="A24" s="4" t="s">
        <v>2</v>
      </c>
      <c r="B24" s="17">
        <f t="shared" ref="B24:G24" si="10">SUM(B19:B23)</f>
        <v>40679.232857142859</v>
      </c>
      <c r="C24" s="17">
        <f t="shared" si="10"/>
        <v>37794.462857142847</v>
      </c>
      <c r="D24" s="17">
        <f t="shared" si="10"/>
        <v>38345.082857142857</v>
      </c>
      <c r="E24" s="17">
        <f t="shared" si="10"/>
        <v>38492.142857142855</v>
      </c>
      <c r="F24" s="17">
        <f t="shared" si="10"/>
        <v>41363.232857142852</v>
      </c>
      <c r="G24" s="17">
        <f t="shared" si="10"/>
        <v>41363.232857142852</v>
      </c>
    </row>
    <row r="25" spans="1:8">
      <c r="A25" s="4" t="s">
        <v>3</v>
      </c>
      <c r="B25" s="17">
        <f t="shared" ref="B25:G25" si="11">(B24*0.74)+(30840/12)</f>
        <v>32672.632314285715</v>
      </c>
      <c r="C25" s="17">
        <f t="shared" si="11"/>
        <v>30537.902514285706</v>
      </c>
      <c r="D25" s="17">
        <f t="shared" si="11"/>
        <v>30945.361314285714</v>
      </c>
      <c r="E25" s="17">
        <f t="shared" si="11"/>
        <v>31054.185714285712</v>
      </c>
      <c r="F25" s="17">
        <f t="shared" si="11"/>
        <v>33178.792314285711</v>
      </c>
      <c r="G25" s="17">
        <f t="shared" si="11"/>
        <v>33178.792314285711</v>
      </c>
    </row>
    <row r="26" spans="1:8">
      <c r="A26" s="4" t="s">
        <v>4</v>
      </c>
      <c r="B26" s="18">
        <f>SUM(B25:B25)/D1</f>
        <v>207.44528453514738</v>
      </c>
      <c r="C26" s="18">
        <f>SUM(C25:C25)/D1</f>
        <v>193.89144453514734</v>
      </c>
      <c r="D26" s="18">
        <f>SUM(D25:D25)/D1</f>
        <v>196.4784845351474</v>
      </c>
      <c r="E26" s="18">
        <f>SUM(E25:E25)/D1</f>
        <v>197.16943310657595</v>
      </c>
      <c r="F26" s="18">
        <f>SUM(F25:F25)/D1</f>
        <v>210.65899882086165</v>
      </c>
      <c r="G26" s="18">
        <f>SUM(G25:G25)/D1</f>
        <v>210.65899882086165</v>
      </c>
    </row>
    <row r="27" spans="1:8">
      <c r="A27" s="4" t="s">
        <v>5</v>
      </c>
      <c r="B27" s="19">
        <f>B26</f>
        <v>207.44528453514738</v>
      </c>
      <c r="C27" s="19">
        <f t="shared" ref="C27:G27" si="12">C26</f>
        <v>193.89144453514734</v>
      </c>
      <c r="D27" s="19">
        <f t="shared" si="12"/>
        <v>196.4784845351474</v>
      </c>
      <c r="E27" s="19">
        <f t="shared" si="12"/>
        <v>197.16943310657595</v>
      </c>
      <c r="F27" s="19">
        <f t="shared" ref="F27" si="13">F26</f>
        <v>210.65899882086165</v>
      </c>
      <c r="G27" s="19">
        <f t="shared" si="12"/>
        <v>210.65899882086165</v>
      </c>
    </row>
    <row r="28" spans="1:8" ht="15" thickBot="1">
      <c r="A28" s="6"/>
      <c r="B28" s="20">
        <f>B27*$D$1</f>
        <v>32672.632314285711</v>
      </c>
      <c r="C28" s="20">
        <f t="shared" ref="C28:G28" si="14">C27*$D$1</f>
        <v>30537.902514285706</v>
      </c>
      <c r="D28" s="20">
        <f t="shared" si="14"/>
        <v>30945.361314285718</v>
      </c>
      <c r="E28" s="20">
        <f t="shared" si="14"/>
        <v>31054.185714285712</v>
      </c>
      <c r="F28" s="20">
        <f t="shared" ref="F28" si="15">F27*$D$1</f>
        <v>33178.792314285711</v>
      </c>
      <c r="G28" s="20">
        <f t="shared" si="14"/>
        <v>33178.792314285711</v>
      </c>
    </row>
    <row r="29" spans="1:8" ht="15" thickBot="1">
      <c r="A29" s="8" t="s">
        <v>9</v>
      </c>
      <c r="B29" s="21">
        <f t="shared" ref="B29:G29" si="16">(B28-2570)/0.74</f>
        <v>40679.232857142852</v>
      </c>
      <c r="C29" s="21">
        <f t="shared" si="16"/>
        <v>37794.462857142847</v>
      </c>
      <c r="D29" s="21">
        <f t="shared" si="16"/>
        <v>38345.082857142865</v>
      </c>
      <c r="E29" s="21">
        <f t="shared" si="16"/>
        <v>38492.142857142855</v>
      </c>
      <c r="F29" s="21">
        <f t="shared" si="16"/>
        <v>41363.232857142852</v>
      </c>
      <c r="G29" s="21">
        <f t="shared" si="16"/>
        <v>41363.232857142852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F51C-EE8C-45B8-A246-AD7CB79C56BA}">
  <sheetPr codeName="List12">
    <tabColor rgb="FF92D050"/>
  </sheetPr>
  <dimension ref="A1:O31"/>
  <sheetViews>
    <sheetView zoomScale="145" zoomScaleNormal="145" workbookViewId="0">
      <selection activeCell="O8" sqref="O8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0.109375" bestFit="1" customWidth="1"/>
    <col min="4" max="4" width="9.21875" customWidth="1"/>
    <col min="5" max="5" width="10.21875" bestFit="1" customWidth="1"/>
    <col min="7" max="7" width="12.109375" customWidth="1"/>
    <col min="8" max="8" width="10.44140625" customWidth="1"/>
    <col min="15" max="15" width="28.21875" bestFit="1" customWidth="1"/>
  </cols>
  <sheetData>
    <row r="1" spans="1:15">
      <c r="A1" s="1" t="s">
        <v>38</v>
      </c>
      <c r="B1" s="14" t="s">
        <v>0</v>
      </c>
      <c r="C1" s="2">
        <v>45748</v>
      </c>
      <c r="D1" s="22">
        <v>156.875</v>
      </c>
      <c r="E1" s="23" t="s">
        <v>289</v>
      </c>
      <c r="F1" s="3"/>
    </row>
    <row r="2" spans="1:15">
      <c r="B2" s="262" t="s">
        <v>40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</row>
    <row r="3" spans="1:15" s="11" customFormat="1">
      <c r="A3" s="13" t="s">
        <v>73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10" t="s">
        <v>52</v>
      </c>
      <c r="N3" s="10" t="s">
        <v>53</v>
      </c>
    </row>
    <row r="4" spans="1:15">
      <c r="A4" s="4" t="s">
        <v>1</v>
      </c>
      <c r="B4" s="17">
        <v>0</v>
      </c>
      <c r="C4" s="17">
        <v>27992</v>
      </c>
      <c r="D4" s="5">
        <v>29537</v>
      </c>
      <c r="E4" s="5">
        <v>30325</v>
      </c>
      <c r="F4" s="5">
        <v>31240</v>
      </c>
      <c r="G4" s="5">
        <v>31880</v>
      </c>
      <c r="H4" s="5">
        <v>32880</v>
      </c>
      <c r="I4" s="5">
        <v>32697</v>
      </c>
      <c r="J4" s="5">
        <v>33105</v>
      </c>
      <c r="K4" s="5">
        <v>33513</v>
      </c>
      <c r="L4" s="5">
        <v>33923</v>
      </c>
      <c r="M4" s="5">
        <v>34333</v>
      </c>
      <c r="N4" s="5">
        <v>34782</v>
      </c>
      <c r="O4" s="11"/>
    </row>
    <row r="5" spans="1:15">
      <c r="A5" s="4" t="s">
        <v>55</v>
      </c>
      <c r="B5" s="17">
        <f>B4*0.05</f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1"/>
    </row>
    <row r="6" spans="1:15">
      <c r="A6" s="4" t="s">
        <v>56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1"/>
    </row>
    <row r="7" spans="1:15">
      <c r="A7" s="12" t="s">
        <v>54</v>
      </c>
      <c r="B7" s="17">
        <f t="shared" ref="B7" si="0">(B4+B5)*0.12/156.25*37.5</f>
        <v>0</v>
      </c>
      <c r="C7" s="17">
        <f>(C4)*0.12/157.5*37.5</f>
        <v>799.77142857142849</v>
      </c>
      <c r="D7" s="17">
        <f t="shared" ref="D7:N7" si="1">(D4)*0.12/157.5*37.5</f>
        <v>843.91428571428571</v>
      </c>
      <c r="E7" s="17">
        <f t="shared" si="1"/>
        <v>866.42857142857144</v>
      </c>
      <c r="F7" s="17">
        <f t="shared" si="1"/>
        <v>892.57142857142856</v>
      </c>
      <c r="G7" s="17">
        <f t="shared" si="1"/>
        <v>910.85714285714289</v>
      </c>
      <c r="H7" s="17">
        <f t="shared" si="1"/>
        <v>939.42857142857133</v>
      </c>
      <c r="I7" s="17">
        <f t="shared" si="1"/>
        <v>934.19999999999993</v>
      </c>
      <c r="J7" s="17">
        <f t="shared" si="1"/>
        <v>945.85714285714278</v>
      </c>
      <c r="K7" s="17">
        <f t="shared" si="1"/>
        <v>957.51428571428573</v>
      </c>
      <c r="L7" s="17">
        <f t="shared" si="1"/>
        <v>969.2285714285714</v>
      </c>
      <c r="M7" s="17">
        <f t="shared" si="1"/>
        <v>980.94285714285706</v>
      </c>
      <c r="N7" s="17">
        <f t="shared" si="1"/>
        <v>993.7714285714286</v>
      </c>
      <c r="O7" s="11"/>
    </row>
    <row r="8" spans="1:15">
      <c r="A8" s="12" t="s">
        <v>57</v>
      </c>
      <c r="B8" s="17">
        <v>0</v>
      </c>
      <c r="C8" s="17">
        <f t="shared" ref="C8:N8" si="2">20*30</f>
        <v>600</v>
      </c>
      <c r="D8" s="17">
        <f t="shared" si="2"/>
        <v>600</v>
      </c>
      <c r="E8" s="17">
        <f t="shared" si="2"/>
        <v>600</v>
      </c>
      <c r="F8" s="17">
        <f t="shared" si="2"/>
        <v>600</v>
      </c>
      <c r="G8" s="17">
        <f t="shared" si="2"/>
        <v>600</v>
      </c>
      <c r="H8" s="17">
        <f t="shared" si="2"/>
        <v>600</v>
      </c>
      <c r="I8" s="17">
        <f t="shared" si="2"/>
        <v>600</v>
      </c>
      <c r="J8" s="17">
        <f t="shared" si="2"/>
        <v>600</v>
      </c>
      <c r="K8" s="17">
        <f t="shared" si="2"/>
        <v>600</v>
      </c>
      <c r="L8" s="17">
        <f t="shared" si="2"/>
        <v>600</v>
      </c>
      <c r="M8" s="17">
        <f t="shared" si="2"/>
        <v>600</v>
      </c>
      <c r="N8" s="17">
        <f t="shared" si="2"/>
        <v>600</v>
      </c>
      <c r="O8" s="11"/>
    </row>
    <row r="9" spans="1:15">
      <c r="A9" s="12" t="s">
        <v>154</v>
      </c>
      <c r="B9" s="17">
        <v>0</v>
      </c>
      <c r="C9" s="17">
        <f>SUM(C4)*0.12</f>
        <v>3359.04</v>
      </c>
      <c r="D9" s="17">
        <f t="shared" ref="D9:N9" si="3">SUM(D4)*0.12</f>
        <v>3544.44</v>
      </c>
      <c r="E9" s="17">
        <f t="shared" si="3"/>
        <v>3639</v>
      </c>
      <c r="F9" s="17">
        <f t="shared" si="3"/>
        <v>3748.7999999999997</v>
      </c>
      <c r="G9" s="17">
        <f t="shared" si="3"/>
        <v>3825.6</v>
      </c>
      <c r="H9" s="17">
        <f t="shared" si="3"/>
        <v>3945.6</v>
      </c>
      <c r="I9" s="17">
        <f t="shared" si="3"/>
        <v>3923.64</v>
      </c>
      <c r="J9" s="17">
        <f t="shared" si="3"/>
        <v>3972.6</v>
      </c>
      <c r="K9" s="17">
        <f t="shared" si="3"/>
        <v>4021.56</v>
      </c>
      <c r="L9" s="17">
        <f t="shared" si="3"/>
        <v>4070.7599999999998</v>
      </c>
      <c r="M9" s="17">
        <f t="shared" si="3"/>
        <v>4119.96</v>
      </c>
      <c r="N9" s="17">
        <f t="shared" si="3"/>
        <v>4173.84</v>
      </c>
      <c r="O9" s="11"/>
    </row>
    <row r="10" spans="1:15">
      <c r="A10" s="4" t="s">
        <v>2</v>
      </c>
      <c r="B10" s="17">
        <f t="shared" ref="B10:N10" si="4">SUM(B4:B9)</f>
        <v>0</v>
      </c>
      <c r="C10" s="17">
        <f t="shared" si="4"/>
        <v>32750.811428571429</v>
      </c>
      <c r="D10" s="17">
        <f t="shared" si="4"/>
        <v>34525.354285714289</v>
      </c>
      <c r="E10" s="17">
        <f t="shared" si="4"/>
        <v>35430.428571428572</v>
      </c>
      <c r="F10" s="17">
        <f t="shared" si="4"/>
        <v>36481.37142857143</v>
      </c>
      <c r="G10" s="17">
        <f t="shared" si="4"/>
        <v>37216.457142857143</v>
      </c>
      <c r="H10" s="17">
        <f t="shared" si="4"/>
        <v>38365.028571428571</v>
      </c>
      <c r="I10" s="17">
        <f t="shared" si="4"/>
        <v>38154.839999999997</v>
      </c>
      <c r="J10" s="17">
        <f t="shared" si="4"/>
        <v>38623.457142857143</v>
      </c>
      <c r="K10" s="17">
        <f t="shared" si="4"/>
        <v>39092.074285714283</v>
      </c>
      <c r="L10" s="17">
        <f t="shared" si="4"/>
        <v>39562.98857142857</v>
      </c>
      <c r="M10" s="17">
        <f t="shared" si="4"/>
        <v>40033.902857142857</v>
      </c>
      <c r="N10" s="17">
        <f t="shared" si="4"/>
        <v>40549.611428571428</v>
      </c>
      <c r="O10" s="11"/>
    </row>
    <row r="11" spans="1:15">
      <c r="A11" s="4" t="s">
        <v>3</v>
      </c>
      <c r="B11" s="17">
        <v>0</v>
      </c>
      <c r="C11" s="17">
        <f>(C10*0.74)+(30840/12)</f>
        <v>26805.600457142857</v>
      </c>
      <c r="D11" s="17">
        <f>(D10*0.74)+(30840/12)</f>
        <v>28118.762171428574</v>
      </c>
      <c r="E11" s="17">
        <f>(E10*0.74)+(30840/12)</f>
        <v>28788.517142857145</v>
      </c>
      <c r="F11" s="17">
        <f>(F10*0.74)+(30840/12)</f>
        <v>29566.214857142859</v>
      </c>
      <c r="G11" s="17">
        <f t="shared" ref="G11:N11" si="5">(G10*0.74)+(30840/12)</f>
        <v>30110.178285714286</v>
      </c>
      <c r="H11" s="17">
        <f t="shared" si="5"/>
        <v>30960.121142857141</v>
      </c>
      <c r="I11" s="17">
        <f t="shared" si="5"/>
        <v>30804.581599999998</v>
      </c>
      <c r="J11" s="17">
        <f t="shared" si="5"/>
        <v>31151.358285714286</v>
      </c>
      <c r="K11" s="17">
        <f t="shared" si="5"/>
        <v>31498.134971428568</v>
      </c>
      <c r="L11" s="17">
        <f t="shared" si="5"/>
        <v>31846.611542857143</v>
      </c>
      <c r="M11" s="17">
        <f t="shared" si="5"/>
        <v>32195.088114285714</v>
      </c>
      <c r="N11" s="17">
        <f t="shared" si="5"/>
        <v>32576.712457142858</v>
      </c>
      <c r="O11" s="11"/>
    </row>
    <row r="12" spans="1:15">
      <c r="A12" s="4" t="s">
        <v>4</v>
      </c>
      <c r="B12" s="18">
        <f>SUM(B11:B11)/D1</f>
        <v>0</v>
      </c>
      <c r="C12" s="18">
        <f>SUM(C11:C11)/D1</f>
        <v>170.87235351166763</v>
      </c>
      <c r="D12" s="18">
        <f>SUM(D11:D11)/D1</f>
        <v>179.24310547524192</v>
      </c>
      <c r="E12" s="18">
        <f>SUM(E11:E11)/D1</f>
        <v>183.51245987478657</v>
      </c>
      <c r="F12" s="18">
        <f>SUM(F11:F11)/D1</f>
        <v>188.46989550369949</v>
      </c>
      <c r="G12" s="18">
        <f>SUM(G11:G11)/D1</f>
        <v>191.93739146272054</v>
      </c>
      <c r="H12" s="18">
        <f>SUM(H11:H11)/D1</f>
        <v>197.35535389869094</v>
      </c>
      <c r="I12" s="18">
        <f>SUM(I11:I11)/D1</f>
        <v>196.36386677290835</v>
      </c>
      <c r="J12" s="18">
        <f>SUM(J11:J11)/D1</f>
        <v>198.57439544678431</v>
      </c>
      <c r="K12" s="18">
        <f>SUM(K11:K11)/D1</f>
        <v>200.78492412066021</v>
      </c>
      <c r="L12" s="18">
        <f>SUM(L11:L11)/D1</f>
        <v>203.00628871940808</v>
      </c>
      <c r="M12" s="18">
        <f>SUM(M11:M11)/D1</f>
        <v>205.22765331815594</v>
      </c>
      <c r="N12" s="18">
        <f>SUM(N11:N11)/D1</f>
        <v>207.66031845190668</v>
      </c>
      <c r="O12" s="11"/>
    </row>
    <row r="13" spans="1:15">
      <c r="A13" s="4" t="s">
        <v>5</v>
      </c>
      <c r="B13" s="19">
        <f>B12</f>
        <v>0</v>
      </c>
      <c r="C13" s="19">
        <f t="shared" ref="C13:F13" si="6">C12</f>
        <v>170.87235351166763</v>
      </c>
      <c r="D13" s="19">
        <f t="shared" si="6"/>
        <v>179.24310547524192</v>
      </c>
      <c r="E13" s="19">
        <f t="shared" si="6"/>
        <v>183.51245987478657</v>
      </c>
      <c r="F13" s="19">
        <f t="shared" si="6"/>
        <v>188.46989550369949</v>
      </c>
      <c r="G13" s="19">
        <f t="shared" ref="G13:N13" si="7">G12</f>
        <v>191.93739146272054</v>
      </c>
      <c r="H13" s="19">
        <f t="shared" si="7"/>
        <v>197.35535389869094</v>
      </c>
      <c r="I13" s="19">
        <f t="shared" si="7"/>
        <v>196.36386677290835</v>
      </c>
      <c r="J13" s="19">
        <f t="shared" si="7"/>
        <v>198.57439544678431</v>
      </c>
      <c r="K13" s="19">
        <f t="shared" si="7"/>
        <v>200.78492412066021</v>
      </c>
      <c r="L13" s="19">
        <f t="shared" si="7"/>
        <v>203.00628871940808</v>
      </c>
      <c r="M13" s="19">
        <f t="shared" si="7"/>
        <v>205.22765331815594</v>
      </c>
      <c r="N13" s="19">
        <f t="shared" si="7"/>
        <v>207.66031845190668</v>
      </c>
      <c r="O13" s="11"/>
    </row>
    <row r="14" spans="1:15" ht="15" thickBot="1">
      <c r="A14" s="6"/>
      <c r="B14" s="20">
        <f>B13*$D$1</f>
        <v>0</v>
      </c>
      <c r="C14" s="7">
        <f t="shared" ref="C14:F14" si="8">C13*$D$1</f>
        <v>26805.60045714286</v>
      </c>
      <c r="D14" s="7">
        <f t="shared" si="8"/>
        <v>28118.762171428574</v>
      </c>
      <c r="E14" s="7">
        <f t="shared" si="8"/>
        <v>28788.517142857145</v>
      </c>
      <c r="F14" s="7">
        <f t="shared" si="8"/>
        <v>29566.214857142859</v>
      </c>
      <c r="G14" s="7">
        <f t="shared" ref="G14:N14" si="9">G13*$D$1</f>
        <v>30110.178285714286</v>
      </c>
      <c r="H14" s="7">
        <f t="shared" si="9"/>
        <v>30960.121142857141</v>
      </c>
      <c r="I14" s="7">
        <f t="shared" si="9"/>
        <v>30804.581599999998</v>
      </c>
      <c r="J14" s="7">
        <f t="shared" si="9"/>
        <v>31151.35828571429</v>
      </c>
      <c r="K14" s="7">
        <f t="shared" si="9"/>
        <v>31498.134971428572</v>
      </c>
      <c r="L14" s="7">
        <f t="shared" si="9"/>
        <v>31846.611542857143</v>
      </c>
      <c r="M14" s="7">
        <f t="shared" si="9"/>
        <v>32195.088114285714</v>
      </c>
      <c r="N14" s="7">
        <f t="shared" si="9"/>
        <v>32576.712457142861</v>
      </c>
      <c r="O14" s="11"/>
    </row>
    <row r="15" spans="1:15" ht="15" thickBot="1">
      <c r="A15" s="8" t="s">
        <v>6</v>
      </c>
      <c r="B15" s="21">
        <v>0</v>
      </c>
      <c r="C15" s="21">
        <f>(C14-2570)/0.74</f>
        <v>32750.811428571433</v>
      </c>
      <c r="D15" s="21">
        <f>(D14-2570)/0.74</f>
        <v>34525.354285714289</v>
      </c>
      <c r="E15" s="21">
        <f>(E14-2570)/0.74</f>
        <v>35430.428571428572</v>
      </c>
      <c r="F15" s="21">
        <f>(F14-2570)/0.74</f>
        <v>36481.37142857143</v>
      </c>
      <c r="G15" s="21">
        <f t="shared" ref="G15:N15" si="10">(G14-2570)/0.74</f>
        <v>37216.457142857143</v>
      </c>
      <c r="H15" s="21">
        <f t="shared" si="10"/>
        <v>38365.028571428571</v>
      </c>
      <c r="I15" s="21">
        <f t="shared" si="10"/>
        <v>38154.839999999997</v>
      </c>
      <c r="J15" s="21">
        <f t="shared" si="10"/>
        <v>38623.457142857151</v>
      </c>
      <c r="K15" s="21">
        <f t="shared" si="10"/>
        <v>39092.074285714283</v>
      </c>
      <c r="L15" s="21">
        <f t="shared" si="10"/>
        <v>39562.98857142857</v>
      </c>
      <c r="M15" s="21">
        <f t="shared" si="10"/>
        <v>40033.902857142857</v>
      </c>
      <c r="N15" s="21">
        <f t="shared" si="10"/>
        <v>40549.611428571436</v>
      </c>
      <c r="O15" s="11"/>
    </row>
    <row r="16" spans="1:15" ht="15" thickBot="1">
      <c r="A16" s="9"/>
      <c r="B16" s="1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1"/>
    </row>
    <row r="17" spans="1:15" ht="15" thickBot="1">
      <c r="A17" s="25" t="s">
        <v>7</v>
      </c>
      <c r="B17" s="26">
        <f t="shared" ref="B17:N17" si="11">AVERAGE(B13,B29)</f>
        <v>0</v>
      </c>
      <c r="C17" s="26">
        <f t="shared" si="11"/>
        <v>182.66181281730223</v>
      </c>
      <c r="D17" s="26">
        <f t="shared" si="11"/>
        <v>191.683276220831</v>
      </c>
      <c r="E17" s="26">
        <f t="shared" si="11"/>
        <v>196.28451451337509</v>
      </c>
      <c r="F17" s="26">
        <f t="shared" si="11"/>
        <v>201.6273229368241</v>
      </c>
      <c r="G17" s="26">
        <f t="shared" si="11"/>
        <v>205.36436926579398</v>
      </c>
      <c r="H17" s="26">
        <f t="shared" si="11"/>
        <v>211.20350415480931</v>
      </c>
      <c r="I17" s="26">
        <f t="shared" si="11"/>
        <v>210.13494247011948</v>
      </c>
      <c r="J17" s="26">
        <f t="shared" si="11"/>
        <v>212.51730950483778</v>
      </c>
      <c r="K17" s="26">
        <f t="shared" si="11"/>
        <v>214.89967653955608</v>
      </c>
      <c r="L17" s="26">
        <f t="shared" si="11"/>
        <v>217.29372184405238</v>
      </c>
      <c r="M17" s="26">
        <f t="shared" si="11"/>
        <v>219.68776714854869</v>
      </c>
      <c r="N17" s="26">
        <f t="shared" si="11"/>
        <v>222.30953871371656</v>
      </c>
      <c r="O17" s="28" t="s">
        <v>20</v>
      </c>
    </row>
    <row r="19" spans="1:15">
      <c r="A19" s="13" t="s">
        <v>16</v>
      </c>
      <c r="B19" s="10" t="s">
        <v>41</v>
      </c>
      <c r="C19" s="10" t="s">
        <v>42</v>
      </c>
      <c r="D19" s="10" t="s">
        <v>43</v>
      </c>
      <c r="E19" s="10" t="s">
        <v>44</v>
      </c>
      <c r="F19" s="10" t="s">
        <v>45</v>
      </c>
      <c r="G19" s="10" t="s">
        <v>46</v>
      </c>
      <c r="H19" s="10" t="s">
        <v>47</v>
      </c>
      <c r="I19" s="10" t="s">
        <v>48</v>
      </c>
      <c r="J19" s="10" t="s">
        <v>49</v>
      </c>
      <c r="K19" s="10" t="s">
        <v>50</v>
      </c>
      <c r="L19" s="10" t="s">
        <v>51</v>
      </c>
      <c r="M19" s="10" t="s">
        <v>52</v>
      </c>
      <c r="N19" s="10" t="s">
        <v>53</v>
      </c>
    </row>
    <row r="20" spans="1:15">
      <c r="A20" s="4" t="s">
        <v>1</v>
      </c>
      <c r="B20" s="17">
        <v>0</v>
      </c>
      <c r="C20" s="17">
        <v>27992</v>
      </c>
      <c r="D20" s="5">
        <v>29537</v>
      </c>
      <c r="E20" s="5">
        <v>30325</v>
      </c>
      <c r="F20" s="5">
        <v>31240</v>
      </c>
      <c r="G20" s="5">
        <v>31880</v>
      </c>
      <c r="H20" s="5">
        <v>32880</v>
      </c>
      <c r="I20" s="5">
        <v>32697</v>
      </c>
      <c r="J20" s="5">
        <v>33105</v>
      </c>
      <c r="K20" s="5">
        <v>33513</v>
      </c>
      <c r="L20" s="5">
        <v>33923</v>
      </c>
      <c r="M20" s="5">
        <v>34333</v>
      </c>
      <c r="N20" s="5">
        <v>34782</v>
      </c>
    </row>
    <row r="21" spans="1:15">
      <c r="A21" s="4" t="s">
        <v>55</v>
      </c>
      <c r="B21" s="17">
        <f t="shared" ref="B21:N21" si="12">B20*0.1</f>
        <v>0</v>
      </c>
      <c r="C21" s="17">
        <f t="shared" si="12"/>
        <v>2799.2000000000003</v>
      </c>
      <c r="D21" s="17">
        <f t="shared" si="12"/>
        <v>2953.7000000000003</v>
      </c>
      <c r="E21" s="17">
        <f t="shared" si="12"/>
        <v>3032.5</v>
      </c>
      <c r="F21" s="17">
        <f t="shared" si="12"/>
        <v>3124</v>
      </c>
      <c r="G21" s="17">
        <f t="shared" si="12"/>
        <v>3188</v>
      </c>
      <c r="H21" s="17">
        <f t="shared" si="12"/>
        <v>3288</v>
      </c>
      <c r="I21" s="17">
        <f t="shared" si="12"/>
        <v>3269.7000000000003</v>
      </c>
      <c r="J21" s="17">
        <f t="shared" si="12"/>
        <v>3310.5</v>
      </c>
      <c r="K21" s="17">
        <f t="shared" si="12"/>
        <v>3351.3</v>
      </c>
      <c r="L21" s="17">
        <f t="shared" si="12"/>
        <v>3392.3</v>
      </c>
      <c r="M21" s="17">
        <f t="shared" si="12"/>
        <v>3433.3</v>
      </c>
      <c r="N21" s="17">
        <f t="shared" si="12"/>
        <v>3478.2000000000003</v>
      </c>
    </row>
    <row r="22" spans="1:15">
      <c r="A22" s="4" t="s">
        <v>56</v>
      </c>
      <c r="B22" s="17">
        <f t="shared" ref="B22:N22" si="13">B20*0.05</f>
        <v>0</v>
      </c>
      <c r="C22" s="17">
        <f t="shared" si="13"/>
        <v>1399.6000000000001</v>
      </c>
      <c r="D22" s="17">
        <f t="shared" si="13"/>
        <v>1476.8500000000001</v>
      </c>
      <c r="E22" s="17">
        <f t="shared" si="13"/>
        <v>1516.25</v>
      </c>
      <c r="F22" s="17">
        <f t="shared" si="13"/>
        <v>1562</v>
      </c>
      <c r="G22" s="17">
        <f t="shared" si="13"/>
        <v>1594</v>
      </c>
      <c r="H22" s="17">
        <f t="shared" si="13"/>
        <v>1644</v>
      </c>
      <c r="I22" s="17">
        <f t="shared" si="13"/>
        <v>1634.8500000000001</v>
      </c>
      <c r="J22" s="17">
        <f t="shared" si="13"/>
        <v>1655.25</v>
      </c>
      <c r="K22" s="17">
        <f t="shared" si="13"/>
        <v>1675.65</v>
      </c>
      <c r="L22" s="17">
        <f t="shared" si="13"/>
        <v>1696.15</v>
      </c>
      <c r="M22" s="17">
        <f t="shared" si="13"/>
        <v>1716.65</v>
      </c>
      <c r="N22" s="17">
        <f t="shared" si="13"/>
        <v>1739.1000000000001</v>
      </c>
    </row>
    <row r="23" spans="1:15">
      <c r="A23" s="12" t="s">
        <v>54</v>
      </c>
      <c r="B23" s="17">
        <f t="shared" ref="B23" si="14">(B20+B21)*0.12/156.25*75</f>
        <v>0</v>
      </c>
      <c r="C23" s="17">
        <f>(C20)*0.12/157.5*75</f>
        <v>1599.542857142857</v>
      </c>
      <c r="D23" s="17">
        <f t="shared" ref="D23:N23" si="15">(D20)*0.12/157.5*75</f>
        <v>1687.8285714285714</v>
      </c>
      <c r="E23" s="17">
        <f t="shared" si="15"/>
        <v>1732.8571428571429</v>
      </c>
      <c r="F23" s="17">
        <f t="shared" si="15"/>
        <v>1785.1428571428571</v>
      </c>
      <c r="G23" s="17">
        <f t="shared" si="15"/>
        <v>1821.7142857142858</v>
      </c>
      <c r="H23" s="17">
        <f t="shared" si="15"/>
        <v>1878.8571428571427</v>
      </c>
      <c r="I23" s="17">
        <f t="shared" si="15"/>
        <v>1868.3999999999999</v>
      </c>
      <c r="J23" s="17">
        <f t="shared" si="15"/>
        <v>1891.7142857142856</v>
      </c>
      <c r="K23" s="17">
        <f t="shared" si="15"/>
        <v>1915.0285714285715</v>
      </c>
      <c r="L23" s="17">
        <f t="shared" si="15"/>
        <v>1938.4571428571428</v>
      </c>
      <c r="M23" s="17">
        <f t="shared" si="15"/>
        <v>1961.8857142857141</v>
      </c>
      <c r="N23" s="17">
        <f t="shared" si="15"/>
        <v>1987.5428571428572</v>
      </c>
    </row>
    <row r="24" spans="1:15">
      <c r="A24" s="12" t="s">
        <v>57</v>
      </c>
      <c r="B24" s="17">
        <v>0</v>
      </c>
      <c r="C24" s="17">
        <f t="shared" ref="C24:N24" si="16">30*20</f>
        <v>600</v>
      </c>
      <c r="D24" s="17">
        <f t="shared" si="16"/>
        <v>600</v>
      </c>
      <c r="E24" s="17">
        <f t="shared" si="16"/>
        <v>600</v>
      </c>
      <c r="F24" s="17">
        <f t="shared" si="16"/>
        <v>600</v>
      </c>
      <c r="G24" s="17">
        <f t="shared" si="16"/>
        <v>600</v>
      </c>
      <c r="H24" s="17">
        <f t="shared" si="16"/>
        <v>600</v>
      </c>
      <c r="I24" s="17">
        <f t="shared" si="16"/>
        <v>600</v>
      </c>
      <c r="J24" s="17">
        <f t="shared" si="16"/>
        <v>600</v>
      </c>
      <c r="K24" s="17">
        <f t="shared" si="16"/>
        <v>600</v>
      </c>
      <c r="L24" s="17">
        <f t="shared" si="16"/>
        <v>600</v>
      </c>
      <c r="M24" s="17">
        <f t="shared" si="16"/>
        <v>600</v>
      </c>
      <c r="N24" s="17">
        <f t="shared" si="16"/>
        <v>600</v>
      </c>
    </row>
    <row r="25" spans="1:15">
      <c r="A25" s="12" t="s">
        <v>154</v>
      </c>
      <c r="B25" s="17">
        <v>0</v>
      </c>
      <c r="C25" s="17">
        <f>SUM(C20)*0.12</f>
        <v>3359.04</v>
      </c>
      <c r="D25" s="17">
        <f t="shared" ref="D25:N25" si="17">SUM(D20)*0.12</f>
        <v>3544.44</v>
      </c>
      <c r="E25" s="17">
        <f t="shared" si="17"/>
        <v>3639</v>
      </c>
      <c r="F25" s="17">
        <f t="shared" si="17"/>
        <v>3748.7999999999997</v>
      </c>
      <c r="G25" s="17">
        <f t="shared" si="17"/>
        <v>3825.6</v>
      </c>
      <c r="H25" s="17">
        <f t="shared" si="17"/>
        <v>3945.6</v>
      </c>
      <c r="I25" s="17">
        <f t="shared" si="17"/>
        <v>3923.64</v>
      </c>
      <c r="J25" s="17">
        <f t="shared" si="17"/>
        <v>3972.6</v>
      </c>
      <c r="K25" s="17">
        <f t="shared" si="17"/>
        <v>4021.56</v>
      </c>
      <c r="L25" s="17">
        <f t="shared" si="17"/>
        <v>4070.7599999999998</v>
      </c>
      <c r="M25" s="17">
        <f t="shared" si="17"/>
        <v>4119.96</v>
      </c>
      <c r="N25" s="17">
        <f t="shared" si="17"/>
        <v>4173.84</v>
      </c>
    </row>
    <row r="26" spans="1:15">
      <c r="A26" s="4" t="s">
        <v>2</v>
      </c>
      <c r="B26" s="17">
        <v>0</v>
      </c>
      <c r="C26" s="17">
        <f t="shared" ref="C26:N26" si="18">SUM(C20:C25)</f>
        <v>37749.38285714286</v>
      </c>
      <c r="D26" s="17">
        <f t="shared" si="18"/>
        <v>39799.818571428579</v>
      </c>
      <c r="E26" s="17">
        <f t="shared" si="18"/>
        <v>40845.607142857145</v>
      </c>
      <c r="F26" s="17">
        <f t="shared" si="18"/>
        <v>42059.942857142858</v>
      </c>
      <c r="G26" s="17">
        <f t="shared" si="18"/>
        <v>42909.314285714281</v>
      </c>
      <c r="H26" s="17">
        <f t="shared" si="18"/>
        <v>44236.457142857143</v>
      </c>
      <c r="I26" s="17">
        <f t="shared" si="18"/>
        <v>43993.59</v>
      </c>
      <c r="J26" s="17">
        <f t="shared" si="18"/>
        <v>44535.064285714281</v>
      </c>
      <c r="K26" s="17">
        <f t="shared" si="18"/>
        <v>45076.538571428573</v>
      </c>
      <c r="L26" s="17">
        <f t="shared" si="18"/>
        <v>45620.66714285715</v>
      </c>
      <c r="M26" s="17">
        <f t="shared" si="18"/>
        <v>46164.795714285719</v>
      </c>
      <c r="N26" s="17">
        <f t="shared" si="18"/>
        <v>46760.682857142849</v>
      </c>
    </row>
    <row r="27" spans="1:15">
      <c r="A27" s="4" t="s">
        <v>3</v>
      </c>
      <c r="B27" s="17">
        <v>0</v>
      </c>
      <c r="C27" s="17">
        <f>(C26*0.74)+(30840/12)</f>
        <v>30504.543314285715</v>
      </c>
      <c r="D27" s="17">
        <f>(D26*0.74)+(30840/12)</f>
        <v>32021.86574285715</v>
      </c>
      <c r="E27" s="17">
        <f>(E26*0.74)+(30840/12)</f>
        <v>32795.749285714286</v>
      </c>
      <c r="F27" s="17">
        <f>(F26*0.74)+(30840/12)</f>
        <v>33694.35771428571</v>
      </c>
      <c r="G27" s="17">
        <f t="shared" ref="G27:N27" si="19">(G26*0.74)+(30840/12)</f>
        <v>34322.892571428572</v>
      </c>
      <c r="H27" s="17">
        <f t="shared" si="19"/>
        <v>35304.978285714285</v>
      </c>
      <c r="I27" s="17">
        <f t="shared" si="19"/>
        <v>35125.256599999993</v>
      </c>
      <c r="J27" s="17">
        <f t="shared" si="19"/>
        <v>35525.947571428565</v>
      </c>
      <c r="K27" s="17">
        <f t="shared" si="19"/>
        <v>35926.638542857145</v>
      </c>
      <c r="L27" s="17">
        <f t="shared" si="19"/>
        <v>36329.293685714292</v>
      </c>
      <c r="M27" s="17">
        <f t="shared" si="19"/>
        <v>36731.948828571432</v>
      </c>
      <c r="N27" s="17">
        <f t="shared" si="19"/>
        <v>37172.905314285708</v>
      </c>
    </row>
    <row r="28" spans="1:15">
      <c r="A28" s="4" t="s">
        <v>4</v>
      </c>
      <c r="B28" s="18">
        <f>SUM(B27:B27)/D1</f>
        <v>0</v>
      </c>
      <c r="C28" s="18">
        <f>SUM(C27:C27)/D1</f>
        <v>194.45127212293681</v>
      </c>
      <c r="D28" s="18">
        <f>SUM(D27:D27)/D1</f>
        <v>204.12344696642009</v>
      </c>
      <c r="E28" s="18">
        <f>SUM(E27:E27)/D1</f>
        <v>209.05656915196357</v>
      </c>
      <c r="F28" s="18">
        <f>SUM(F27:F27)/D1</f>
        <v>214.78475036994874</v>
      </c>
      <c r="G28" s="18">
        <f>SUM(G27:G27)/D1</f>
        <v>218.7913470688674</v>
      </c>
      <c r="H28" s="18">
        <f>SUM(H27:H27)/D1</f>
        <v>225.05165441092771</v>
      </c>
      <c r="I28" s="18">
        <f>SUM(I27:I27)/D1</f>
        <v>223.90601816733064</v>
      </c>
      <c r="J28" s="18">
        <f>SUM(J27:J27)/D1</f>
        <v>226.46022356289126</v>
      </c>
      <c r="K28" s="18">
        <f>SUM(K27:K27)/D1</f>
        <v>229.01442895845193</v>
      </c>
      <c r="L28" s="18">
        <f>SUM(L27:L27)/D1</f>
        <v>231.58115496869669</v>
      </c>
      <c r="M28" s="18">
        <f>SUM(M27:M27)/D1</f>
        <v>234.1478809789414</v>
      </c>
      <c r="N28" s="18">
        <f>SUM(N27:N27)/D1</f>
        <v>236.95875897552642</v>
      </c>
    </row>
    <row r="29" spans="1:15">
      <c r="A29" s="4" t="s">
        <v>5</v>
      </c>
      <c r="B29" s="19">
        <f>B28</f>
        <v>0</v>
      </c>
      <c r="C29" s="19">
        <f t="shared" ref="C29:F29" si="20">C28</f>
        <v>194.45127212293681</v>
      </c>
      <c r="D29" s="19">
        <f t="shared" si="20"/>
        <v>204.12344696642009</v>
      </c>
      <c r="E29" s="19">
        <f t="shared" si="20"/>
        <v>209.05656915196357</v>
      </c>
      <c r="F29" s="19">
        <f t="shared" si="20"/>
        <v>214.78475036994874</v>
      </c>
      <c r="G29" s="19">
        <f t="shared" ref="G29:N29" si="21">G28</f>
        <v>218.7913470688674</v>
      </c>
      <c r="H29" s="19">
        <f t="shared" si="21"/>
        <v>225.05165441092771</v>
      </c>
      <c r="I29" s="19">
        <f t="shared" si="21"/>
        <v>223.90601816733064</v>
      </c>
      <c r="J29" s="19">
        <f t="shared" si="21"/>
        <v>226.46022356289126</v>
      </c>
      <c r="K29" s="19">
        <f t="shared" si="21"/>
        <v>229.01442895845193</v>
      </c>
      <c r="L29" s="19">
        <f t="shared" si="21"/>
        <v>231.58115496869669</v>
      </c>
      <c r="M29" s="19">
        <f t="shared" si="21"/>
        <v>234.1478809789414</v>
      </c>
      <c r="N29" s="19">
        <f t="shared" si="21"/>
        <v>236.95875897552642</v>
      </c>
    </row>
    <row r="30" spans="1:15" ht="15" thickBot="1">
      <c r="A30" s="6"/>
      <c r="B30" s="20">
        <f>B29*$D$1</f>
        <v>0</v>
      </c>
      <c r="C30" s="20">
        <f t="shared" ref="C30:F30" si="22">C29*$D$1</f>
        <v>30504.543314285711</v>
      </c>
      <c r="D30" s="20">
        <f t="shared" si="22"/>
        <v>32021.865742857153</v>
      </c>
      <c r="E30" s="20">
        <f t="shared" si="22"/>
        <v>32795.749285714286</v>
      </c>
      <c r="F30" s="20">
        <f t="shared" si="22"/>
        <v>33694.35771428571</v>
      </c>
      <c r="G30" s="20">
        <f t="shared" ref="G30:N30" si="23">G29*$D$1</f>
        <v>34322.892571428572</v>
      </c>
      <c r="H30" s="20">
        <f t="shared" si="23"/>
        <v>35304.978285714285</v>
      </c>
      <c r="I30" s="20">
        <f t="shared" si="23"/>
        <v>35125.256599999993</v>
      </c>
      <c r="J30" s="20">
        <f t="shared" si="23"/>
        <v>35525.947571428565</v>
      </c>
      <c r="K30" s="20">
        <f t="shared" si="23"/>
        <v>35926.638542857145</v>
      </c>
      <c r="L30" s="20">
        <f t="shared" si="23"/>
        <v>36329.293685714292</v>
      </c>
      <c r="M30" s="20">
        <f t="shared" si="23"/>
        <v>36731.948828571432</v>
      </c>
      <c r="N30" s="20">
        <f t="shared" si="23"/>
        <v>37172.905314285708</v>
      </c>
    </row>
    <row r="31" spans="1:15" ht="15" thickBot="1">
      <c r="A31" s="8" t="s">
        <v>9</v>
      </c>
      <c r="B31" s="21">
        <v>0</v>
      </c>
      <c r="C31" s="21">
        <f>(C30-2570)/0.74</f>
        <v>37749.382857142853</v>
      </c>
      <c r="D31" s="21">
        <f>(D30-2570)/0.74</f>
        <v>39799.818571428586</v>
      </c>
      <c r="E31" s="21">
        <f>(E30-2570)/0.74</f>
        <v>40845.607142857145</v>
      </c>
      <c r="F31" s="21">
        <f>(F30-2570)/0.74</f>
        <v>42059.942857142851</v>
      </c>
      <c r="G31" s="21">
        <f t="shared" ref="G31:N31" si="24">(G30-2570)/0.74</f>
        <v>42909.314285714288</v>
      </c>
      <c r="H31" s="21">
        <f t="shared" si="24"/>
        <v>44236.457142857143</v>
      </c>
      <c r="I31" s="21">
        <f t="shared" si="24"/>
        <v>43993.589999999989</v>
      </c>
      <c r="J31" s="21">
        <f t="shared" si="24"/>
        <v>44535.064285714281</v>
      </c>
      <c r="K31" s="21">
        <f t="shared" si="24"/>
        <v>45076.538571428573</v>
      </c>
      <c r="L31" s="21">
        <f t="shared" si="24"/>
        <v>45620.66714285715</v>
      </c>
      <c r="M31" s="21">
        <f t="shared" si="24"/>
        <v>46164.795714285719</v>
      </c>
      <c r="N31" s="21">
        <f t="shared" si="24"/>
        <v>46760.682857142849</v>
      </c>
    </row>
  </sheetData>
  <mergeCells count="1">
    <mergeCell ref="B2:N2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9192-29D7-489B-B018-68AD074BDA1A}">
  <sheetPr codeName="List13">
    <tabColor rgb="FF92D050"/>
  </sheetPr>
  <dimension ref="A1:I45"/>
  <sheetViews>
    <sheetView workbookViewId="0">
      <selection activeCell="A16" sqref="A16"/>
    </sheetView>
  </sheetViews>
  <sheetFormatPr defaultColWidth="8.88671875" defaultRowHeight="14.4"/>
  <cols>
    <col min="1" max="1" width="3.5546875" style="37" bestFit="1" customWidth="1"/>
    <col min="2" max="2" width="29.5546875" style="37" bestFit="1" customWidth="1"/>
    <col min="3" max="3" width="11.77734375" style="55" bestFit="1" customWidth="1"/>
    <col min="4" max="4" width="12.77734375" style="55" bestFit="1" customWidth="1"/>
    <col min="5" max="5" width="12.77734375" style="55" customWidth="1"/>
    <col min="6" max="6" width="11.21875" style="37" bestFit="1" customWidth="1"/>
    <col min="7" max="7" width="28.21875" style="37" bestFit="1" customWidth="1"/>
    <col min="8" max="8" width="10.21875" style="37" bestFit="1" customWidth="1"/>
    <col min="9" max="16384" width="8.88671875" style="37"/>
  </cols>
  <sheetData>
    <row r="1" spans="1:8" ht="15" thickBot="1">
      <c r="A1" s="61"/>
      <c r="B1" s="62" t="s">
        <v>125</v>
      </c>
      <c r="C1" s="63" t="s">
        <v>0</v>
      </c>
      <c r="D1" s="64">
        <v>45383</v>
      </c>
      <c r="E1" s="65" t="s">
        <v>131</v>
      </c>
      <c r="F1" s="65">
        <v>157.5</v>
      </c>
    </row>
    <row r="2" spans="1:8">
      <c r="B2" s="266" t="s">
        <v>73</v>
      </c>
      <c r="C2" s="268" t="s">
        <v>162</v>
      </c>
      <c r="D2" s="269"/>
      <c r="E2" s="270"/>
      <c r="F2" s="271" t="s">
        <v>157</v>
      </c>
    </row>
    <row r="3" spans="1:8" s="38" customFormat="1" ht="28.2" thickBot="1">
      <c r="B3" s="267"/>
      <c r="C3" s="66" t="s">
        <v>163</v>
      </c>
      <c r="D3" s="10" t="s">
        <v>164</v>
      </c>
      <c r="E3" s="67" t="s">
        <v>165</v>
      </c>
      <c r="F3" s="272"/>
    </row>
    <row r="4" spans="1:8">
      <c r="A4" s="263" t="s">
        <v>166</v>
      </c>
      <c r="B4" s="68" t="s">
        <v>1</v>
      </c>
      <c r="C4" s="69">
        <f>F1*123</f>
        <v>19372.5</v>
      </c>
      <c r="D4" s="40">
        <f>F1*123</f>
        <v>19372.5</v>
      </c>
      <c r="E4" s="70">
        <f>F1*123</f>
        <v>19372.5</v>
      </c>
      <c r="F4" s="71">
        <f>F1*150</f>
        <v>23625</v>
      </c>
      <c r="G4" s="38"/>
      <c r="H4" s="38"/>
    </row>
    <row r="5" spans="1:8">
      <c r="A5" s="264"/>
      <c r="B5" s="72" t="s">
        <v>128</v>
      </c>
      <c r="C5" s="69">
        <v>1000</v>
      </c>
      <c r="D5" s="40">
        <v>1000</v>
      </c>
      <c r="E5" s="70">
        <v>1000</v>
      </c>
      <c r="F5" s="71">
        <v>1000</v>
      </c>
      <c r="G5" s="38"/>
      <c r="H5" s="38"/>
    </row>
    <row r="6" spans="1:8">
      <c r="A6" s="264"/>
      <c r="B6" s="72" t="s">
        <v>158</v>
      </c>
      <c r="C6" s="69">
        <v>0</v>
      </c>
      <c r="D6" s="40">
        <v>0</v>
      </c>
      <c r="E6" s="70">
        <v>0</v>
      </c>
      <c r="F6" s="71">
        <v>0</v>
      </c>
      <c r="G6" s="38"/>
      <c r="H6" s="38"/>
    </row>
    <row r="7" spans="1:8">
      <c r="A7" s="264"/>
      <c r="B7" s="73" t="s">
        <v>126</v>
      </c>
      <c r="C7" s="69">
        <v>0</v>
      </c>
      <c r="D7" s="40">
        <f>37.5*18</f>
        <v>675</v>
      </c>
      <c r="E7" s="40">
        <f>37.5*18</f>
        <v>675</v>
      </c>
      <c r="F7" s="71">
        <f>37.5*18</f>
        <v>675</v>
      </c>
      <c r="G7" s="38"/>
      <c r="H7" s="38"/>
    </row>
    <row r="8" spans="1:8">
      <c r="A8" s="264"/>
      <c r="B8" s="73" t="s">
        <v>127</v>
      </c>
      <c r="C8" s="69">
        <v>0</v>
      </c>
      <c r="D8" s="40">
        <f>F1*13.7</f>
        <v>2157.75</v>
      </c>
      <c r="E8" s="70">
        <v>0</v>
      </c>
      <c r="F8" s="71">
        <f>F1*13.7</f>
        <v>2157.75</v>
      </c>
      <c r="G8" s="38"/>
      <c r="H8" s="38"/>
    </row>
    <row r="9" spans="1:8">
      <c r="A9" s="264"/>
      <c r="B9" s="73" t="s">
        <v>159</v>
      </c>
      <c r="C9" s="69">
        <v>0</v>
      </c>
      <c r="D9" s="40">
        <v>0</v>
      </c>
      <c r="E9" s="70">
        <f>SUM(F1)*43.8</f>
        <v>6898.5</v>
      </c>
      <c r="F9" s="71">
        <v>0</v>
      </c>
      <c r="G9" s="38"/>
      <c r="H9" s="38"/>
    </row>
    <row r="10" spans="1:8">
      <c r="A10" s="264"/>
      <c r="B10" s="73" t="s">
        <v>129</v>
      </c>
      <c r="C10" s="69">
        <v>0</v>
      </c>
      <c r="D10" s="40">
        <v>0</v>
      </c>
      <c r="E10" s="70">
        <v>0</v>
      </c>
      <c r="F10" s="71">
        <v>0</v>
      </c>
      <c r="G10" s="38"/>
      <c r="H10" s="38"/>
    </row>
    <row r="11" spans="1:8">
      <c r="A11" s="264"/>
      <c r="B11" s="73" t="s">
        <v>14</v>
      </c>
      <c r="C11" s="69">
        <v>600</v>
      </c>
      <c r="D11" s="40">
        <v>600</v>
      </c>
      <c r="E11" s="70">
        <v>600</v>
      </c>
      <c r="F11" s="71">
        <v>600</v>
      </c>
      <c r="G11" s="38"/>
      <c r="H11" s="38"/>
    </row>
    <row r="12" spans="1:8">
      <c r="A12" s="264"/>
      <c r="B12" s="72" t="s">
        <v>2</v>
      </c>
      <c r="C12" s="69">
        <f>SUM(C4:C11)</f>
        <v>20972.5</v>
      </c>
      <c r="D12" s="40">
        <f>SUM(D4:D11)</f>
        <v>23805.25</v>
      </c>
      <c r="E12" s="70">
        <f>SUM(E4:E11)</f>
        <v>28546</v>
      </c>
      <c r="F12" s="71">
        <f>SUM(F4:F11)</f>
        <v>28057.75</v>
      </c>
      <c r="G12" s="38"/>
      <c r="H12" s="38"/>
    </row>
    <row r="13" spans="1:8">
      <c r="A13" s="264"/>
      <c r="B13" s="72" t="s">
        <v>3</v>
      </c>
      <c r="C13" s="69">
        <f>(C12*0.865)</f>
        <v>18141.212500000001</v>
      </c>
      <c r="D13" s="40">
        <f>(D12*0.865)</f>
        <v>20591.541249999998</v>
      </c>
      <c r="E13" s="70">
        <f>(E12*0.865)</f>
        <v>24692.29</v>
      </c>
      <c r="F13" s="71">
        <f>(F12*0.865)</f>
        <v>24269.953750000001</v>
      </c>
      <c r="G13" s="60"/>
      <c r="H13" s="38"/>
    </row>
    <row r="14" spans="1:8">
      <c r="A14" s="264"/>
      <c r="B14" s="72" t="s">
        <v>4</v>
      </c>
      <c r="C14" s="74">
        <f>SUM(C13:C13)/F1</f>
        <v>115.18230158730159</v>
      </c>
      <c r="D14" s="42">
        <f>SUM(D13:D13)/F1</f>
        <v>130.73994444444443</v>
      </c>
      <c r="E14" s="75">
        <f>SUM(E13:E13)/F1</f>
        <v>156.77644444444445</v>
      </c>
      <c r="F14" s="76">
        <f>SUM(F13:F13)/F1</f>
        <v>154.09494444444445</v>
      </c>
      <c r="G14" s="38"/>
      <c r="H14" s="38"/>
    </row>
    <row r="15" spans="1:8" ht="15" thickBot="1">
      <c r="A15" s="265"/>
      <c r="B15" s="72" t="s">
        <v>5</v>
      </c>
      <c r="C15" s="77">
        <f>C14</f>
        <v>115.18230158730159</v>
      </c>
      <c r="D15" s="43">
        <f>D14</f>
        <v>130.73994444444443</v>
      </c>
      <c r="E15" s="78">
        <f>E14</f>
        <v>156.77644444444445</v>
      </c>
      <c r="F15" s="79">
        <f t="shared" ref="F15" si="0">F14</f>
        <v>154.09494444444445</v>
      </c>
      <c r="G15" s="38"/>
      <c r="H15" s="38"/>
    </row>
    <row r="16" spans="1:8" ht="15" thickBot="1">
      <c r="B16" s="80"/>
      <c r="C16" s="81">
        <f>C15*$F$1</f>
        <v>18141.212500000001</v>
      </c>
      <c r="D16" s="45">
        <f>D15*$F$1</f>
        <v>20591.541249999998</v>
      </c>
      <c r="E16" s="82">
        <f>E15*$F$1</f>
        <v>24692.29</v>
      </c>
      <c r="F16" s="83">
        <f>F15*$F$1</f>
        <v>24269.953750000001</v>
      </c>
      <c r="G16" s="38"/>
      <c r="H16" s="38"/>
    </row>
    <row r="17" spans="1:9" ht="15" thickBot="1">
      <c r="B17" s="84" t="s">
        <v>6</v>
      </c>
      <c r="C17" s="85">
        <f>(C16-2570)/0.74</f>
        <v>21042.179054054057</v>
      </c>
      <c r="D17" s="48">
        <f>(D16-2570)/0.74</f>
        <v>24353.43412162162</v>
      </c>
      <c r="E17" s="86">
        <f>(E16-2570)/0.74</f>
        <v>29894.986486486487</v>
      </c>
      <c r="F17" s="87">
        <f>(F16-2570)/0.74</f>
        <v>29324.261824324327</v>
      </c>
      <c r="G17" s="38"/>
      <c r="H17" s="38"/>
    </row>
    <row r="18" spans="1:9" ht="15" thickBot="1">
      <c r="B18" s="49"/>
      <c r="C18" s="50"/>
      <c r="D18" s="50"/>
      <c r="E18" s="50"/>
      <c r="F18" s="51"/>
      <c r="G18" s="38"/>
      <c r="H18" s="38"/>
    </row>
    <row r="19" spans="1:9" ht="15" thickBot="1">
      <c r="A19" s="88"/>
      <c r="B19" s="89" t="s">
        <v>7</v>
      </c>
      <c r="C19" s="53">
        <f>AVERAGE(C15,C34)</f>
        <v>124.65611111111112</v>
      </c>
      <c r="D19" s="53">
        <f>AVERAGE(D15,D34)</f>
        <v>142.06732539682537</v>
      </c>
      <c r="E19" s="53">
        <f>AVERAGE(E15,E34)</f>
        <v>168.10382539682541</v>
      </c>
      <c r="F19" s="53">
        <f>AVERAGE(F15,F34)</f>
        <v>164.59851587301588</v>
      </c>
      <c r="G19" s="54" t="s">
        <v>20</v>
      </c>
      <c r="H19" s="38"/>
      <c r="I19" s="59"/>
    </row>
    <row r="20" spans="1:9" ht="15" thickBot="1">
      <c r="G20" s="38"/>
      <c r="H20" s="38"/>
    </row>
    <row r="21" spans="1:9">
      <c r="B21" s="266" t="s">
        <v>16</v>
      </c>
      <c r="C21" s="268" t="s">
        <v>162</v>
      </c>
      <c r="D21" s="269"/>
      <c r="E21" s="270"/>
      <c r="F21" s="271" t="s">
        <v>157</v>
      </c>
      <c r="G21" s="38"/>
      <c r="H21" s="38"/>
    </row>
    <row r="22" spans="1:9" ht="28.2" thickBot="1">
      <c r="B22" s="267"/>
      <c r="C22" s="66" t="s">
        <v>163</v>
      </c>
      <c r="D22" s="10" t="s">
        <v>164</v>
      </c>
      <c r="E22" s="67" t="s">
        <v>165</v>
      </c>
      <c r="F22" s="272"/>
      <c r="G22" s="38"/>
      <c r="H22" s="38"/>
    </row>
    <row r="23" spans="1:9">
      <c r="A23" s="263" t="s">
        <v>167</v>
      </c>
      <c r="B23" s="90" t="s">
        <v>1</v>
      </c>
      <c r="C23" s="40">
        <f>F1*123</f>
        <v>19372.5</v>
      </c>
      <c r="D23" s="40">
        <f>F1*123</f>
        <v>19372.5</v>
      </c>
      <c r="E23" s="40">
        <f>F1*123</f>
        <v>19372.5</v>
      </c>
      <c r="F23" s="40">
        <f>F1*150</f>
        <v>23625</v>
      </c>
      <c r="G23" s="38"/>
      <c r="H23" s="38"/>
    </row>
    <row r="24" spans="1:9">
      <c r="A24" s="264"/>
      <c r="B24" s="39" t="s">
        <v>128</v>
      </c>
      <c r="C24" s="40">
        <v>1000</v>
      </c>
      <c r="D24" s="40">
        <v>1000</v>
      </c>
      <c r="E24" s="40">
        <v>1000</v>
      </c>
      <c r="F24" s="40">
        <v>1000</v>
      </c>
      <c r="G24" s="38"/>
      <c r="H24" s="38"/>
    </row>
    <row r="25" spans="1:9">
      <c r="A25" s="264"/>
      <c r="B25" s="39" t="s">
        <v>158</v>
      </c>
      <c r="C25" s="40">
        <f>SUM(F1)*20</f>
        <v>3150</v>
      </c>
      <c r="D25" s="40">
        <f>SUM(F1)*20</f>
        <v>3150</v>
      </c>
      <c r="E25" s="40">
        <f>SUM(F1)*20</f>
        <v>3150</v>
      </c>
      <c r="F25" s="40">
        <f>SUM(F1)*20</f>
        <v>3150</v>
      </c>
      <c r="G25" s="38"/>
      <c r="H25" s="38"/>
    </row>
    <row r="26" spans="1:9">
      <c r="A26" s="264"/>
      <c r="B26" s="41" t="s">
        <v>126</v>
      </c>
      <c r="C26" s="40">
        <v>0</v>
      </c>
      <c r="D26" s="40">
        <f>75*18</f>
        <v>1350</v>
      </c>
      <c r="E26" s="40">
        <f>75*18</f>
        <v>1350</v>
      </c>
      <c r="F26" s="40">
        <f>75*18</f>
        <v>1350</v>
      </c>
      <c r="G26" s="38"/>
      <c r="H26" s="38"/>
    </row>
    <row r="27" spans="1:9">
      <c r="A27" s="264"/>
      <c r="B27" s="41" t="s">
        <v>127</v>
      </c>
      <c r="C27" s="40">
        <v>0</v>
      </c>
      <c r="D27" s="40">
        <f>F1*13.7</f>
        <v>2157.75</v>
      </c>
      <c r="E27" s="40">
        <v>0</v>
      </c>
      <c r="F27" s="40">
        <f>F1*13.7</f>
        <v>2157.75</v>
      </c>
      <c r="G27" s="38"/>
      <c r="H27" s="38"/>
    </row>
    <row r="28" spans="1:9">
      <c r="A28" s="264"/>
      <c r="B28" s="41" t="s">
        <v>159</v>
      </c>
      <c r="C28" s="40">
        <v>0</v>
      </c>
      <c r="D28" s="40">
        <v>0</v>
      </c>
      <c r="E28" s="40">
        <f>SUM(F1)*43.8</f>
        <v>6898.5</v>
      </c>
      <c r="F28" s="40">
        <v>0</v>
      </c>
      <c r="G28" s="38"/>
      <c r="H28" s="38"/>
    </row>
    <row r="29" spans="1:9">
      <c r="A29" s="264"/>
      <c r="B29" s="41" t="s">
        <v>129</v>
      </c>
      <c r="C29" s="40">
        <v>300</v>
      </c>
      <c r="D29" s="40">
        <v>300</v>
      </c>
      <c r="E29" s="40">
        <v>300</v>
      </c>
      <c r="F29" s="40">
        <v>0</v>
      </c>
      <c r="G29" s="38"/>
      <c r="H29" s="38"/>
    </row>
    <row r="30" spans="1:9">
      <c r="A30" s="264"/>
      <c r="B30" s="41" t="s">
        <v>14</v>
      </c>
      <c r="C30" s="40">
        <v>600</v>
      </c>
      <c r="D30" s="40">
        <v>600</v>
      </c>
      <c r="E30" s="40">
        <v>600</v>
      </c>
      <c r="F30" s="40">
        <v>600</v>
      </c>
      <c r="G30" s="38"/>
      <c r="H30" s="38"/>
    </row>
    <row r="31" spans="1:9">
      <c r="A31" s="264"/>
      <c r="B31" s="39" t="s">
        <v>2</v>
      </c>
      <c r="C31" s="40">
        <f>SUM(C23:C30)</f>
        <v>24422.5</v>
      </c>
      <c r="D31" s="40">
        <f>SUM(D23:D30)</f>
        <v>27930.25</v>
      </c>
      <c r="E31" s="40">
        <f>SUM(E23:E30)</f>
        <v>32671</v>
      </c>
      <c r="F31" s="40">
        <f>SUM(F23:F30)</f>
        <v>31882.75</v>
      </c>
      <c r="G31" s="38"/>
      <c r="H31" s="38"/>
    </row>
    <row r="32" spans="1:9">
      <c r="A32" s="264"/>
      <c r="B32" s="39" t="s">
        <v>3</v>
      </c>
      <c r="C32" s="40">
        <f>(C31*0.865)</f>
        <v>21125.462500000001</v>
      </c>
      <c r="D32" s="40">
        <f>(D31*0.865)</f>
        <v>24159.666249999998</v>
      </c>
      <c r="E32" s="40">
        <f>(E31*0.865)</f>
        <v>28260.415000000001</v>
      </c>
      <c r="F32" s="40">
        <f>(F31*0.865)</f>
        <v>27578.578750000001</v>
      </c>
      <c r="G32" s="60"/>
      <c r="H32" s="38"/>
    </row>
    <row r="33" spans="1:8">
      <c r="A33" s="264"/>
      <c r="B33" s="39" t="s">
        <v>4</v>
      </c>
      <c r="C33" s="42">
        <f>SUM(C32:C32)/F1</f>
        <v>134.12992063492064</v>
      </c>
      <c r="D33" s="42">
        <f>SUM(D32:D32)/F1</f>
        <v>153.39470634920633</v>
      </c>
      <c r="E33" s="42">
        <f>SUM(E32:E32)/F1</f>
        <v>179.43120634920635</v>
      </c>
      <c r="F33" s="42">
        <f>SUM(F32:F32)/F1</f>
        <v>175.10208730158732</v>
      </c>
      <c r="G33" s="38"/>
      <c r="H33" s="38"/>
    </row>
    <row r="34" spans="1:8" ht="15" thickBot="1">
      <c r="A34" s="265"/>
      <c r="B34" s="39" t="s">
        <v>5</v>
      </c>
      <c r="C34" s="43">
        <f>C33</f>
        <v>134.12992063492064</v>
      </c>
      <c r="D34" s="43">
        <f>D33</f>
        <v>153.39470634920633</v>
      </c>
      <c r="E34" s="43">
        <f>E33</f>
        <v>179.43120634920635</v>
      </c>
      <c r="F34" s="43">
        <f t="shared" ref="F34" si="1">F33</f>
        <v>175.10208730158732</v>
      </c>
      <c r="G34" s="38"/>
      <c r="H34" s="38"/>
    </row>
    <row r="35" spans="1:8" ht="15" thickBot="1">
      <c r="B35" s="44"/>
      <c r="C35" s="45">
        <f>C34*$F$1</f>
        <v>21125.462500000001</v>
      </c>
      <c r="D35" s="45">
        <f>D34*$F$1</f>
        <v>24159.666249999998</v>
      </c>
      <c r="E35" s="45">
        <f>E34*$F$1</f>
        <v>28260.415000000001</v>
      </c>
      <c r="F35" s="45">
        <f>F34*$F$1</f>
        <v>27578.578750000004</v>
      </c>
      <c r="G35" s="38"/>
      <c r="H35" s="38"/>
    </row>
    <row r="36" spans="1:8" ht="15" thickBot="1">
      <c r="B36" s="47" t="s">
        <v>9</v>
      </c>
      <c r="C36" s="48">
        <f>(C35-2570)/0.74</f>
        <v>25074.949324324327</v>
      </c>
      <c r="D36" s="48">
        <f>(D35-2570)/0.74</f>
        <v>29175.22466216216</v>
      </c>
      <c r="E36" s="48">
        <f>(E35-2570)/0.74</f>
        <v>34716.777027027027</v>
      </c>
      <c r="F36" s="48">
        <f t="shared" ref="F36" si="2">(F35-2570)/0.74</f>
        <v>33795.376689189194</v>
      </c>
      <c r="G36" s="38"/>
      <c r="H36" s="38"/>
    </row>
    <row r="37" spans="1:8">
      <c r="G37" s="38"/>
      <c r="H37" s="38"/>
    </row>
    <row r="38" spans="1:8">
      <c r="G38" s="38"/>
      <c r="H38" s="38"/>
    </row>
    <row r="39" spans="1:8">
      <c r="G39" s="38"/>
      <c r="H39" s="38"/>
    </row>
    <row r="40" spans="1:8">
      <c r="G40" s="38"/>
      <c r="H40" s="38"/>
    </row>
    <row r="41" spans="1:8">
      <c r="G41" s="38"/>
      <c r="H41" s="38"/>
    </row>
    <row r="42" spans="1:8">
      <c r="G42" s="38"/>
      <c r="H42" s="38"/>
    </row>
    <row r="43" spans="1:8">
      <c r="G43" s="38"/>
      <c r="H43" s="38"/>
    </row>
    <row r="44" spans="1:8">
      <c r="G44" s="38"/>
      <c r="H44" s="38"/>
    </row>
    <row r="45" spans="1:8">
      <c r="G45" s="38"/>
      <c r="H45" s="38"/>
    </row>
  </sheetData>
  <mergeCells count="8">
    <mergeCell ref="A23:A34"/>
    <mergeCell ref="B2:B3"/>
    <mergeCell ref="C2:E2"/>
    <mergeCell ref="F2:F3"/>
    <mergeCell ref="A4:A15"/>
    <mergeCell ref="B21:B22"/>
    <mergeCell ref="C21:E21"/>
    <mergeCell ref="F21:F22"/>
  </mergeCells>
  <pageMargins left="0.7" right="0.7" top="0.78740157499999996" bottom="0.78740157499999996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C416-E155-4B4D-871C-4B6AC0E18756}">
  <sheetPr codeName="List14">
    <tabColor rgb="FF92D050"/>
  </sheetPr>
  <dimension ref="A1:K43"/>
  <sheetViews>
    <sheetView workbookViewId="0">
      <selection activeCell="C2" sqref="C2"/>
    </sheetView>
  </sheetViews>
  <sheetFormatPr defaultRowHeight="14.4"/>
  <cols>
    <col min="1" max="1" width="42.77734375" bestFit="1" customWidth="1"/>
    <col min="2" max="2" width="14.21875" style="15" bestFit="1" customWidth="1"/>
    <col min="3" max="6" width="14.21875" style="15" customWidth="1"/>
    <col min="7" max="8" width="14.21875" bestFit="1" customWidth="1"/>
    <col min="9" max="9" width="28.21875" bestFit="1" customWidth="1"/>
    <col min="10" max="10" width="15.5546875" customWidth="1"/>
    <col min="11" max="12" width="14.77734375" bestFit="1" customWidth="1"/>
  </cols>
  <sheetData>
    <row r="1" spans="1:11">
      <c r="A1" s="32" t="s">
        <v>189</v>
      </c>
      <c r="B1" s="33" t="s">
        <v>0</v>
      </c>
      <c r="C1" s="34">
        <v>45467</v>
      </c>
      <c r="D1" s="22">
        <v>157.5</v>
      </c>
      <c r="E1" s="23" t="s">
        <v>131</v>
      </c>
      <c r="F1"/>
      <c r="J1" s="3"/>
    </row>
    <row r="3" spans="1:11" s="11" customFormat="1">
      <c r="A3" s="13" t="s">
        <v>73</v>
      </c>
      <c r="B3" s="10" t="s">
        <v>187</v>
      </c>
      <c r="E3" s="15"/>
      <c r="F3" s="15"/>
    </row>
    <row r="4" spans="1:11">
      <c r="A4" s="4" t="s">
        <v>1</v>
      </c>
      <c r="B4" s="17">
        <f>SUM($D$1)*165</f>
        <v>25987.5</v>
      </c>
      <c r="C4" s="273" t="s">
        <v>188</v>
      </c>
      <c r="D4" s="11"/>
      <c r="I4" s="11"/>
      <c r="J4" s="11"/>
      <c r="K4" s="11"/>
    </row>
    <row r="5" spans="1:11">
      <c r="A5" s="4" t="s">
        <v>192</v>
      </c>
      <c r="B5" s="17">
        <v>250</v>
      </c>
      <c r="C5" s="273"/>
      <c r="D5" s="11"/>
      <c r="I5" s="11"/>
      <c r="J5" s="11"/>
      <c r="K5" s="11"/>
    </row>
    <row r="6" spans="1:11">
      <c r="A6" s="4" t="s">
        <v>193</v>
      </c>
      <c r="B6" s="17">
        <v>0</v>
      </c>
      <c r="C6" s="273"/>
      <c r="D6" s="11"/>
      <c r="I6" s="11"/>
      <c r="J6" s="11"/>
      <c r="K6" s="11"/>
    </row>
    <row r="7" spans="1:11">
      <c r="A7" s="4" t="s">
        <v>190</v>
      </c>
      <c r="B7" s="17">
        <f>$D$1/3*5</f>
        <v>262.5</v>
      </c>
      <c r="C7" s="273"/>
      <c r="D7" s="11"/>
      <c r="I7" s="11"/>
      <c r="J7" s="11"/>
      <c r="K7" s="11"/>
    </row>
    <row r="8" spans="1:11">
      <c r="A8" s="4" t="s">
        <v>191</v>
      </c>
      <c r="B8" s="17">
        <f>$D$1/3*15</f>
        <v>787.5</v>
      </c>
      <c r="C8" s="273"/>
      <c r="D8" s="11"/>
      <c r="I8" s="11"/>
      <c r="J8" s="11"/>
      <c r="K8" s="11"/>
    </row>
    <row r="9" spans="1:11">
      <c r="A9" s="4" t="s">
        <v>194</v>
      </c>
      <c r="B9" s="17">
        <f>$D$1/7.5*110*0.55</f>
        <v>1270.5</v>
      </c>
      <c r="C9" s="273"/>
      <c r="D9" s="11"/>
      <c r="I9" s="11"/>
      <c r="J9" s="11"/>
      <c r="K9" s="11"/>
    </row>
    <row r="10" spans="1:11">
      <c r="A10" s="4" t="s">
        <v>2</v>
      </c>
      <c r="B10" s="17">
        <f>SUM(B4:B9)</f>
        <v>28558</v>
      </c>
      <c r="C10" s="273"/>
      <c r="D10" s="11"/>
      <c r="I10" s="11"/>
      <c r="J10" s="11"/>
      <c r="K10" s="11"/>
    </row>
    <row r="11" spans="1:11">
      <c r="A11" s="4" t="s">
        <v>3</v>
      </c>
      <c r="B11" s="17">
        <f>(B10*0.74)+(30840/12)</f>
        <v>23702.92</v>
      </c>
      <c r="C11" s="273"/>
      <c r="D11" s="11"/>
      <c r="I11" s="11"/>
      <c r="J11" s="11"/>
      <c r="K11" s="11"/>
    </row>
    <row r="12" spans="1:11">
      <c r="A12" s="4" t="s">
        <v>4</v>
      </c>
      <c r="B12" s="18">
        <f>SUM(B11:B11)/$D$1</f>
        <v>150.49473015873014</v>
      </c>
      <c r="C12" s="273"/>
      <c r="D12" s="11"/>
      <c r="I12" s="11"/>
      <c r="J12" s="11"/>
      <c r="K12" s="11"/>
    </row>
    <row r="13" spans="1:11">
      <c r="A13" s="4" t="s">
        <v>5</v>
      </c>
      <c r="B13" s="19">
        <f>B12</f>
        <v>150.49473015873014</v>
      </c>
      <c r="C13" s="273"/>
      <c r="D13" s="11"/>
      <c r="I13" s="11"/>
      <c r="J13" s="11"/>
      <c r="K13" s="11"/>
    </row>
    <row r="14" spans="1:11" ht="15" thickBot="1">
      <c r="A14" s="6"/>
      <c r="B14" s="20">
        <f>B13*$D$1</f>
        <v>23702.919999999995</v>
      </c>
      <c r="C14" s="273"/>
      <c r="D14" s="11"/>
      <c r="I14" s="11"/>
      <c r="J14" s="11"/>
      <c r="K14" s="11"/>
    </row>
    <row r="15" spans="1:11" ht="15" thickBot="1">
      <c r="A15" s="8" t="s">
        <v>6</v>
      </c>
      <c r="B15" s="21">
        <f>(B14-2570)/0.74</f>
        <v>28557.999999999993</v>
      </c>
      <c r="C15" s="11"/>
      <c r="D15" s="11"/>
      <c r="I15" s="11"/>
      <c r="J15" s="11"/>
      <c r="K15" s="11"/>
    </row>
    <row r="16" spans="1:11" ht="15" thickBot="1">
      <c r="A16" s="9"/>
      <c r="B16" s="16"/>
      <c r="C16" s="11"/>
      <c r="D16" s="11"/>
      <c r="I16" s="11"/>
      <c r="J16" s="11"/>
      <c r="K16" s="11"/>
    </row>
    <row r="17" spans="1:11" ht="15" thickBot="1">
      <c r="A17" s="25" t="s">
        <v>7</v>
      </c>
      <c r="B17" s="26">
        <f>AVERAGE(B13,B29)</f>
        <v>169.73473015873014</v>
      </c>
      <c r="C17" s="257" t="s">
        <v>20</v>
      </c>
      <c r="D17" s="258"/>
      <c r="J17" s="11"/>
      <c r="K17" s="11"/>
    </row>
    <row r="18" spans="1:11">
      <c r="C18" s="11"/>
      <c r="D18" s="11"/>
      <c r="I18" s="11"/>
      <c r="J18" s="11"/>
      <c r="K18" s="11"/>
    </row>
    <row r="19" spans="1:11">
      <c r="A19" s="13" t="s">
        <v>16</v>
      </c>
      <c r="B19" s="10" t="s">
        <v>187</v>
      </c>
      <c r="C19" s="11"/>
      <c r="D19" s="11"/>
      <c r="I19" s="11"/>
      <c r="J19" s="11"/>
      <c r="K19" s="11"/>
    </row>
    <row r="20" spans="1:11" ht="14.4" customHeight="1">
      <c r="A20" s="4" t="s">
        <v>1</v>
      </c>
      <c r="B20" s="17">
        <f>SUM($D$1)*165</f>
        <v>25987.5</v>
      </c>
      <c r="C20" s="273" t="s">
        <v>167</v>
      </c>
      <c r="D20" s="11"/>
      <c r="I20" s="11"/>
      <c r="J20" s="11"/>
      <c r="K20" s="11"/>
    </row>
    <row r="21" spans="1:11">
      <c r="A21" s="4" t="s">
        <v>192</v>
      </c>
      <c r="B21" s="17">
        <v>250</v>
      </c>
      <c r="C21" s="273"/>
      <c r="D21" s="11"/>
      <c r="I21" s="11"/>
      <c r="J21" s="11"/>
      <c r="K21" s="11"/>
    </row>
    <row r="22" spans="1:11">
      <c r="A22" s="4" t="s">
        <v>193</v>
      </c>
      <c r="B22" s="17">
        <f>SUM(B20)*0.3</f>
        <v>7796.25</v>
      </c>
      <c r="C22" s="273"/>
      <c r="D22" s="11"/>
      <c r="I22" s="11"/>
      <c r="J22" s="11"/>
      <c r="K22" s="11"/>
    </row>
    <row r="23" spans="1:11">
      <c r="A23" s="4" t="s">
        <v>190</v>
      </c>
      <c r="B23" s="17">
        <f>$D$1/3*5</f>
        <v>262.5</v>
      </c>
      <c r="C23" s="273"/>
      <c r="D23" s="11"/>
      <c r="I23" s="11"/>
      <c r="J23" s="11"/>
      <c r="K23" s="11"/>
    </row>
    <row r="24" spans="1:11">
      <c r="A24" s="4" t="s">
        <v>191</v>
      </c>
      <c r="B24" s="17">
        <f>$D$1/2*15</f>
        <v>1181.25</v>
      </c>
      <c r="C24" s="273"/>
      <c r="D24" s="11"/>
      <c r="I24" s="11"/>
      <c r="J24" s="11"/>
      <c r="K24" s="11"/>
    </row>
    <row r="25" spans="1:11">
      <c r="A25" s="4" t="s">
        <v>194</v>
      </c>
      <c r="B25" s="17">
        <f>$D$1/7.5*110*0.55</f>
        <v>1270.5</v>
      </c>
      <c r="C25" s="273"/>
      <c r="D25" s="11"/>
      <c r="I25" s="11"/>
      <c r="J25" s="11"/>
      <c r="K25" s="11"/>
    </row>
    <row r="26" spans="1:11">
      <c r="A26" s="4" t="s">
        <v>2</v>
      </c>
      <c r="B26" s="17">
        <f>SUM(B20:B25)</f>
        <v>36748</v>
      </c>
      <c r="C26" s="273"/>
      <c r="D26" s="11"/>
      <c r="I26" s="11"/>
      <c r="J26" s="11"/>
      <c r="K26" s="11"/>
    </row>
    <row r="27" spans="1:11">
      <c r="A27" s="4" t="s">
        <v>3</v>
      </c>
      <c r="B27" s="17">
        <f>(B26*0.74)+(30840/12)</f>
        <v>29763.52</v>
      </c>
      <c r="C27" s="273"/>
      <c r="D27" s="11"/>
      <c r="I27" s="11"/>
      <c r="J27" s="11"/>
      <c r="K27" s="11"/>
    </row>
    <row r="28" spans="1:11">
      <c r="A28" s="4" t="s">
        <v>4</v>
      </c>
      <c r="B28" s="18">
        <f>SUM(B27:B27)/$D$1</f>
        <v>188.97473015873015</v>
      </c>
      <c r="C28" s="273"/>
      <c r="D28" s="11"/>
      <c r="I28" s="11"/>
      <c r="J28" s="11"/>
      <c r="K28" s="11"/>
    </row>
    <row r="29" spans="1:11">
      <c r="A29" s="4" t="s">
        <v>5</v>
      </c>
      <c r="B29" s="19">
        <f>B28</f>
        <v>188.97473015873015</v>
      </c>
      <c r="C29" s="273"/>
      <c r="D29" s="11"/>
      <c r="I29" s="11"/>
      <c r="J29" s="11"/>
      <c r="K29" s="11"/>
    </row>
    <row r="30" spans="1:11" ht="15" thickBot="1">
      <c r="A30" s="6"/>
      <c r="B30" s="20">
        <f>B29*$D$1</f>
        <v>29763.52</v>
      </c>
      <c r="C30" s="273"/>
      <c r="D30" s="11"/>
      <c r="I30" s="11"/>
      <c r="J30" s="11"/>
      <c r="K30" s="11"/>
    </row>
    <row r="31" spans="1:11" ht="15" thickBot="1">
      <c r="A31" s="8" t="s">
        <v>9</v>
      </c>
      <c r="B31" s="21">
        <f>(B30-2570)/0.74</f>
        <v>36748</v>
      </c>
      <c r="C31" s="11"/>
      <c r="D31" s="11"/>
      <c r="I31" s="11"/>
      <c r="J31" s="11"/>
      <c r="K31" s="11"/>
    </row>
    <row r="32" spans="1:11">
      <c r="C32"/>
      <c r="D32"/>
      <c r="I32" s="11"/>
      <c r="J32" s="11"/>
      <c r="K32" s="11"/>
    </row>
    <row r="33" spans="3:11">
      <c r="C33"/>
      <c r="D33"/>
      <c r="I33" s="11"/>
      <c r="J33" s="11"/>
      <c r="K33" s="11"/>
    </row>
    <row r="34" spans="3:11">
      <c r="C34"/>
      <c r="D34"/>
      <c r="I34" s="11"/>
      <c r="J34" s="11"/>
      <c r="K34" s="11"/>
    </row>
    <row r="35" spans="3:11">
      <c r="C35"/>
      <c r="D35"/>
      <c r="I35" s="11"/>
      <c r="J35" s="11"/>
      <c r="K35" s="11"/>
    </row>
    <row r="36" spans="3:11">
      <c r="C36"/>
      <c r="D36"/>
      <c r="I36" s="11"/>
      <c r="J36" s="11"/>
      <c r="K36" s="11"/>
    </row>
    <row r="37" spans="3:11">
      <c r="C37"/>
      <c r="D37"/>
      <c r="I37" s="11"/>
      <c r="J37" s="11"/>
      <c r="K37" s="11"/>
    </row>
    <row r="38" spans="3:11">
      <c r="I38" s="11"/>
      <c r="J38" s="11"/>
      <c r="K38" s="11"/>
    </row>
    <row r="39" spans="3:11">
      <c r="I39" s="11"/>
      <c r="J39" s="11"/>
      <c r="K39" s="11"/>
    </row>
    <row r="40" spans="3:11">
      <c r="I40" s="11"/>
      <c r="J40" s="11"/>
      <c r="K40" s="11"/>
    </row>
    <row r="41" spans="3:11">
      <c r="I41" s="11"/>
      <c r="J41" s="11"/>
      <c r="K41" s="11"/>
    </row>
    <row r="42" spans="3:11">
      <c r="I42" s="11"/>
      <c r="J42" s="11"/>
      <c r="K42" s="11"/>
    </row>
    <row r="43" spans="3:11">
      <c r="I43" s="11"/>
      <c r="J43" s="11"/>
      <c r="K43" s="11"/>
    </row>
  </sheetData>
  <mergeCells count="3">
    <mergeCell ref="C4:C14"/>
    <mergeCell ref="C17:D17"/>
    <mergeCell ref="C20:C30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C285-B7ED-4765-A29A-C038BF88334E}">
  <sheetPr codeName="List15">
    <tabColor rgb="FFFFC000"/>
  </sheetPr>
  <dimension ref="A1:G37"/>
  <sheetViews>
    <sheetView workbookViewId="0"/>
  </sheetViews>
  <sheetFormatPr defaultRowHeight="14.4"/>
  <cols>
    <col min="1" max="1" width="35.5546875" bestFit="1" customWidth="1"/>
    <col min="2" max="2" width="14.21875" style="15" bestFit="1" customWidth="1"/>
    <col min="3" max="3" width="14.21875" bestFit="1" customWidth="1"/>
    <col min="4" max="4" width="28.88671875" bestFit="1" customWidth="1"/>
    <col min="5" max="5" width="28.21875" bestFit="1" customWidth="1"/>
    <col min="6" max="6" width="15.5546875" customWidth="1"/>
    <col min="7" max="8" width="14.77734375" bestFit="1" customWidth="1"/>
  </cols>
  <sheetData>
    <row r="1" spans="1:7">
      <c r="A1" s="1" t="s">
        <v>58</v>
      </c>
      <c r="B1" s="14" t="s">
        <v>0</v>
      </c>
      <c r="C1" s="2">
        <v>45352</v>
      </c>
      <c r="D1" s="22">
        <v>157.5</v>
      </c>
      <c r="E1" s="23" t="s">
        <v>131</v>
      </c>
      <c r="F1" s="3"/>
    </row>
    <row r="3" spans="1:7" s="11" customFormat="1" ht="81.75" customHeight="1">
      <c r="A3" s="13" t="s">
        <v>73</v>
      </c>
      <c r="B3" s="10" t="s">
        <v>61</v>
      </c>
      <c r="C3" s="10" t="s">
        <v>29</v>
      </c>
    </row>
    <row r="4" spans="1:7">
      <c r="A4" s="4" t="s">
        <v>1</v>
      </c>
      <c r="B4" s="17">
        <f>D1*135.25</f>
        <v>21301.875</v>
      </c>
      <c r="C4" s="17">
        <f>D1*180</f>
        <v>28350</v>
      </c>
      <c r="D4" s="11"/>
      <c r="E4" s="11"/>
      <c r="F4" s="11"/>
      <c r="G4" s="11"/>
    </row>
    <row r="5" spans="1:7">
      <c r="A5" s="4" t="s">
        <v>59</v>
      </c>
      <c r="B5" s="17">
        <v>0</v>
      </c>
      <c r="C5" s="17">
        <v>0</v>
      </c>
      <c r="D5" s="11"/>
      <c r="E5" s="11"/>
      <c r="F5" s="11"/>
      <c r="G5" s="11"/>
    </row>
    <row r="6" spans="1:7">
      <c r="A6" s="4" t="s">
        <v>60</v>
      </c>
      <c r="B6" s="17">
        <f>(B4+B5)*0.1/156.25*37.5</f>
        <v>511.245</v>
      </c>
      <c r="C6" s="17">
        <f>(C4+C5)*0.1/156.25*37.5</f>
        <v>680.4</v>
      </c>
      <c r="D6" s="11"/>
      <c r="E6" s="11"/>
      <c r="F6" s="11"/>
      <c r="G6" s="11"/>
    </row>
    <row r="7" spans="1:7">
      <c r="A7" s="4" t="s">
        <v>2</v>
      </c>
      <c r="B7" s="17">
        <f>SUM(B4:B6)</f>
        <v>21813.119999999999</v>
      </c>
      <c r="C7" s="17">
        <f>SUM(C4:C6)</f>
        <v>29030.400000000001</v>
      </c>
      <c r="D7" s="11"/>
      <c r="E7" s="11"/>
      <c r="F7" s="11"/>
      <c r="G7" s="11"/>
    </row>
    <row r="8" spans="1:7">
      <c r="A8" s="4" t="s">
        <v>3</v>
      </c>
      <c r="B8" s="17">
        <f>(B7*0.74)+(30840/12)</f>
        <v>18711.7088</v>
      </c>
      <c r="C8" s="17">
        <f>(C7*0.74)+(30840/12)</f>
        <v>24052.495999999999</v>
      </c>
      <c r="D8" s="11"/>
      <c r="E8" s="11"/>
      <c r="F8" s="11"/>
      <c r="G8" s="11"/>
    </row>
    <row r="9" spans="1:7">
      <c r="A9" s="4" t="s">
        <v>4</v>
      </c>
      <c r="B9" s="18">
        <f>SUM(B8:B8)/D1</f>
        <v>118.80450031746032</v>
      </c>
      <c r="C9" s="18">
        <f>SUM(C8:C8)/D1</f>
        <v>152.71426031746032</v>
      </c>
      <c r="D9" s="11"/>
      <c r="E9" s="11"/>
      <c r="F9" s="11"/>
      <c r="G9" s="11"/>
    </row>
    <row r="10" spans="1:7">
      <c r="A10" s="4" t="s">
        <v>5</v>
      </c>
      <c r="B10" s="19">
        <f>B9</f>
        <v>118.80450031746032</v>
      </c>
      <c r="C10" s="19">
        <f t="shared" ref="C10" si="0">C9</f>
        <v>152.71426031746032</v>
      </c>
      <c r="D10" s="11"/>
      <c r="E10" s="11"/>
      <c r="F10" s="11"/>
      <c r="G10" s="11"/>
    </row>
    <row r="11" spans="1:7" ht="15" thickBot="1">
      <c r="A11" s="6"/>
      <c r="B11" s="20">
        <f>B10*$D$1</f>
        <v>18711.7088</v>
      </c>
      <c r="C11" s="7">
        <f t="shared" ref="C11" si="1">C10*$D$1</f>
        <v>24052.495999999999</v>
      </c>
      <c r="D11" s="11"/>
      <c r="E11" s="11"/>
      <c r="F11" s="11"/>
      <c r="G11" s="11"/>
    </row>
    <row r="12" spans="1:7" ht="15" thickBot="1">
      <c r="A12" s="8" t="s">
        <v>6</v>
      </c>
      <c r="B12" s="21">
        <f>(B11-2570)/0.74</f>
        <v>21813.119999999999</v>
      </c>
      <c r="C12" s="21">
        <f>(C11-2570)/0.74</f>
        <v>29030.399999999998</v>
      </c>
      <c r="D12" s="11"/>
      <c r="E12" s="11"/>
      <c r="F12" s="11"/>
      <c r="G12" s="11"/>
    </row>
    <row r="13" spans="1:7" ht="15" thickBot="1">
      <c r="A13" s="9"/>
      <c r="B13" s="16"/>
      <c r="C13" s="24"/>
      <c r="D13" s="11"/>
      <c r="E13" s="11"/>
      <c r="F13" s="11"/>
      <c r="G13" s="11"/>
    </row>
    <row r="14" spans="1:7" ht="15" thickBot="1">
      <c r="A14" s="25" t="s">
        <v>7</v>
      </c>
      <c r="B14" s="26">
        <f>AVERAGE(B10,B23)</f>
        <v>121.36667631746032</v>
      </c>
      <c r="C14" s="27">
        <f>AVERAGE(C10,C23)</f>
        <v>156.12418031746029</v>
      </c>
      <c r="D14" s="28" t="s">
        <v>62</v>
      </c>
      <c r="E14" s="31" t="s">
        <v>130</v>
      </c>
      <c r="F14" s="11"/>
      <c r="G14" s="11"/>
    </row>
    <row r="15" spans="1:7">
      <c r="D15" s="11"/>
      <c r="E15" s="11"/>
      <c r="F15" s="11"/>
      <c r="G15" s="11"/>
    </row>
    <row r="16" spans="1:7" ht="41.4">
      <c r="A16" s="13" t="s">
        <v>16</v>
      </c>
      <c r="B16" s="10" t="s">
        <v>11</v>
      </c>
      <c r="C16" s="10" t="s">
        <v>12</v>
      </c>
      <c r="D16" s="11"/>
      <c r="E16" s="11"/>
      <c r="F16" s="11"/>
      <c r="G16" s="11"/>
    </row>
    <row r="17" spans="1:7">
      <c r="A17" s="4" t="s">
        <v>1</v>
      </c>
      <c r="B17" s="17">
        <f>D1*135.25</f>
        <v>21301.875</v>
      </c>
      <c r="C17" s="17">
        <f>D1*180</f>
        <v>28350</v>
      </c>
      <c r="D17" s="11"/>
      <c r="E17" s="11"/>
      <c r="F17" s="11"/>
      <c r="G17" s="11"/>
    </row>
    <row r="18" spans="1:7">
      <c r="A18" s="4" t="s">
        <v>59</v>
      </c>
      <c r="B18" s="17">
        <f>0.05*B17</f>
        <v>1065.09375</v>
      </c>
      <c r="C18" s="17">
        <f>0.05*C17</f>
        <v>1417.5</v>
      </c>
      <c r="D18" s="11"/>
      <c r="E18" s="11"/>
      <c r="F18" s="11"/>
      <c r="G18" s="11"/>
    </row>
    <row r="19" spans="1:7">
      <c r="A19" s="4" t="s">
        <v>60</v>
      </c>
      <c r="B19" s="17">
        <f>(B17+B18)*0.1/156.25*37.5</f>
        <v>536.80725000000007</v>
      </c>
      <c r="C19" s="17">
        <f>(C17+C18)*0.1/156.25*37.5</f>
        <v>714.42000000000007</v>
      </c>
      <c r="D19" s="11"/>
      <c r="E19" s="11"/>
      <c r="F19" s="11"/>
      <c r="G19" s="11"/>
    </row>
    <row r="20" spans="1:7">
      <c r="A20" s="4" t="s">
        <v>2</v>
      </c>
      <c r="B20" s="17">
        <f>SUM(B17:B19)</f>
        <v>22903.776000000002</v>
      </c>
      <c r="C20" s="17">
        <f>SUM(C17:C19)</f>
        <v>30481.919999999998</v>
      </c>
      <c r="D20" s="11"/>
      <c r="E20" s="11"/>
      <c r="F20" s="11"/>
      <c r="G20" s="11"/>
    </row>
    <row r="21" spans="1:7">
      <c r="A21" s="4" t="s">
        <v>3</v>
      </c>
      <c r="B21" s="17">
        <f>(B20*0.74)+(30840/12)</f>
        <v>19518.794239999999</v>
      </c>
      <c r="C21" s="17">
        <f>(C20*0.74)+(30840/12)</f>
        <v>25126.620799999997</v>
      </c>
      <c r="D21" s="11"/>
      <c r="E21" s="11"/>
      <c r="F21" s="11"/>
      <c r="G21" s="11"/>
    </row>
    <row r="22" spans="1:7">
      <c r="A22" s="4" t="s">
        <v>4</v>
      </c>
      <c r="B22" s="18">
        <f>SUM(B21:B21)/D1</f>
        <v>123.92885231746031</v>
      </c>
      <c r="C22" s="18">
        <f>SUM(C21:C21)/D1</f>
        <v>159.53410031746029</v>
      </c>
      <c r="D22" s="11"/>
      <c r="E22" s="11"/>
      <c r="F22" s="11"/>
      <c r="G22" s="11"/>
    </row>
    <row r="23" spans="1:7">
      <c r="A23" s="4" t="s">
        <v>5</v>
      </c>
      <c r="B23" s="19">
        <f>B22</f>
        <v>123.92885231746031</v>
      </c>
      <c r="C23" s="19">
        <f t="shared" ref="C23" si="2">C22</f>
        <v>159.53410031746029</v>
      </c>
      <c r="D23" s="11"/>
      <c r="E23" s="11"/>
      <c r="F23" s="11"/>
      <c r="G23" s="11"/>
    </row>
    <row r="24" spans="1:7" ht="15" thickBot="1">
      <c r="A24" s="6"/>
      <c r="B24" s="20">
        <f>B23*$D$1</f>
        <v>19518.794239999999</v>
      </c>
      <c r="C24" s="20">
        <f t="shared" ref="C24" si="3">C23*$D$1</f>
        <v>25126.620799999993</v>
      </c>
      <c r="D24" s="11"/>
      <c r="E24" s="11"/>
      <c r="F24" s="11"/>
      <c r="G24" s="11"/>
    </row>
    <row r="25" spans="1:7" ht="15" thickBot="1">
      <c r="A25" s="8" t="s">
        <v>9</v>
      </c>
      <c r="B25" s="21">
        <f>(B24-2570)/0.74</f>
        <v>22903.775999999998</v>
      </c>
      <c r="C25" s="21">
        <f>(C24-2570)/0.74</f>
        <v>30481.919999999991</v>
      </c>
      <c r="D25" s="11"/>
      <c r="E25" s="11"/>
      <c r="F25" s="11"/>
      <c r="G25" s="11"/>
    </row>
    <row r="26" spans="1:7">
      <c r="D26" s="11"/>
      <c r="E26" s="11"/>
      <c r="F26" s="11"/>
      <c r="G26" s="11"/>
    </row>
    <row r="27" spans="1:7">
      <c r="D27" s="11"/>
      <c r="E27" s="11"/>
      <c r="F27" s="11"/>
      <c r="G27" s="11"/>
    </row>
    <row r="28" spans="1:7">
      <c r="D28" s="11"/>
      <c r="E28" s="11"/>
      <c r="F28" s="11"/>
      <c r="G28" s="11"/>
    </row>
    <row r="29" spans="1:7">
      <c r="D29" s="11"/>
      <c r="E29" s="11"/>
      <c r="F29" s="11"/>
      <c r="G29" s="11"/>
    </row>
    <row r="30" spans="1:7">
      <c r="D30" s="11"/>
      <c r="E30" s="11"/>
      <c r="F30" s="11"/>
      <c r="G30" s="11"/>
    </row>
    <row r="31" spans="1:7">
      <c r="D31" s="11"/>
      <c r="E31" s="11"/>
      <c r="F31" s="11"/>
      <c r="G31" s="11"/>
    </row>
    <row r="32" spans="1:7">
      <c r="D32" s="11"/>
      <c r="E32" s="11"/>
      <c r="F32" s="11"/>
      <c r="G32" s="11"/>
    </row>
    <row r="33" spans="4:7">
      <c r="D33" s="11"/>
      <c r="E33" s="11"/>
      <c r="F33" s="11"/>
      <c r="G33" s="11"/>
    </row>
    <row r="34" spans="4:7">
      <c r="D34" s="11"/>
      <c r="E34" s="11"/>
      <c r="F34" s="11"/>
      <c r="G34" s="11"/>
    </row>
    <row r="35" spans="4:7">
      <c r="D35" s="11"/>
      <c r="E35" s="11"/>
      <c r="F35" s="11"/>
      <c r="G35" s="11"/>
    </row>
    <row r="36" spans="4:7">
      <c r="E36" s="11"/>
      <c r="F36" s="11"/>
      <c r="G36" s="11"/>
    </row>
    <row r="37" spans="4:7">
      <c r="E37" s="11"/>
      <c r="F37" s="11"/>
      <c r="G37" s="11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856F-80C4-4F02-B3EB-5875CC452A75}">
  <sheetPr codeName="List16">
    <tabColor rgb="FF92D050"/>
  </sheetPr>
  <dimension ref="A1:P33"/>
  <sheetViews>
    <sheetView zoomScale="86" zoomScaleNormal="160" workbookViewId="0">
      <selection activeCell="P3" sqref="B3:P3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0.109375" bestFit="1" customWidth="1"/>
    <col min="5" max="5" width="10.21875" bestFit="1" customWidth="1"/>
    <col min="8" max="8" width="13.109375" customWidth="1"/>
    <col min="9" max="9" width="8.88671875" bestFit="1" customWidth="1"/>
    <col min="10" max="10" width="11.44140625" bestFit="1" customWidth="1"/>
    <col min="11" max="11" width="11.21875" bestFit="1" customWidth="1"/>
    <col min="12" max="12" width="9" bestFit="1" customWidth="1"/>
    <col min="13" max="13" width="8.88671875" bestFit="1" customWidth="1"/>
    <col min="14" max="14" width="9.109375" bestFit="1" customWidth="1"/>
    <col min="15" max="16" width="9.88671875" customWidth="1"/>
  </cols>
  <sheetData>
    <row r="1" spans="1:16">
      <c r="A1" s="1" t="s">
        <v>63</v>
      </c>
      <c r="B1" s="14" t="s">
        <v>0</v>
      </c>
      <c r="C1" s="2">
        <v>45931</v>
      </c>
      <c r="D1" s="22">
        <v>165</v>
      </c>
      <c r="E1" s="23" t="s">
        <v>131</v>
      </c>
      <c r="F1" s="3"/>
    </row>
    <row r="2" spans="1:16">
      <c r="B2"/>
    </row>
    <row r="3" spans="1:16" s="11" customFormat="1" ht="43.95" customHeight="1">
      <c r="A3" s="97" t="s">
        <v>212</v>
      </c>
      <c r="B3" s="10" t="s">
        <v>64</v>
      </c>
      <c r="C3" s="10" t="s">
        <v>65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136</v>
      </c>
      <c r="I3" s="10" t="s">
        <v>135</v>
      </c>
      <c r="J3" s="10" t="s">
        <v>137</v>
      </c>
      <c r="K3" s="10" t="s">
        <v>138</v>
      </c>
      <c r="L3" s="10" t="s">
        <v>134</v>
      </c>
      <c r="M3" s="10" t="s">
        <v>210</v>
      </c>
      <c r="N3" s="10" t="s">
        <v>211</v>
      </c>
      <c r="O3" s="10" t="s">
        <v>384</v>
      </c>
      <c r="P3" s="10" t="s">
        <v>385</v>
      </c>
    </row>
    <row r="4" spans="1:16">
      <c r="A4" s="4" t="s">
        <v>1</v>
      </c>
      <c r="B4" s="17">
        <v>25268</v>
      </c>
      <c r="C4" s="17">
        <v>25580</v>
      </c>
      <c r="D4" s="5">
        <v>26430</v>
      </c>
      <c r="E4" s="17">
        <v>25268</v>
      </c>
      <c r="F4" s="17">
        <v>25580</v>
      </c>
      <c r="G4" s="5">
        <v>26430</v>
      </c>
      <c r="H4" s="5">
        <v>27447</v>
      </c>
      <c r="I4" s="5">
        <v>28518</v>
      </c>
      <c r="J4" s="5">
        <v>29187</v>
      </c>
      <c r="K4" s="5">
        <v>29819</v>
      </c>
      <c r="L4" s="5">
        <v>29819</v>
      </c>
      <c r="M4" s="5">
        <v>32487</v>
      </c>
      <c r="N4" s="5">
        <v>32304</v>
      </c>
      <c r="O4" s="5">
        <v>31780</v>
      </c>
      <c r="P4" s="5">
        <v>32487</v>
      </c>
    </row>
    <row r="5" spans="1:16">
      <c r="A5" s="4" t="s">
        <v>70</v>
      </c>
      <c r="B5" s="17">
        <v>920</v>
      </c>
      <c r="C5" s="17">
        <v>920</v>
      </c>
      <c r="D5" s="17">
        <v>1840</v>
      </c>
      <c r="E5" s="17">
        <v>920</v>
      </c>
      <c r="F5" s="17">
        <v>920</v>
      </c>
      <c r="G5" s="17">
        <v>1840</v>
      </c>
      <c r="H5" s="17">
        <v>1840</v>
      </c>
      <c r="I5" s="17">
        <v>1840</v>
      </c>
      <c r="J5" s="17">
        <v>2400</v>
      </c>
      <c r="K5" s="17">
        <v>2400</v>
      </c>
      <c r="L5" s="17">
        <v>2400</v>
      </c>
      <c r="M5" s="17">
        <v>2400</v>
      </c>
      <c r="N5" s="17">
        <v>2400</v>
      </c>
      <c r="O5" s="17">
        <v>2400</v>
      </c>
      <c r="P5" s="17">
        <v>2400</v>
      </c>
    </row>
    <row r="6" spans="1:16">
      <c r="A6" s="4" t="s">
        <v>71</v>
      </c>
      <c r="B6" s="17">
        <v>1840</v>
      </c>
      <c r="C6" s="17">
        <v>1840</v>
      </c>
      <c r="D6" s="17">
        <v>1840</v>
      </c>
      <c r="E6" s="17">
        <v>1840</v>
      </c>
      <c r="F6" s="17">
        <v>1840</v>
      </c>
      <c r="G6" s="17">
        <v>1840</v>
      </c>
      <c r="H6" s="17">
        <v>1840</v>
      </c>
      <c r="I6" s="17">
        <v>1840</v>
      </c>
      <c r="J6" s="17">
        <v>2400</v>
      </c>
      <c r="K6" s="17">
        <v>2400</v>
      </c>
      <c r="L6" s="17">
        <v>2400</v>
      </c>
      <c r="M6" s="17">
        <v>2400</v>
      </c>
      <c r="N6" s="17">
        <v>2400</v>
      </c>
      <c r="O6" s="17">
        <v>2400</v>
      </c>
      <c r="P6" s="17">
        <v>2400</v>
      </c>
    </row>
    <row r="7" spans="1:16">
      <c r="A7" s="12" t="s">
        <v>214</v>
      </c>
      <c r="B7" s="17">
        <f t="shared" ref="B7:N7" si="0">$D$1/3*(((B4+B5+B6)/$D$1)*0.1)</f>
        <v>934.26666666666677</v>
      </c>
      <c r="C7" s="17">
        <f t="shared" si="0"/>
        <v>944.66666666666663</v>
      </c>
      <c r="D7" s="17">
        <f t="shared" si="0"/>
        <v>1003.6666666666667</v>
      </c>
      <c r="E7" s="17">
        <f t="shared" si="0"/>
        <v>934.26666666666677</v>
      </c>
      <c r="F7" s="17">
        <f t="shared" si="0"/>
        <v>944.66666666666663</v>
      </c>
      <c r="G7" s="17">
        <f t="shared" si="0"/>
        <v>1003.6666666666667</v>
      </c>
      <c r="H7" s="17">
        <f t="shared" si="0"/>
        <v>1037.5666666666668</v>
      </c>
      <c r="I7" s="17">
        <f t="shared" si="0"/>
        <v>1073.2666666666667</v>
      </c>
      <c r="J7" s="17">
        <f t="shared" si="0"/>
        <v>1132.8999999999999</v>
      </c>
      <c r="K7" s="17">
        <f t="shared" si="0"/>
        <v>1153.9666666666669</v>
      </c>
      <c r="L7" s="17">
        <f t="shared" si="0"/>
        <v>1153.9666666666669</v>
      </c>
      <c r="M7" s="17">
        <f t="shared" si="0"/>
        <v>1242.8999999999999</v>
      </c>
      <c r="N7" s="17">
        <f t="shared" si="0"/>
        <v>1236.8</v>
      </c>
      <c r="O7" s="17">
        <f t="shared" ref="O7:P7" si="1">$D$1/3*(((O4+O5+O6)/$D$1)*0.1)</f>
        <v>1219.3333333333335</v>
      </c>
      <c r="P7" s="17">
        <f t="shared" si="1"/>
        <v>1242.8999999999999</v>
      </c>
    </row>
    <row r="8" spans="1:16">
      <c r="A8" s="12" t="s">
        <v>74</v>
      </c>
      <c r="B8" s="17">
        <v>0</v>
      </c>
      <c r="C8" s="17">
        <v>0</v>
      </c>
      <c r="D8" s="17">
        <v>1000</v>
      </c>
      <c r="E8" s="17">
        <v>0</v>
      </c>
      <c r="F8" s="17">
        <v>0</v>
      </c>
      <c r="G8" s="17">
        <v>1000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</row>
    <row r="9" spans="1:16">
      <c r="A9" s="12" t="s">
        <v>14</v>
      </c>
      <c r="B9" s="17">
        <v>500</v>
      </c>
      <c r="C9" s="17">
        <v>500</v>
      </c>
      <c r="D9" s="17">
        <v>500</v>
      </c>
      <c r="E9" s="17">
        <v>500</v>
      </c>
      <c r="F9" s="17">
        <v>500</v>
      </c>
      <c r="G9" s="17">
        <v>500</v>
      </c>
      <c r="H9" s="17">
        <v>500</v>
      </c>
      <c r="I9" s="17">
        <v>500</v>
      </c>
      <c r="J9" s="17">
        <v>500</v>
      </c>
      <c r="K9" s="17">
        <v>500</v>
      </c>
      <c r="L9" s="17">
        <v>500</v>
      </c>
      <c r="M9" s="17">
        <v>500</v>
      </c>
      <c r="N9" s="17">
        <v>500</v>
      </c>
      <c r="O9" s="17">
        <v>500</v>
      </c>
      <c r="P9" s="17">
        <v>500</v>
      </c>
    </row>
    <row r="10" spans="1:16">
      <c r="A10" s="12" t="s">
        <v>72</v>
      </c>
      <c r="B10" s="17">
        <f>6*($D$1/3)</f>
        <v>330</v>
      </c>
      <c r="C10" s="17">
        <f>6*($D$1/3)</f>
        <v>330</v>
      </c>
      <c r="D10" s="17">
        <f t="shared" ref="D10:P10" si="2">6*($D$1/3)</f>
        <v>330</v>
      </c>
      <c r="E10" s="17">
        <f t="shared" si="2"/>
        <v>330</v>
      </c>
      <c r="F10" s="17">
        <f t="shared" si="2"/>
        <v>330</v>
      </c>
      <c r="G10" s="17">
        <f t="shared" si="2"/>
        <v>330</v>
      </c>
      <c r="H10" s="17">
        <f t="shared" si="2"/>
        <v>330</v>
      </c>
      <c r="I10" s="17">
        <f t="shared" si="2"/>
        <v>330</v>
      </c>
      <c r="J10" s="17">
        <f t="shared" si="2"/>
        <v>330</v>
      </c>
      <c r="K10" s="17">
        <f t="shared" si="2"/>
        <v>330</v>
      </c>
      <c r="L10" s="17">
        <f t="shared" si="2"/>
        <v>330</v>
      </c>
      <c r="M10" s="17">
        <f t="shared" si="2"/>
        <v>330</v>
      </c>
      <c r="N10" s="17">
        <f t="shared" si="2"/>
        <v>330</v>
      </c>
      <c r="O10" s="17">
        <f t="shared" si="2"/>
        <v>330</v>
      </c>
      <c r="P10" s="17">
        <f t="shared" si="2"/>
        <v>330</v>
      </c>
    </row>
    <row r="11" spans="1:16">
      <c r="A11" s="4" t="s">
        <v>2</v>
      </c>
      <c r="B11" s="17">
        <f t="shared" ref="B11:J11" si="3">SUM(B4:B10)</f>
        <v>29792.266666666666</v>
      </c>
      <c r="C11" s="17">
        <f t="shared" si="3"/>
        <v>30114.666666666668</v>
      </c>
      <c r="D11" s="17">
        <f t="shared" si="3"/>
        <v>32943.666666666672</v>
      </c>
      <c r="E11" s="17">
        <f t="shared" si="3"/>
        <v>29792.266666666666</v>
      </c>
      <c r="F11" s="17">
        <f t="shared" si="3"/>
        <v>30114.666666666668</v>
      </c>
      <c r="G11" s="17">
        <f t="shared" si="3"/>
        <v>32943.666666666672</v>
      </c>
      <c r="H11" s="17">
        <f t="shared" si="3"/>
        <v>32994.566666666666</v>
      </c>
      <c r="I11" s="17">
        <f>SUM(I4:I10)</f>
        <v>34101.26666666667</v>
      </c>
      <c r="J11" s="17">
        <f t="shared" si="3"/>
        <v>35949.9</v>
      </c>
      <c r="K11" s="17">
        <f t="shared" ref="K11" si="4">SUM(K4:K10)</f>
        <v>36602.966666666667</v>
      </c>
      <c r="L11" s="17">
        <f t="shared" ref="L11:M11" si="5">SUM(L4:L10)</f>
        <v>36602.966666666667</v>
      </c>
      <c r="M11" s="17">
        <f t="shared" si="5"/>
        <v>39359.9</v>
      </c>
      <c r="N11" s="17">
        <f t="shared" ref="N11:O11" si="6">SUM(N4:N10)</f>
        <v>39170.800000000003</v>
      </c>
      <c r="O11" s="17">
        <f t="shared" si="6"/>
        <v>38629.333333333336</v>
      </c>
      <c r="P11" s="17">
        <f t="shared" ref="P11" si="7">SUM(P4:P10)</f>
        <v>39359.9</v>
      </c>
    </row>
    <row r="12" spans="1:16">
      <c r="A12" s="4" t="s">
        <v>3</v>
      </c>
      <c r="B12" s="17">
        <f>(B11*0.74)+(30840/12)</f>
        <v>24616.277333333332</v>
      </c>
      <c r="C12" s="17">
        <f>(C11*0.74)+(30840/12)</f>
        <v>24854.853333333333</v>
      </c>
      <c r="D12" s="17">
        <f>(D11*0.74)+(30840/12)</f>
        <v>26948.313333333335</v>
      </c>
      <c r="E12" s="17">
        <f>(E11*0.74)+(30840/12)</f>
        <v>24616.277333333332</v>
      </c>
      <c r="F12" s="17">
        <f>(F11*0.74)+(30840/12)</f>
        <v>24854.853333333333</v>
      </c>
      <c r="G12" s="17">
        <f t="shared" ref="G12:J12" si="8">(G11*0.74)+(30840/12)</f>
        <v>26948.313333333335</v>
      </c>
      <c r="H12" s="17">
        <f t="shared" si="8"/>
        <v>26985.979333333333</v>
      </c>
      <c r="I12" s="17">
        <f>(I11*0.74)+(30840/12)</f>
        <v>27804.937333333335</v>
      </c>
      <c r="J12" s="17">
        <f t="shared" si="8"/>
        <v>29172.925999999999</v>
      </c>
      <c r="K12" s="17">
        <f t="shared" ref="K12" si="9">(K11*0.74)+(30840/12)</f>
        <v>29656.195333333333</v>
      </c>
      <c r="L12" s="17">
        <f t="shared" ref="L12:M12" si="10">(L11*0.74)+(30840/12)</f>
        <v>29656.195333333333</v>
      </c>
      <c r="M12" s="17">
        <f t="shared" si="10"/>
        <v>31696.326000000001</v>
      </c>
      <c r="N12" s="17">
        <f t="shared" ref="N12:O12" si="11">(N11*0.74)+(30840/12)</f>
        <v>31556.392000000003</v>
      </c>
      <c r="O12" s="17">
        <f t="shared" si="11"/>
        <v>31155.706666666669</v>
      </c>
      <c r="P12" s="17">
        <f t="shared" ref="P12" si="12">(P11*0.74)+(30840/12)</f>
        <v>31696.326000000001</v>
      </c>
    </row>
    <row r="13" spans="1:16">
      <c r="A13" s="4" t="s">
        <v>4</v>
      </c>
      <c r="B13" s="18">
        <f>SUM(B12:B12)/D1</f>
        <v>149.18955959595959</v>
      </c>
      <c r="C13" s="18">
        <f>SUM(C12:C12)/D1</f>
        <v>150.63547474747475</v>
      </c>
      <c r="D13" s="18">
        <f>SUM(D12:D12)/D1</f>
        <v>163.32311111111113</v>
      </c>
      <c r="E13" s="18">
        <f>SUM(E12:E12)/D1</f>
        <v>149.18955959595959</v>
      </c>
      <c r="F13" s="18">
        <f>SUM(F12:F12)/D1</f>
        <v>150.63547474747475</v>
      </c>
      <c r="G13" s="18">
        <f>SUM(G12:G12)/D1</f>
        <v>163.32311111111113</v>
      </c>
      <c r="H13" s="18">
        <f>SUM(H12:H12)/D1</f>
        <v>163.5513898989899</v>
      </c>
      <c r="I13" s="18">
        <f>SUM(I12:I12)/D1</f>
        <v>168.51477171717173</v>
      </c>
      <c r="J13" s="18">
        <f>SUM(J12:J12)/D1</f>
        <v>176.80561212121211</v>
      </c>
      <c r="K13" s="18">
        <f>SUM(K12:K12)/D1</f>
        <v>179.73451717171716</v>
      </c>
      <c r="L13" s="18">
        <f>SUM(L12:L12)/D1</f>
        <v>179.73451717171716</v>
      </c>
      <c r="M13" s="18">
        <f>SUM(M12:M12)/D1</f>
        <v>192.09894545454546</v>
      </c>
      <c r="N13" s="18">
        <f>SUM(N12:N12)/D1</f>
        <v>191.25086060606063</v>
      </c>
      <c r="O13" s="18">
        <f>SUM(O12:O12)/D1</f>
        <v>188.82246464646465</v>
      </c>
      <c r="P13" s="18">
        <f>SUM(P12:P12)/D1</f>
        <v>192.09894545454546</v>
      </c>
    </row>
    <row r="14" spans="1:16">
      <c r="A14" s="4" t="s">
        <v>5</v>
      </c>
      <c r="B14" s="19">
        <f>B13</f>
        <v>149.18955959595959</v>
      </c>
      <c r="C14" s="19">
        <f t="shared" ref="C14:J14" si="13">C13</f>
        <v>150.63547474747475</v>
      </c>
      <c r="D14" s="19">
        <f t="shared" si="13"/>
        <v>163.32311111111113</v>
      </c>
      <c r="E14" s="19">
        <f t="shared" si="13"/>
        <v>149.18955959595959</v>
      </c>
      <c r="F14" s="19">
        <f t="shared" si="13"/>
        <v>150.63547474747475</v>
      </c>
      <c r="G14" s="19">
        <f t="shared" si="13"/>
        <v>163.32311111111113</v>
      </c>
      <c r="H14" s="19">
        <f t="shared" si="13"/>
        <v>163.5513898989899</v>
      </c>
      <c r="I14" s="19">
        <f>I13</f>
        <v>168.51477171717173</v>
      </c>
      <c r="J14" s="19">
        <f t="shared" si="13"/>
        <v>176.80561212121211</v>
      </c>
      <c r="K14" s="19">
        <f t="shared" ref="K14" si="14">K13</f>
        <v>179.73451717171716</v>
      </c>
      <c r="L14" s="19">
        <f t="shared" ref="L14:M14" si="15">L13</f>
        <v>179.73451717171716</v>
      </c>
      <c r="M14" s="19">
        <f t="shared" si="15"/>
        <v>192.09894545454546</v>
      </c>
      <c r="N14" s="19">
        <f t="shared" ref="N14:O14" si="16">N13</f>
        <v>191.25086060606063</v>
      </c>
      <c r="O14" s="19">
        <f t="shared" si="16"/>
        <v>188.82246464646465</v>
      </c>
      <c r="P14" s="19">
        <f t="shared" ref="P14" si="17">P13</f>
        <v>192.09894545454546</v>
      </c>
    </row>
    <row r="15" spans="1:16" ht="15" thickBot="1">
      <c r="A15" s="6"/>
      <c r="B15" s="20">
        <f>B14*$D$1</f>
        <v>24616.277333333332</v>
      </c>
      <c r="C15" s="7">
        <f t="shared" ref="C15:J15" si="18">C14*$D$1</f>
        <v>24854.853333333333</v>
      </c>
      <c r="D15" s="7">
        <f t="shared" si="18"/>
        <v>26948.313333333335</v>
      </c>
      <c r="E15" s="7">
        <f t="shared" si="18"/>
        <v>24616.277333333332</v>
      </c>
      <c r="F15" s="7">
        <f t="shared" si="18"/>
        <v>24854.853333333333</v>
      </c>
      <c r="G15" s="7">
        <f t="shared" si="18"/>
        <v>26948.313333333335</v>
      </c>
      <c r="H15" s="7">
        <f t="shared" si="18"/>
        <v>26985.979333333333</v>
      </c>
      <c r="I15" s="7">
        <f>I14*$D$1</f>
        <v>27804.937333333335</v>
      </c>
      <c r="J15" s="7">
        <f t="shared" si="18"/>
        <v>29172.925999999999</v>
      </c>
      <c r="K15" s="7">
        <f t="shared" ref="K15" si="19">K14*$D$1</f>
        <v>29656.195333333329</v>
      </c>
      <c r="L15" s="7">
        <f t="shared" ref="L15:M15" si="20">L14*$D$1</f>
        <v>29656.195333333329</v>
      </c>
      <c r="M15" s="7">
        <f t="shared" si="20"/>
        <v>31696.326000000001</v>
      </c>
      <c r="N15" s="7">
        <f t="shared" ref="N15:O15" si="21">N14*$D$1</f>
        <v>31556.392000000003</v>
      </c>
      <c r="O15" s="7">
        <f t="shared" si="21"/>
        <v>31155.706666666669</v>
      </c>
      <c r="P15" s="7">
        <f t="shared" ref="P15" si="22">P14*$D$1</f>
        <v>31696.326000000001</v>
      </c>
    </row>
    <row r="16" spans="1:16" ht="15" thickBot="1">
      <c r="A16" s="8" t="s">
        <v>6</v>
      </c>
      <c r="B16" s="21">
        <f>(B15-2570)/0.74</f>
        <v>29792.266666666666</v>
      </c>
      <c r="C16" s="21">
        <f>(C15-2570)/0.74</f>
        <v>30114.666666666664</v>
      </c>
      <c r="D16" s="21">
        <f>(D15-2570)/0.74</f>
        <v>32943.666666666672</v>
      </c>
      <c r="E16" s="21">
        <f>(E15-2570)/0.74</f>
        <v>29792.266666666666</v>
      </c>
      <c r="F16" s="21">
        <f>(F15-2570)/0.74</f>
        <v>30114.666666666664</v>
      </c>
      <c r="G16" s="21">
        <f t="shared" ref="G16:J16" si="23">(G15-2570)/0.74</f>
        <v>32943.666666666672</v>
      </c>
      <c r="H16" s="21">
        <f t="shared" si="23"/>
        <v>32994.566666666666</v>
      </c>
      <c r="I16" s="21">
        <f>(I15-2570)/0.74</f>
        <v>34101.26666666667</v>
      </c>
      <c r="J16" s="21">
        <f t="shared" si="23"/>
        <v>35949.9</v>
      </c>
      <c r="K16" s="21">
        <f t="shared" ref="K16" si="24">(K15-2570)/0.74</f>
        <v>36602.96666666666</v>
      </c>
      <c r="L16" s="21">
        <f t="shared" ref="L16:M16" si="25">(L15-2570)/0.74</f>
        <v>36602.96666666666</v>
      </c>
      <c r="M16" s="21">
        <f t="shared" si="25"/>
        <v>39359.9</v>
      </c>
      <c r="N16" s="21">
        <f t="shared" ref="N16:O16" si="26">(N15-2570)/0.74</f>
        <v>39170.800000000003</v>
      </c>
      <c r="O16" s="21">
        <f t="shared" si="26"/>
        <v>38629.333333333336</v>
      </c>
      <c r="P16" s="21">
        <f t="shared" ref="P16" si="27">(P15-2570)/0.74</f>
        <v>39359.9</v>
      </c>
    </row>
    <row r="17" spans="1:16" ht="15" thickBot="1">
      <c r="A17" s="9"/>
      <c r="B17" s="16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5" thickBot="1">
      <c r="A18" s="25" t="s">
        <v>7</v>
      </c>
      <c r="B18" s="26">
        <f>AVERAGE(B14,B31)</f>
        <v>150.2370707070707</v>
      </c>
      <c r="C18" s="26">
        <f>AVERAGE(C14,C31)</f>
        <v>151.69464646464647</v>
      </c>
      <c r="D18" s="26">
        <f>AVERAGE(D14,D31)</f>
        <v>164.44843434343434</v>
      </c>
      <c r="E18" s="26">
        <f>AVERAGE(E14,E31)</f>
        <v>150.2370707070707</v>
      </c>
      <c r="F18" s="26">
        <f>AVERAGE(F14,F31)</f>
        <v>151.69464646464647</v>
      </c>
      <c r="G18" s="26">
        <f t="shared" ref="G18:J18" si="28">AVERAGE(G14,G31)</f>
        <v>164.44843434343434</v>
      </c>
      <c r="H18" s="26">
        <f t="shared" si="28"/>
        <v>164.71472222222221</v>
      </c>
      <c r="I18" s="26">
        <f>AVERAGE(I14,I31)</f>
        <v>171.96055555555557</v>
      </c>
      <c r="J18" s="26">
        <f t="shared" si="28"/>
        <v>180.31825757575757</v>
      </c>
      <c r="K18" s="26">
        <f t="shared" ref="K18" si="29">AVERAGE(K14,K31)</f>
        <v>184.75885555555556</v>
      </c>
      <c r="L18" s="26">
        <f t="shared" ref="L18:M18" si="30">AVERAGE(L14,L31)</f>
        <v>183.27078282828282</v>
      </c>
      <c r="M18" s="26">
        <f t="shared" si="30"/>
        <v>193.81932723633099</v>
      </c>
      <c r="N18" s="26">
        <f t="shared" ref="N18:O18" si="31">AVERAGE(N14,N31)</f>
        <v>192.96295780159528</v>
      </c>
      <c r="O18" s="26">
        <f t="shared" si="31"/>
        <v>198.590452673524</v>
      </c>
      <c r="P18" s="26">
        <f t="shared" ref="P18" si="32">AVERAGE(P14,P31)</f>
        <v>201.57069165658112</v>
      </c>
    </row>
    <row r="20" spans="1:16" ht="55.2">
      <c r="A20" s="97" t="s">
        <v>213</v>
      </c>
      <c r="B20" s="10" t="s">
        <v>64</v>
      </c>
      <c r="C20" s="10" t="s">
        <v>65</v>
      </c>
      <c r="D20" s="10" t="s">
        <v>66</v>
      </c>
      <c r="E20" s="10" t="s">
        <v>67</v>
      </c>
      <c r="F20" s="10" t="s">
        <v>68</v>
      </c>
      <c r="G20" s="10" t="s">
        <v>69</v>
      </c>
      <c r="H20" s="10" t="s">
        <v>136</v>
      </c>
      <c r="I20" s="10" t="s">
        <v>135</v>
      </c>
      <c r="J20" s="10" t="s">
        <v>137</v>
      </c>
      <c r="K20" s="10" t="s">
        <v>138</v>
      </c>
      <c r="L20" s="10" t="s">
        <v>134</v>
      </c>
      <c r="M20" s="10" t="s">
        <v>210</v>
      </c>
      <c r="N20" s="10" t="s">
        <v>211</v>
      </c>
      <c r="O20" s="10" t="s">
        <v>384</v>
      </c>
      <c r="P20" s="10" t="s">
        <v>385</v>
      </c>
    </row>
    <row r="21" spans="1:16">
      <c r="A21" s="4" t="s">
        <v>1</v>
      </c>
      <c r="B21" s="17">
        <v>25268</v>
      </c>
      <c r="C21" s="17">
        <v>25580</v>
      </c>
      <c r="D21" s="5">
        <v>26430</v>
      </c>
      <c r="E21" s="17">
        <v>25268</v>
      </c>
      <c r="F21" s="17">
        <v>25580</v>
      </c>
      <c r="G21" s="5">
        <v>26430</v>
      </c>
      <c r="H21" s="5">
        <v>27447</v>
      </c>
      <c r="I21" s="5">
        <v>28518</v>
      </c>
      <c r="J21" s="5">
        <v>29187</v>
      </c>
      <c r="K21" s="5">
        <v>30451</v>
      </c>
      <c r="L21" s="5">
        <v>29819</v>
      </c>
      <c r="M21" s="5">
        <v>32487</v>
      </c>
      <c r="N21" s="5">
        <v>32304</v>
      </c>
      <c r="O21" s="5">
        <v>31780</v>
      </c>
      <c r="P21" s="5">
        <v>32304</v>
      </c>
    </row>
    <row r="22" spans="1:16">
      <c r="A22" s="4" t="s">
        <v>70</v>
      </c>
      <c r="B22" s="17">
        <v>920</v>
      </c>
      <c r="C22" s="17">
        <v>920</v>
      </c>
      <c r="D22" s="17">
        <v>1840</v>
      </c>
      <c r="E22" s="17">
        <v>920</v>
      </c>
      <c r="F22" s="17">
        <v>920</v>
      </c>
      <c r="G22" s="17">
        <v>1840</v>
      </c>
      <c r="H22" s="17">
        <v>1840</v>
      </c>
      <c r="I22" s="17">
        <v>1840</v>
      </c>
      <c r="J22" s="17">
        <v>2400</v>
      </c>
      <c r="K22" s="17">
        <v>2400</v>
      </c>
      <c r="L22" s="17">
        <v>2400</v>
      </c>
      <c r="M22" s="17">
        <v>2400</v>
      </c>
      <c r="N22" s="17">
        <v>2400</v>
      </c>
      <c r="O22" s="17">
        <v>2400</v>
      </c>
      <c r="P22" s="17">
        <v>2400</v>
      </c>
    </row>
    <row r="23" spans="1:16">
      <c r="A23" s="4" t="s">
        <v>71</v>
      </c>
      <c r="B23" s="17">
        <v>1840</v>
      </c>
      <c r="C23" s="17">
        <v>1840</v>
      </c>
      <c r="D23" s="17">
        <v>1840</v>
      </c>
      <c r="E23" s="17">
        <v>1840</v>
      </c>
      <c r="F23" s="17">
        <v>1840</v>
      </c>
      <c r="G23" s="17">
        <v>1840</v>
      </c>
      <c r="H23" s="17">
        <v>1840</v>
      </c>
      <c r="I23" s="17">
        <v>1840</v>
      </c>
      <c r="J23" s="17">
        <v>2400</v>
      </c>
      <c r="K23" s="17">
        <v>2400</v>
      </c>
      <c r="L23" s="17">
        <v>2400</v>
      </c>
      <c r="M23" s="17">
        <v>2400</v>
      </c>
      <c r="N23" s="17">
        <v>2400</v>
      </c>
      <c r="O23" s="17">
        <v>2400</v>
      </c>
      <c r="P23" s="17">
        <v>2400</v>
      </c>
    </row>
    <row r="24" spans="1:16">
      <c r="A24" s="12" t="s">
        <v>214</v>
      </c>
      <c r="B24" s="17">
        <f>$D$1/2*(((B21+B22+B23)/$D$1)*0.1)</f>
        <v>1401.4</v>
      </c>
      <c r="C24" s="17">
        <f>$D$1/2*(((C21+C22+C23)/$D$1)*0.1)</f>
        <v>1417</v>
      </c>
      <c r="D24" s="17">
        <f t="shared" ref="D24:N24" si="33">$D$1/2*(((D21+D22+D23)/$D$1)*0.1)</f>
        <v>1505.5</v>
      </c>
      <c r="E24" s="17">
        <f t="shared" si="33"/>
        <v>1401.4</v>
      </c>
      <c r="F24" s="17">
        <f t="shared" si="33"/>
        <v>1417</v>
      </c>
      <c r="G24" s="17">
        <f t="shared" si="33"/>
        <v>1505.5</v>
      </c>
      <c r="H24" s="17">
        <f t="shared" si="33"/>
        <v>1556.3500000000001</v>
      </c>
      <c r="I24" s="17">
        <f t="shared" si="33"/>
        <v>1609.9</v>
      </c>
      <c r="J24" s="17">
        <f t="shared" si="33"/>
        <v>1699.35</v>
      </c>
      <c r="K24" s="17">
        <f t="shared" si="33"/>
        <v>1762.5500000000002</v>
      </c>
      <c r="L24" s="17">
        <f t="shared" si="33"/>
        <v>1730.9500000000003</v>
      </c>
      <c r="M24" s="17">
        <f t="shared" si="33"/>
        <v>1864.35</v>
      </c>
      <c r="N24" s="17">
        <f t="shared" si="33"/>
        <v>1855.2</v>
      </c>
      <c r="O24" s="17">
        <f t="shared" ref="O24:P24" si="34">$D$1/2*(((O21+O22+O23)/$D$1)*0.1)</f>
        <v>1829.0000000000002</v>
      </c>
      <c r="P24" s="17">
        <f t="shared" si="34"/>
        <v>1855.2</v>
      </c>
    </row>
    <row r="25" spans="1:16">
      <c r="A25" s="12" t="s">
        <v>74</v>
      </c>
      <c r="B25" s="17">
        <v>0</v>
      </c>
      <c r="C25" s="17">
        <v>0</v>
      </c>
      <c r="D25" s="17">
        <v>1000</v>
      </c>
      <c r="E25" s="17">
        <v>0</v>
      </c>
      <c r="F25" s="17">
        <v>0</v>
      </c>
      <c r="G25" s="17">
        <v>1000</v>
      </c>
      <c r="H25" s="17">
        <v>0</v>
      </c>
      <c r="I25" s="17">
        <v>1000</v>
      </c>
      <c r="J25" s="17">
        <v>1000</v>
      </c>
      <c r="K25" s="17">
        <v>1000</v>
      </c>
      <c r="L25" s="17">
        <v>1000</v>
      </c>
      <c r="M25" s="17">
        <v>0</v>
      </c>
      <c r="N25" s="17">
        <v>0</v>
      </c>
      <c r="O25" s="17">
        <v>0</v>
      </c>
      <c r="P25" s="17">
        <v>0</v>
      </c>
    </row>
    <row r="26" spans="1:16">
      <c r="A26" s="12" t="s">
        <v>14</v>
      </c>
      <c r="B26" s="17">
        <v>500</v>
      </c>
      <c r="C26" s="17">
        <v>500</v>
      </c>
      <c r="D26" s="17">
        <v>500</v>
      </c>
      <c r="E26" s="17">
        <v>500</v>
      </c>
      <c r="F26" s="17">
        <v>500</v>
      </c>
      <c r="G26" s="17">
        <v>500</v>
      </c>
      <c r="H26" s="17">
        <v>500</v>
      </c>
      <c r="I26" s="17">
        <v>500</v>
      </c>
      <c r="J26" s="17">
        <v>500</v>
      </c>
      <c r="K26" s="17">
        <v>500</v>
      </c>
      <c r="L26" s="17">
        <v>500</v>
      </c>
      <c r="M26" s="17">
        <v>500</v>
      </c>
      <c r="N26" s="17">
        <v>500</v>
      </c>
      <c r="O26" s="17">
        <v>500</v>
      </c>
      <c r="P26" s="17">
        <v>500</v>
      </c>
    </row>
    <row r="27" spans="1:16">
      <c r="A27" s="12" t="s">
        <v>72</v>
      </c>
      <c r="B27" s="17">
        <f>6*($D$1/3)</f>
        <v>330</v>
      </c>
      <c r="C27" s="17">
        <f>6*($D$1/3)</f>
        <v>330</v>
      </c>
      <c r="D27" s="17">
        <f t="shared" ref="D27:P27" si="35">6*($D$1/3)</f>
        <v>330</v>
      </c>
      <c r="E27" s="17">
        <f t="shared" si="35"/>
        <v>330</v>
      </c>
      <c r="F27" s="17">
        <f t="shared" si="35"/>
        <v>330</v>
      </c>
      <c r="G27" s="17">
        <f t="shared" si="35"/>
        <v>330</v>
      </c>
      <c r="H27" s="17">
        <f t="shared" si="35"/>
        <v>330</v>
      </c>
      <c r="I27" s="17">
        <f t="shared" si="35"/>
        <v>330</v>
      </c>
      <c r="J27" s="17">
        <f t="shared" si="35"/>
        <v>330</v>
      </c>
      <c r="K27" s="17">
        <f t="shared" si="35"/>
        <v>330</v>
      </c>
      <c r="L27" s="17">
        <f t="shared" si="35"/>
        <v>330</v>
      </c>
      <c r="M27" s="17">
        <f t="shared" si="35"/>
        <v>330</v>
      </c>
      <c r="N27" s="17">
        <f t="shared" si="35"/>
        <v>330</v>
      </c>
      <c r="O27" s="17">
        <f t="shared" si="35"/>
        <v>330</v>
      </c>
      <c r="P27" s="17">
        <f t="shared" si="35"/>
        <v>330</v>
      </c>
    </row>
    <row r="28" spans="1:16">
      <c r="A28" s="4" t="s">
        <v>2</v>
      </c>
      <c r="B28" s="17">
        <f>SUM(B21:B27)</f>
        <v>30259.4</v>
      </c>
      <c r="C28" s="17">
        <f>SUM(C21:C27)</f>
        <v>30587</v>
      </c>
      <c r="D28" s="17">
        <f>SUM(D21:D27)</f>
        <v>33445.5</v>
      </c>
      <c r="E28" s="17">
        <f>SUM(E21:E27)</f>
        <v>30259.4</v>
      </c>
      <c r="F28" s="17">
        <f>SUM(F21:F27)</f>
        <v>30587</v>
      </c>
      <c r="G28" s="17">
        <f t="shared" ref="G28:J28" si="36">SUM(G21:G27)</f>
        <v>33445.5</v>
      </c>
      <c r="H28" s="17">
        <f t="shared" si="36"/>
        <v>33513.35</v>
      </c>
      <c r="I28" s="17">
        <f>SUM(I21:I27)</f>
        <v>35637.9</v>
      </c>
      <c r="J28" s="17">
        <f t="shared" si="36"/>
        <v>37516.35</v>
      </c>
      <c r="K28" s="17">
        <f t="shared" ref="K28" si="37">SUM(K21:K27)</f>
        <v>38843.550000000003</v>
      </c>
      <c r="L28" s="17">
        <f t="shared" ref="L28" si="38">SUM(L21:L27)</f>
        <v>38179.949999999997</v>
      </c>
      <c r="M28" s="17">
        <f t="shared" ref="M28:N28" si="39">SUM(M21:M27)</f>
        <v>39981.35</v>
      </c>
      <c r="N28" s="17">
        <f t="shared" si="39"/>
        <v>39789.199999999997</v>
      </c>
      <c r="O28" s="17">
        <f t="shared" ref="O28:P28" si="40">SUM(O21:O27)</f>
        <v>39239</v>
      </c>
      <c r="P28" s="17">
        <f t="shared" si="40"/>
        <v>39789.199999999997</v>
      </c>
    </row>
    <row r="29" spans="1:16">
      <c r="A29" s="4" t="s">
        <v>3</v>
      </c>
      <c r="B29" s="17">
        <f>(B28*0.74)+(30840/12)</f>
        <v>24961.956000000002</v>
      </c>
      <c r="C29" s="17">
        <f>(C28*0.74)+(30840/12)</f>
        <v>25204.38</v>
      </c>
      <c r="D29" s="17">
        <f>(D28*0.74)+(30840/12)</f>
        <v>27319.67</v>
      </c>
      <c r="E29" s="17">
        <f>(E28*0.74)+(30840/12)</f>
        <v>24961.956000000002</v>
      </c>
      <c r="F29" s="17">
        <f>(F28*0.74)+(30840/12)</f>
        <v>25204.38</v>
      </c>
      <c r="G29" s="17">
        <f t="shared" ref="G29:J29" si="41">(G28*0.74)+(30840/12)</f>
        <v>27319.67</v>
      </c>
      <c r="H29" s="17">
        <f t="shared" si="41"/>
        <v>27369.878999999997</v>
      </c>
      <c r="I29" s="17">
        <f>(I28*0.74)+(30840/12)</f>
        <v>28942.046000000002</v>
      </c>
      <c r="J29" s="17">
        <f t="shared" si="41"/>
        <v>30332.098999999998</v>
      </c>
      <c r="K29" s="17">
        <f t="shared" ref="K29" si="42">(K28*0.74)+(30840/12)</f>
        <v>31314.227000000003</v>
      </c>
      <c r="L29" s="17">
        <f t="shared" ref="L29:N29" si="43">(L28*0.74)+(30840/12)</f>
        <v>30823.162999999997</v>
      </c>
      <c r="M29" s="17">
        <f t="shared" si="43"/>
        <v>32156.198999999997</v>
      </c>
      <c r="N29" s="17">
        <f t="shared" si="43"/>
        <v>32014.007999999998</v>
      </c>
      <c r="O29" s="17">
        <f t="shared" ref="O29:P29" si="44">(O28*0.74)+(30840/12)</f>
        <v>31606.86</v>
      </c>
      <c r="P29" s="17">
        <f t="shared" si="44"/>
        <v>32014.007999999998</v>
      </c>
    </row>
    <row r="30" spans="1:16">
      <c r="A30" s="4" t="s">
        <v>4</v>
      </c>
      <c r="B30" s="18">
        <f>SUM(B29:B29)/D1</f>
        <v>151.28458181818183</v>
      </c>
      <c r="C30" s="18">
        <f>SUM(C29:C29)/D1</f>
        <v>152.75381818181819</v>
      </c>
      <c r="D30" s="18">
        <f>SUM(D29:D29)/D1</f>
        <v>165.57375757575755</v>
      </c>
      <c r="E30" s="18">
        <f>SUM(E29:E29)/D1</f>
        <v>151.28458181818183</v>
      </c>
      <c r="F30" s="18">
        <f>SUM(F29:F29)/D1</f>
        <v>152.75381818181819</v>
      </c>
      <c r="G30" s="18">
        <f>SUM(G29:G29)/D1</f>
        <v>165.57375757575755</v>
      </c>
      <c r="H30" s="18">
        <f>SUM(H29:H29)/D1</f>
        <v>165.87805454545452</v>
      </c>
      <c r="I30" s="18">
        <f>SUM(I29:I29)/D1</f>
        <v>175.40633939393942</v>
      </c>
      <c r="J30" s="18">
        <f>SUM(J29:J29)/D1</f>
        <v>183.83090303030303</v>
      </c>
      <c r="K30" s="18">
        <f>SUM(K29:K29)/D1</f>
        <v>189.78319393939395</v>
      </c>
      <c r="L30" s="18">
        <f>SUM(L29:L29)/D1</f>
        <v>186.80704848484848</v>
      </c>
      <c r="M30" s="18">
        <f>SUM(M29:M29)/D18</f>
        <v>195.53970901811655</v>
      </c>
      <c r="N30" s="18">
        <f>SUM(N29:N29)/D18</f>
        <v>194.67505499712996</v>
      </c>
      <c r="O30" s="18">
        <f>SUM(O29:O29)/F18</f>
        <v>208.35844070058337</v>
      </c>
      <c r="P30" s="18">
        <f>SUM(P29:P29)/F18</f>
        <v>211.04243785861681</v>
      </c>
    </row>
    <row r="31" spans="1:16">
      <c r="A31" s="4" t="s">
        <v>5</v>
      </c>
      <c r="B31" s="19">
        <f>B30</f>
        <v>151.28458181818183</v>
      </c>
      <c r="C31" s="19">
        <f t="shared" ref="C31:J31" si="45">C30</f>
        <v>152.75381818181819</v>
      </c>
      <c r="D31" s="19">
        <f t="shared" si="45"/>
        <v>165.57375757575755</v>
      </c>
      <c r="E31" s="19">
        <f t="shared" si="45"/>
        <v>151.28458181818183</v>
      </c>
      <c r="F31" s="19">
        <f t="shared" si="45"/>
        <v>152.75381818181819</v>
      </c>
      <c r="G31" s="19">
        <f t="shared" si="45"/>
        <v>165.57375757575755</v>
      </c>
      <c r="H31" s="19">
        <f t="shared" si="45"/>
        <v>165.87805454545452</v>
      </c>
      <c r="I31" s="19">
        <f>I30</f>
        <v>175.40633939393942</v>
      </c>
      <c r="J31" s="19">
        <f t="shared" si="45"/>
        <v>183.83090303030303</v>
      </c>
      <c r="K31" s="19">
        <f t="shared" ref="K31" si="46">K30</f>
        <v>189.78319393939395</v>
      </c>
      <c r="L31" s="19">
        <f t="shared" ref="L31:N31" si="47">L30</f>
        <v>186.80704848484848</v>
      </c>
      <c r="M31" s="19">
        <f t="shared" si="47"/>
        <v>195.53970901811655</v>
      </c>
      <c r="N31" s="19">
        <f t="shared" si="47"/>
        <v>194.67505499712996</v>
      </c>
      <c r="O31" s="19">
        <f t="shared" ref="O31:P31" si="48">O30</f>
        <v>208.35844070058337</v>
      </c>
      <c r="P31" s="19">
        <f t="shared" si="48"/>
        <v>211.04243785861681</v>
      </c>
    </row>
    <row r="32" spans="1:16" ht="15" thickBot="1">
      <c r="A32" s="6"/>
      <c r="B32" s="20">
        <f>B31*$D$1</f>
        <v>24961.956000000002</v>
      </c>
      <c r="C32" s="20">
        <f t="shared" ref="C32:J32" si="49">C31*$D$1</f>
        <v>25204.38</v>
      </c>
      <c r="D32" s="20">
        <f t="shared" si="49"/>
        <v>27319.67</v>
      </c>
      <c r="E32" s="20">
        <f t="shared" si="49"/>
        <v>24961.956000000002</v>
      </c>
      <c r="F32" s="20">
        <f t="shared" si="49"/>
        <v>25204.38</v>
      </c>
      <c r="G32" s="20">
        <f t="shared" si="49"/>
        <v>27319.67</v>
      </c>
      <c r="H32" s="20">
        <f t="shared" si="49"/>
        <v>27369.878999999997</v>
      </c>
      <c r="I32" s="20">
        <f>I31*$D$1</f>
        <v>28942.046000000006</v>
      </c>
      <c r="J32" s="20">
        <f t="shared" si="49"/>
        <v>30332.099000000002</v>
      </c>
      <c r="K32" s="20">
        <f t="shared" ref="K32" si="50">K31*$D$1</f>
        <v>31314.227000000003</v>
      </c>
      <c r="L32" s="20">
        <f t="shared" ref="L32:N32" si="51">L31*$D$1</f>
        <v>30823.163</v>
      </c>
      <c r="M32" s="7">
        <f t="shared" si="51"/>
        <v>32264.051987989231</v>
      </c>
      <c r="N32" s="7">
        <f t="shared" si="51"/>
        <v>32121.384074526442</v>
      </c>
      <c r="O32" s="7">
        <f t="shared" ref="O32:P32" si="52">O31*$D$1</f>
        <v>34379.142715596259</v>
      </c>
      <c r="P32" s="7">
        <f t="shared" si="52"/>
        <v>34822.002246671771</v>
      </c>
    </row>
    <row r="33" spans="1:16" ht="15" thickBot="1">
      <c r="A33" s="8" t="s">
        <v>9</v>
      </c>
      <c r="B33" s="21">
        <f>(B32-2570)/0.74</f>
        <v>30259.4</v>
      </c>
      <c r="C33" s="21">
        <f>(C32-2570)/0.74</f>
        <v>30587</v>
      </c>
      <c r="D33" s="21">
        <f>(D32-2570)/0.74</f>
        <v>33445.5</v>
      </c>
      <c r="E33" s="21">
        <f>(E32-2570)/0.74</f>
        <v>30259.4</v>
      </c>
      <c r="F33" s="21">
        <f>(F32-2570)/0.74</f>
        <v>30587</v>
      </c>
      <c r="G33" s="21">
        <f t="shared" ref="G33:J33" si="53">(G32-2570)/0.74</f>
        <v>33445.5</v>
      </c>
      <c r="H33" s="21">
        <f t="shared" si="53"/>
        <v>33513.35</v>
      </c>
      <c r="I33" s="21">
        <f>(I32-2570)/0.74</f>
        <v>35637.900000000009</v>
      </c>
      <c r="J33" s="21">
        <f t="shared" si="53"/>
        <v>37516.350000000006</v>
      </c>
      <c r="K33" s="21">
        <f t="shared" ref="K33" si="54">(K32-2570)/0.74</f>
        <v>38843.550000000003</v>
      </c>
      <c r="L33" s="21">
        <f t="shared" ref="L33:N33" si="55">(L32-2570)/0.74</f>
        <v>38179.950000000004</v>
      </c>
      <c r="M33" s="21">
        <f t="shared" si="55"/>
        <v>40127.097281066526</v>
      </c>
      <c r="N33" s="21">
        <f t="shared" si="55"/>
        <v>39934.30280341411</v>
      </c>
      <c r="O33" s="21">
        <f t="shared" ref="O33:P33" si="56">(O32-2570)/0.74</f>
        <v>42985.327994049003</v>
      </c>
      <c r="P33" s="21">
        <f t="shared" si="56"/>
        <v>43583.786819826717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086A-B9DB-4A38-B0CD-D391283F7084}">
  <sheetPr codeName="List17">
    <tabColor rgb="FF92D050"/>
  </sheetPr>
  <dimension ref="A1:K29"/>
  <sheetViews>
    <sheetView zoomScale="115" zoomScaleNormal="115" workbookViewId="0">
      <selection activeCell="H19" sqref="H19"/>
    </sheetView>
  </sheetViews>
  <sheetFormatPr defaultColWidth="8.88671875" defaultRowHeight="13.8"/>
  <cols>
    <col min="1" max="1" width="12.109375" style="161" customWidth="1"/>
    <col min="2" max="2" width="42.77734375" style="161" bestFit="1" customWidth="1"/>
    <col min="3" max="3" width="14.21875" style="164" bestFit="1" customWidth="1"/>
    <col min="4" max="4" width="29" style="164" bestFit="1" customWidth="1"/>
    <col min="5" max="5" width="6.44140625" style="164" bestFit="1" customWidth="1"/>
    <col min="6" max="7" width="14.21875" style="164" customWidth="1"/>
    <col min="8" max="9" width="14.21875" style="161" bestFit="1" customWidth="1"/>
    <col min="10" max="10" width="28.21875" style="161" bestFit="1" customWidth="1"/>
    <col min="11" max="11" width="15.5546875" style="161" customWidth="1"/>
    <col min="12" max="13" width="14.77734375" style="161" bestFit="1" customWidth="1"/>
    <col min="14" max="16384" width="8.88671875" style="161"/>
  </cols>
  <sheetData>
    <row r="1" spans="1:11">
      <c r="B1" s="183" t="s">
        <v>259</v>
      </c>
      <c r="C1" s="184" t="s">
        <v>0</v>
      </c>
      <c r="D1" s="185">
        <v>45778</v>
      </c>
      <c r="E1" s="186">
        <f>16*11</f>
        <v>176</v>
      </c>
      <c r="F1" s="187" t="s">
        <v>131</v>
      </c>
      <c r="G1" s="161"/>
      <c r="K1" s="188"/>
    </row>
    <row r="2" spans="1:11">
      <c r="D2" s="189"/>
      <c r="E2" s="189"/>
    </row>
    <row r="3" spans="1:11" ht="28.2" thickBot="1">
      <c r="B3" s="190" t="s">
        <v>260</v>
      </c>
      <c r="C3" s="162" t="s">
        <v>269</v>
      </c>
      <c r="D3" s="161"/>
      <c r="E3" s="161"/>
      <c r="F3" s="197"/>
      <c r="G3" s="197"/>
    </row>
    <row r="4" spans="1:11" ht="14.4" customHeight="1">
      <c r="A4" s="254" t="s">
        <v>270</v>
      </c>
      <c r="B4" s="166" t="s">
        <v>1</v>
      </c>
      <c r="C4" s="167">
        <f>$E$1*190</f>
        <v>33440</v>
      </c>
      <c r="D4" s="161"/>
      <c r="E4" s="161"/>
      <c r="F4" s="197"/>
      <c r="G4" s="197"/>
    </row>
    <row r="5" spans="1:11">
      <c r="A5" s="255"/>
      <c r="B5" s="166" t="s">
        <v>261</v>
      </c>
      <c r="C5" s="167">
        <f>SUM($E$1*30)*0.25</f>
        <v>1320</v>
      </c>
      <c r="D5" s="161"/>
      <c r="E5" s="161"/>
      <c r="F5" s="197"/>
      <c r="G5" s="197"/>
    </row>
    <row r="6" spans="1:11">
      <c r="A6" s="255"/>
      <c r="B6" s="166" t="s">
        <v>262</v>
      </c>
      <c r="C6" s="167">
        <v>615</v>
      </c>
      <c r="D6" s="161"/>
      <c r="E6" s="161"/>
      <c r="F6" s="197"/>
      <c r="G6" s="197"/>
    </row>
    <row r="7" spans="1:11">
      <c r="A7" s="255"/>
      <c r="B7" s="166" t="s">
        <v>263</v>
      </c>
      <c r="C7" s="167">
        <f>$E$1/3*(($C$4+C5+C6)/$E$1*0.2)</f>
        <v>2358.3333333333335</v>
      </c>
      <c r="D7" s="161"/>
      <c r="E7" s="161"/>
      <c r="F7" s="161"/>
      <c r="G7" s="161"/>
    </row>
    <row r="8" spans="1:11">
      <c r="A8" s="255"/>
      <c r="B8" s="166" t="s">
        <v>264</v>
      </c>
      <c r="C8" s="167">
        <f>$E$1/11*77</f>
        <v>1232</v>
      </c>
      <c r="D8" s="161"/>
      <c r="E8" s="161"/>
      <c r="F8" s="161"/>
      <c r="G8" s="161"/>
    </row>
    <row r="9" spans="1:11">
      <c r="A9" s="255"/>
      <c r="B9" s="166" t="s">
        <v>2</v>
      </c>
      <c r="C9" s="167">
        <f>SUM(C4:C8)</f>
        <v>38965.333333333336</v>
      </c>
      <c r="D9" s="161"/>
      <c r="E9" s="161"/>
      <c r="F9" s="161"/>
      <c r="G9" s="161"/>
    </row>
    <row r="10" spans="1:11">
      <c r="A10" s="255"/>
      <c r="B10" s="166" t="s">
        <v>3</v>
      </c>
      <c r="C10" s="167">
        <f>(C9*0.74)+(30840/12)</f>
        <v>31404.346666666668</v>
      </c>
      <c r="D10" s="161"/>
      <c r="E10" s="161"/>
      <c r="F10" s="161"/>
      <c r="G10" s="161"/>
    </row>
    <row r="11" spans="1:11">
      <c r="A11" s="255"/>
      <c r="B11" s="166" t="s">
        <v>4</v>
      </c>
      <c r="C11" s="168">
        <f>SUM(C10:C10)/$E$1</f>
        <v>178.43378787878788</v>
      </c>
      <c r="D11" s="161"/>
      <c r="E11" s="161"/>
      <c r="F11" s="161"/>
      <c r="G11" s="161"/>
    </row>
    <row r="12" spans="1:11" ht="14.4" thickBot="1">
      <c r="A12" s="256"/>
      <c r="B12" s="166" t="s">
        <v>5</v>
      </c>
      <c r="C12" s="169">
        <f>C11</f>
        <v>178.43378787878788</v>
      </c>
      <c r="D12" s="161"/>
      <c r="E12" s="161"/>
      <c r="F12" s="161"/>
      <c r="G12" s="161"/>
    </row>
    <row r="13" spans="1:11" ht="14.4" thickBot="1">
      <c r="C13" s="172">
        <f>C12*$E$1</f>
        <v>31404.346666666668</v>
      </c>
      <c r="D13" s="161"/>
      <c r="E13" s="161"/>
      <c r="F13" s="161"/>
      <c r="G13" s="161"/>
    </row>
    <row r="14" spans="1:11" ht="14.4" thickBot="1">
      <c r="B14" s="191" t="s">
        <v>6</v>
      </c>
      <c r="C14" s="192">
        <f>(C13-2570)/0.74</f>
        <v>38965.333333333336</v>
      </c>
      <c r="D14" s="161"/>
      <c r="E14" s="161"/>
      <c r="F14" s="161"/>
      <c r="G14" s="161"/>
    </row>
    <row r="15" spans="1:11" ht="14.4" thickBot="1">
      <c r="C15" s="161"/>
      <c r="D15" s="161"/>
      <c r="E15" s="161"/>
      <c r="F15" s="161"/>
      <c r="G15" s="161"/>
    </row>
    <row r="16" spans="1:11" ht="14.4" thickBot="1">
      <c r="A16" s="178" t="s">
        <v>224</v>
      </c>
      <c r="B16" s="193" t="s">
        <v>7</v>
      </c>
      <c r="C16" s="180">
        <f>AVERAGE(C12,C27)</f>
        <v>190.07021780303032</v>
      </c>
      <c r="D16" s="163" t="s">
        <v>20</v>
      </c>
      <c r="E16" s="161"/>
      <c r="F16" s="161"/>
      <c r="G16" s="161"/>
    </row>
    <row r="17" spans="1:7">
      <c r="D17" s="161"/>
      <c r="E17" s="161"/>
      <c r="F17" s="161"/>
      <c r="G17" s="161"/>
    </row>
    <row r="18" spans="1:7" ht="28.2" thickBot="1">
      <c r="B18" s="190" t="s">
        <v>265</v>
      </c>
      <c r="C18" s="162" t="s">
        <v>269</v>
      </c>
      <c r="D18" s="161"/>
      <c r="E18" s="161"/>
      <c r="F18" s="161"/>
      <c r="G18" s="161"/>
    </row>
    <row r="19" spans="1:7" ht="14.4" customHeight="1">
      <c r="A19" s="254" t="s">
        <v>272</v>
      </c>
      <c r="B19" s="166" t="s">
        <v>1</v>
      </c>
      <c r="C19" s="167">
        <f>$E$1*190</f>
        <v>33440</v>
      </c>
      <c r="D19" s="161"/>
      <c r="E19" s="161"/>
      <c r="F19" s="161"/>
      <c r="G19" s="161"/>
    </row>
    <row r="20" spans="1:7" ht="14.4" customHeight="1">
      <c r="A20" s="255"/>
      <c r="B20" s="166" t="s">
        <v>266</v>
      </c>
      <c r="C20" s="167">
        <f>SUM($E$1*30)</f>
        <v>5280</v>
      </c>
      <c r="D20" s="161"/>
      <c r="E20" s="161"/>
      <c r="F20" s="161"/>
      <c r="G20" s="161"/>
    </row>
    <row r="21" spans="1:7">
      <c r="A21" s="255"/>
      <c r="B21" s="166" t="s">
        <v>262</v>
      </c>
      <c r="C21" s="167">
        <v>615</v>
      </c>
      <c r="D21" s="161"/>
      <c r="E21" s="161"/>
      <c r="F21" s="161"/>
      <c r="G21" s="161"/>
    </row>
    <row r="22" spans="1:7">
      <c r="A22" s="255"/>
      <c r="B22" s="166" t="s">
        <v>263</v>
      </c>
      <c r="C22" s="167">
        <f>$E$1/2*(($C$19+C20+C21)/$E$1*0.2)</f>
        <v>3933.5000000000005</v>
      </c>
      <c r="D22" s="161"/>
      <c r="E22" s="161"/>
      <c r="F22" s="161"/>
      <c r="G22" s="161"/>
    </row>
    <row r="23" spans="1:7">
      <c r="A23" s="255"/>
      <c r="B23" s="166" t="s">
        <v>264</v>
      </c>
      <c r="C23" s="167">
        <f>$E$1/11*77</f>
        <v>1232</v>
      </c>
      <c r="D23" s="161"/>
      <c r="E23" s="161"/>
      <c r="F23" s="161"/>
      <c r="G23" s="161"/>
    </row>
    <row r="24" spans="1:7">
      <c r="A24" s="255"/>
      <c r="B24" s="166" t="s">
        <v>2</v>
      </c>
      <c r="C24" s="167">
        <f>SUM(C19:C23)</f>
        <v>44500.5</v>
      </c>
      <c r="D24" s="161"/>
      <c r="E24" s="161"/>
      <c r="F24" s="161"/>
      <c r="G24" s="161"/>
    </row>
    <row r="25" spans="1:7">
      <c r="A25" s="255"/>
      <c r="B25" s="166" t="s">
        <v>3</v>
      </c>
      <c r="C25" s="167">
        <f>(C24*0.74)+(30840/12)</f>
        <v>35500.370000000003</v>
      </c>
      <c r="D25" s="161"/>
      <c r="E25" s="161"/>
      <c r="F25" s="161"/>
      <c r="G25" s="161"/>
    </row>
    <row r="26" spans="1:7">
      <c r="A26" s="255"/>
      <c r="B26" s="166" t="s">
        <v>4</v>
      </c>
      <c r="C26" s="168">
        <f>SUM(C25:C25)/$E$1</f>
        <v>201.70664772727275</v>
      </c>
      <c r="D26" s="161"/>
      <c r="E26" s="161"/>
      <c r="F26" s="161"/>
      <c r="G26" s="161"/>
    </row>
    <row r="27" spans="1:7" ht="14.4" thickBot="1">
      <c r="A27" s="256"/>
      <c r="B27" s="166" t="s">
        <v>5</v>
      </c>
      <c r="C27" s="169">
        <f>C26</f>
        <v>201.70664772727275</v>
      </c>
      <c r="D27" s="161"/>
      <c r="E27" s="161"/>
      <c r="F27" s="161"/>
      <c r="G27" s="161"/>
    </row>
    <row r="28" spans="1:7" ht="14.4" thickBot="1">
      <c r="C28" s="172">
        <f>C27*$E$1</f>
        <v>35500.370000000003</v>
      </c>
      <c r="D28" s="161"/>
      <c r="E28" s="161"/>
      <c r="F28" s="161"/>
      <c r="G28" s="161"/>
    </row>
    <row r="29" spans="1:7" ht="14.4" thickBot="1">
      <c r="B29" s="191" t="s">
        <v>9</v>
      </c>
      <c r="C29" s="192">
        <f>(C28-2570)/0.74</f>
        <v>44500.500000000007</v>
      </c>
      <c r="D29" s="161"/>
      <c r="E29" s="161"/>
      <c r="F29" s="161"/>
      <c r="G29" s="161"/>
    </row>
  </sheetData>
  <mergeCells count="2">
    <mergeCell ref="A4:A12"/>
    <mergeCell ref="A19:A2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7AA4-380A-4708-B56F-7532C981627D}">
  <sheetPr codeName="List18">
    <tabColor rgb="FF92D050"/>
  </sheetPr>
  <dimension ref="A1:K31"/>
  <sheetViews>
    <sheetView workbookViewId="0">
      <selection activeCell="I1" sqref="I1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0.109375" bestFit="1" customWidth="1"/>
    <col min="5" max="5" width="10.21875" bestFit="1" customWidth="1"/>
    <col min="7" max="7" width="8.88671875" bestFit="1" customWidth="1"/>
    <col min="9" max="9" width="28.21875" bestFit="1" customWidth="1"/>
  </cols>
  <sheetData>
    <row r="1" spans="1:8">
      <c r="A1" s="1" t="s">
        <v>75</v>
      </c>
      <c r="B1" s="14" t="s">
        <v>0</v>
      </c>
      <c r="C1" s="2">
        <v>45717</v>
      </c>
      <c r="D1" s="22">
        <v>157.5</v>
      </c>
      <c r="E1" s="23" t="s">
        <v>289</v>
      </c>
      <c r="F1" s="3"/>
      <c r="G1" t="s">
        <v>288</v>
      </c>
    </row>
    <row r="2" spans="1:8">
      <c r="B2" s="274" t="s">
        <v>76</v>
      </c>
      <c r="C2" s="274"/>
      <c r="D2" s="274"/>
      <c r="E2" s="274"/>
      <c r="F2" s="274"/>
      <c r="G2" s="274"/>
      <c r="H2" s="274"/>
    </row>
    <row r="3" spans="1:8" s="11" customFormat="1">
      <c r="A3" s="13" t="s">
        <v>73</v>
      </c>
      <c r="B3" s="10" t="s">
        <v>77</v>
      </c>
      <c r="C3" s="10" t="s">
        <v>81</v>
      </c>
      <c r="D3" s="10" t="s">
        <v>78</v>
      </c>
      <c r="E3" s="10" t="s">
        <v>79</v>
      </c>
      <c r="F3" s="10" t="s">
        <v>80</v>
      </c>
      <c r="G3" s="10" t="s">
        <v>122</v>
      </c>
      <c r="H3" s="10" t="s">
        <v>123</v>
      </c>
    </row>
    <row r="4" spans="1:8">
      <c r="A4" s="4" t="s">
        <v>1</v>
      </c>
      <c r="B4" s="17">
        <v>22250</v>
      </c>
      <c r="C4" s="17">
        <v>23330</v>
      </c>
      <c r="D4" s="5">
        <v>24420</v>
      </c>
      <c r="E4" s="5">
        <v>25500</v>
      </c>
      <c r="F4" s="5">
        <v>27130</v>
      </c>
      <c r="G4" s="5">
        <v>28760</v>
      </c>
      <c r="H4" s="5">
        <v>30380</v>
      </c>
    </row>
    <row r="5" spans="1:8">
      <c r="A5" s="4" t="s">
        <v>82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</row>
    <row r="6" spans="1:8">
      <c r="A6" s="4" t="s">
        <v>124</v>
      </c>
      <c r="B6" s="17">
        <f t="shared" ref="B6:H6" si="0">SUM(B4)*0.05</f>
        <v>1112.5</v>
      </c>
      <c r="C6" s="17">
        <f t="shared" si="0"/>
        <v>1166.5</v>
      </c>
      <c r="D6" s="17">
        <f t="shared" si="0"/>
        <v>1221</v>
      </c>
      <c r="E6" s="17">
        <f t="shared" si="0"/>
        <v>1275</v>
      </c>
      <c r="F6" s="17">
        <f t="shared" si="0"/>
        <v>1356.5</v>
      </c>
      <c r="G6" s="17">
        <f t="shared" si="0"/>
        <v>1438</v>
      </c>
      <c r="H6" s="17">
        <f t="shared" si="0"/>
        <v>1519</v>
      </c>
    </row>
    <row r="7" spans="1:8">
      <c r="A7" s="12" t="s">
        <v>83</v>
      </c>
      <c r="B7" s="17">
        <f>37.5*32</f>
        <v>1200</v>
      </c>
      <c r="C7" s="17">
        <f>37.5*32</f>
        <v>1200</v>
      </c>
      <c r="D7" s="17">
        <f>37.5*32</f>
        <v>1200</v>
      </c>
      <c r="E7" s="17">
        <f>37.5*32</f>
        <v>1200</v>
      </c>
      <c r="F7" s="17">
        <f>37.5*32</f>
        <v>1200</v>
      </c>
      <c r="G7" s="17">
        <f t="shared" ref="G7:H7" si="1">37.5*32</f>
        <v>1200</v>
      </c>
      <c r="H7" s="17">
        <f t="shared" si="1"/>
        <v>1200</v>
      </c>
    </row>
    <row r="8" spans="1:8">
      <c r="A8" s="12" t="s">
        <v>84</v>
      </c>
      <c r="B8" s="17">
        <f>37.5*7</f>
        <v>262.5</v>
      </c>
      <c r="C8" s="17">
        <f>37.5*7</f>
        <v>262.5</v>
      </c>
      <c r="D8" s="17">
        <f>37.5*7</f>
        <v>262.5</v>
      </c>
      <c r="E8" s="17">
        <f>37.5*7</f>
        <v>262.5</v>
      </c>
      <c r="F8" s="17">
        <f>37.5*7</f>
        <v>262.5</v>
      </c>
      <c r="G8" s="17">
        <f t="shared" ref="G8:H8" si="2">37.5*7</f>
        <v>262.5</v>
      </c>
      <c r="H8" s="17">
        <f t="shared" si="2"/>
        <v>262.5</v>
      </c>
    </row>
    <row r="9" spans="1:8">
      <c r="A9" s="12" t="s">
        <v>85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8">
      <c r="A10" s="4" t="s">
        <v>2</v>
      </c>
      <c r="B10" s="17">
        <f>SUM(B4:B9)</f>
        <v>24825</v>
      </c>
      <c r="C10" s="17">
        <f>SUM(C4:C9)</f>
        <v>25959</v>
      </c>
      <c r="D10" s="17">
        <f>SUM(D4:D9)</f>
        <v>27103.5</v>
      </c>
      <c r="E10" s="17">
        <f>SUM(E4:E9)</f>
        <v>28237.5</v>
      </c>
      <c r="F10" s="17">
        <f>SUM(F4:F9)</f>
        <v>29949</v>
      </c>
      <c r="G10" s="17">
        <f t="shared" ref="G10:H10" si="3">SUM(G4:G9)</f>
        <v>31660.5</v>
      </c>
      <c r="H10" s="17">
        <f t="shared" si="3"/>
        <v>33361.5</v>
      </c>
    </row>
    <row r="11" spans="1:8">
      <c r="A11" s="4" t="s">
        <v>3</v>
      </c>
      <c r="B11" s="17">
        <f>(B10*0.74)+(30840/12)</f>
        <v>20940.5</v>
      </c>
      <c r="C11" s="17">
        <f>(C10*0.74)+(30840/12)</f>
        <v>21779.66</v>
      </c>
      <c r="D11" s="17">
        <f>(D10*0.74)+(30840/12)</f>
        <v>22626.59</v>
      </c>
      <c r="E11" s="17">
        <f>(E10*0.74)+(30840/12)</f>
        <v>23465.75</v>
      </c>
      <c r="F11" s="17">
        <f>(F10*0.74)+(30840/12)</f>
        <v>24732.26</v>
      </c>
      <c r="G11" s="17">
        <f t="shared" ref="G11:H11" si="4">(G10*0.74)+(30840/12)</f>
        <v>25998.77</v>
      </c>
      <c r="H11" s="17">
        <f t="shared" si="4"/>
        <v>27257.51</v>
      </c>
    </row>
    <row r="12" spans="1:8">
      <c r="A12" s="4" t="s">
        <v>4</v>
      </c>
      <c r="B12" s="18">
        <f>SUM(B11:B11)/D1</f>
        <v>132.95555555555555</v>
      </c>
      <c r="C12" s="18">
        <f>SUM(C11:C11)/D1</f>
        <v>138.28355555555555</v>
      </c>
      <c r="D12" s="18">
        <f>SUM(D11:D11)/D1</f>
        <v>143.66088888888888</v>
      </c>
      <c r="E12" s="18">
        <f>SUM(E11:E11)/D1</f>
        <v>148.98888888888888</v>
      </c>
      <c r="F12" s="18">
        <f>SUM(F11:F11)/D1</f>
        <v>157.03022222222222</v>
      </c>
      <c r="G12" s="18">
        <f>SUM(G11:G11)/D1</f>
        <v>165.07155555555556</v>
      </c>
      <c r="H12" s="18">
        <f>SUM(H11:H11)/D1</f>
        <v>173.06355555555555</v>
      </c>
    </row>
    <row r="13" spans="1:8">
      <c r="A13" s="4" t="s">
        <v>5</v>
      </c>
      <c r="B13" s="19">
        <f>B12</f>
        <v>132.95555555555555</v>
      </c>
      <c r="C13" s="19">
        <f t="shared" ref="C13:F13" si="5">C12</f>
        <v>138.28355555555555</v>
      </c>
      <c r="D13" s="19">
        <f t="shared" si="5"/>
        <v>143.66088888888888</v>
      </c>
      <c r="E13" s="19">
        <f t="shared" si="5"/>
        <v>148.98888888888888</v>
      </c>
      <c r="F13" s="19">
        <f t="shared" si="5"/>
        <v>157.03022222222222</v>
      </c>
      <c r="G13" s="19">
        <f t="shared" ref="G13:H13" si="6">G12</f>
        <v>165.07155555555556</v>
      </c>
      <c r="H13" s="19">
        <f t="shared" si="6"/>
        <v>173.06355555555555</v>
      </c>
    </row>
    <row r="14" spans="1:8" ht="15" thickBot="1">
      <c r="A14" s="6"/>
      <c r="B14" s="20">
        <f>B13*$D$1</f>
        <v>20940.5</v>
      </c>
      <c r="C14" s="7">
        <f t="shared" ref="C14:F14" si="7">C13*$D$1</f>
        <v>21779.66</v>
      </c>
      <c r="D14" s="7">
        <f t="shared" si="7"/>
        <v>22626.589999999997</v>
      </c>
      <c r="E14" s="7">
        <f t="shared" si="7"/>
        <v>23465.75</v>
      </c>
      <c r="F14" s="7">
        <f t="shared" si="7"/>
        <v>24732.26</v>
      </c>
      <c r="G14" s="7">
        <f t="shared" ref="G14:H14" si="8">G13*$D$1</f>
        <v>25998.77</v>
      </c>
      <c r="H14" s="7">
        <f t="shared" si="8"/>
        <v>27257.51</v>
      </c>
    </row>
    <row r="15" spans="1:8" ht="15" thickBot="1">
      <c r="A15" s="8" t="s">
        <v>6</v>
      </c>
      <c r="B15" s="21">
        <f>(B14-2570)/0.74</f>
        <v>24825</v>
      </c>
      <c r="C15" s="21">
        <f>(C14-2570)/0.74</f>
        <v>25959</v>
      </c>
      <c r="D15" s="21">
        <f>(D14-2570)/0.74</f>
        <v>27103.499999999996</v>
      </c>
      <c r="E15" s="21">
        <f>(E14-2570)/0.74</f>
        <v>28237.5</v>
      </c>
      <c r="F15" s="21">
        <f>(F14-2570)/0.74</f>
        <v>29949</v>
      </c>
      <c r="G15" s="21">
        <f t="shared" ref="G15:H15" si="9">(G14-2570)/0.74</f>
        <v>31660.5</v>
      </c>
      <c r="H15" s="21">
        <f t="shared" si="9"/>
        <v>33361.5</v>
      </c>
    </row>
    <row r="16" spans="1:8" ht="15" thickBot="1">
      <c r="A16" s="9"/>
      <c r="B16" s="16"/>
      <c r="C16" s="24"/>
      <c r="D16" s="24"/>
      <c r="E16" s="24"/>
      <c r="F16" s="24"/>
      <c r="G16" s="11"/>
    </row>
    <row r="17" spans="1:11" ht="15" thickBot="1">
      <c r="A17" s="25" t="s">
        <v>7</v>
      </c>
      <c r="B17" s="26">
        <f t="shared" ref="B17:H17" si="10">AVERAGE(B13,B29)</f>
        <v>146.31666666666666</v>
      </c>
      <c r="C17" s="26">
        <f t="shared" si="10"/>
        <v>151.9876507936508</v>
      </c>
      <c r="D17" s="26">
        <f t="shared" si="10"/>
        <v>157.70679365079366</v>
      </c>
      <c r="E17" s="26">
        <f t="shared" si="10"/>
        <v>163.37777777777779</v>
      </c>
      <c r="F17" s="26">
        <f t="shared" si="10"/>
        <v>171.93241269841269</v>
      </c>
      <c r="G17" s="26">
        <f t="shared" si="10"/>
        <v>180.48704761904764</v>
      </c>
      <c r="H17" s="26">
        <f t="shared" si="10"/>
        <v>188.99352380952382</v>
      </c>
      <c r="I17" s="28" t="s">
        <v>20</v>
      </c>
    </row>
    <row r="18" spans="1:11">
      <c r="I18" s="275" t="s">
        <v>330</v>
      </c>
      <c r="J18" s="276"/>
      <c r="K18" s="276"/>
    </row>
    <row r="19" spans="1:11">
      <c r="A19" s="13" t="s">
        <v>16</v>
      </c>
      <c r="B19" s="10" t="s">
        <v>77</v>
      </c>
      <c r="C19" s="10" t="s">
        <v>81</v>
      </c>
      <c r="D19" s="10" t="s">
        <v>78</v>
      </c>
      <c r="E19" s="10" t="s">
        <v>79</v>
      </c>
      <c r="F19" s="10" t="s">
        <v>80</v>
      </c>
      <c r="G19" s="10" t="s">
        <v>122</v>
      </c>
      <c r="H19" s="10" t="s">
        <v>123</v>
      </c>
    </row>
    <row r="20" spans="1:11">
      <c r="A20" s="4" t="s">
        <v>1</v>
      </c>
      <c r="B20" s="17">
        <v>22250</v>
      </c>
      <c r="C20" s="17">
        <v>23330</v>
      </c>
      <c r="D20" s="5">
        <v>24420</v>
      </c>
      <c r="E20" s="5">
        <v>25500</v>
      </c>
      <c r="F20" s="5">
        <v>27130</v>
      </c>
      <c r="G20" s="5">
        <v>28760</v>
      </c>
      <c r="H20" s="5">
        <v>30380</v>
      </c>
    </row>
    <row r="21" spans="1:11">
      <c r="A21" s="4" t="s">
        <v>82</v>
      </c>
      <c r="B21" s="17">
        <v>2050</v>
      </c>
      <c r="C21" s="17">
        <v>2150</v>
      </c>
      <c r="D21" s="17">
        <v>2250</v>
      </c>
      <c r="E21" s="17">
        <v>2350</v>
      </c>
      <c r="F21" s="17">
        <v>2500</v>
      </c>
      <c r="G21" s="17">
        <v>2650</v>
      </c>
      <c r="H21" s="17">
        <v>2800</v>
      </c>
    </row>
    <row r="22" spans="1:11">
      <c r="A22" s="4" t="s">
        <v>124</v>
      </c>
      <c r="B22" s="17">
        <v>2050</v>
      </c>
      <c r="C22" s="17">
        <v>2150</v>
      </c>
      <c r="D22" s="17">
        <v>2250</v>
      </c>
      <c r="E22" s="17">
        <v>2350</v>
      </c>
      <c r="F22" s="17">
        <v>2500</v>
      </c>
      <c r="G22" s="17">
        <v>2650</v>
      </c>
      <c r="H22" s="17">
        <v>2800</v>
      </c>
    </row>
    <row r="23" spans="1:11">
      <c r="A23" s="12" t="s">
        <v>83</v>
      </c>
      <c r="B23" s="17">
        <f>75*32</f>
        <v>2400</v>
      </c>
      <c r="C23" s="17">
        <f t="shared" ref="C23:H23" si="11">75*32</f>
        <v>2400</v>
      </c>
      <c r="D23" s="17">
        <f t="shared" si="11"/>
        <v>2400</v>
      </c>
      <c r="E23" s="17">
        <f t="shared" si="11"/>
        <v>2400</v>
      </c>
      <c r="F23" s="17">
        <f t="shared" si="11"/>
        <v>2400</v>
      </c>
      <c r="G23" s="17">
        <f t="shared" si="11"/>
        <v>2400</v>
      </c>
      <c r="H23" s="17">
        <f t="shared" si="11"/>
        <v>2400</v>
      </c>
    </row>
    <row r="24" spans="1:11">
      <c r="A24" s="12" t="s">
        <v>84</v>
      </c>
      <c r="B24" s="17">
        <f t="shared" ref="B24:H24" si="12">37.5*7</f>
        <v>262.5</v>
      </c>
      <c r="C24" s="17">
        <f t="shared" si="12"/>
        <v>262.5</v>
      </c>
      <c r="D24" s="17">
        <f t="shared" si="12"/>
        <v>262.5</v>
      </c>
      <c r="E24" s="17">
        <f t="shared" si="12"/>
        <v>262.5</v>
      </c>
      <c r="F24" s="17">
        <f t="shared" si="12"/>
        <v>262.5</v>
      </c>
      <c r="G24" s="17">
        <f t="shared" si="12"/>
        <v>262.5</v>
      </c>
      <c r="H24" s="17">
        <f t="shared" si="12"/>
        <v>262.5</v>
      </c>
    </row>
    <row r="25" spans="1:11">
      <c r="A25" s="12" t="s">
        <v>85</v>
      </c>
      <c r="B25" s="17">
        <v>1500</v>
      </c>
      <c r="C25" s="17">
        <v>1500</v>
      </c>
      <c r="D25" s="17">
        <v>1500</v>
      </c>
      <c r="E25" s="17">
        <v>1500</v>
      </c>
      <c r="F25" s="17">
        <v>1500</v>
      </c>
      <c r="G25" s="17">
        <v>1500</v>
      </c>
      <c r="H25" s="17">
        <v>1500</v>
      </c>
    </row>
    <row r="26" spans="1:11">
      <c r="A26" s="4" t="s">
        <v>2</v>
      </c>
      <c r="B26" s="17">
        <f t="shared" ref="B26:H26" si="13">SUM(B20:B25)</f>
        <v>30512.5</v>
      </c>
      <c r="C26" s="17">
        <f t="shared" si="13"/>
        <v>31792.5</v>
      </c>
      <c r="D26" s="17">
        <f t="shared" si="13"/>
        <v>33082.5</v>
      </c>
      <c r="E26" s="17">
        <f t="shared" si="13"/>
        <v>34362.5</v>
      </c>
      <c r="F26" s="17">
        <f t="shared" si="13"/>
        <v>36292.5</v>
      </c>
      <c r="G26" s="17">
        <f t="shared" si="13"/>
        <v>38222.5</v>
      </c>
      <c r="H26" s="17">
        <f t="shared" si="13"/>
        <v>40142.5</v>
      </c>
    </row>
    <row r="27" spans="1:11">
      <c r="A27" s="4" t="s">
        <v>3</v>
      </c>
      <c r="B27" s="17">
        <f t="shared" ref="B27:H27" si="14">(B26*0.74)+(30840/12)</f>
        <v>25149.25</v>
      </c>
      <c r="C27" s="17">
        <f t="shared" si="14"/>
        <v>26096.45</v>
      </c>
      <c r="D27" s="17">
        <f t="shared" si="14"/>
        <v>27051.05</v>
      </c>
      <c r="E27" s="17">
        <f t="shared" si="14"/>
        <v>27998.25</v>
      </c>
      <c r="F27" s="17">
        <f t="shared" si="14"/>
        <v>29426.45</v>
      </c>
      <c r="G27" s="17">
        <f t="shared" si="14"/>
        <v>30854.65</v>
      </c>
      <c r="H27" s="17">
        <f t="shared" si="14"/>
        <v>32275.45</v>
      </c>
    </row>
    <row r="28" spans="1:11">
      <c r="A28" s="4" t="s">
        <v>4</v>
      </c>
      <c r="B28" s="18">
        <f>SUM(B27:B27)/D1</f>
        <v>159.67777777777778</v>
      </c>
      <c r="C28" s="18">
        <f>SUM(C27:C27)/D1</f>
        <v>165.69174603174605</v>
      </c>
      <c r="D28" s="18">
        <f>SUM(D27:D27)/D1</f>
        <v>171.75269841269841</v>
      </c>
      <c r="E28" s="18">
        <f>SUM(E27:E27)/D1</f>
        <v>177.76666666666668</v>
      </c>
      <c r="F28" s="18">
        <f>SUM(F27:F27)/D1</f>
        <v>186.83460317460319</v>
      </c>
      <c r="G28" s="18">
        <f>SUM(G27:G27)/D1</f>
        <v>195.9025396825397</v>
      </c>
      <c r="H28" s="18">
        <f>SUM(H27:H27)/D1</f>
        <v>204.92349206349206</v>
      </c>
    </row>
    <row r="29" spans="1:11">
      <c r="A29" s="4" t="s">
        <v>5</v>
      </c>
      <c r="B29" s="19">
        <f>B28</f>
        <v>159.67777777777778</v>
      </c>
      <c r="C29" s="19">
        <f t="shared" ref="C29:H29" si="15">C28</f>
        <v>165.69174603174605</v>
      </c>
      <c r="D29" s="19">
        <f t="shared" si="15"/>
        <v>171.75269841269841</v>
      </c>
      <c r="E29" s="19">
        <f t="shared" si="15"/>
        <v>177.76666666666668</v>
      </c>
      <c r="F29" s="19">
        <f t="shared" si="15"/>
        <v>186.83460317460319</v>
      </c>
      <c r="G29" s="19">
        <f t="shared" si="15"/>
        <v>195.9025396825397</v>
      </c>
      <c r="H29" s="19">
        <f t="shared" si="15"/>
        <v>204.92349206349206</v>
      </c>
    </row>
    <row r="30" spans="1:11" ht="15" thickBot="1">
      <c r="A30" s="6"/>
      <c r="B30" s="20">
        <f>B29*$D$1</f>
        <v>25149.25</v>
      </c>
      <c r="C30" s="20">
        <f t="shared" ref="C30:H30" si="16">C29*$D$1</f>
        <v>26096.450000000004</v>
      </c>
      <c r="D30" s="20">
        <f t="shared" si="16"/>
        <v>27051.05</v>
      </c>
      <c r="E30" s="20">
        <f t="shared" si="16"/>
        <v>27998.250000000004</v>
      </c>
      <c r="F30" s="20">
        <f t="shared" si="16"/>
        <v>29426.45</v>
      </c>
      <c r="G30" s="20">
        <f t="shared" si="16"/>
        <v>30854.65</v>
      </c>
      <c r="H30" s="20">
        <f t="shared" si="16"/>
        <v>32275.45</v>
      </c>
    </row>
    <row r="31" spans="1:11" ht="15" thickBot="1">
      <c r="A31" s="8" t="s">
        <v>9</v>
      </c>
      <c r="B31" s="21">
        <f t="shared" ref="B31:H31" si="17">(B30-2570)/0.74</f>
        <v>30512.5</v>
      </c>
      <c r="C31" s="21">
        <f t="shared" si="17"/>
        <v>31792.500000000007</v>
      </c>
      <c r="D31" s="21">
        <f t="shared" si="17"/>
        <v>33082.5</v>
      </c>
      <c r="E31" s="21">
        <f t="shared" si="17"/>
        <v>34362.500000000007</v>
      </c>
      <c r="F31" s="21">
        <f t="shared" si="17"/>
        <v>36292.5</v>
      </c>
      <c r="G31" s="21">
        <f t="shared" si="17"/>
        <v>38222.5</v>
      </c>
      <c r="H31" s="21">
        <f t="shared" si="17"/>
        <v>40142.5</v>
      </c>
    </row>
  </sheetData>
  <mergeCells count="2">
    <mergeCell ref="B2:H2"/>
    <mergeCell ref="I18:K18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5A4C-6BAE-480A-ACBA-2307FDAE2B1B}">
  <sheetPr codeName="List19">
    <tabColor rgb="FF92D050"/>
  </sheetPr>
  <dimension ref="A1:F35"/>
  <sheetViews>
    <sheetView workbookViewId="0">
      <selection activeCell="G25" sqref="G25"/>
    </sheetView>
  </sheetViews>
  <sheetFormatPr defaultColWidth="8.88671875" defaultRowHeight="14.4"/>
  <cols>
    <col min="1" max="1" width="39" style="37" bestFit="1" customWidth="1"/>
    <col min="2" max="2" width="10.77734375" style="55" bestFit="1" customWidth="1"/>
    <col min="3" max="3" width="10.109375" style="37" bestFit="1" customWidth="1"/>
    <col min="4" max="5" width="10.21875" style="37" bestFit="1" customWidth="1"/>
    <col min="6" max="16384" width="8.88671875" style="37"/>
  </cols>
  <sheetData>
    <row r="1" spans="1:5">
      <c r="A1" s="35" t="s">
        <v>152</v>
      </c>
      <c r="B1" s="33" t="s">
        <v>0</v>
      </c>
      <c r="C1" s="34">
        <v>45531</v>
      </c>
      <c r="D1" s="36" t="s">
        <v>131</v>
      </c>
      <c r="E1" s="36">
        <v>157.5</v>
      </c>
    </row>
    <row r="2" spans="1:5">
      <c r="B2" s="37"/>
      <c r="D2" s="56" t="s">
        <v>150</v>
      </c>
      <c r="E2" s="57" t="s">
        <v>151</v>
      </c>
    </row>
    <row r="3" spans="1:5" s="38" customFormat="1" ht="43.95" customHeight="1">
      <c r="A3" s="13" t="s">
        <v>73</v>
      </c>
      <c r="B3" s="10" t="s">
        <v>146</v>
      </c>
      <c r="C3" s="10" t="s">
        <v>145</v>
      </c>
    </row>
    <row r="4" spans="1:5">
      <c r="A4" s="39" t="s">
        <v>1</v>
      </c>
      <c r="B4" s="40">
        <v>19500</v>
      </c>
      <c r="C4" s="40">
        <v>23000</v>
      </c>
      <c r="D4" s="38"/>
    </row>
    <row r="5" spans="1:5">
      <c r="A5" s="39" t="s">
        <v>121</v>
      </c>
      <c r="B5" s="40">
        <v>1000</v>
      </c>
      <c r="C5" s="40">
        <v>1000</v>
      </c>
      <c r="D5" s="38"/>
    </row>
    <row r="6" spans="1:5">
      <c r="A6" s="39" t="s">
        <v>149</v>
      </c>
      <c r="B6" s="40">
        <v>650</v>
      </c>
      <c r="C6" s="40">
        <v>650</v>
      </c>
      <c r="D6" s="38"/>
    </row>
    <row r="7" spans="1:5">
      <c r="A7" s="41" t="s">
        <v>147</v>
      </c>
      <c r="B7" s="40">
        <f>37.5*15</f>
        <v>562.5</v>
      </c>
      <c r="C7" s="40">
        <f>37.5*15</f>
        <v>562.5</v>
      </c>
      <c r="D7" s="38"/>
    </row>
    <row r="8" spans="1:5">
      <c r="A8" s="41" t="s">
        <v>153</v>
      </c>
      <c r="B8" s="40">
        <v>500</v>
      </c>
      <c r="C8" s="40">
        <f>SUM(E1)*15/2</f>
        <v>1181.25</v>
      </c>
      <c r="D8" s="38"/>
    </row>
    <row r="9" spans="1:5">
      <c r="A9" s="41" t="s">
        <v>14</v>
      </c>
      <c r="B9" s="40">
        <v>400</v>
      </c>
      <c r="C9" s="40">
        <v>400</v>
      </c>
      <c r="D9" s="38"/>
    </row>
    <row r="10" spans="1:5">
      <c r="A10" s="41" t="s">
        <v>216</v>
      </c>
      <c r="B10" s="40">
        <v>1000</v>
      </c>
      <c r="C10" s="40">
        <v>1000</v>
      </c>
      <c r="D10" s="38"/>
    </row>
    <row r="11" spans="1:5">
      <c r="A11" s="41" t="s">
        <v>148</v>
      </c>
      <c r="B11" s="40">
        <f>10*37.5</f>
        <v>375</v>
      </c>
      <c r="C11" s="40">
        <f>10*37.5</f>
        <v>375</v>
      </c>
      <c r="D11" s="38"/>
    </row>
    <row r="12" spans="1:5">
      <c r="A12" s="39" t="s">
        <v>2</v>
      </c>
      <c r="B12" s="40">
        <f t="shared" ref="B12:C12" si="0">SUM(B4:B11)</f>
        <v>23987.5</v>
      </c>
      <c r="C12" s="40">
        <f t="shared" si="0"/>
        <v>28168.75</v>
      </c>
      <c r="D12" s="38"/>
    </row>
    <row r="13" spans="1:5">
      <c r="A13" s="39" t="s">
        <v>3</v>
      </c>
      <c r="B13" s="40">
        <f>(B12*0.74)+(30840/12)</f>
        <v>20320.75</v>
      </c>
      <c r="C13" s="40">
        <f>(C12*0.74)+(30840/12)</f>
        <v>23414.875</v>
      </c>
      <c r="D13" s="38"/>
    </row>
    <row r="14" spans="1:5">
      <c r="A14" s="39" t="s">
        <v>4</v>
      </c>
      <c r="B14" s="42">
        <f>SUM(B13:B13)/E1</f>
        <v>129.02063492063493</v>
      </c>
      <c r="C14" s="42">
        <f>SUM(C13:C13)/E1</f>
        <v>148.66587301587302</v>
      </c>
      <c r="D14" s="38"/>
    </row>
    <row r="15" spans="1:5">
      <c r="A15" s="39" t="s">
        <v>5</v>
      </c>
      <c r="B15" s="43">
        <f>B14</f>
        <v>129.02063492063493</v>
      </c>
      <c r="C15" s="43">
        <f t="shared" ref="C15" si="1">C14</f>
        <v>148.66587301587302</v>
      </c>
      <c r="D15" s="38"/>
    </row>
    <row r="16" spans="1:5" ht="15" thickBot="1">
      <c r="A16" s="44"/>
      <c r="B16" s="45">
        <f>B15*$E$1</f>
        <v>20320.750000000004</v>
      </c>
      <c r="C16" s="46">
        <f>C15*$E$1</f>
        <v>23414.875</v>
      </c>
      <c r="D16" s="38"/>
    </row>
    <row r="17" spans="1:6" ht="15" thickBot="1">
      <c r="A17" s="47" t="s">
        <v>6</v>
      </c>
      <c r="B17" s="48">
        <f>(B16-2570)/0.74</f>
        <v>23987.500000000004</v>
      </c>
      <c r="C17" s="48">
        <f>(C16-2570)/0.74</f>
        <v>28168.75</v>
      </c>
      <c r="D17" s="38"/>
    </row>
    <row r="18" spans="1:6" ht="15" thickBot="1">
      <c r="A18" s="49"/>
      <c r="B18" s="50"/>
      <c r="C18" s="51"/>
      <c r="D18" s="38"/>
    </row>
    <row r="19" spans="1:6" ht="15" thickBot="1">
      <c r="A19" s="52" t="s">
        <v>7</v>
      </c>
      <c r="B19" s="53">
        <f>AVERAGE(B15,B33)</f>
        <v>134.21825396825398</v>
      </c>
      <c r="C19" s="53">
        <f>AVERAGE(C15,C33)</f>
        <v>155.4638888888889</v>
      </c>
      <c r="D19" s="277" t="s">
        <v>20</v>
      </c>
      <c r="E19" s="278"/>
      <c r="F19" s="278"/>
    </row>
    <row r="21" spans="1:6" ht="27.6">
      <c r="A21" s="13" t="s">
        <v>16</v>
      </c>
      <c r="B21" s="10" t="s">
        <v>146</v>
      </c>
      <c r="C21" s="10" t="s">
        <v>145</v>
      </c>
    </row>
    <row r="22" spans="1:6">
      <c r="A22" s="39" t="s">
        <v>1</v>
      </c>
      <c r="B22" s="40">
        <v>19500</v>
      </c>
      <c r="C22" s="40">
        <v>23000</v>
      </c>
    </row>
    <row r="23" spans="1:6">
      <c r="A23" s="39" t="s">
        <v>121</v>
      </c>
      <c r="B23" s="40">
        <v>1000</v>
      </c>
      <c r="C23" s="40">
        <v>1000</v>
      </c>
    </row>
    <row r="24" spans="1:6">
      <c r="A24" s="39" t="s">
        <v>149</v>
      </c>
      <c r="B24" s="40">
        <v>1300</v>
      </c>
      <c r="C24" s="40">
        <v>1300</v>
      </c>
    </row>
    <row r="25" spans="1:6">
      <c r="A25" s="41" t="s">
        <v>147</v>
      </c>
      <c r="B25" s="40">
        <f>15*75</f>
        <v>1125</v>
      </c>
      <c r="C25" s="40">
        <f>15*75</f>
        <v>1125</v>
      </c>
    </row>
    <row r="26" spans="1:6">
      <c r="A26" s="41" t="s">
        <v>153</v>
      </c>
      <c r="B26" s="40">
        <v>1000</v>
      </c>
      <c r="C26" s="40">
        <f>SUM(E1)*15</f>
        <v>2362.5</v>
      </c>
    </row>
    <row r="27" spans="1:6">
      <c r="A27" s="41" t="s">
        <v>14</v>
      </c>
      <c r="B27" s="40">
        <v>400</v>
      </c>
      <c r="C27" s="40">
        <v>400</v>
      </c>
    </row>
    <row r="28" spans="1:6">
      <c r="A28" s="41" t="s">
        <v>216</v>
      </c>
      <c r="B28" s="40">
        <v>1500</v>
      </c>
      <c r="C28" s="40">
        <v>1500</v>
      </c>
      <c r="D28" s="38"/>
    </row>
    <row r="29" spans="1:6">
      <c r="A29" s="41" t="s">
        <v>148</v>
      </c>
      <c r="B29" s="40">
        <f>37.5*10</f>
        <v>375</v>
      </c>
      <c r="C29" s="40">
        <f>37.5*10</f>
        <v>375</v>
      </c>
    </row>
    <row r="30" spans="1:6">
      <c r="A30" s="39" t="s">
        <v>2</v>
      </c>
      <c r="B30" s="40">
        <f>SUM(B22:B29)</f>
        <v>26200</v>
      </c>
      <c r="C30" s="40">
        <f>SUM(C22:C29)</f>
        <v>31062.5</v>
      </c>
    </row>
    <row r="31" spans="1:6">
      <c r="A31" s="39" t="s">
        <v>3</v>
      </c>
      <c r="B31" s="40">
        <f>(B30*0.74)+(30840/12)</f>
        <v>21958</v>
      </c>
      <c r="C31" s="40">
        <f>(C30*0.74)+(30840/12)</f>
        <v>25556.25</v>
      </c>
    </row>
    <row r="32" spans="1:6">
      <c r="A32" s="39" t="s">
        <v>4</v>
      </c>
      <c r="B32" s="42">
        <f>SUM(B31:B31)/E1</f>
        <v>139.41587301587302</v>
      </c>
      <c r="C32" s="42">
        <f>SUM(C31:C31)/E1</f>
        <v>162.26190476190476</v>
      </c>
    </row>
    <row r="33" spans="1:3">
      <c r="A33" s="39" t="s">
        <v>5</v>
      </c>
      <c r="B33" s="43">
        <f>B32</f>
        <v>139.41587301587302</v>
      </c>
      <c r="C33" s="43">
        <f t="shared" ref="C33" si="2">C32</f>
        <v>162.26190476190476</v>
      </c>
    </row>
    <row r="34" spans="1:3" ht="15" thickBot="1">
      <c r="A34" s="44"/>
      <c r="B34" s="45">
        <f>B33*$E$1</f>
        <v>21958</v>
      </c>
      <c r="C34" s="45">
        <f>C33*$E$1</f>
        <v>25556.25</v>
      </c>
    </row>
    <row r="35" spans="1:3" ht="15" thickBot="1">
      <c r="A35" s="47" t="s">
        <v>9</v>
      </c>
      <c r="B35" s="48">
        <f>(B34-2570)/0.74</f>
        <v>26200</v>
      </c>
      <c r="C35" s="48">
        <f>(C34-2570)/0.74</f>
        <v>31062.5</v>
      </c>
    </row>
  </sheetData>
  <mergeCells count="1">
    <mergeCell ref="D19:F19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E70D-5816-4E13-9CE2-7FC0C2BA9EFD}">
  <sheetPr codeName="List20">
    <tabColor rgb="FF92D050"/>
  </sheetPr>
  <dimension ref="A1:N34"/>
  <sheetViews>
    <sheetView zoomScale="115" zoomScaleNormal="115" workbookViewId="0">
      <selection activeCell="B2" sqref="B2:H2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0.44140625" style="15" bestFit="1" customWidth="1"/>
    <col min="4" max="4" width="11.44140625" customWidth="1"/>
    <col min="5" max="5" width="9.77734375" bestFit="1" customWidth="1"/>
    <col min="6" max="6" width="11.77734375" bestFit="1" customWidth="1"/>
    <col min="7" max="7" width="9.77734375" bestFit="1" customWidth="1"/>
    <col min="8" max="8" width="13.5546875" customWidth="1"/>
    <col min="9" max="9" width="28.21875" bestFit="1" customWidth="1"/>
  </cols>
  <sheetData>
    <row r="1" spans="1:14">
      <c r="A1" s="1" t="s">
        <v>86</v>
      </c>
      <c r="B1" s="14" t="s">
        <v>0</v>
      </c>
      <c r="C1" s="14" t="s">
        <v>0</v>
      </c>
      <c r="D1" s="2">
        <v>45778</v>
      </c>
      <c r="E1" s="22">
        <v>156.875</v>
      </c>
      <c r="F1" s="23" t="s">
        <v>289</v>
      </c>
      <c r="G1" s="3"/>
      <c r="H1" s="3"/>
    </row>
    <row r="2" spans="1:14" s="11" customFormat="1" ht="69">
      <c r="A2" s="13" t="s">
        <v>73</v>
      </c>
      <c r="B2" s="10" t="s">
        <v>296</v>
      </c>
      <c r="C2" s="10" t="s">
        <v>297</v>
      </c>
      <c r="D2" s="10" t="s">
        <v>294</v>
      </c>
      <c r="E2" s="10" t="s">
        <v>91</v>
      </c>
      <c r="F2" s="10" t="s">
        <v>92</v>
      </c>
      <c r="G2" s="10" t="s">
        <v>93</v>
      </c>
      <c r="H2" s="228" t="s">
        <v>398</v>
      </c>
    </row>
    <row r="3" spans="1:14">
      <c r="A3" s="4" t="s">
        <v>1</v>
      </c>
      <c r="B3" s="17">
        <f>142*157.5</f>
        <v>22365</v>
      </c>
      <c r="C3" s="17">
        <f>142*157.5</f>
        <v>22365</v>
      </c>
      <c r="D3" s="17">
        <f>189*157.5</f>
        <v>29767.5</v>
      </c>
      <c r="E3" s="17">
        <f>166*157.5</f>
        <v>26145</v>
      </c>
      <c r="F3" s="5">
        <v>33475</v>
      </c>
      <c r="G3" s="17">
        <f>169*156.25</f>
        <v>26406.25</v>
      </c>
      <c r="H3" s="17">
        <f>142*168</f>
        <v>23856</v>
      </c>
      <c r="I3" s="11"/>
      <c r="J3" s="11"/>
      <c r="K3" s="11"/>
      <c r="L3" s="11"/>
      <c r="M3" s="11"/>
      <c r="N3" s="11"/>
    </row>
    <row r="4" spans="1:14">
      <c r="A4" s="4" t="s">
        <v>89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1"/>
      <c r="J4" s="11"/>
      <c r="K4" s="11"/>
      <c r="L4" s="11"/>
      <c r="M4" s="11"/>
      <c r="N4" s="11"/>
    </row>
    <row r="5" spans="1:14">
      <c r="A5" s="4" t="s">
        <v>115</v>
      </c>
      <c r="B5" s="17">
        <f t="shared" ref="B5:H5" si="0">SUM($E$1)*5</f>
        <v>784.375</v>
      </c>
      <c r="C5" s="17">
        <f t="shared" si="0"/>
        <v>784.375</v>
      </c>
      <c r="D5" s="17">
        <f t="shared" si="0"/>
        <v>784.375</v>
      </c>
      <c r="E5" s="17">
        <f t="shared" si="0"/>
        <v>784.375</v>
      </c>
      <c r="F5" s="17">
        <f t="shared" si="0"/>
        <v>784.375</v>
      </c>
      <c r="G5" s="17">
        <f t="shared" si="0"/>
        <v>784.375</v>
      </c>
      <c r="H5" s="17">
        <f t="shared" si="0"/>
        <v>784.375</v>
      </c>
      <c r="I5" s="11"/>
      <c r="J5" s="11"/>
      <c r="K5" s="11"/>
      <c r="L5" s="11"/>
      <c r="M5" s="11"/>
      <c r="N5" s="11"/>
    </row>
    <row r="6" spans="1:14">
      <c r="A6" s="4" t="s">
        <v>14</v>
      </c>
      <c r="B6" s="17">
        <v>600</v>
      </c>
      <c r="C6" s="17">
        <v>600</v>
      </c>
      <c r="D6" s="17">
        <v>600</v>
      </c>
      <c r="E6" s="17">
        <v>600</v>
      </c>
      <c r="F6" s="17">
        <v>600</v>
      </c>
      <c r="G6" s="17">
        <v>600</v>
      </c>
      <c r="H6" s="17">
        <v>600</v>
      </c>
      <c r="I6" s="11"/>
      <c r="J6" s="11"/>
      <c r="K6" s="11"/>
      <c r="L6" s="11"/>
      <c r="M6" s="11"/>
      <c r="N6" s="11"/>
    </row>
    <row r="7" spans="1:14">
      <c r="A7" s="4" t="s">
        <v>241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1"/>
      <c r="J7" s="11"/>
      <c r="K7" s="11"/>
      <c r="L7" s="11"/>
      <c r="M7" s="11"/>
      <c r="N7" s="11"/>
    </row>
    <row r="8" spans="1:14">
      <c r="A8" s="12" t="s">
        <v>88</v>
      </c>
      <c r="B8" s="17">
        <v>0</v>
      </c>
      <c r="C8" s="17">
        <v>0</v>
      </c>
      <c r="D8" s="17">
        <f>SUM(D3/157.5)*0.15*37.5</f>
        <v>1063.125</v>
      </c>
      <c r="E8" s="17">
        <v>0</v>
      </c>
      <c r="F8" s="17">
        <v>0</v>
      </c>
      <c r="G8" s="17">
        <v>0</v>
      </c>
      <c r="H8" s="17">
        <v>0</v>
      </c>
      <c r="I8" s="11"/>
      <c r="J8" s="11"/>
      <c r="K8" s="11"/>
      <c r="L8" s="11"/>
      <c r="M8" s="11"/>
      <c r="N8" s="11"/>
    </row>
    <row r="9" spans="1:14">
      <c r="A9" s="12" t="s">
        <v>397</v>
      </c>
      <c r="B9" s="17">
        <v>0</v>
      </c>
      <c r="C9" s="17">
        <f>20*E1</f>
        <v>3137.5</v>
      </c>
      <c r="D9" s="17">
        <f>20*E1</f>
        <v>3137.5</v>
      </c>
      <c r="E9" s="17">
        <v>0</v>
      </c>
      <c r="F9" s="17">
        <v>0</v>
      </c>
      <c r="G9" s="17">
        <v>0</v>
      </c>
      <c r="H9" s="17">
        <f>80*168</f>
        <v>13440</v>
      </c>
      <c r="I9" s="30" t="s">
        <v>299</v>
      </c>
    </row>
    <row r="10" spans="1:14">
      <c r="A10" s="12" t="s">
        <v>87</v>
      </c>
      <c r="B10" s="17">
        <f>37.5*5</f>
        <v>187.5</v>
      </c>
      <c r="C10" s="17">
        <f>37.5*5</f>
        <v>187.5</v>
      </c>
      <c r="D10" s="17">
        <f t="shared" ref="D10:H10" si="1">37.5*5</f>
        <v>187.5</v>
      </c>
      <c r="E10" s="17">
        <f t="shared" si="1"/>
        <v>187.5</v>
      </c>
      <c r="F10" s="17">
        <f t="shared" si="1"/>
        <v>187.5</v>
      </c>
      <c r="G10" s="17">
        <f t="shared" si="1"/>
        <v>187.5</v>
      </c>
      <c r="H10" s="17">
        <f t="shared" si="1"/>
        <v>187.5</v>
      </c>
      <c r="I10" s="11"/>
    </row>
    <row r="11" spans="1:14">
      <c r="A11" s="4" t="s">
        <v>2</v>
      </c>
      <c r="B11" s="17">
        <f t="shared" ref="B11:G11" si="2">SUM(B3:B10)</f>
        <v>23936.875</v>
      </c>
      <c r="C11" s="17">
        <f t="shared" si="2"/>
        <v>27074.375</v>
      </c>
      <c r="D11" s="17">
        <f t="shared" si="2"/>
        <v>35540</v>
      </c>
      <c r="E11" s="17">
        <f t="shared" si="2"/>
        <v>27716.875</v>
      </c>
      <c r="F11" s="17">
        <f t="shared" si="2"/>
        <v>35046.875</v>
      </c>
      <c r="G11" s="17">
        <f t="shared" si="2"/>
        <v>27978.125</v>
      </c>
      <c r="H11" s="17">
        <f t="shared" ref="H11" si="3">SUM(H3:H10)</f>
        <v>38867.875</v>
      </c>
      <c r="I11" s="11"/>
    </row>
    <row r="12" spans="1:14">
      <c r="A12" s="4" t="s">
        <v>3</v>
      </c>
      <c r="B12" s="17">
        <f t="shared" ref="B12:G12" si="4">(B11*0.74)+(30840/12)</f>
        <v>20283.287499999999</v>
      </c>
      <c r="C12" s="17">
        <f t="shared" si="4"/>
        <v>22605.037499999999</v>
      </c>
      <c r="D12" s="17">
        <f t="shared" si="4"/>
        <v>28869.599999999999</v>
      </c>
      <c r="E12" s="17">
        <f t="shared" si="4"/>
        <v>23080.487499999999</v>
      </c>
      <c r="F12" s="17">
        <f t="shared" si="4"/>
        <v>28504.6875</v>
      </c>
      <c r="G12" s="17">
        <f t="shared" si="4"/>
        <v>23273.8125</v>
      </c>
      <c r="H12" s="17">
        <f t="shared" ref="H12" si="5">(H11*0.74)+(30840/12)</f>
        <v>31332.227500000001</v>
      </c>
      <c r="I12" s="11"/>
    </row>
    <row r="13" spans="1:14">
      <c r="A13" s="4" t="s">
        <v>4</v>
      </c>
      <c r="B13" s="18">
        <f>SUM(B12:B12)/E1</f>
        <v>129.29585657370518</v>
      </c>
      <c r="C13" s="18">
        <f>SUM(C12:C12)/E1</f>
        <v>144.09585657370516</v>
      </c>
      <c r="D13" s="18">
        <f>SUM(D12:D12)/E1</f>
        <v>184.02932270916332</v>
      </c>
      <c r="E13" s="18">
        <f>SUM(E12:E12)/E1</f>
        <v>147.12661354581672</v>
      </c>
      <c r="F13" s="18">
        <f>SUM(F12:F12)/E1</f>
        <v>181.70318725099602</v>
      </c>
      <c r="G13" s="18">
        <f>SUM(G12:G12)/E1</f>
        <v>148.35896414342631</v>
      </c>
      <c r="H13" s="18">
        <f>SUM(H12:H12)/168</f>
        <v>186.50135416666666</v>
      </c>
      <c r="I13" s="11"/>
    </row>
    <row r="14" spans="1:14">
      <c r="A14" s="4" t="s">
        <v>5</v>
      </c>
      <c r="B14" s="19">
        <f>B13</f>
        <v>129.29585657370518</v>
      </c>
      <c r="C14" s="19">
        <f>C13</f>
        <v>144.09585657370516</v>
      </c>
      <c r="D14" s="19">
        <f t="shared" ref="D14:G14" si="6">D13</f>
        <v>184.02932270916332</v>
      </c>
      <c r="E14" s="19">
        <f t="shared" si="6"/>
        <v>147.12661354581672</v>
      </c>
      <c r="F14" s="19">
        <f t="shared" si="6"/>
        <v>181.70318725099602</v>
      </c>
      <c r="G14" s="19">
        <f t="shared" si="6"/>
        <v>148.35896414342631</v>
      </c>
      <c r="H14" s="19">
        <f t="shared" ref="H14" si="7">H13</f>
        <v>186.50135416666666</v>
      </c>
      <c r="I14" s="11"/>
    </row>
    <row r="15" spans="1:14" ht="15" thickBot="1">
      <c r="A15" s="6"/>
      <c r="B15" s="20">
        <f>B14*$E$1</f>
        <v>20283.287499999999</v>
      </c>
      <c r="C15" s="20">
        <f>C14*$E$1</f>
        <v>22605.037499999999</v>
      </c>
      <c r="D15" s="7">
        <f t="shared" ref="D15:G15" si="8">D14*$E$1</f>
        <v>28869.599999999995</v>
      </c>
      <c r="E15" s="7">
        <f t="shared" si="8"/>
        <v>23080.487499999999</v>
      </c>
      <c r="F15" s="7">
        <f t="shared" si="8"/>
        <v>28504.6875</v>
      </c>
      <c r="G15" s="7">
        <f t="shared" si="8"/>
        <v>23273.8125</v>
      </c>
      <c r="H15" s="7">
        <f t="shared" ref="H15" si="9">H14*$E$1</f>
        <v>29257.399934895831</v>
      </c>
      <c r="I15" s="11"/>
    </row>
    <row r="16" spans="1:14" ht="15" thickBot="1">
      <c r="A16" s="8" t="s">
        <v>6</v>
      </c>
      <c r="B16" s="21">
        <f t="shared" ref="B16:G16" si="10">(B15-2570)/0.74</f>
        <v>23936.875</v>
      </c>
      <c r="C16" s="21">
        <f t="shared" si="10"/>
        <v>27074.375</v>
      </c>
      <c r="D16" s="21">
        <f t="shared" si="10"/>
        <v>35539.999999999993</v>
      </c>
      <c r="E16" s="21">
        <f t="shared" si="10"/>
        <v>27716.875</v>
      </c>
      <c r="F16" s="21">
        <f t="shared" si="10"/>
        <v>35046.875</v>
      </c>
      <c r="G16" s="21">
        <f t="shared" si="10"/>
        <v>27978.125</v>
      </c>
      <c r="H16" s="21">
        <f t="shared" ref="H16" si="11">(H15-2570)/0.74</f>
        <v>36064.053966075451</v>
      </c>
      <c r="I16" s="11"/>
    </row>
    <row r="17" spans="1:9" ht="15" thickBot="1">
      <c r="A17" s="9"/>
      <c r="B17" s="16"/>
      <c r="C17" s="16"/>
      <c r="D17" s="24"/>
      <c r="E17" s="24"/>
      <c r="F17" s="24"/>
      <c r="G17" s="24"/>
      <c r="H17" s="248"/>
      <c r="I17" s="11"/>
    </row>
    <row r="18" spans="1:9" ht="15" thickBot="1">
      <c r="A18" s="25" t="s">
        <v>7</v>
      </c>
      <c r="B18" s="26">
        <f t="shared" ref="B18:H18" si="12">AVERAGE(B14,B32)</f>
        <v>137.2825498007968</v>
      </c>
      <c r="C18" s="26">
        <f t="shared" si="12"/>
        <v>148.3825498007968</v>
      </c>
      <c r="D18" s="26">
        <f t="shared" si="12"/>
        <v>193.03756972111552</v>
      </c>
      <c r="E18" s="26">
        <f t="shared" si="12"/>
        <v>154.33203187250996</v>
      </c>
      <c r="F18" s="26">
        <f t="shared" si="12"/>
        <v>190.14348321001705</v>
      </c>
      <c r="G18" s="26">
        <f t="shared" si="12"/>
        <v>155.60839499146272</v>
      </c>
      <c r="H18" s="26">
        <f t="shared" si="12"/>
        <v>186.50135416666666</v>
      </c>
      <c r="I18" s="28" t="s">
        <v>20</v>
      </c>
    </row>
    <row r="20" spans="1:9" ht="69">
      <c r="A20" s="13" t="s">
        <v>16</v>
      </c>
      <c r="B20" s="10" t="s">
        <v>296</v>
      </c>
      <c r="C20" s="10" t="s">
        <v>298</v>
      </c>
      <c r="D20" s="10" t="s">
        <v>294</v>
      </c>
      <c r="E20" s="10" t="s">
        <v>91</v>
      </c>
      <c r="F20" s="10" t="s">
        <v>92</v>
      </c>
      <c r="G20" s="10" t="s">
        <v>93</v>
      </c>
      <c r="H20" s="228" t="s">
        <v>398</v>
      </c>
    </row>
    <row r="21" spans="1:9">
      <c r="A21" s="4" t="s">
        <v>1</v>
      </c>
      <c r="B21" s="17">
        <f>146*157.5</f>
        <v>22995</v>
      </c>
      <c r="C21" s="17">
        <f>146*157.5</f>
        <v>22995</v>
      </c>
      <c r="D21" s="17">
        <f>189*157.5</f>
        <v>29767.5</v>
      </c>
      <c r="E21" s="17">
        <f>166*157.5</f>
        <v>26145</v>
      </c>
      <c r="F21" s="5">
        <v>33475</v>
      </c>
      <c r="G21" s="17">
        <f>169*156.25</f>
        <v>26406.25</v>
      </c>
      <c r="H21" s="17">
        <f>142*168</f>
        <v>23856</v>
      </c>
    </row>
    <row r="22" spans="1:9">
      <c r="A22" s="4" t="s">
        <v>90</v>
      </c>
      <c r="B22" s="17">
        <v>1000</v>
      </c>
      <c r="C22" s="17">
        <v>1000</v>
      </c>
      <c r="D22" s="17">
        <v>1000</v>
      </c>
      <c r="E22" s="17">
        <v>1000</v>
      </c>
      <c r="F22" s="17">
        <v>1000</v>
      </c>
      <c r="G22" s="17">
        <v>1000</v>
      </c>
      <c r="H22" s="17">
        <v>0</v>
      </c>
    </row>
    <row r="23" spans="1:9">
      <c r="A23" s="4" t="s">
        <v>115</v>
      </c>
      <c r="B23" s="17">
        <f t="shared" ref="B23:H23" si="13">SUM($E$1)*5</f>
        <v>784.375</v>
      </c>
      <c r="C23" s="17">
        <f t="shared" si="13"/>
        <v>784.375</v>
      </c>
      <c r="D23" s="17">
        <f t="shared" si="13"/>
        <v>784.375</v>
      </c>
      <c r="E23" s="17">
        <f t="shared" si="13"/>
        <v>784.375</v>
      </c>
      <c r="F23" s="17">
        <f t="shared" si="13"/>
        <v>784.375</v>
      </c>
      <c r="G23" s="17">
        <f t="shared" si="13"/>
        <v>784.375</v>
      </c>
      <c r="H23" s="17">
        <f t="shared" si="13"/>
        <v>784.375</v>
      </c>
    </row>
    <row r="24" spans="1:9">
      <c r="A24" s="4" t="s">
        <v>14</v>
      </c>
      <c r="B24" s="17">
        <v>600</v>
      </c>
      <c r="C24" s="17">
        <v>600</v>
      </c>
      <c r="D24" s="17">
        <v>600</v>
      </c>
      <c r="E24" s="17">
        <v>600</v>
      </c>
      <c r="F24" s="17">
        <v>600</v>
      </c>
      <c r="G24" s="17">
        <v>600</v>
      </c>
      <c r="H24" s="17">
        <v>600</v>
      </c>
    </row>
    <row r="25" spans="1:9">
      <c r="A25" s="4" t="s">
        <v>241</v>
      </c>
      <c r="B25" s="17">
        <f>SUM(E1)*10</f>
        <v>1568.75</v>
      </c>
      <c r="C25" s="17">
        <f>SUM(F1)*10</f>
        <v>0</v>
      </c>
      <c r="D25" s="17">
        <f>SUM(E1)*10</f>
        <v>1568.75</v>
      </c>
      <c r="E25" s="17">
        <v>0</v>
      </c>
      <c r="F25" s="17">
        <v>0</v>
      </c>
      <c r="G25" s="17">
        <v>0</v>
      </c>
      <c r="H25" s="17">
        <v>0</v>
      </c>
    </row>
    <row r="26" spans="1:9">
      <c r="A26" s="12" t="s">
        <v>88</v>
      </c>
      <c r="B26" s="17">
        <v>0</v>
      </c>
      <c r="C26" s="17">
        <v>0</v>
      </c>
      <c r="D26" s="17">
        <f>SUM(D21/157.5)*0.15*75</f>
        <v>2126.25</v>
      </c>
      <c r="E26" s="17">
        <f>SUM(E21/157.5)*0.15*75</f>
        <v>1867.5</v>
      </c>
      <c r="F26" s="17">
        <f>SUM(F21/157.5)*0.15*75</f>
        <v>2391.0714285714284</v>
      </c>
      <c r="G26" s="17">
        <f>SUM(G21/157.5)*0.15*75</f>
        <v>1886.1607142857142</v>
      </c>
      <c r="H26" s="17">
        <v>0</v>
      </c>
      <c r="I26" s="30" t="s">
        <v>94</v>
      </c>
    </row>
    <row r="27" spans="1:9">
      <c r="A27" s="12" t="s">
        <v>295</v>
      </c>
      <c r="B27" s="17">
        <v>0</v>
      </c>
      <c r="C27" s="17">
        <f>20*E1</f>
        <v>3137.5</v>
      </c>
      <c r="D27" s="17">
        <f>20*E1</f>
        <v>3137.5</v>
      </c>
      <c r="E27" s="17">
        <v>0</v>
      </c>
      <c r="F27" s="17">
        <v>0</v>
      </c>
      <c r="G27" s="17">
        <v>0</v>
      </c>
      <c r="H27" s="17">
        <f>80*168</f>
        <v>13440</v>
      </c>
      <c r="I27" s="30" t="s">
        <v>299</v>
      </c>
    </row>
    <row r="28" spans="1:9">
      <c r="A28" s="12" t="s">
        <v>84</v>
      </c>
      <c r="B28" s="17">
        <f t="shared" ref="B28:G28" si="14">75*5</f>
        <v>375</v>
      </c>
      <c r="C28" s="17">
        <f t="shared" si="14"/>
        <v>375</v>
      </c>
      <c r="D28" s="17">
        <f t="shared" si="14"/>
        <v>375</v>
      </c>
      <c r="E28" s="17">
        <f t="shared" si="14"/>
        <v>375</v>
      </c>
      <c r="F28" s="17">
        <f t="shared" si="14"/>
        <v>375</v>
      </c>
      <c r="G28" s="17">
        <f t="shared" si="14"/>
        <v>375</v>
      </c>
      <c r="H28" s="17">
        <f t="shared" ref="H28" si="15">37.5*5</f>
        <v>187.5</v>
      </c>
    </row>
    <row r="29" spans="1:9">
      <c r="A29" s="4" t="s">
        <v>2</v>
      </c>
      <c r="B29" s="17">
        <f t="shared" ref="B29:H29" si="16">SUM(B21:B28)</f>
        <v>27323.125</v>
      </c>
      <c r="C29" s="17">
        <f t="shared" si="16"/>
        <v>28891.875</v>
      </c>
      <c r="D29" s="17">
        <f t="shared" si="16"/>
        <v>39359.375</v>
      </c>
      <c r="E29" s="17">
        <f t="shared" si="16"/>
        <v>30771.875</v>
      </c>
      <c r="F29" s="17">
        <f t="shared" si="16"/>
        <v>38625.446428571428</v>
      </c>
      <c r="G29" s="17">
        <f t="shared" si="16"/>
        <v>31051.785714285714</v>
      </c>
      <c r="H29" s="17">
        <f t="shared" si="16"/>
        <v>38867.875</v>
      </c>
    </row>
    <row r="30" spans="1:9">
      <c r="A30" s="4" t="s">
        <v>3</v>
      </c>
      <c r="B30" s="17">
        <f t="shared" ref="B30:H30" si="17">(B29*0.74)+(30840/12)</f>
        <v>22789.112499999999</v>
      </c>
      <c r="C30" s="17">
        <f t="shared" si="17"/>
        <v>23949.987499999999</v>
      </c>
      <c r="D30" s="17">
        <f t="shared" si="17"/>
        <v>31695.9375</v>
      </c>
      <c r="E30" s="17">
        <f t="shared" si="17"/>
        <v>25341.1875</v>
      </c>
      <c r="F30" s="17">
        <f t="shared" si="17"/>
        <v>31152.830357142855</v>
      </c>
      <c r="G30" s="17">
        <f t="shared" si="17"/>
        <v>25548.321428571428</v>
      </c>
      <c r="H30" s="17">
        <f t="shared" si="17"/>
        <v>31332.227500000001</v>
      </c>
    </row>
    <row r="31" spans="1:9">
      <c r="A31" s="4" t="s">
        <v>4</v>
      </c>
      <c r="B31" s="18">
        <f>SUM(B30:B30)/E1</f>
        <v>145.26924302788845</v>
      </c>
      <c r="C31" s="18">
        <f>SUM(C30:C30)/E1</f>
        <v>152.66924302788843</v>
      </c>
      <c r="D31" s="18">
        <f>SUM(D30:D30)/E1</f>
        <v>202.04581673306774</v>
      </c>
      <c r="E31" s="18">
        <f>SUM(E30:E30)/E1</f>
        <v>161.53745019920319</v>
      </c>
      <c r="F31" s="18">
        <f>SUM(F30:F30)/E1</f>
        <v>198.58377916903811</v>
      </c>
      <c r="G31" s="18">
        <f>SUM(G30:G30)/E1</f>
        <v>162.85782583949913</v>
      </c>
      <c r="H31" s="18">
        <f>SUM(H30:H30)/168</f>
        <v>186.50135416666666</v>
      </c>
    </row>
    <row r="32" spans="1:9">
      <c r="A32" s="4" t="s">
        <v>5</v>
      </c>
      <c r="B32" s="19">
        <f>B31</f>
        <v>145.26924302788845</v>
      </c>
      <c r="C32" s="19">
        <f>C31</f>
        <v>152.66924302788843</v>
      </c>
      <c r="D32" s="19">
        <f t="shared" ref="D32:H32" si="18">D31</f>
        <v>202.04581673306774</v>
      </c>
      <c r="E32" s="19">
        <f t="shared" si="18"/>
        <v>161.53745019920319</v>
      </c>
      <c r="F32" s="19">
        <f t="shared" si="18"/>
        <v>198.58377916903811</v>
      </c>
      <c r="G32" s="19">
        <f t="shared" si="18"/>
        <v>162.85782583949913</v>
      </c>
      <c r="H32" s="19">
        <f t="shared" si="18"/>
        <v>186.50135416666666</v>
      </c>
    </row>
    <row r="33" spans="1:8" ht="15" thickBot="1">
      <c r="A33" s="6"/>
      <c r="B33" s="20">
        <f>B32*$E$1</f>
        <v>22789.112499999999</v>
      </c>
      <c r="C33" s="20">
        <f>C32*$E$1</f>
        <v>23949.987499999996</v>
      </c>
      <c r="D33" s="20">
        <f t="shared" ref="D33:H33" si="19">D32*$E$1</f>
        <v>31695.9375</v>
      </c>
      <c r="E33" s="20">
        <f t="shared" si="19"/>
        <v>25341.1875</v>
      </c>
      <c r="F33" s="20">
        <f t="shared" si="19"/>
        <v>31152.830357142855</v>
      </c>
      <c r="G33" s="20">
        <f t="shared" si="19"/>
        <v>25548.321428571428</v>
      </c>
      <c r="H33" s="7">
        <f t="shared" si="19"/>
        <v>29257.399934895831</v>
      </c>
    </row>
    <row r="34" spans="1:8" ht="15" thickBot="1">
      <c r="A34" s="8" t="s">
        <v>9</v>
      </c>
      <c r="B34" s="21">
        <f t="shared" ref="B34:H34" si="20">(B33-2570)/0.74</f>
        <v>27323.125</v>
      </c>
      <c r="C34" s="21">
        <f t="shared" si="20"/>
        <v>28891.874999999993</v>
      </c>
      <c r="D34" s="21">
        <f t="shared" si="20"/>
        <v>39359.375</v>
      </c>
      <c r="E34" s="21">
        <f t="shared" si="20"/>
        <v>30771.875</v>
      </c>
      <c r="F34" s="21">
        <f t="shared" si="20"/>
        <v>38625.446428571428</v>
      </c>
      <c r="G34" s="21">
        <f t="shared" si="20"/>
        <v>31051.785714285714</v>
      </c>
      <c r="H34" s="21">
        <f t="shared" si="20"/>
        <v>36064.053966075451</v>
      </c>
    </row>
  </sheetData>
  <pageMargins left="0.7" right="0.7" top="0.78740157499999996" bottom="0.78740157499999996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7E43-2F20-42CC-B26B-19EF6531A544}">
  <sheetPr codeName="List21">
    <tabColor rgb="FF92D050"/>
  </sheetPr>
  <dimension ref="A1:Q24"/>
  <sheetViews>
    <sheetView zoomScale="130" zoomScaleNormal="130" workbookViewId="0">
      <selection activeCell="J14" sqref="J14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0.109375" bestFit="1" customWidth="1"/>
    <col min="6" max="6" width="10.21875" bestFit="1" customWidth="1"/>
    <col min="8" max="8" width="28.21875" bestFit="1" customWidth="1"/>
    <col min="10" max="16" width="11.109375" bestFit="1" customWidth="1"/>
  </cols>
  <sheetData>
    <row r="1" spans="1:17">
      <c r="A1" s="1" t="s">
        <v>101</v>
      </c>
      <c r="B1" s="14" t="s">
        <v>0</v>
      </c>
      <c r="C1" s="2">
        <v>45748</v>
      </c>
      <c r="D1" s="22">
        <v>157.5</v>
      </c>
      <c r="E1" s="22"/>
      <c r="F1" s="23" t="s">
        <v>289</v>
      </c>
      <c r="G1" s="3"/>
    </row>
    <row r="2" spans="1:17" s="11" customFormat="1" ht="41.4">
      <c r="A2" s="13" t="s">
        <v>73</v>
      </c>
      <c r="B2" s="10" t="s">
        <v>95</v>
      </c>
      <c r="C2" s="10" t="s">
        <v>96</v>
      </c>
      <c r="D2" s="10" t="s">
        <v>97</v>
      </c>
      <c r="E2" s="10" t="s">
        <v>29</v>
      </c>
      <c r="F2" s="10" t="s">
        <v>98</v>
      </c>
      <c r="G2" s="10" t="s">
        <v>99</v>
      </c>
      <c r="J2"/>
      <c r="K2"/>
      <c r="L2"/>
      <c r="M2"/>
      <c r="N2"/>
      <c r="O2"/>
      <c r="P2"/>
      <c r="Q2"/>
    </row>
    <row r="3" spans="1:17">
      <c r="A3" s="4" t="s">
        <v>1</v>
      </c>
      <c r="B3" s="17">
        <v>20800</v>
      </c>
      <c r="C3" s="17">
        <v>21300</v>
      </c>
      <c r="D3" s="17">
        <v>31000</v>
      </c>
      <c r="E3" s="17">
        <v>31000</v>
      </c>
      <c r="F3" s="17">
        <v>31000</v>
      </c>
      <c r="G3" s="17">
        <v>26800</v>
      </c>
      <c r="H3" s="11"/>
    </row>
    <row r="4" spans="1:17">
      <c r="A4" s="12" t="s">
        <v>305</v>
      </c>
      <c r="B4" s="17">
        <f t="shared" ref="B4:G4" si="0">SUM(B3)*0.15</f>
        <v>3120</v>
      </c>
      <c r="C4" s="17">
        <f t="shared" si="0"/>
        <v>3195</v>
      </c>
      <c r="D4" s="17">
        <f t="shared" si="0"/>
        <v>4650</v>
      </c>
      <c r="E4" s="17">
        <f t="shared" si="0"/>
        <v>4650</v>
      </c>
      <c r="F4" s="17">
        <f t="shared" si="0"/>
        <v>4650</v>
      </c>
      <c r="G4" s="17">
        <f t="shared" si="0"/>
        <v>4020</v>
      </c>
      <c r="H4" s="11"/>
    </row>
    <row r="5" spans="1:17">
      <c r="A5" s="12" t="s">
        <v>100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1"/>
    </row>
    <row r="6" spans="1:17">
      <c r="A6" s="4" t="s">
        <v>2</v>
      </c>
      <c r="B6" s="17">
        <f t="shared" ref="B6:G6" si="1">SUM(B3:B5)</f>
        <v>23920</v>
      </c>
      <c r="C6" s="17">
        <f t="shared" si="1"/>
        <v>24495</v>
      </c>
      <c r="D6" s="17">
        <f t="shared" si="1"/>
        <v>35650</v>
      </c>
      <c r="E6" s="17">
        <f t="shared" si="1"/>
        <v>35650</v>
      </c>
      <c r="F6" s="17">
        <f t="shared" si="1"/>
        <v>35650</v>
      </c>
      <c r="G6" s="17">
        <f t="shared" si="1"/>
        <v>30820</v>
      </c>
      <c r="H6" s="11"/>
    </row>
    <row r="7" spans="1:17">
      <c r="A7" s="4" t="s">
        <v>3</v>
      </c>
      <c r="B7" s="17">
        <f t="shared" ref="B7:G7" si="2">(B6*0.74)+(30840/12)</f>
        <v>20270.8</v>
      </c>
      <c r="C7" s="17">
        <f t="shared" si="2"/>
        <v>20696.3</v>
      </c>
      <c r="D7" s="17">
        <f t="shared" si="2"/>
        <v>28951</v>
      </c>
      <c r="E7" s="17">
        <f t="shared" si="2"/>
        <v>28951</v>
      </c>
      <c r="F7" s="17">
        <f t="shared" si="2"/>
        <v>28951</v>
      </c>
      <c r="G7" s="17">
        <f t="shared" si="2"/>
        <v>25376.799999999999</v>
      </c>
      <c r="H7" s="11"/>
    </row>
    <row r="8" spans="1:17">
      <c r="A8" s="4" t="s">
        <v>4</v>
      </c>
      <c r="B8" s="18">
        <f>SUM(B7:B7)/D1</f>
        <v>128.70349206349206</v>
      </c>
      <c r="C8" s="18">
        <f>SUM(C7:C7)/D1</f>
        <v>131.40507936507936</v>
      </c>
      <c r="D8" s="18">
        <f>SUM(D7:D7)/D1</f>
        <v>183.81587301587302</v>
      </c>
      <c r="E8" s="18">
        <f>SUM(E7:E7)/D1</f>
        <v>183.81587301587302</v>
      </c>
      <c r="F8" s="18">
        <f>SUM(F7:F7)/D1</f>
        <v>183.81587301587302</v>
      </c>
      <c r="G8" s="18">
        <f>SUM(G7:G7)/D1</f>
        <v>161.12253968253967</v>
      </c>
      <c r="H8" s="11"/>
    </row>
    <row r="9" spans="1:17">
      <c r="A9" s="4" t="s">
        <v>5</v>
      </c>
      <c r="B9" s="19">
        <f>B8</f>
        <v>128.70349206349206</v>
      </c>
      <c r="C9" s="19">
        <f t="shared" ref="C9:G9" si="3">C8</f>
        <v>131.40507936507936</v>
      </c>
      <c r="D9" s="19">
        <f t="shared" si="3"/>
        <v>183.81587301587302</v>
      </c>
      <c r="E9" s="19">
        <f t="shared" ref="E9" si="4">E8</f>
        <v>183.81587301587302</v>
      </c>
      <c r="F9" s="19">
        <f t="shared" si="3"/>
        <v>183.81587301587302</v>
      </c>
      <c r="G9" s="19">
        <f t="shared" si="3"/>
        <v>161.12253968253967</v>
      </c>
      <c r="H9" s="11"/>
    </row>
    <row r="10" spans="1:17" ht="15" thickBot="1">
      <c r="A10" s="6"/>
      <c r="B10" s="20">
        <f>B9*$D$1</f>
        <v>20270.8</v>
      </c>
      <c r="C10" s="7">
        <f t="shared" ref="C10:G10" si="5">C9*$D$1</f>
        <v>20696.3</v>
      </c>
      <c r="D10" s="7">
        <f t="shared" si="5"/>
        <v>28951</v>
      </c>
      <c r="E10" s="7">
        <f t="shared" ref="E10" si="6">E9*$D$1</f>
        <v>28951</v>
      </c>
      <c r="F10" s="7">
        <f t="shared" si="5"/>
        <v>28951</v>
      </c>
      <c r="G10" s="7">
        <f t="shared" si="5"/>
        <v>25376.799999999999</v>
      </c>
      <c r="H10" s="11"/>
    </row>
    <row r="11" spans="1:17" ht="15" thickBot="1">
      <c r="A11" s="8" t="s">
        <v>6</v>
      </c>
      <c r="B11" s="21">
        <f t="shared" ref="B11:G11" si="7">(B10-2570)/0.74</f>
        <v>23920</v>
      </c>
      <c r="C11" s="21">
        <f t="shared" si="7"/>
        <v>24495</v>
      </c>
      <c r="D11" s="21">
        <f t="shared" si="7"/>
        <v>35650</v>
      </c>
      <c r="E11" s="21">
        <f t="shared" si="7"/>
        <v>35650</v>
      </c>
      <c r="F11" s="21">
        <f t="shared" si="7"/>
        <v>35650</v>
      </c>
      <c r="G11" s="21">
        <f t="shared" si="7"/>
        <v>30820</v>
      </c>
      <c r="H11" s="11"/>
    </row>
    <row r="12" spans="1:17" ht="15" thickBot="1">
      <c r="A12" s="9"/>
      <c r="B12" s="16"/>
      <c r="C12" s="24"/>
      <c r="D12" s="24"/>
      <c r="E12" s="24"/>
      <c r="F12" s="24"/>
      <c r="G12" s="24"/>
      <c r="H12" s="11"/>
    </row>
    <row r="13" spans="1:17" ht="15" thickBot="1">
      <c r="A13" s="25" t="s">
        <v>7</v>
      </c>
      <c r="B13" s="26">
        <f t="shared" ref="B13:G13" si="8">AVERAGE(B9,B22)</f>
        <v>128.70349206349206</v>
      </c>
      <c r="C13" s="26">
        <f t="shared" si="8"/>
        <v>131.40507936507936</v>
      </c>
      <c r="D13" s="26">
        <f t="shared" si="8"/>
        <v>191.09841269841269</v>
      </c>
      <c r="E13" s="26">
        <f t="shared" si="8"/>
        <v>191.09841269841269</v>
      </c>
      <c r="F13" s="26">
        <f t="shared" si="8"/>
        <v>191.09841269841269</v>
      </c>
      <c r="G13" s="26">
        <f t="shared" si="8"/>
        <v>167.41841269841268</v>
      </c>
      <c r="H13" s="28" t="s">
        <v>20</v>
      </c>
    </row>
    <row r="15" spans="1:17" ht="41.4">
      <c r="A15" s="13" t="s">
        <v>16</v>
      </c>
      <c r="B15" s="10" t="s">
        <v>95</v>
      </c>
      <c r="C15" s="10" t="s">
        <v>96</v>
      </c>
      <c r="D15" s="10" t="s">
        <v>97</v>
      </c>
      <c r="E15" s="10" t="s">
        <v>29</v>
      </c>
      <c r="F15" s="10" t="s">
        <v>98</v>
      </c>
      <c r="G15" s="10" t="s">
        <v>99</v>
      </c>
    </row>
    <row r="16" spans="1:17">
      <c r="A16" s="4" t="s">
        <v>1</v>
      </c>
      <c r="B16" s="17">
        <v>20800</v>
      </c>
      <c r="C16" s="17">
        <v>21300</v>
      </c>
      <c r="D16" s="17">
        <v>31000</v>
      </c>
      <c r="E16" s="17">
        <v>31000</v>
      </c>
      <c r="F16" s="17">
        <v>31000</v>
      </c>
      <c r="G16" s="17">
        <v>26800</v>
      </c>
    </row>
    <row r="17" spans="1:8">
      <c r="A17" s="12" t="s">
        <v>305</v>
      </c>
      <c r="B17" s="17">
        <f t="shared" ref="B17:G17" si="9">SUM(B16)*0.15</f>
        <v>3120</v>
      </c>
      <c r="C17" s="17">
        <f t="shared" si="9"/>
        <v>3195</v>
      </c>
      <c r="D17" s="17">
        <f t="shared" si="9"/>
        <v>4650</v>
      </c>
      <c r="E17" s="17">
        <f t="shared" si="9"/>
        <v>4650</v>
      </c>
      <c r="F17" s="17">
        <f t="shared" si="9"/>
        <v>4650</v>
      </c>
      <c r="G17" s="17">
        <f t="shared" si="9"/>
        <v>4020</v>
      </c>
      <c r="H17" s="30"/>
    </row>
    <row r="18" spans="1:8">
      <c r="A18" s="12" t="s">
        <v>100</v>
      </c>
      <c r="B18" s="17">
        <v>0</v>
      </c>
      <c r="C18" s="17">
        <v>0</v>
      </c>
      <c r="D18" s="17">
        <f>SUM(D16)*0.1</f>
        <v>3100</v>
      </c>
      <c r="E18" s="17">
        <f>SUM(E16)*0.1</f>
        <v>3100</v>
      </c>
      <c r="F18" s="17">
        <f>SUM(F16)*0.1</f>
        <v>3100</v>
      </c>
      <c r="G18" s="17">
        <f>SUM(G16)*0.1</f>
        <v>2680</v>
      </c>
    </row>
    <row r="19" spans="1:8">
      <c r="A19" s="4" t="s">
        <v>2</v>
      </c>
      <c r="B19" s="17">
        <f t="shared" ref="B19:G19" si="10">SUM(B16:B18)</f>
        <v>23920</v>
      </c>
      <c r="C19" s="17">
        <f t="shared" si="10"/>
        <v>24495</v>
      </c>
      <c r="D19" s="17">
        <f t="shared" si="10"/>
        <v>38750</v>
      </c>
      <c r="E19" s="17">
        <f t="shared" si="10"/>
        <v>38750</v>
      </c>
      <c r="F19" s="17">
        <f t="shared" si="10"/>
        <v>38750</v>
      </c>
      <c r="G19" s="17">
        <f t="shared" si="10"/>
        <v>33500</v>
      </c>
    </row>
    <row r="20" spans="1:8">
      <c r="A20" s="4" t="s">
        <v>3</v>
      </c>
      <c r="B20" s="17">
        <f t="shared" ref="B20:G20" si="11">(B19*0.74)+(30840/12)</f>
        <v>20270.8</v>
      </c>
      <c r="C20" s="17">
        <f t="shared" si="11"/>
        <v>20696.3</v>
      </c>
      <c r="D20" s="17">
        <f t="shared" si="11"/>
        <v>31245</v>
      </c>
      <c r="E20" s="17">
        <f t="shared" si="11"/>
        <v>31245</v>
      </c>
      <c r="F20" s="17">
        <f t="shared" si="11"/>
        <v>31245</v>
      </c>
      <c r="G20" s="17">
        <f t="shared" si="11"/>
        <v>27360</v>
      </c>
    </row>
    <row r="21" spans="1:8">
      <c r="A21" s="4" t="s">
        <v>4</v>
      </c>
      <c r="B21" s="18">
        <f>SUM(B20:B20)/D1</f>
        <v>128.70349206349206</v>
      </c>
      <c r="C21" s="18">
        <f>SUM(C20:C20)/D1</f>
        <v>131.40507936507936</v>
      </c>
      <c r="D21" s="18">
        <f>SUM(D20:D20)/D1</f>
        <v>198.38095238095238</v>
      </c>
      <c r="E21" s="18">
        <f>SUM(E20:E20)/D1</f>
        <v>198.38095238095238</v>
      </c>
      <c r="F21" s="18">
        <f>SUM(F20:F20)/D1</f>
        <v>198.38095238095238</v>
      </c>
      <c r="G21" s="18">
        <f>SUM(G20:G20)/D1</f>
        <v>173.71428571428572</v>
      </c>
    </row>
    <row r="22" spans="1:8">
      <c r="A22" s="4" t="s">
        <v>5</v>
      </c>
      <c r="B22" s="19">
        <f>B21</f>
        <v>128.70349206349206</v>
      </c>
      <c r="C22" s="19">
        <f t="shared" ref="C22:G22" si="12">C21</f>
        <v>131.40507936507936</v>
      </c>
      <c r="D22" s="19">
        <f t="shared" si="12"/>
        <v>198.38095238095238</v>
      </c>
      <c r="E22" s="19">
        <f t="shared" ref="E22" si="13">E21</f>
        <v>198.38095238095238</v>
      </c>
      <c r="F22" s="19">
        <f t="shared" si="12"/>
        <v>198.38095238095238</v>
      </c>
      <c r="G22" s="19">
        <f t="shared" si="12"/>
        <v>173.71428571428572</v>
      </c>
    </row>
    <row r="23" spans="1:8" ht="15" thickBot="1">
      <c r="A23" s="6"/>
      <c r="B23" s="20">
        <f>B22*$D$1</f>
        <v>20270.8</v>
      </c>
      <c r="C23" s="20">
        <f t="shared" ref="C23:G23" si="14">C22*$D$1</f>
        <v>20696.3</v>
      </c>
      <c r="D23" s="20">
        <f t="shared" si="14"/>
        <v>31245</v>
      </c>
      <c r="E23" s="20">
        <f t="shared" ref="E23" si="15">E22*$D$1</f>
        <v>31245</v>
      </c>
      <c r="F23" s="20">
        <f t="shared" si="14"/>
        <v>31245</v>
      </c>
      <c r="G23" s="20">
        <f t="shared" si="14"/>
        <v>27360</v>
      </c>
    </row>
    <row r="24" spans="1:8" ht="15" thickBot="1">
      <c r="A24" s="8" t="s">
        <v>9</v>
      </c>
      <c r="B24" s="21">
        <f t="shared" ref="B24:G24" si="16">(B23-2570)/0.74</f>
        <v>23920</v>
      </c>
      <c r="C24" s="21">
        <f t="shared" si="16"/>
        <v>24495</v>
      </c>
      <c r="D24" s="21">
        <f t="shared" si="16"/>
        <v>38750</v>
      </c>
      <c r="E24" s="21">
        <f t="shared" si="16"/>
        <v>38750</v>
      </c>
      <c r="F24" s="21">
        <f t="shared" si="16"/>
        <v>38750</v>
      </c>
      <c r="G24" s="21">
        <f t="shared" si="16"/>
        <v>33500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2D71-2A90-47B6-BE7E-3830A4D63C5C}">
  <sheetPr codeName="List22">
    <tabColor theme="8" tint="0.59999389629810485"/>
  </sheetPr>
  <dimension ref="A1:K37"/>
  <sheetViews>
    <sheetView workbookViewId="0">
      <selection activeCell="I5" sqref="I5"/>
    </sheetView>
  </sheetViews>
  <sheetFormatPr defaultRowHeight="14.4"/>
  <cols>
    <col min="1" max="1" width="35.109375" bestFit="1" customWidth="1"/>
    <col min="2" max="2" width="10.77734375" style="15" bestFit="1" customWidth="1"/>
    <col min="3" max="4" width="10.77734375" style="15" customWidth="1"/>
    <col min="5" max="5" width="10.109375" bestFit="1" customWidth="1"/>
    <col min="6" max="6" width="10.21875" bestFit="1" customWidth="1"/>
    <col min="7" max="7" width="5.109375" bestFit="1" customWidth="1"/>
    <col min="8" max="8" width="15.5546875" customWidth="1"/>
    <col min="9" max="10" width="14.77734375" bestFit="1" customWidth="1"/>
  </cols>
  <sheetData>
    <row r="1" spans="1:11">
      <c r="A1" s="32" t="s">
        <v>203</v>
      </c>
      <c r="B1" s="33" t="s">
        <v>0</v>
      </c>
      <c r="C1" s="34">
        <v>46023</v>
      </c>
      <c r="D1" s="23" t="s">
        <v>400</v>
      </c>
      <c r="E1" s="23">
        <v>157.5</v>
      </c>
      <c r="H1" s="3"/>
    </row>
    <row r="2" spans="1:11">
      <c r="I2">
        <v>2025</v>
      </c>
    </row>
    <row r="3" spans="1:11" s="11" customFormat="1" ht="27.6">
      <c r="A3" s="13" t="s">
        <v>73</v>
      </c>
      <c r="B3" s="10" t="s">
        <v>117</v>
      </c>
      <c r="C3" s="10" t="s">
        <v>146</v>
      </c>
      <c r="D3" s="10" t="s">
        <v>202</v>
      </c>
      <c r="I3" s="10" t="s">
        <v>117</v>
      </c>
      <c r="J3" s="10" t="s">
        <v>146</v>
      </c>
      <c r="K3" s="10" t="s">
        <v>202</v>
      </c>
    </row>
    <row r="4" spans="1:11" ht="14.4" customHeight="1">
      <c r="A4" s="4" t="s">
        <v>1</v>
      </c>
      <c r="B4" s="17">
        <f>$E$1*121.58</f>
        <v>19148.849999999999</v>
      </c>
      <c r="C4" s="17">
        <f>$E$1*132.65</f>
        <v>20892.375</v>
      </c>
      <c r="D4" s="17">
        <f>$E$1*146.96</f>
        <v>23146.2</v>
      </c>
      <c r="E4" s="11"/>
      <c r="F4" s="11"/>
      <c r="G4" s="11"/>
      <c r="H4" s="11"/>
      <c r="I4" s="249">
        <v>115.8</v>
      </c>
      <c r="J4" s="249">
        <v>126.8</v>
      </c>
      <c r="K4" s="249">
        <v>140</v>
      </c>
    </row>
    <row r="5" spans="1:11">
      <c r="A5" s="4" t="s">
        <v>204</v>
      </c>
      <c r="B5" s="17">
        <f>SUM(B4+B6)*0.2</f>
        <v>3966.27</v>
      </c>
      <c r="C5" s="17">
        <f>SUM(C4+C6)*0.2</f>
        <v>4367.4750000000004</v>
      </c>
      <c r="D5" s="17">
        <f>SUM(D4+D6)*0.2</f>
        <v>4786.7400000000007</v>
      </c>
      <c r="E5" s="11"/>
      <c r="F5" s="11"/>
      <c r="G5" s="11"/>
      <c r="H5" s="11"/>
      <c r="I5" s="11">
        <v>21760.200000000004</v>
      </c>
      <c r="J5">
        <v>23982.21</v>
      </c>
      <c r="K5">
        <v>26257.769999999997</v>
      </c>
    </row>
    <row r="6" spans="1:11">
      <c r="A6" s="4" t="s">
        <v>112</v>
      </c>
      <c r="B6" s="17">
        <f>130*0.1*E1/3</f>
        <v>682.5</v>
      </c>
      <c r="C6" s="17">
        <f>180*0.1*E1/3</f>
        <v>945</v>
      </c>
      <c r="D6" s="17">
        <f>150*0.1*E1/3</f>
        <v>787.5</v>
      </c>
      <c r="E6" s="11"/>
      <c r="F6" s="11"/>
      <c r="G6" s="11"/>
      <c r="H6" s="11"/>
      <c r="I6" s="11">
        <v>24940.912499999999</v>
      </c>
      <c r="J6">
        <v>27617.861249999998</v>
      </c>
      <c r="K6">
        <v>30071.553750000003</v>
      </c>
    </row>
    <row r="7" spans="1:11">
      <c r="A7" s="4" t="s">
        <v>2</v>
      </c>
      <c r="B7" s="17">
        <f>SUM(B4:B6)</f>
        <v>23797.62</v>
      </c>
      <c r="C7" s="17">
        <f>SUM(C4:C6)</f>
        <v>26204.85</v>
      </c>
      <c r="D7" s="17">
        <f>SUM(D4:D6)</f>
        <v>28720.440000000002</v>
      </c>
      <c r="E7" s="11"/>
      <c r="F7" s="11"/>
      <c r="G7" s="11"/>
      <c r="H7" s="11"/>
      <c r="I7" s="11"/>
    </row>
    <row r="8" spans="1:11">
      <c r="A8" s="4" t="s">
        <v>3</v>
      </c>
      <c r="B8" s="17">
        <f>(B7*0.74)+(30840/12)</f>
        <v>20180.238799999999</v>
      </c>
      <c r="C8" s="17">
        <f>(C7*0.74)+(30840/12)</f>
        <v>21961.589</v>
      </c>
      <c r="D8" s="17">
        <f>(D7*0.74)+(30840/12)</f>
        <v>23823.125600000003</v>
      </c>
      <c r="E8" s="11"/>
      <c r="F8" s="11"/>
      <c r="G8" s="11"/>
      <c r="H8" s="11"/>
      <c r="I8" s="11">
        <v>121.58</v>
      </c>
      <c r="J8">
        <v>132.65</v>
      </c>
      <c r="K8">
        <v>146.96</v>
      </c>
    </row>
    <row r="9" spans="1:11">
      <c r="A9" s="4" t="s">
        <v>4</v>
      </c>
      <c r="B9" s="18">
        <f>SUM(B8:B8)/E1</f>
        <v>128.12850031746032</v>
      </c>
      <c r="C9" s="18">
        <f>SUM(C8:C8)/E1</f>
        <v>139.43866031746032</v>
      </c>
      <c r="D9" s="18">
        <f>SUM(D8:D8)/E1</f>
        <v>151.25794031746034</v>
      </c>
      <c r="E9" s="11"/>
      <c r="F9" s="11"/>
      <c r="G9" s="11"/>
      <c r="H9" s="11"/>
      <c r="I9" s="11"/>
    </row>
    <row r="10" spans="1:11">
      <c r="A10" s="4" t="s">
        <v>5</v>
      </c>
      <c r="B10" s="19">
        <f>B9</f>
        <v>128.12850031746032</v>
      </c>
      <c r="C10" s="19">
        <f>C9</f>
        <v>139.43866031746032</v>
      </c>
      <c r="D10" s="19">
        <f>D9</f>
        <v>151.25794031746034</v>
      </c>
      <c r="E10" s="11"/>
      <c r="F10" s="11"/>
      <c r="G10" s="11"/>
      <c r="H10" s="11"/>
      <c r="I10" s="250">
        <f>I8/I4</f>
        <v>1.0499136442141623</v>
      </c>
      <c r="J10" s="250">
        <f>J8/J4</f>
        <v>1.0461356466876972</v>
      </c>
      <c r="K10" s="250">
        <f>K8/K4</f>
        <v>1.0497142857142858</v>
      </c>
    </row>
    <row r="11" spans="1:11" ht="15" thickBot="1">
      <c r="A11" s="6"/>
      <c r="B11" s="20">
        <f>B10*$E$1</f>
        <v>20180.238799999999</v>
      </c>
      <c r="C11" s="20">
        <f>C10*$E$1</f>
        <v>21961.589</v>
      </c>
      <c r="D11" s="20">
        <f>D10*$E$1</f>
        <v>23823.125600000003</v>
      </c>
      <c r="E11" s="11"/>
      <c r="F11" s="11"/>
      <c r="G11" s="11"/>
      <c r="H11" s="11"/>
      <c r="I11" s="11"/>
    </row>
    <row r="12" spans="1:11" ht="15" thickBot="1">
      <c r="A12" s="8" t="s">
        <v>6</v>
      </c>
      <c r="B12" s="21">
        <f>(B11-2570)/0.74</f>
        <v>23797.62</v>
      </c>
      <c r="C12" s="21">
        <f>(C11-2570)/0.74</f>
        <v>26204.85</v>
      </c>
      <c r="D12" s="21">
        <f>(D11-2570)/0.74</f>
        <v>28720.440000000006</v>
      </c>
      <c r="E12" s="11"/>
      <c r="F12" s="11"/>
      <c r="G12" s="11"/>
      <c r="H12" s="11"/>
      <c r="I12" s="11" t="s">
        <v>399</v>
      </c>
    </row>
    <row r="13" spans="1:11" ht="15" thickBot="1">
      <c r="A13" s="9"/>
      <c r="B13" s="16"/>
      <c r="C13" s="16"/>
      <c r="D13" s="16"/>
      <c r="E13" s="11"/>
      <c r="F13" s="11"/>
      <c r="G13" s="11"/>
      <c r="H13" s="11"/>
      <c r="I13" s="11"/>
    </row>
    <row r="14" spans="1:11" ht="15" thickBot="1">
      <c r="A14" s="25" t="s">
        <v>7</v>
      </c>
      <c r="B14" s="26">
        <f>AVERAGE(B10,B23)</f>
        <v>136.19894031746031</v>
      </c>
      <c r="C14" s="26">
        <f>AVERAGE(C10,C23)</f>
        <v>148.63223531746033</v>
      </c>
      <c r="D14" s="26">
        <f>AVERAGE(D10,D23)</f>
        <v>160.94047031746032</v>
      </c>
      <c r="E14" s="257" t="s">
        <v>20</v>
      </c>
      <c r="F14" s="258"/>
      <c r="G14" s="258"/>
      <c r="H14" s="258"/>
      <c r="I14" s="11"/>
    </row>
    <row r="15" spans="1:11">
      <c r="E15" s="11"/>
      <c r="F15" s="11"/>
      <c r="G15" s="11"/>
      <c r="H15" s="11"/>
      <c r="I15" s="11"/>
    </row>
    <row r="16" spans="1:11" ht="27.6">
      <c r="A16" s="13" t="s">
        <v>16</v>
      </c>
      <c r="B16" s="10" t="s">
        <v>117</v>
      </c>
      <c r="C16" s="10" t="s">
        <v>146</v>
      </c>
      <c r="D16" s="10" t="s">
        <v>202</v>
      </c>
      <c r="E16" s="11"/>
      <c r="F16" s="11"/>
      <c r="G16" s="11"/>
      <c r="H16" s="11"/>
      <c r="I16" s="11"/>
    </row>
    <row r="17" spans="1:9">
      <c r="A17" s="4" t="s">
        <v>1</v>
      </c>
      <c r="B17" s="17">
        <f>$E$1*121.58</f>
        <v>19148.849999999999</v>
      </c>
      <c r="C17" s="17">
        <f>$E$1*132.65</f>
        <v>20892.375</v>
      </c>
      <c r="D17" s="17">
        <f>$E$1*146.96</f>
        <v>23146.2</v>
      </c>
      <c r="E17" s="11"/>
      <c r="F17" s="11"/>
      <c r="G17" s="11"/>
      <c r="H17" s="11"/>
      <c r="I17" s="11"/>
    </row>
    <row r="18" spans="1:9" ht="14.4" customHeight="1">
      <c r="A18" s="4" t="s">
        <v>204</v>
      </c>
      <c r="B18" s="17">
        <f>SUM(B17+B19)*0.35</f>
        <v>7060.4099999999989</v>
      </c>
      <c r="C18" s="17">
        <f>SUM(C17+C19)*0.35</f>
        <v>7808.4562499999993</v>
      </c>
      <c r="D18" s="17">
        <f>SUM(D17+D19)*0.35</f>
        <v>8514.6075000000001</v>
      </c>
      <c r="E18" s="279"/>
      <c r="F18" s="280"/>
      <c r="G18" s="11"/>
      <c r="H18" s="11"/>
      <c r="I18" s="11"/>
    </row>
    <row r="19" spans="1:9">
      <c r="A19" s="4" t="s">
        <v>112</v>
      </c>
      <c r="B19" s="17">
        <f>130*0.1*E1/2</f>
        <v>1023.75</v>
      </c>
      <c r="C19" s="17">
        <f>180*0.1*E1/2</f>
        <v>1417.5</v>
      </c>
      <c r="D19" s="17">
        <f>150*0.1*E1/2</f>
        <v>1181.25</v>
      </c>
      <c r="E19" s="11"/>
      <c r="F19" s="11"/>
      <c r="G19" s="11"/>
      <c r="H19" s="11"/>
      <c r="I19" s="11"/>
    </row>
    <row r="20" spans="1:9">
      <c r="A20" s="4" t="s">
        <v>2</v>
      </c>
      <c r="B20" s="17">
        <f>SUM(B17:B19)</f>
        <v>27233.01</v>
      </c>
      <c r="C20" s="17">
        <f>SUM(C17:C19)</f>
        <v>30118.331249999999</v>
      </c>
      <c r="D20" s="17">
        <f>SUM(D17:D19)</f>
        <v>32842.057500000003</v>
      </c>
      <c r="E20" s="11"/>
      <c r="F20" s="11"/>
      <c r="G20" s="11"/>
      <c r="H20" s="11"/>
      <c r="I20" s="11"/>
    </row>
    <row r="21" spans="1:9">
      <c r="A21" s="4" t="s">
        <v>3</v>
      </c>
      <c r="B21" s="17">
        <f>(B20*0.74)+(30840/12)</f>
        <v>22722.427399999997</v>
      </c>
      <c r="C21" s="17">
        <f>(C20*0.74)+(30840/12)</f>
        <v>24857.565125000001</v>
      </c>
      <c r="D21" s="17">
        <f>(D20*0.74)+(30840/12)</f>
        <v>26873.12255</v>
      </c>
      <c r="E21" s="11"/>
      <c r="F21" s="11"/>
      <c r="G21" s="11"/>
      <c r="H21" s="11"/>
      <c r="I21" s="11"/>
    </row>
    <row r="22" spans="1:9">
      <c r="A22" s="4" t="s">
        <v>4</v>
      </c>
      <c r="B22" s="18">
        <f>SUM(B21:B21)/E1</f>
        <v>144.2693803174603</v>
      </c>
      <c r="C22" s="18">
        <f>SUM(C21:C21)/E1</f>
        <v>157.82581031746034</v>
      </c>
      <c r="D22" s="18">
        <f>SUM(D21:D21)/E1</f>
        <v>170.62300031746031</v>
      </c>
      <c r="E22" s="11"/>
      <c r="F22" s="11"/>
      <c r="G22" s="11"/>
      <c r="H22" s="11"/>
      <c r="I22" s="11"/>
    </row>
    <row r="23" spans="1:9">
      <c r="A23" s="4" t="s">
        <v>8</v>
      </c>
      <c r="B23" s="19">
        <f>B22</f>
        <v>144.2693803174603</v>
      </c>
      <c r="C23" s="19">
        <f>C22</f>
        <v>157.82581031746034</v>
      </c>
      <c r="D23" s="19">
        <f>D22</f>
        <v>170.62300031746031</v>
      </c>
      <c r="E23" s="11"/>
      <c r="F23" s="11"/>
      <c r="G23" s="11"/>
      <c r="H23" s="11"/>
      <c r="I23" s="11"/>
    </row>
    <row r="24" spans="1:9" ht="15" thickBot="1">
      <c r="A24" s="6"/>
      <c r="B24" s="20">
        <f>B23*$E$1</f>
        <v>22722.427399999997</v>
      </c>
      <c r="C24" s="20">
        <f>C23*$E$1</f>
        <v>24857.565125000005</v>
      </c>
      <c r="D24" s="20">
        <f>D23*$E$1</f>
        <v>26873.12255</v>
      </c>
      <c r="E24" s="11"/>
      <c r="F24" s="11"/>
      <c r="G24" s="11"/>
      <c r="H24" s="11"/>
      <c r="I24" s="11"/>
    </row>
    <row r="25" spans="1:9" ht="15" thickBot="1">
      <c r="A25" s="8" t="s">
        <v>9</v>
      </c>
      <c r="B25" s="21">
        <f>(B24-2570)/0.74</f>
        <v>27233.009999999995</v>
      </c>
      <c r="C25" s="21">
        <f>(C24-2570)/0.74</f>
        <v>30118.331250000007</v>
      </c>
      <c r="D25" s="21">
        <f>(D24-2570)/0.74</f>
        <v>32842.057500000003</v>
      </c>
      <c r="E25" s="11"/>
      <c r="F25" s="11"/>
      <c r="G25" s="11"/>
      <c r="H25" s="11"/>
      <c r="I25" s="11"/>
    </row>
    <row r="26" spans="1:9">
      <c r="G26" s="11"/>
      <c r="H26" s="11"/>
      <c r="I26" s="11"/>
    </row>
    <row r="27" spans="1:9">
      <c r="G27" s="11"/>
      <c r="H27" s="11"/>
      <c r="I27" s="11"/>
    </row>
    <row r="28" spans="1:9">
      <c r="G28" s="11"/>
      <c r="H28" s="11"/>
      <c r="I28" s="11"/>
    </row>
    <row r="29" spans="1:9">
      <c r="G29" s="11"/>
      <c r="H29" s="11"/>
      <c r="I29" s="11"/>
    </row>
    <row r="30" spans="1:9">
      <c r="G30" s="11"/>
      <c r="H30" s="11"/>
      <c r="I30" s="11"/>
    </row>
    <row r="31" spans="1:9">
      <c r="G31" s="11"/>
      <c r="H31" s="11"/>
      <c r="I31" s="11"/>
    </row>
    <row r="32" spans="1:9">
      <c r="G32" s="11"/>
      <c r="H32" s="11"/>
      <c r="I32" s="11"/>
    </row>
    <row r="33" spans="7:9">
      <c r="G33" s="11"/>
      <c r="H33" s="11"/>
      <c r="I33" s="11"/>
    </row>
    <row r="34" spans="7:9">
      <c r="G34" s="11"/>
      <c r="H34" s="11"/>
      <c r="I34" s="11"/>
    </row>
    <row r="35" spans="7:9">
      <c r="G35" s="11"/>
      <c r="H35" s="11"/>
      <c r="I35" s="11"/>
    </row>
    <row r="36" spans="7:9">
      <c r="G36" s="11"/>
      <c r="H36" s="11"/>
      <c r="I36" s="11"/>
    </row>
    <row r="37" spans="7:9">
      <c r="G37" s="11"/>
      <c r="H37" s="11"/>
      <c r="I37" s="11"/>
    </row>
  </sheetData>
  <mergeCells count="2">
    <mergeCell ref="E14:H14"/>
    <mergeCell ref="E18:F18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8A87-FC6B-490B-9BA3-E06A53389E97}">
  <sheetPr codeName="List23">
    <tabColor rgb="FF92D050"/>
  </sheetPr>
  <dimension ref="A1:AF33"/>
  <sheetViews>
    <sheetView zoomScaleNormal="100" workbookViewId="0">
      <selection activeCell="I1" sqref="I1"/>
    </sheetView>
  </sheetViews>
  <sheetFormatPr defaultRowHeight="14.4"/>
  <cols>
    <col min="1" max="1" width="33.109375" bestFit="1" customWidth="1"/>
    <col min="2" max="2" width="10.77734375" style="15" bestFit="1" customWidth="1"/>
    <col min="3" max="3" width="10.109375" bestFit="1" customWidth="1"/>
    <col min="5" max="5" width="10.21875" bestFit="1" customWidth="1"/>
    <col min="8" max="8" width="11.109375" customWidth="1"/>
    <col min="9" max="9" width="11.77734375" customWidth="1"/>
    <col min="10" max="10" width="28.21875" bestFit="1" customWidth="1"/>
    <col min="11" max="11" width="3.77734375" customWidth="1"/>
    <col min="12" max="12" width="14.77734375" bestFit="1" customWidth="1"/>
  </cols>
  <sheetData>
    <row r="1" spans="1:32">
      <c r="A1" s="1" t="s">
        <v>102</v>
      </c>
      <c r="B1" s="14" t="s">
        <v>0</v>
      </c>
      <c r="C1" s="2">
        <v>45778</v>
      </c>
      <c r="D1" s="22">
        <v>156.875</v>
      </c>
      <c r="E1" s="23" t="s">
        <v>289</v>
      </c>
      <c r="F1" s="3"/>
      <c r="G1">
        <v>18.5</v>
      </c>
      <c r="I1" t="s">
        <v>338</v>
      </c>
    </row>
    <row r="2" spans="1:32">
      <c r="B2" s="262" t="s">
        <v>103</v>
      </c>
      <c r="C2" s="262"/>
      <c r="D2" s="262"/>
      <c r="E2" s="262"/>
      <c r="F2" s="262"/>
      <c r="G2" s="262"/>
      <c r="H2" s="262"/>
      <c r="I2" s="262"/>
    </row>
    <row r="3" spans="1:32" s="11" customFormat="1">
      <c r="A3" s="13" t="s">
        <v>73</v>
      </c>
      <c r="B3" s="10" t="s">
        <v>104</v>
      </c>
      <c r="C3" s="10" t="s">
        <v>105</v>
      </c>
      <c r="D3" s="10" t="s">
        <v>106</v>
      </c>
      <c r="E3" s="10" t="s">
        <v>107</v>
      </c>
      <c r="F3" s="10" t="s">
        <v>108</v>
      </c>
      <c r="G3" s="10" t="s">
        <v>109</v>
      </c>
      <c r="H3" s="10" t="s">
        <v>110</v>
      </c>
      <c r="I3" s="10" t="s">
        <v>111</v>
      </c>
    </row>
    <row r="4" spans="1:32">
      <c r="A4" s="4" t="s">
        <v>1</v>
      </c>
      <c r="B4" s="17">
        <v>20800</v>
      </c>
      <c r="C4" s="17">
        <f>155.4*D1</f>
        <v>24378.375</v>
      </c>
      <c r="D4" s="5">
        <f>161.71*D1</f>
        <v>25368.256250000002</v>
      </c>
      <c r="E4" s="17">
        <v>27320</v>
      </c>
      <c r="F4" s="17">
        <v>28414</v>
      </c>
      <c r="G4" s="5">
        <v>29953</v>
      </c>
      <c r="H4" s="5">
        <v>30934</v>
      </c>
      <c r="I4" s="5">
        <v>32639</v>
      </c>
      <c r="J4" s="11"/>
    </row>
    <row r="5" spans="1:32">
      <c r="A5" s="4" t="s">
        <v>113</v>
      </c>
      <c r="B5" s="17">
        <v>500</v>
      </c>
      <c r="C5" s="17">
        <v>500</v>
      </c>
      <c r="D5" s="17">
        <v>500</v>
      </c>
      <c r="E5" s="17">
        <v>500</v>
      </c>
      <c r="F5" s="17">
        <v>500</v>
      </c>
      <c r="G5" s="17">
        <v>500</v>
      </c>
      <c r="H5" s="17">
        <v>500</v>
      </c>
      <c r="I5" s="17">
        <v>500</v>
      </c>
      <c r="J5" s="11"/>
    </row>
    <row r="6" spans="1:32">
      <c r="A6" s="12" t="s">
        <v>112</v>
      </c>
      <c r="B6" s="17">
        <f t="shared" ref="B6:I6" si="0">SUM(B4/157.5)*0.1*37.5</f>
        <v>495.23809523809535</v>
      </c>
      <c r="C6" s="17">
        <f t="shared" si="0"/>
        <v>580.4375</v>
      </c>
      <c r="D6" s="17">
        <f t="shared" si="0"/>
        <v>604.00610119047622</v>
      </c>
      <c r="E6" s="17">
        <f t="shared" si="0"/>
        <v>650.4761904761906</v>
      </c>
      <c r="F6" s="17">
        <f t="shared" si="0"/>
        <v>676.52380952380952</v>
      </c>
      <c r="G6" s="17">
        <f t="shared" si="0"/>
        <v>713.16666666666663</v>
      </c>
      <c r="H6" s="17">
        <f t="shared" si="0"/>
        <v>736.52380952380963</v>
      </c>
      <c r="I6" s="17">
        <f t="shared" si="0"/>
        <v>777.11904761904771</v>
      </c>
      <c r="J6" s="11"/>
    </row>
    <row r="7" spans="1:32">
      <c r="A7" s="12" t="s">
        <v>114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f>SUM(K1/2)*16</f>
        <v>0</v>
      </c>
      <c r="J7" s="11"/>
    </row>
    <row r="8" spans="1:32">
      <c r="A8" s="12" t="s">
        <v>115</v>
      </c>
      <c r="B8" s="17">
        <v>250</v>
      </c>
      <c r="C8" s="17">
        <v>250</v>
      </c>
      <c r="D8" s="17">
        <v>250</v>
      </c>
      <c r="E8" s="17">
        <v>250</v>
      </c>
      <c r="F8" s="17">
        <v>250</v>
      </c>
      <c r="G8" s="17">
        <v>250</v>
      </c>
      <c r="H8" s="17">
        <v>250</v>
      </c>
      <c r="I8" s="17">
        <v>250</v>
      </c>
      <c r="J8" s="11"/>
    </row>
    <row r="9" spans="1:32">
      <c r="A9" s="12" t="s">
        <v>156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f>SUM(K3/2)*16</f>
        <v>0</v>
      </c>
      <c r="J9" s="11"/>
    </row>
    <row r="10" spans="1:32">
      <c r="A10" s="12" t="s">
        <v>328</v>
      </c>
      <c r="B10" s="17">
        <f>$D$1*$G$1</f>
        <v>2902.1875</v>
      </c>
      <c r="C10" s="17">
        <f t="shared" ref="C10:I10" si="1">$D$1*$G$1</f>
        <v>2902.1875</v>
      </c>
      <c r="D10" s="17">
        <f t="shared" si="1"/>
        <v>2902.1875</v>
      </c>
      <c r="E10" s="17">
        <f t="shared" si="1"/>
        <v>2902.1875</v>
      </c>
      <c r="F10" s="17">
        <f t="shared" si="1"/>
        <v>2902.1875</v>
      </c>
      <c r="G10" s="17">
        <f t="shared" si="1"/>
        <v>2902.1875</v>
      </c>
      <c r="H10" s="17">
        <f t="shared" si="1"/>
        <v>2902.1875</v>
      </c>
      <c r="I10" s="17">
        <f t="shared" si="1"/>
        <v>2902.1875</v>
      </c>
      <c r="J10" s="204" t="s">
        <v>329</v>
      </c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</row>
    <row r="11" spans="1:32">
      <c r="A11" s="4" t="s">
        <v>2</v>
      </c>
      <c r="B11" s="17">
        <f t="shared" ref="B11:I11" si="2">SUM(B4:B10)</f>
        <v>24947.425595238095</v>
      </c>
      <c r="C11" s="17">
        <f t="shared" si="2"/>
        <v>28611</v>
      </c>
      <c r="D11" s="17">
        <f t="shared" si="2"/>
        <v>29624.449851190479</v>
      </c>
      <c r="E11" s="17">
        <f t="shared" si="2"/>
        <v>31622.663690476191</v>
      </c>
      <c r="F11" s="17">
        <f t="shared" si="2"/>
        <v>32742.711309523809</v>
      </c>
      <c r="G11" s="17">
        <f t="shared" si="2"/>
        <v>34318.354166666672</v>
      </c>
      <c r="H11" s="17">
        <f t="shared" si="2"/>
        <v>35322.711309523809</v>
      </c>
      <c r="I11" s="17">
        <f t="shared" si="2"/>
        <v>37068.306547619046</v>
      </c>
      <c r="J11" s="11"/>
    </row>
    <row r="12" spans="1:32">
      <c r="A12" s="4" t="s">
        <v>3</v>
      </c>
      <c r="B12" s="17">
        <f>(B11*0.74)+(30840/12)</f>
        <v>21031.094940476189</v>
      </c>
      <c r="C12" s="17">
        <f>(C11*0.74)+(30840/12)</f>
        <v>23742.14</v>
      </c>
      <c r="D12" s="17">
        <f>(D11*0.74)+(30840/12)</f>
        <v>24492.092889880954</v>
      </c>
      <c r="E12" s="17">
        <f>(E11*0.74)+(30840/12)</f>
        <v>25970.77113095238</v>
      </c>
      <c r="F12" s="17">
        <f>(F11*0.74)+(30840/12)</f>
        <v>26799.606369047619</v>
      </c>
      <c r="G12" s="17">
        <f t="shared" ref="G12:I12" si="3">(G11*0.74)+(30840/12)</f>
        <v>27965.582083333338</v>
      </c>
      <c r="H12" s="17">
        <f t="shared" si="3"/>
        <v>28708.806369047619</v>
      </c>
      <c r="I12" s="17">
        <f t="shared" si="3"/>
        <v>30000.546845238092</v>
      </c>
      <c r="J12" s="11"/>
    </row>
    <row r="13" spans="1:32">
      <c r="A13" s="4" t="s">
        <v>4</v>
      </c>
      <c r="B13" s="18">
        <f>SUM(B12:B12)/D1</f>
        <v>134.06275659267689</v>
      </c>
      <c r="C13" s="18">
        <f>SUM(C12:C12)/D1</f>
        <v>151.34431872509961</v>
      </c>
      <c r="D13" s="18">
        <f>SUM(D12:D12)/D1</f>
        <v>156.12489491557579</v>
      </c>
      <c r="E13" s="18">
        <f>SUM(E12:E12)/D1</f>
        <v>165.55073230885981</v>
      </c>
      <c r="F13" s="18">
        <f>SUM(F12:F12)/D1</f>
        <v>170.83414418516409</v>
      </c>
      <c r="G13" s="18">
        <f>SUM(G12:G12)/D1</f>
        <v>178.2666586985392</v>
      </c>
      <c r="H13" s="18">
        <f>SUM(H12:H12)/D1</f>
        <v>183.00434338835134</v>
      </c>
      <c r="I13" s="18">
        <f>SUM(I12:I12)/D1</f>
        <v>191.23854562701572</v>
      </c>
      <c r="J13" s="11"/>
    </row>
    <row r="14" spans="1:32">
      <c r="A14" s="4" t="s">
        <v>5</v>
      </c>
      <c r="B14" s="19">
        <f>B13</f>
        <v>134.06275659267689</v>
      </c>
      <c r="C14" s="19">
        <f t="shared" ref="C14:I14" si="4">C13</f>
        <v>151.34431872509961</v>
      </c>
      <c r="D14" s="19">
        <f t="shared" si="4"/>
        <v>156.12489491557579</v>
      </c>
      <c r="E14" s="19">
        <f t="shared" si="4"/>
        <v>165.55073230885981</v>
      </c>
      <c r="F14" s="19">
        <f t="shared" si="4"/>
        <v>170.83414418516409</v>
      </c>
      <c r="G14" s="19">
        <f t="shared" si="4"/>
        <v>178.2666586985392</v>
      </c>
      <c r="H14" s="19">
        <f t="shared" si="4"/>
        <v>183.00434338835134</v>
      </c>
      <c r="I14" s="19">
        <f t="shared" si="4"/>
        <v>191.23854562701572</v>
      </c>
      <c r="J14" s="11"/>
    </row>
    <row r="15" spans="1:32" ht="15" thickBot="1">
      <c r="A15" s="6"/>
      <c r="B15" s="20">
        <f>B14*$D$1</f>
        <v>21031.094940476189</v>
      </c>
      <c r="C15" s="7">
        <f t="shared" ref="C15:I15" si="5">C14*$D$1</f>
        <v>23742.140000000003</v>
      </c>
      <c r="D15" s="7">
        <f t="shared" si="5"/>
        <v>24492.092889880954</v>
      </c>
      <c r="E15" s="7">
        <f t="shared" si="5"/>
        <v>25970.771130952384</v>
      </c>
      <c r="F15" s="7">
        <f t="shared" si="5"/>
        <v>26799.606369047619</v>
      </c>
      <c r="G15" s="7">
        <f t="shared" si="5"/>
        <v>27965.582083333338</v>
      </c>
      <c r="H15" s="7">
        <f t="shared" si="5"/>
        <v>28708.806369047616</v>
      </c>
      <c r="I15" s="7">
        <f t="shared" si="5"/>
        <v>30000.546845238092</v>
      </c>
      <c r="J15" s="11"/>
    </row>
    <row r="16" spans="1:32" ht="15" thickBot="1">
      <c r="A16" s="8" t="s">
        <v>6</v>
      </c>
      <c r="B16" s="21">
        <f>(B15-2570)/0.74</f>
        <v>24947.425595238092</v>
      </c>
      <c r="C16" s="21">
        <f>(C15-2570)/0.74</f>
        <v>28611.000000000004</v>
      </c>
      <c r="D16" s="21">
        <f>(D15-2570)/0.74</f>
        <v>29624.449851190479</v>
      </c>
      <c r="E16" s="21">
        <f>(E15-2570)/0.74</f>
        <v>31622.663690476194</v>
      </c>
      <c r="F16" s="21">
        <f>(F15-2570)/0.74</f>
        <v>32742.711309523809</v>
      </c>
      <c r="G16" s="21">
        <f t="shared" ref="G16:I16" si="6">(G15-2570)/0.74</f>
        <v>34318.354166666672</v>
      </c>
      <c r="H16" s="21">
        <f t="shared" si="6"/>
        <v>35322.711309523802</v>
      </c>
      <c r="I16" s="21">
        <f t="shared" si="6"/>
        <v>37068.306547619046</v>
      </c>
      <c r="J16" s="11"/>
    </row>
    <row r="17" spans="1:32" ht="15" thickBot="1">
      <c r="A17" s="9"/>
      <c r="B17" s="16"/>
      <c r="C17" s="24"/>
      <c r="D17" s="24"/>
      <c r="E17" s="24"/>
      <c r="F17" s="24"/>
      <c r="G17" s="24"/>
      <c r="H17" s="24"/>
      <c r="I17" s="24"/>
      <c r="J17" s="11"/>
    </row>
    <row r="18" spans="1:32" ht="15" thickBot="1">
      <c r="A18" s="25" t="s">
        <v>7</v>
      </c>
      <c r="B18" s="26">
        <f t="shared" ref="B18:I18" si="7">AVERAGE(B14,B31)</f>
        <v>148.59444166192372</v>
      </c>
      <c r="C18" s="26">
        <f t="shared" si="7"/>
        <v>167.36472908366534</v>
      </c>
      <c r="D18" s="26">
        <f t="shared" si="7"/>
        <v>172.43439137734777</v>
      </c>
      <c r="E18" s="26">
        <f t="shared" si="7"/>
        <v>182.14672396129765</v>
      </c>
      <c r="F18" s="26">
        <f t="shared" si="7"/>
        <v>187.82648719408081</v>
      </c>
      <c r="G18" s="26">
        <f t="shared" si="7"/>
        <v>195.71336254980079</v>
      </c>
      <c r="H18" s="26">
        <f t="shared" si="7"/>
        <v>204.05341946499715</v>
      </c>
      <c r="I18" s="26">
        <f t="shared" si="7"/>
        <v>212.9706511098463</v>
      </c>
      <c r="J18" s="28" t="s">
        <v>20</v>
      </c>
      <c r="L18" s="58" t="s">
        <v>155</v>
      </c>
    </row>
    <row r="20" spans="1:32">
      <c r="A20" s="13" t="s">
        <v>16</v>
      </c>
      <c r="B20" s="10" t="s">
        <v>104</v>
      </c>
      <c r="C20" s="10" t="s">
        <v>105</v>
      </c>
      <c r="D20" s="10" t="s">
        <v>106</v>
      </c>
      <c r="E20" s="10" t="s">
        <v>107</v>
      </c>
      <c r="F20" s="10" t="s">
        <v>108</v>
      </c>
      <c r="G20" s="10" t="s">
        <v>109</v>
      </c>
      <c r="H20" s="10" t="s">
        <v>110</v>
      </c>
      <c r="I20" s="10" t="s">
        <v>111</v>
      </c>
    </row>
    <row r="21" spans="1:32">
      <c r="A21" s="4" t="s">
        <v>1</v>
      </c>
      <c r="B21" s="17">
        <v>20800</v>
      </c>
      <c r="C21" s="17">
        <f>155.4*D1</f>
        <v>24378.375</v>
      </c>
      <c r="D21" s="5">
        <f>161.71*D1</f>
        <v>25368.256250000002</v>
      </c>
      <c r="E21" s="17">
        <v>27320</v>
      </c>
      <c r="F21" s="17">
        <v>28414</v>
      </c>
      <c r="G21" s="5">
        <v>29953</v>
      </c>
      <c r="H21" s="5">
        <v>30934</v>
      </c>
      <c r="I21" s="5">
        <v>32639</v>
      </c>
    </row>
    <row r="22" spans="1:32">
      <c r="A22" s="4" t="s">
        <v>113</v>
      </c>
      <c r="B22" s="17">
        <v>1670</v>
      </c>
      <c r="C22" s="17">
        <v>1670</v>
      </c>
      <c r="D22" s="17">
        <v>1670</v>
      </c>
      <c r="E22" s="17">
        <v>1670</v>
      </c>
      <c r="F22" s="17">
        <v>1670</v>
      </c>
      <c r="G22" s="17">
        <v>1670</v>
      </c>
      <c r="H22" s="17">
        <v>1670</v>
      </c>
      <c r="I22" s="17">
        <v>1670</v>
      </c>
    </row>
    <row r="23" spans="1:32">
      <c r="A23" s="12" t="s">
        <v>112</v>
      </c>
      <c r="B23" s="17">
        <f t="shared" ref="B23:I23" si="8">SUM(B21/157.5)*0.1*75</f>
        <v>990.47619047619071</v>
      </c>
      <c r="C23" s="17">
        <f t="shared" si="8"/>
        <v>1160.875</v>
      </c>
      <c r="D23" s="17">
        <f t="shared" si="8"/>
        <v>1208.0122023809524</v>
      </c>
      <c r="E23" s="17">
        <f t="shared" si="8"/>
        <v>1300.9523809523812</v>
      </c>
      <c r="F23" s="17">
        <f t="shared" si="8"/>
        <v>1353.047619047619</v>
      </c>
      <c r="G23" s="17">
        <f t="shared" si="8"/>
        <v>1426.3333333333333</v>
      </c>
      <c r="H23" s="17">
        <f t="shared" si="8"/>
        <v>1473.0476190476193</v>
      </c>
      <c r="I23" s="17">
        <f t="shared" si="8"/>
        <v>1554.2380952380954</v>
      </c>
    </row>
    <row r="24" spans="1:32">
      <c r="A24" s="12" t="s">
        <v>114</v>
      </c>
      <c r="B24" s="17">
        <f>SUM(D1)*16</f>
        <v>2510</v>
      </c>
      <c r="C24" s="17">
        <f>SUM(D1)*16</f>
        <v>2510</v>
      </c>
      <c r="D24" s="17">
        <f>SUM(D1)*16</f>
        <v>2510</v>
      </c>
      <c r="E24" s="17">
        <f>SUM(D1)*16</f>
        <v>2510</v>
      </c>
      <c r="F24" s="17">
        <f>SUM(D1)*16</f>
        <v>2510</v>
      </c>
      <c r="G24" s="17">
        <f>SUM(D1)*16</f>
        <v>2510</v>
      </c>
      <c r="H24" s="17">
        <f>SUM(D1)*16</f>
        <v>2510</v>
      </c>
      <c r="I24" s="17">
        <f>SUM(D1)*16</f>
        <v>2510</v>
      </c>
    </row>
    <row r="25" spans="1:32">
      <c r="A25" s="12" t="s">
        <v>115</v>
      </c>
      <c r="B25" s="17">
        <v>250</v>
      </c>
      <c r="C25" s="17">
        <v>250</v>
      </c>
      <c r="D25" s="17">
        <v>250</v>
      </c>
      <c r="E25" s="17">
        <v>250</v>
      </c>
      <c r="F25" s="17">
        <v>250</v>
      </c>
      <c r="G25" s="17">
        <v>250</v>
      </c>
      <c r="H25" s="17">
        <v>250</v>
      </c>
      <c r="I25" s="17">
        <v>250</v>
      </c>
    </row>
    <row r="26" spans="1:32">
      <c r="A26" s="12" t="s">
        <v>156</v>
      </c>
      <c r="B26" s="17">
        <v>1986</v>
      </c>
      <c r="C26" s="17">
        <v>2532</v>
      </c>
      <c r="D26" s="17">
        <v>2631</v>
      </c>
      <c r="E26" s="17">
        <v>2706</v>
      </c>
      <c r="F26" s="17">
        <v>2848</v>
      </c>
      <c r="G26" s="17">
        <v>3004</v>
      </c>
      <c r="H26" s="17">
        <v>4508</v>
      </c>
      <c r="I26" s="17">
        <v>4757</v>
      </c>
    </row>
    <row r="27" spans="1:32">
      <c r="A27" s="12" t="s">
        <v>328</v>
      </c>
      <c r="B27" s="17">
        <f>$D$1*$G$1</f>
        <v>2902.1875</v>
      </c>
      <c r="C27" s="17">
        <f t="shared" ref="C27:I27" si="9">$D$1*$G$1</f>
        <v>2902.1875</v>
      </c>
      <c r="D27" s="17">
        <f t="shared" si="9"/>
        <v>2902.1875</v>
      </c>
      <c r="E27" s="17">
        <f t="shared" si="9"/>
        <v>2902.1875</v>
      </c>
      <c r="F27" s="17">
        <f t="shared" si="9"/>
        <v>2902.1875</v>
      </c>
      <c r="G27" s="17">
        <f t="shared" si="9"/>
        <v>2902.1875</v>
      </c>
      <c r="H27" s="17">
        <f t="shared" si="9"/>
        <v>2902.1875</v>
      </c>
      <c r="I27" s="17">
        <f t="shared" si="9"/>
        <v>2902.1875</v>
      </c>
      <c r="J27" s="204" t="s">
        <v>329</v>
      </c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</row>
    <row r="28" spans="1:32">
      <c r="A28" s="4" t="s">
        <v>2</v>
      </c>
      <c r="B28" s="17">
        <f t="shared" ref="B28:I28" si="10">SUM(B21:B27)</f>
        <v>31108.663690476191</v>
      </c>
      <c r="C28" s="17">
        <f t="shared" si="10"/>
        <v>35403.4375</v>
      </c>
      <c r="D28" s="17">
        <f t="shared" si="10"/>
        <v>36539.455952380958</v>
      </c>
      <c r="E28" s="17">
        <f t="shared" si="10"/>
        <v>38659.139880952382</v>
      </c>
      <c r="F28" s="17">
        <f t="shared" si="10"/>
        <v>39947.235119047618</v>
      </c>
      <c r="G28" s="17">
        <f t="shared" si="10"/>
        <v>41715.520833333336</v>
      </c>
      <c r="H28" s="17">
        <f t="shared" si="10"/>
        <v>44247.235119047618</v>
      </c>
      <c r="I28" s="17">
        <f t="shared" si="10"/>
        <v>46282.425595238092</v>
      </c>
    </row>
    <row r="29" spans="1:32">
      <c r="A29" s="4" t="s">
        <v>3</v>
      </c>
      <c r="B29" s="17">
        <f>(B28*0.74)+(30840/12)</f>
        <v>25590.41113095238</v>
      </c>
      <c r="C29" s="17">
        <f>(C28*0.74)+(30840/12)</f>
        <v>28768.543750000001</v>
      </c>
      <c r="D29" s="17">
        <f>(D28*0.74)+(30840/12)</f>
        <v>29609.197404761908</v>
      </c>
      <c r="E29" s="17">
        <f>(E28*0.74)+(30840/12)</f>
        <v>31177.763511904763</v>
      </c>
      <c r="F29" s="17">
        <f>(F28*0.74)+(30840/12)</f>
        <v>32130.953988095236</v>
      </c>
      <c r="G29" s="17">
        <f t="shared" ref="G29:I29" si="11">(G28*0.74)+(30840/12)</f>
        <v>33439.485416666663</v>
      </c>
      <c r="H29" s="17">
        <f t="shared" si="11"/>
        <v>35312.953988095236</v>
      </c>
      <c r="I29" s="17">
        <f t="shared" si="11"/>
        <v>36818.994940476186</v>
      </c>
    </row>
    <row r="30" spans="1:32">
      <c r="A30" s="4" t="s">
        <v>4</v>
      </c>
      <c r="B30" s="18">
        <f>SUM(B29:B29)/D1</f>
        <v>163.12612673117056</v>
      </c>
      <c r="C30" s="18">
        <f>SUM(C29:C29)/D1</f>
        <v>183.38513944223109</v>
      </c>
      <c r="D30" s="18">
        <f>SUM(D29:D29)/D1</f>
        <v>188.74388783911974</v>
      </c>
      <c r="E30" s="18">
        <f>SUM(E29:E29)/D1</f>
        <v>198.74271561373553</v>
      </c>
      <c r="F30" s="18">
        <f>SUM(F29:F29)/D1</f>
        <v>204.81883020299753</v>
      </c>
      <c r="G30" s="18">
        <f>SUM(G29:G29)/D1</f>
        <v>213.16006640106238</v>
      </c>
      <c r="H30" s="18">
        <f>SUM(H29:H29)/D1</f>
        <v>225.10249554164295</v>
      </c>
      <c r="I30" s="18">
        <f>SUM(I29:I29)/D1</f>
        <v>234.70275659267688</v>
      </c>
    </row>
    <row r="31" spans="1:32">
      <c r="A31" s="4" t="s">
        <v>5</v>
      </c>
      <c r="B31" s="19">
        <f>B30</f>
        <v>163.12612673117056</v>
      </c>
      <c r="C31" s="19">
        <f t="shared" ref="C31:I31" si="12">C30</f>
        <v>183.38513944223109</v>
      </c>
      <c r="D31" s="19">
        <f t="shared" si="12"/>
        <v>188.74388783911974</v>
      </c>
      <c r="E31" s="19">
        <f t="shared" si="12"/>
        <v>198.74271561373553</v>
      </c>
      <c r="F31" s="19">
        <f t="shared" si="12"/>
        <v>204.81883020299753</v>
      </c>
      <c r="G31" s="19">
        <f t="shared" si="12"/>
        <v>213.16006640106238</v>
      </c>
      <c r="H31" s="19">
        <f t="shared" si="12"/>
        <v>225.10249554164295</v>
      </c>
      <c r="I31" s="19">
        <f t="shared" si="12"/>
        <v>234.70275659267688</v>
      </c>
    </row>
    <row r="32" spans="1:32" ht="15" thickBot="1">
      <c r="A32" s="6"/>
      <c r="B32" s="20">
        <f>B31*$D$1</f>
        <v>25590.41113095238</v>
      </c>
      <c r="C32" s="20">
        <f t="shared" ref="C32:I32" si="13">C31*$D$1</f>
        <v>28768.543750000004</v>
      </c>
      <c r="D32" s="20">
        <f t="shared" si="13"/>
        <v>29609.197404761908</v>
      </c>
      <c r="E32" s="20">
        <f t="shared" si="13"/>
        <v>31177.763511904759</v>
      </c>
      <c r="F32" s="20">
        <f t="shared" si="13"/>
        <v>32130.953988095236</v>
      </c>
      <c r="G32" s="20">
        <f t="shared" si="13"/>
        <v>33439.485416666663</v>
      </c>
      <c r="H32" s="20">
        <f t="shared" si="13"/>
        <v>35312.953988095236</v>
      </c>
      <c r="I32" s="20">
        <f t="shared" si="13"/>
        <v>36818.994940476186</v>
      </c>
    </row>
    <row r="33" spans="1:9" ht="15" thickBot="1">
      <c r="A33" s="8" t="s">
        <v>9</v>
      </c>
      <c r="B33" s="21">
        <f>(B32-2570)/0.74</f>
        <v>31108.663690476191</v>
      </c>
      <c r="C33" s="21">
        <f>(C32-2570)/0.74</f>
        <v>35403.437500000007</v>
      </c>
      <c r="D33" s="21">
        <f>(D32-2570)/0.74</f>
        <v>36539.455952380958</v>
      </c>
      <c r="E33" s="21">
        <f>(E32-2570)/0.74</f>
        <v>38659.139880952374</v>
      </c>
      <c r="F33" s="21">
        <f>(F32-2570)/0.74</f>
        <v>39947.235119047618</v>
      </c>
      <c r="G33" s="21">
        <f t="shared" ref="G33:I33" si="14">(G32-2570)/0.74</f>
        <v>41715.520833333328</v>
      </c>
      <c r="H33" s="21">
        <f t="shared" si="14"/>
        <v>44247.235119047618</v>
      </c>
      <c r="I33" s="21">
        <f t="shared" si="14"/>
        <v>46282.425595238092</v>
      </c>
    </row>
  </sheetData>
  <mergeCells count="1">
    <mergeCell ref="B2:I2"/>
  </mergeCells>
  <phoneticPr fontId="14" type="noConversion"/>
  <pageMargins left="0.7" right="0.7" top="0.78740157499999996" bottom="0.78740157499999996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12D5-4998-43AB-9233-1E5323BC1751}">
  <sheetPr codeName="List24">
    <tabColor rgb="FF92D050"/>
  </sheetPr>
  <dimension ref="A1:J28"/>
  <sheetViews>
    <sheetView zoomScale="142" workbookViewId="0">
      <selection activeCell="B22" sqref="B22"/>
    </sheetView>
  </sheetViews>
  <sheetFormatPr defaultRowHeight="14.4"/>
  <cols>
    <col min="1" max="1" width="29.5546875" bestFit="1" customWidth="1"/>
    <col min="2" max="2" width="10.77734375" style="15" bestFit="1" customWidth="1"/>
    <col min="3" max="5" width="10.77734375" style="15" customWidth="1"/>
    <col min="6" max="6" width="10.109375" bestFit="1" customWidth="1"/>
    <col min="8" max="8" width="10.21875" bestFit="1" customWidth="1"/>
    <col min="10" max="10" width="7.88671875" customWidth="1"/>
  </cols>
  <sheetData>
    <row r="1" spans="1:10">
      <c r="A1" s="1" t="s">
        <v>116</v>
      </c>
      <c r="B1" s="14" t="s">
        <v>0</v>
      </c>
      <c r="C1" s="2">
        <v>45755</v>
      </c>
      <c r="D1" s="14"/>
      <c r="E1" s="14"/>
      <c r="F1" s="2"/>
      <c r="G1" s="22">
        <v>156.875</v>
      </c>
      <c r="H1" s="23" t="s">
        <v>289</v>
      </c>
      <c r="I1" s="3"/>
    </row>
    <row r="2" spans="1:10" s="11" customFormat="1" ht="55.2">
      <c r="A2" s="13" t="s">
        <v>73</v>
      </c>
      <c r="B2" s="10" t="s">
        <v>300</v>
      </c>
      <c r="C2" s="10" t="s">
        <v>301</v>
      </c>
      <c r="D2" s="10" t="s">
        <v>302</v>
      </c>
      <c r="E2" s="10" t="s">
        <v>303</v>
      </c>
    </row>
    <row r="3" spans="1:10">
      <c r="A3" s="4" t="s">
        <v>1</v>
      </c>
      <c r="B3" s="17">
        <v>23000</v>
      </c>
      <c r="C3" s="17">
        <v>24000</v>
      </c>
      <c r="D3" s="17">
        <v>25000</v>
      </c>
      <c r="E3" s="17">
        <v>24000</v>
      </c>
      <c r="J3" s="11"/>
    </row>
    <row r="4" spans="1:10">
      <c r="A4" s="4" t="s">
        <v>118</v>
      </c>
      <c r="B4" s="17">
        <v>0</v>
      </c>
      <c r="C4" s="17">
        <v>0</v>
      </c>
      <c r="D4" s="17">
        <v>0</v>
      </c>
      <c r="E4" s="17">
        <v>0</v>
      </c>
      <c r="J4" s="11"/>
    </row>
    <row r="5" spans="1:10">
      <c r="A5" s="12" t="s">
        <v>112</v>
      </c>
      <c r="B5" s="17">
        <f>SUM(B3/157.25)*0.1*37.5</f>
        <v>548.48966613672496</v>
      </c>
      <c r="C5" s="17">
        <f>SUM(C3/157.25)*0.1*37.5</f>
        <v>572.3370429252783</v>
      </c>
      <c r="D5" s="17">
        <f>SUM(D3/157.25)*0.1*37.5</f>
        <v>596.18441971383152</v>
      </c>
      <c r="E5" s="17">
        <f>SUM(E3/157.25)*0.1*37.5</f>
        <v>572.3370429252783</v>
      </c>
      <c r="J5" s="11"/>
    </row>
    <row r="6" spans="1:10">
      <c r="A6" s="12" t="s">
        <v>119</v>
      </c>
      <c r="B6" s="17">
        <v>1500</v>
      </c>
      <c r="C6" s="17">
        <v>1500</v>
      </c>
      <c r="D6" s="17">
        <v>1500</v>
      </c>
      <c r="E6" s="17">
        <v>1500</v>
      </c>
      <c r="J6" s="11"/>
    </row>
    <row r="7" spans="1:10">
      <c r="A7" s="12" t="s">
        <v>120</v>
      </c>
      <c r="B7" s="17">
        <f>14*210*0.55</f>
        <v>1617.0000000000002</v>
      </c>
      <c r="C7" s="17">
        <f>14*210*0.55</f>
        <v>1617.0000000000002</v>
      </c>
      <c r="D7" s="17">
        <f>14*210*0.55</f>
        <v>1617.0000000000002</v>
      </c>
      <c r="E7" s="17">
        <f>14*210*0.55</f>
        <v>1617.0000000000002</v>
      </c>
      <c r="J7" s="11"/>
    </row>
    <row r="8" spans="1:10">
      <c r="A8" s="4" t="s">
        <v>2</v>
      </c>
      <c r="B8" s="17">
        <f>SUM(B3:B6)</f>
        <v>25048.489666136724</v>
      </c>
      <c r="C8" s="17">
        <f>SUM(C3:C6)</f>
        <v>26072.337042925279</v>
      </c>
      <c r="D8" s="17">
        <f>SUM(D3:D6)</f>
        <v>27096.184419713831</v>
      </c>
      <c r="E8" s="17">
        <f>SUM(E3:E6)</f>
        <v>26072.337042925279</v>
      </c>
      <c r="J8" s="11"/>
    </row>
    <row r="9" spans="1:10">
      <c r="A9" s="4" t="s">
        <v>3</v>
      </c>
      <c r="B9" s="17">
        <f>(B8*0.74)+(30840/12)</f>
        <v>21105.882352941175</v>
      </c>
      <c r="C9" s="17">
        <f>(C8*0.74)+(30840/12)</f>
        <v>21863.529411764706</v>
      </c>
      <c r="D9" s="17">
        <f>(D8*0.74)+(30840/12)</f>
        <v>22621.176470588234</v>
      </c>
      <c r="E9" s="17">
        <f>(E8*0.74)+(30840/12)</f>
        <v>21863.529411764706</v>
      </c>
      <c r="J9" s="11"/>
    </row>
    <row r="10" spans="1:10">
      <c r="A10" s="4" t="s">
        <v>4</v>
      </c>
      <c r="B10" s="18">
        <f>SUM(B9:B9)/G1</f>
        <v>134.53948910241385</v>
      </c>
      <c r="C10" s="18">
        <f>SUM(C9:C9)/G1</f>
        <v>139.36911178814157</v>
      </c>
      <c r="D10" s="18">
        <f>SUM(D9:D9)/G1</f>
        <v>144.19873447386922</v>
      </c>
      <c r="E10" s="18">
        <f>SUM(E9:E9)/G1</f>
        <v>139.36911178814157</v>
      </c>
      <c r="J10" s="11"/>
    </row>
    <row r="11" spans="1:10">
      <c r="A11" s="4" t="s">
        <v>5</v>
      </c>
      <c r="B11" s="19">
        <f>B10</f>
        <v>134.53948910241385</v>
      </c>
      <c r="C11" s="19">
        <f>C10</f>
        <v>139.36911178814157</v>
      </c>
      <c r="D11" s="19">
        <f>D10</f>
        <v>144.19873447386922</v>
      </c>
      <c r="E11" s="19">
        <f>E10</f>
        <v>139.36911178814157</v>
      </c>
      <c r="J11" s="11"/>
    </row>
    <row r="12" spans="1:10" ht="15" thickBot="1">
      <c r="A12" s="6"/>
      <c r="B12" s="20">
        <f>B11*$G$1</f>
        <v>21105.882352941175</v>
      </c>
      <c r="C12" s="20">
        <f>C11*$G$1</f>
        <v>21863.52941176471</v>
      </c>
      <c r="D12" s="20">
        <f>D11*$G$1</f>
        <v>22621.176470588234</v>
      </c>
      <c r="E12" s="20">
        <f>E11*$G$1</f>
        <v>21863.52941176471</v>
      </c>
      <c r="J12" s="11"/>
    </row>
    <row r="13" spans="1:10" ht="15" thickBot="1">
      <c r="A13" s="8" t="s">
        <v>6</v>
      </c>
      <c r="B13" s="21">
        <f>(B12-2570)/0.74</f>
        <v>25048.489666136724</v>
      </c>
      <c r="C13" s="21">
        <f>(C12-2570)/0.74</f>
        <v>26072.337042925283</v>
      </c>
      <c r="D13" s="21">
        <f>(D12-2570)/0.74</f>
        <v>27096.184419713831</v>
      </c>
      <c r="E13" s="21">
        <f>(E12-2570)/0.74</f>
        <v>26072.337042925283</v>
      </c>
      <c r="J13" s="11"/>
    </row>
    <row r="14" spans="1:10" ht="15" thickBot="1">
      <c r="A14" s="9"/>
      <c r="B14" s="16"/>
      <c r="C14" s="16"/>
      <c r="D14" s="16"/>
      <c r="E14" s="16"/>
      <c r="J14" s="11"/>
    </row>
    <row r="15" spans="1:10" ht="15" thickBot="1">
      <c r="A15" s="25" t="s">
        <v>7</v>
      </c>
      <c r="B15" s="26">
        <f>AVERAGE(B11,B26)</f>
        <v>153.82307382235763</v>
      </c>
      <c r="C15" s="26">
        <f>AVERAGE(C11,C26)</f>
        <v>158.76518771970939</v>
      </c>
      <c r="D15" s="26">
        <f>AVERAGE(D11,D26)</f>
        <v>166.23460417154911</v>
      </c>
      <c r="E15" s="26">
        <f>AVERAGE(E11,E26)</f>
        <v>163.81979282868525</v>
      </c>
      <c r="F15" s="257" t="s">
        <v>20</v>
      </c>
      <c r="G15" s="258"/>
      <c r="H15" s="258"/>
    </row>
    <row r="17" spans="1:10" ht="55.2">
      <c r="A17" s="13" t="s">
        <v>16</v>
      </c>
      <c r="B17" s="10" t="s">
        <v>300</v>
      </c>
      <c r="C17" s="10" t="s">
        <v>301</v>
      </c>
      <c r="D17" s="10" t="s">
        <v>302</v>
      </c>
      <c r="E17" s="10" t="s">
        <v>303</v>
      </c>
    </row>
    <row r="18" spans="1:10">
      <c r="A18" s="4" t="s">
        <v>1</v>
      </c>
      <c r="B18" s="17">
        <v>23000</v>
      </c>
      <c r="C18" s="17">
        <v>24000</v>
      </c>
      <c r="D18" s="17">
        <v>26000</v>
      </c>
      <c r="E18" s="17">
        <v>26000</v>
      </c>
    </row>
    <row r="19" spans="1:10">
      <c r="A19" s="4" t="s">
        <v>118</v>
      </c>
      <c r="B19" s="17">
        <v>5000</v>
      </c>
      <c r="C19" s="17">
        <v>5000</v>
      </c>
      <c r="D19" s="17">
        <v>5000</v>
      </c>
      <c r="E19" s="17">
        <v>5000</v>
      </c>
    </row>
    <row r="20" spans="1:10">
      <c r="A20" s="12" t="s">
        <v>112</v>
      </c>
      <c r="B20" s="17">
        <f>SUM(B18/157.25)*0.15*75</f>
        <v>1645.4689984101749</v>
      </c>
      <c r="C20" s="17">
        <f>SUM(C18/157.25)*0.15*75</f>
        <v>1717.0111287758348</v>
      </c>
      <c r="D20" s="17">
        <f>SUM(D18/157.25)*0.15*75</f>
        <v>1860.0953895071541</v>
      </c>
      <c r="E20" s="17">
        <f>SUM(E18/157.25)*0.15*75</f>
        <v>1860.0953895071541</v>
      </c>
      <c r="J20" s="30"/>
    </row>
    <row r="21" spans="1:10">
      <c r="A21" s="12" t="s">
        <v>119</v>
      </c>
      <c r="B21" s="17">
        <v>1500</v>
      </c>
      <c r="C21" s="17">
        <v>1500</v>
      </c>
      <c r="D21" s="17">
        <v>1500</v>
      </c>
      <c r="E21" s="17">
        <v>1500</v>
      </c>
    </row>
    <row r="22" spans="1:10">
      <c r="A22" s="12" t="s">
        <v>120</v>
      </c>
      <c r="B22" s="17">
        <f>18*210*0.55</f>
        <v>2079</v>
      </c>
      <c r="C22" s="17">
        <f>18*210*0.55</f>
        <v>2079</v>
      </c>
      <c r="D22" s="17">
        <f>18*210*0.55</f>
        <v>2079</v>
      </c>
      <c r="E22" s="17">
        <f>18*210*0.55</f>
        <v>2079</v>
      </c>
    </row>
    <row r="23" spans="1:10">
      <c r="A23" s="4" t="s">
        <v>2</v>
      </c>
      <c r="B23" s="17">
        <f>SUM(B18:B22)</f>
        <v>33224.468998410171</v>
      </c>
      <c r="C23" s="17">
        <f>SUM(C18:C22)</f>
        <v>34296.011128775834</v>
      </c>
      <c r="D23" s="17">
        <f>SUM(D18:D22)</f>
        <v>36439.095389507151</v>
      </c>
      <c r="E23" s="17">
        <f>SUM(E18:E22)</f>
        <v>36439.095389507151</v>
      </c>
    </row>
    <row r="24" spans="1:10">
      <c r="A24" s="4" t="s">
        <v>3</v>
      </c>
      <c r="B24" s="17">
        <f>(B23*0.74)+(30840/12)</f>
        <v>27156.107058823527</v>
      </c>
      <c r="C24" s="17">
        <f>(C23*0.74)+(30840/12)</f>
        <v>27949.048235294118</v>
      </c>
      <c r="D24" s="17">
        <f>(D23*0.74)+(30840/12)</f>
        <v>29534.930588235293</v>
      </c>
      <c r="E24" s="17">
        <f>(E23*0.74)+(30840/12)</f>
        <v>29534.930588235293</v>
      </c>
    </row>
    <row r="25" spans="1:10">
      <c r="A25" s="4" t="s">
        <v>4</v>
      </c>
      <c r="B25" s="18">
        <f>SUM(B24:B24)/G1</f>
        <v>173.10665854230137</v>
      </c>
      <c r="C25" s="18">
        <f>SUM(C24:C24)/G1</f>
        <v>178.16126365127724</v>
      </c>
      <c r="D25" s="18">
        <f>SUM(D24:D24)/G1</f>
        <v>188.27047386922897</v>
      </c>
      <c r="E25" s="18">
        <f>SUM(E24:E24)/G1</f>
        <v>188.27047386922897</v>
      </c>
    </row>
    <row r="26" spans="1:10">
      <c r="A26" s="4" t="s">
        <v>5</v>
      </c>
      <c r="B26" s="19">
        <f>B25</f>
        <v>173.10665854230137</v>
      </c>
      <c r="C26" s="19">
        <f>C25</f>
        <v>178.16126365127724</v>
      </c>
      <c r="D26" s="19">
        <f>D25</f>
        <v>188.27047386922897</v>
      </c>
      <c r="E26" s="19">
        <f>E25</f>
        <v>188.27047386922897</v>
      </c>
    </row>
    <row r="27" spans="1:10" ht="15" thickBot="1">
      <c r="A27" s="6"/>
      <c r="B27" s="20">
        <f>B26*$G$1</f>
        <v>27156.107058823527</v>
      </c>
      <c r="C27" s="20">
        <f>C26*$G$1</f>
        <v>27949.048235294118</v>
      </c>
      <c r="D27" s="20">
        <f>D26*$G$1</f>
        <v>29534.930588235293</v>
      </c>
      <c r="E27" s="20">
        <f>E26*$G$1</f>
        <v>29534.930588235293</v>
      </c>
    </row>
    <row r="28" spans="1:10" ht="15" thickBot="1">
      <c r="A28" s="8" t="s">
        <v>9</v>
      </c>
      <c r="B28" s="21">
        <f>(B27-2570)/0.74</f>
        <v>33224.468998410171</v>
      </c>
      <c r="C28" s="21">
        <f>(C27-2570)/0.74</f>
        <v>34296.011128775834</v>
      </c>
      <c r="D28" s="21">
        <f>(D27-2570)/0.74</f>
        <v>36439.095389507151</v>
      </c>
      <c r="E28" s="21">
        <f>(E27-2570)/0.74</f>
        <v>36439.095389507151</v>
      </c>
    </row>
  </sheetData>
  <mergeCells count="1">
    <mergeCell ref="F15:H15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ADE6-78CD-4A0B-93A3-7AC0C0FE8E88}">
  <sheetPr codeName="List25">
    <tabColor rgb="FF92D050"/>
  </sheetPr>
  <dimension ref="A1:N24"/>
  <sheetViews>
    <sheetView zoomScale="130" zoomScaleNormal="145" workbookViewId="0">
      <selection activeCell="F24" sqref="F24"/>
    </sheetView>
  </sheetViews>
  <sheetFormatPr defaultRowHeight="14.4"/>
  <cols>
    <col min="1" max="1" width="29.5546875" bestFit="1" customWidth="1"/>
    <col min="2" max="2" width="10.77734375" style="15" bestFit="1" customWidth="1"/>
    <col min="3" max="4" width="10.77734375" style="15" customWidth="1"/>
    <col min="5" max="5" width="28" bestFit="1" customWidth="1"/>
    <col min="8" max="8" width="11.77734375" bestFit="1" customWidth="1"/>
  </cols>
  <sheetData>
    <row r="1" spans="1:14">
      <c r="A1" s="1" t="s">
        <v>291</v>
      </c>
      <c r="B1" s="14" t="s">
        <v>0</v>
      </c>
      <c r="C1" s="14"/>
      <c r="D1" s="14"/>
      <c r="E1" s="2">
        <v>45866</v>
      </c>
      <c r="F1" s="22">
        <v>156.875</v>
      </c>
      <c r="G1" s="22"/>
      <c r="H1" s="23" t="s">
        <v>289</v>
      </c>
      <c r="I1" s="3"/>
    </row>
    <row r="2" spans="1:14" s="11" customFormat="1" ht="27.6">
      <c r="A2" s="13" t="s">
        <v>73</v>
      </c>
      <c r="B2" s="10" t="s">
        <v>290</v>
      </c>
      <c r="C2" s="10" t="s">
        <v>132</v>
      </c>
      <c r="D2" s="228" t="s">
        <v>29</v>
      </c>
    </row>
    <row r="3" spans="1:14">
      <c r="A3" s="4" t="s">
        <v>1</v>
      </c>
      <c r="B3" s="17">
        <f>157*F1</f>
        <v>24629.375</v>
      </c>
      <c r="C3" s="17">
        <f>251*F1</f>
        <v>39375.625</v>
      </c>
      <c r="D3" s="229">
        <f>240*F1</f>
        <v>37650</v>
      </c>
      <c r="E3" s="11"/>
      <c r="F3" s="11"/>
      <c r="G3" s="11"/>
      <c r="H3" s="11"/>
      <c r="I3" s="11"/>
    </row>
    <row r="4" spans="1:14">
      <c r="A4" s="12" t="s">
        <v>100</v>
      </c>
      <c r="B4" s="17">
        <v>0</v>
      </c>
      <c r="C4" s="17">
        <v>0</v>
      </c>
      <c r="D4" s="17">
        <v>0</v>
      </c>
      <c r="E4" s="11"/>
      <c r="F4" s="11"/>
      <c r="G4" s="11"/>
      <c r="H4" s="11"/>
      <c r="I4" s="11"/>
    </row>
    <row r="5" spans="1:14" s="161" customFormat="1">
      <c r="A5" s="166" t="s">
        <v>253</v>
      </c>
      <c r="B5" s="17">
        <v>0</v>
      </c>
      <c r="C5" s="17">
        <f>F1*10</f>
        <v>1568.75</v>
      </c>
      <c r="D5" s="17">
        <v>0</v>
      </c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4" t="s">
        <v>2</v>
      </c>
      <c r="B6" s="17">
        <f>SUM(B3:B4)</f>
        <v>24629.375</v>
      </c>
      <c r="C6" s="17">
        <f>SUM(C3:C5)</f>
        <v>40944.375</v>
      </c>
      <c r="D6" s="17">
        <f>SUM(D3:D5)</f>
        <v>37650</v>
      </c>
      <c r="E6" s="11"/>
      <c r="F6" s="11"/>
      <c r="G6" s="11"/>
      <c r="H6" s="11"/>
      <c r="I6" s="11"/>
    </row>
    <row r="7" spans="1:14">
      <c r="A7" s="4" t="s">
        <v>3</v>
      </c>
      <c r="B7" s="17">
        <f t="shared" ref="B7:C7" si="0">(B6*0.74)+(30840/12)</f>
        <v>20795.737499999999</v>
      </c>
      <c r="C7" s="17">
        <f t="shared" si="0"/>
        <v>32868.837500000001</v>
      </c>
      <c r="D7" s="17">
        <f t="shared" ref="D7" si="1">(D6*0.74)+(30840/12)</f>
        <v>30431</v>
      </c>
      <c r="E7" s="11"/>
      <c r="F7" s="11"/>
      <c r="G7" s="11"/>
      <c r="H7" s="11"/>
      <c r="I7" s="11"/>
    </row>
    <row r="8" spans="1:14">
      <c r="A8" s="4" t="s">
        <v>4</v>
      </c>
      <c r="B8" s="18">
        <f>SUM(B7:B7)/F1</f>
        <v>132.56247011952192</v>
      </c>
      <c r="C8" s="18">
        <f>SUM(C7:C7)/F1</f>
        <v>209.52247011952193</v>
      </c>
      <c r="D8" s="18">
        <f>SUM(D7:D7)/F1</f>
        <v>193.98247011952191</v>
      </c>
      <c r="E8" s="11"/>
      <c r="F8" s="11"/>
      <c r="G8" s="11"/>
      <c r="H8" s="11"/>
      <c r="I8" s="11"/>
    </row>
    <row r="9" spans="1:14">
      <c r="A9" s="4" t="s">
        <v>5</v>
      </c>
      <c r="B9" s="19">
        <f>B8</f>
        <v>132.56247011952192</v>
      </c>
      <c r="C9" s="19">
        <f>C8</f>
        <v>209.52247011952193</v>
      </c>
      <c r="D9" s="19">
        <f>D8</f>
        <v>193.98247011952191</v>
      </c>
      <c r="E9" s="11"/>
      <c r="F9" s="11"/>
      <c r="G9" s="11"/>
      <c r="H9" s="11"/>
      <c r="I9" s="11"/>
    </row>
    <row r="10" spans="1:14" ht="15" thickBot="1">
      <c r="A10" s="6"/>
      <c r="B10" s="20">
        <f>B9*$F$1</f>
        <v>20795.737499999999</v>
      </c>
      <c r="C10" s="20">
        <f>C9*$F$1</f>
        <v>32868.837500000001</v>
      </c>
      <c r="D10" s="20">
        <f>D9*$F$1</f>
        <v>30431</v>
      </c>
      <c r="E10" s="11"/>
      <c r="F10" s="11"/>
      <c r="G10" s="11"/>
      <c r="H10" s="11"/>
      <c r="I10" s="11"/>
    </row>
    <row r="11" spans="1:14" ht="15" thickBot="1">
      <c r="A11" s="8" t="s">
        <v>6</v>
      </c>
      <c r="B11" s="21">
        <f t="shared" ref="B11:C11" si="2">(B10-2570)/0.74</f>
        <v>24629.375</v>
      </c>
      <c r="C11" s="21">
        <f t="shared" si="2"/>
        <v>40944.375</v>
      </c>
      <c r="D11" s="21">
        <f t="shared" ref="D11" si="3">(D10-2570)/0.74</f>
        <v>37650</v>
      </c>
      <c r="E11" s="11"/>
      <c r="F11" s="11"/>
      <c r="G11" s="11"/>
      <c r="H11" s="11"/>
      <c r="I11" s="11"/>
    </row>
    <row r="12" spans="1:14" ht="15" thickBot="1">
      <c r="A12" s="9"/>
      <c r="B12" s="16"/>
      <c r="C12" s="16"/>
      <c r="D12" s="94"/>
      <c r="E12" s="11"/>
      <c r="F12" s="11"/>
      <c r="G12" s="11"/>
      <c r="H12" s="11"/>
      <c r="I12" s="11"/>
    </row>
    <row r="13" spans="1:14" ht="15" thickBot="1">
      <c r="A13" s="25" t="s">
        <v>7</v>
      </c>
      <c r="B13" s="26">
        <f>AVERAGE(B9,B22)</f>
        <v>135.46697011952193</v>
      </c>
      <c r="C13" s="26">
        <f>AVERAGE(C9,C22)</f>
        <v>214.16597011952194</v>
      </c>
      <c r="D13" s="26">
        <f>AVERAGE(D9,D22)</f>
        <v>198.4224701195219</v>
      </c>
      <c r="E13" s="28" t="s">
        <v>20</v>
      </c>
      <c r="F13" s="11"/>
      <c r="G13" s="11"/>
      <c r="H13" s="11"/>
      <c r="I13" s="11"/>
    </row>
    <row r="15" spans="1:14" ht="27.6">
      <c r="A15" s="13" t="s">
        <v>16</v>
      </c>
      <c r="B15" s="10" t="s">
        <v>290</v>
      </c>
      <c r="C15" s="10" t="s">
        <v>290</v>
      </c>
      <c r="D15" s="228" t="s">
        <v>29</v>
      </c>
      <c r="E15" s="11"/>
      <c r="F15" s="11"/>
      <c r="G15" s="11"/>
      <c r="H15" s="11"/>
      <c r="I15" s="11"/>
    </row>
    <row r="16" spans="1:14">
      <c r="A16" s="4" t="s">
        <v>1</v>
      </c>
      <c r="B16" s="17">
        <f>157*F1</f>
        <v>24629.375</v>
      </c>
      <c r="C16" s="17">
        <f>251*F1</f>
        <v>39375.625</v>
      </c>
      <c r="D16" s="17">
        <f>240*F1</f>
        <v>37650</v>
      </c>
      <c r="E16" s="11"/>
      <c r="F16" s="11"/>
      <c r="G16" s="11"/>
      <c r="H16" s="11"/>
      <c r="I16" s="11"/>
    </row>
    <row r="17" spans="1:9">
      <c r="A17" s="12" t="s">
        <v>100</v>
      </c>
      <c r="B17" s="17">
        <f>B16*0.05</f>
        <v>1231.46875</v>
      </c>
      <c r="C17" s="17">
        <f>C16*0.05</f>
        <v>1968.78125</v>
      </c>
      <c r="D17" s="17">
        <f>D16*0.05</f>
        <v>1882.5</v>
      </c>
      <c r="E17" s="11"/>
      <c r="F17" s="11"/>
      <c r="G17" s="11"/>
      <c r="H17" s="11"/>
      <c r="I17" s="11"/>
    </row>
    <row r="18" spans="1:9">
      <c r="A18" s="166" t="s">
        <v>253</v>
      </c>
      <c r="B18" s="17">
        <v>0</v>
      </c>
      <c r="C18" s="17">
        <f>F1*10</f>
        <v>1568.75</v>
      </c>
      <c r="D18" s="17">
        <v>0</v>
      </c>
      <c r="E18" s="11"/>
      <c r="F18" s="11"/>
      <c r="G18" s="11"/>
      <c r="H18" s="11"/>
      <c r="I18" s="11"/>
    </row>
    <row r="19" spans="1:9">
      <c r="A19" s="4" t="s">
        <v>2</v>
      </c>
      <c r="B19" s="17">
        <f>SUM(B16:B17)</f>
        <v>25860.84375</v>
      </c>
      <c r="C19" s="17">
        <f>SUM(C16:C18)</f>
        <v>42913.15625</v>
      </c>
      <c r="D19" s="17">
        <f>SUM(D16:D18)</f>
        <v>39532.5</v>
      </c>
      <c r="E19" s="11"/>
      <c r="F19" s="11"/>
      <c r="G19" s="11"/>
      <c r="H19" s="11"/>
      <c r="I19" s="11"/>
    </row>
    <row r="20" spans="1:9">
      <c r="A20" s="4" t="s">
        <v>3</v>
      </c>
      <c r="B20" s="17">
        <f t="shared" ref="B20:D20" si="4">(B19*0.74)+(30840/12)</f>
        <v>21707.024375000001</v>
      </c>
      <c r="C20" s="17">
        <f t="shared" si="4"/>
        <v>34325.735625000001</v>
      </c>
      <c r="D20" s="17">
        <f t="shared" si="4"/>
        <v>31824.05</v>
      </c>
      <c r="E20" s="11"/>
      <c r="F20" s="11"/>
      <c r="G20" s="11"/>
      <c r="H20" s="11"/>
      <c r="I20" s="11"/>
    </row>
    <row r="21" spans="1:9">
      <c r="A21" s="4" t="s">
        <v>4</v>
      </c>
      <c r="B21" s="18">
        <f>SUM(B20:B20)/F1</f>
        <v>138.37147011952192</v>
      </c>
      <c r="C21" s="18">
        <f>SUM(C20:C20)/F1</f>
        <v>218.80947011952193</v>
      </c>
      <c r="D21" s="18">
        <f>SUM(D20:D20)/F1</f>
        <v>202.8624701195219</v>
      </c>
      <c r="E21" s="11"/>
      <c r="F21" s="11"/>
      <c r="G21" s="11"/>
      <c r="H21" s="11"/>
      <c r="I21" s="11"/>
    </row>
    <row r="22" spans="1:9">
      <c r="A22" s="4" t="s">
        <v>5</v>
      </c>
      <c r="B22" s="19">
        <f>B21</f>
        <v>138.37147011952192</v>
      </c>
      <c r="C22" s="19">
        <f>C21</f>
        <v>218.80947011952193</v>
      </c>
      <c r="D22" s="19">
        <f>D21</f>
        <v>202.8624701195219</v>
      </c>
      <c r="E22" s="11"/>
      <c r="F22" s="11"/>
      <c r="G22" s="11"/>
      <c r="H22" s="11"/>
      <c r="I22" s="11"/>
    </row>
    <row r="23" spans="1:9" ht="15" thickBot="1">
      <c r="A23" s="6"/>
      <c r="B23" s="20">
        <f>B22*$F$1</f>
        <v>21707.024375000001</v>
      </c>
      <c r="C23" s="20">
        <f>C22*$F$1</f>
        <v>34325.735625000001</v>
      </c>
      <c r="D23" s="20">
        <f>D22*$F$1</f>
        <v>31824.05</v>
      </c>
      <c r="E23" s="11"/>
      <c r="F23" s="11"/>
      <c r="G23" s="11"/>
      <c r="H23" s="11"/>
      <c r="I23" s="11"/>
    </row>
    <row r="24" spans="1:9" ht="15" thickBot="1">
      <c r="A24" s="8" t="s">
        <v>9</v>
      </c>
      <c r="B24" s="21">
        <f t="shared" ref="B24:D24" si="5">(B23-2570)/0.74</f>
        <v>25860.84375</v>
      </c>
      <c r="C24" s="21">
        <f t="shared" si="5"/>
        <v>42913.15625</v>
      </c>
      <c r="D24" s="21">
        <f t="shared" si="5"/>
        <v>39532.5</v>
      </c>
      <c r="E24" s="11"/>
      <c r="F24" s="11"/>
      <c r="G24" s="11"/>
      <c r="H24" s="11"/>
      <c r="I24" s="11"/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62C1-539C-4615-86CF-112525C8C2FA}">
  <sheetPr codeName="List26">
    <tabColor rgb="FF92D050"/>
  </sheetPr>
  <dimension ref="A1:H34"/>
  <sheetViews>
    <sheetView zoomScale="129" workbookViewId="0">
      <selection activeCell="B6" sqref="B6"/>
    </sheetView>
  </sheetViews>
  <sheetFormatPr defaultRowHeight="14.4"/>
  <cols>
    <col min="1" max="1" width="29.5546875" bestFit="1" customWidth="1"/>
    <col min="2" max="2" width="10" style="15" customWidth="1"/>
    <col min="3" max="3" width="10.77734375" style="15" customWidth="1"/>
    <col min="4" max="4" width="28" bestFit="1" customWidth="1"/>
    <col min="6" max="6" width="48.77734375" customWidth="1"/>
    <col min="7" max="7" width="11.77734375" bestFit="1" customWidth="1"/>
  </cols>
  <sheetData>
    <row r="1" spans="1:8">
      <c r="A1" s="1" t="s">
        <v>292</v>
      </c>
      <c r="B1" s="14" t="s">
        <v>0</v>
      </c>
      <c r="C1" s="14"/>
      <c r="D1" s="2">
        <v>45809</v>
      </c>
      <c r="E1" s="22">
        <v>156.875</v>
      </c>
      <c r="F1" s="22"/>
      <c r="G1" s="23" t="s">
        <v>289</v>
      </c>
      <c r="H1" s="3"/>
    </row>
    <row r="2" spans="1:8" s="11" customFormat="1" ht="41.4">
      <c r="A2" s="13" t="s">
        <v>73</v>
      </c>
      <c r="B2" s="10" t="s">
        <v>335</v>
      </c>
      <c r="C2" s="10" t="s">
        <v>336</v>
      </c>
    </row>
    <row r="3" spans="1:8">
      <c r="A3" s="4" t="s">
        <v>1</v>
      </c>
      <c r="B3" s="17">
        <v>28600</v>
      </c>
      <c r="C3" s="17">
        <v>28600</v>
      </c>
      <c r="D3" s="11"/>
      <c r="E3" s="11"/>
      <c r="F3" s="11"/>
      <c r="G3" s="11"/>
      <c r="H3" s="11"/>
    </row>
    <row r="4" spans="1:8">
      <c r="A4" s="12" t="s">
        <v>293</v>
      </c>
      <c r="B4" s="17">
        <v>0</v>
      </c>
      <c r="C4" s="17">
        <v>0</v>
      </c>
      <c r="D4" s="11"/>
      <c r="E4" s="11"/>
      <c r="F4" s="11"/>
      <c r="G4" s="11"/>
      <c r="H4" s="11"/>
    </row>
    <row r="5" spans="1:8" s="37" customFormat="1">
      <c r="A5" s="41" t="s">
        <v>337</v>
      </c>
      <c r="B5" s="40">
        <f>(C3*0.15/E1)*(E1/3)</f>
        <v>1430</v>
      </c>
      <c r="C5" s="40">
        <f>(C3*0.15/E1)*(E1/3)</f>
        <v>1430</v>
      </c>
      <c r="D5" s="11"/>
      <c r="E5" s="38"/>
    </row>
    <row r="6" spans="1:8" s="37" customFormat="1">
      <c r="A6" s="41" t="s">
        <v>120</v>
      </c>
      <c r="B6" s="40">
        <v>1610</v>
      </c>
      <c r="C6" s="40">
        <v>1610</v>
      </c>
      <c r="D6" s="11"/>
      <c r="E6" s="38"/>
    </row>
    <row r="7" spans="1:8">
      <c r="A7" s="4" t="s">
        <v>2</v>
      </c>
      <c r="B7" s="17">
        <f>SUM(B3:B6)</f>
        <v>31640</v>
      </c>
      <c r="C7" s="17">
        <f>SUM(C3:C6)</f>
        <v>31640</v>
      </c>
      <c r="D7" s="11"/>
      <c r="E7" s="11"/>
      <c r="F7" s="11"/>
      <c r="G7" s="11"/>
      <c r="H7" s="11"/>
    </row>
    <row r="8" spans="1:8">
      <c r="A8" s="4" t="s">
        <v>3</v>
      </c>
      <c r="B8" s="17">
        <f t="shared" ref="B8:C8" si="0">(B7*0.74)+(30840/12)</f>
        <v>25983.599999999999</v>
      </c>
      <c r="C8" s="17">
        <f t="shared" si="0"/>
        <v>25983.599999999999</v>
      </c>
      <c r="D8" s="11"/>
      <c r="E8" s="11"/>
      <c r="F8" s="11"/>
      <c r="G8" s="11"/>
      <c r="H8" s="11"/>
    </row>
    <row r="9" spans="1:8">
      <c r="A9" s="4" t="s">
        <v>4</v>
      </c>
      <c r="B9" s="18">
        <f>SUM(B8:B8)/E1</f>
        <v>165.63250996015935</v>
      </c>
      <c r="C9" s="18">
        <f>SUM(C8:C8)/E1</f>
        <v>165.63250996015935</v>
      </c>
      <c r="D9" s="11"/>
      <c r="E9" s="11"/>
      <c r="F9" s="11"/>
      <c r="G9" s="11"/>
      <c r="H9" s="11"/>
    </row>
    <row r="10" spans="1:8">
      <c r="A10" s="4" t="s">
        <v>5</v>
      </c>
      <c r="B10" s="19">
        <f>B9</f>
        <v>165.63250996015935</v>
      </c>
      <c r="C10" s="19">
        <f>C9</f>
        <v>165.63250996015935</v>
      </c>
      <c r="D10" s="11"/>
      <c r="E10" s="11"/>
      <c r="F10" s="11"/>
      <c r="G10" s="11"/>
      <c r="H10" s="11"/>
    </row>
    <row r="11" spans="1:8" ht="15" thickBot="1">
      <c r="A11" s="6"/>
      <c r="B11" s="20">
        <f>B10*$E$1</f>
        <v>25983.599999999999</v>
      </c>
      <c r="C11" s="20">
        <f>C10*$E$1</f>
        <v>25983.599999999999</v>
      </c>
      <c r="D11" s="11"/>
      <c r="E11" s="11"/>
      <c r="F11" s="11"/>
      <c r="G11" s="11"/>
      <c r="H11" s="11"/>
    </row>
    <row r="12" spans="1:8" ht="15" thickBot="1">
      <c r="A12" s="8" t="s">
        <v>6</v>
      </c>
      <c r="B12" s="21">
        <f>(B11-2570)/0.74</f>
        <v>31640</v>
      </c>
      <c r="C12" s="21">
        <f>(C11-2570)/0.74</f>
        <v>31640</v>
      </c>
      <c r="D12" s="11"/>
      <c r="E12" s="11"/>
      <c r="F12" s="11"/>
      <c r="G12" s="11"/>
      <c r="H12" s="11"/>
    </row>
    <row r="13" spans="1:8" ht="15" thickBot="1">
      <c r="A13" s="9"/>
      <c r="B13" s="16"/>
      <c r="C13" s="16"/>
      <c r="D13" s="11"/>
      <c r="E13" s="11"/>
      <c r="F13" s="11"/>
      <c r="G13" s="11"/>
      <c r="H13" s="11"/>
    </row>
    <row r="14" spans="1:8" ht="15" thickBot="1">
      <c r="A14" s="25" t="s">
        <v>7</v>
      </c>
      <c r="B14" s="26">
        <f t="shared" ref="B14:C14" si="1">AVERAGE(B10,B24)</f>
        <v>174.12334661354581</v>
      </c>
      <c r="C14" s="26">
        <f t="shared" si="1"/>
        <v>174.12334661354581</v>
      </c>
      <c r="D14" s="28" t="s">
        <v>20</v>
      </c>
      <c r="E14" s="11"/>
      <c r="F14" s="11"/>
      <c r="G14" s="11"/>
      <c r="H14" s="11"/>
    </row>
    <row r="16" spans="1:8" ht="27.6">
      <c r="A16" s="13" t="s">
        <v>16</v>
      </c>
      <c r="B16" s="10" t="s">
        <v>290</v>
      </c>
      <c r="C16" s="10" t="s">
        <v>290</v>
      </c>
      <c r="D16" s="11"/>
      <c r="E16" s="11"/>
      <c r="F16" s="11"/>
      <c r="G16" s="11"/>
      <c r="H16" s="11"/>
    </row>
    <row r="17" spans="1:8">
      <c r="A17" s="4" t="s">
        <v>1</v>
      </c>
      <c r="B17" s="17">
        <v>28600</v>
      </c>
      <c r="C17" s="17">
        <v>28600</v>
      </c>
      <c r="D17" s="11"/>
      <c r="E17" s="11"/>
      <c r="F17" s="11"/>
      <c r="G17" s="11"/>
      <c r="H17" s="11"/>
    </row>
    <row r="18" spans="1:8">
      <c r="A18" s="12" t="s">
        <v>293</v>
      </c>
      <c r="B18" s="17">
        <v>3600</v>
      </c>
      <c r="C18" s="17">
        <v>3600</v>
      </c>
      <c r="D18" s="11"/>
      <c r="E18" s="11"/>
      <c r="F18" s="11"/>
      <c r="G18" s="11"/>
      <c r="H18" s="11"/>
    </row>
    <row r="19" spans="1:8">
      <c r="A19" s="41" t="s">
        <v>337</v>
      </c>
      <c r="B19" s="40">
        <f>(B17*0.15/E1)*(E1/3)</f>
        <v>1430</v>
      </c>
      <c r="C19" s="40">
        <f>(C17*0.15/E1)*(E1/3)</f>
        <v>1430</v>
      </c>
      <c r="D19" s="11"/>
      <c r="E19" s="11"/>
      <c r="F19" s="11"/>
      <c r="G19" s="11"/>
      <c r="H19" s="11"/>
    </row>
    <row r="20" spans="1:8">
      <c r="A20" s="41" t="s">
        <v>120</v>
      </c>
      <c r="B20" s="40">
        <v>1610</v>
      </c>
      <c r="C20" s="40">
        <v>1610</v>
      </c>
      <c r="D20" s="11"/>
      <c r="E20" s="11"/>
      <c r="F20" s="11"/>
      <c r="G20" s="11"/>
      <c r="H20" s="11"/>
    </row>
    <row r="21" spans="1:8">
      <c r="A21" s="4" t="s">
        <v>2</v>
      </c>
      <c r="B21" s="17">
        <f>SUM(B17:B20)</f>
        <v>35240</v>
      </c>
      <c r="C21" s="17">
        <f>SUM(C17:C20)</f>
        <v>35240</v>
      </c>
      <c r="D21" s="11"/>
      <c r="E21" s="11"/>
      <c r="F21" s="11"/>
      <c r="G21" s="11"/>
      <c r="H21" s="11"/>
    </row>
    <row r="22" spans="1:8">
      <c r="A22" s="4" t="s">
        <v>3</v>
      </c>
      <c r="B22" s="17">
        <f t="shared" ref="B22:C22" si="2">(B21*0.74)+(30840/12)</f>
        <v>28647.599999999999</v>
      </c>
      <c r="C22" s="17">
        <f t="shared" si="2"/>
        <v>28647.599999999999</v>
      </c>
      <c r="D22" s="11"/>
      <c r="E22" s="11"/>
      <c r="F22" s="11"/>
      <c r="G22" s="11"/>
      <c r="H22" s="11"/>
    </row>
    <row r="23" spans="1:8">
      <c r="A23" s="4" t="s">
        <v>4</v>
      </c>
      <c r="B23" s="18">
        <f>SUM(B22:B22)/E1</f>
        <v>182.61418326693226</v>
      </c>
      <c r="C23" s="18">
        <f>SUM(C22:C22)/E1</f>
        <v>182.61418326693226</v>
      </c>
      <c r="D23" s="11"/>
      <c r="E23" s="11"/>
      <c r="F23" s="11"/>
      <c r="G23" s="11"/>
      <c r="H23" s="11"/>
    </row>
    <row r="24" spans="1:8">
      <c r="A24" s="4" t="s">
        <v>5</v>
      </c>
      <c r="B24" s="19">
        <f>B23</f>
        <v>182.61418326693226</v>
      </c>
      <c r="C24" s="19">
        <f>C23</f>
        <v>182.61418326693226</v>
      </c>
      <c r="D24" s="11"/>
      <c r="E24" s="11"/>
      <c r="F24" s="11"/>
      <c r="G24" s="11"/>
      <c r="H24" s="11"/>
    </row>
    <row r="25" spans="1:8" ht="15" thickBot="1">
      <c r="A25" s="6"/>
      <c r="B25" s="20">
        <f>B24*$E$1</f>
        <v>28647.599999999999</v>
      </c>
      <c r="C25" s="20">
        <f>C24*$E$1</f>
        <v>28647.599999999999</v>
      </c>
      <c r="D25" s="11"/>
      <c r="E25" s="11"/>
      <c r="F25" s="11"/>
      <c r="G25" s="11"/>
      <c r="H25" s="11"/>
    </row>
    <row r="26" spans="1:8" ht="15" thickBot="1">
      <c r="A26" s="8" t="s">
        <v>9</v>
      </c>
      <c r="B26" s="21">
        <f t="shared" ref="B26:C26" si="3">(B25-2570)/0.74</f>
        <v>35240</v>
      </c>
      <c r="C26" s="21">
        <f t="shared" si="3"/>
        <v>35240</v>
      </c>
      <c r="D26" s="11"/>
      <c r="E26" s="11"/>
      <c r="F26" s="11"/>
      <c r="G26" s="11"/>
      <c r="H26" s="11"/>
    </row>
    <row r="29" spans="1:8" ht="25.5" customHeight="1">
      <c r="F29" s="206"/>
    </row>
    <row r="30" spans="1:8" ht="25.5" customHeight="1">
      <c r="F30" s="207"/>
    </row>
    <row r="31" spans="1:8" ht="25.5" customHeight="1">
      <c r="F31" s="207"/>
    </row>
    <row r="32" spans="1:8" ht="25.5" customHeight="1">
      <c r="F32" s="207"/>
    </row>
    <row r="33" spans="6:6" ht="25.5" customHeight="1">
      <c r="F33" s="208"/>
    </row>
    <row r="34" spans="6:6" ht="25.5" customHeight="1">
      <c r="F34" s="208"/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EDA4-7C49-4D57-8252-5D610DFCFFAE}">
  <sheetPr codeName="List27">
    <tabColor rgb="FF92D050"/>
  </sheetPr>
  <dimension ref="A1:O28"/>
  <sheetViews>
    <sheetView workbookViewId="0">
      <selection activeCell="A6" sqref="A6"/>
    </sheetView>
  </sheetViews>
  <sheetFormatPr defaultRowHeight="14.4"/>
  <cols>
    <col min="1" max="1" width="29.5546875" bestFit="1" customWidth="1"/>
    <col min="2" max="6" width="12.44140625" style="15" customWidth="1"/>
    <col min="7" max="7" width="28" bestFit="1" customWidth="1"/>
    <col min="10" max="10" width="11.77734375" bestFit="1" customWidth="1"/>
  </cols>
  <sheetData>
    <row r="1" spans="1:15">
      <c r="A1" s="1" t="s">
        <v>292</v>
      </c>
      <c r="B1" s="14"/>
      <c r="C1" s="14"/>
      <c r="D1" s="14"/>
      <c r="E1" s="14"/>
      <c r="F1" s="14" t="s">
        <v>0</v>
      </c>
      <c r="G1" s="2">
        <v>45817</v>
      </c>
      <c r="H1" s="22">
        <v>156.875</v>
      </c>
      <c r="I1" s="22"/>
      <c r="J1" s="23" t="s">
        <v>289</v>
      </c>
      <c r="K1" s="3"/>
    </row>
    <row r="2" spans="1:15" s="11" customFormat="1">
      <c r="A2" s="13" t="s">
        <v>73</v>
      </c>
      <c r="B2" s="10" t="s">
        <v>306</v>
      </c>
      <c r="C2" s="10" t="s">
        <v>307</v>
      </c>
      <c r="D2" s="10" t="s">
        <v>308</v>
      </c>
      <c r="E2" s="10" t="s">
        <v>309</v>
      </c>
      <c r="F2" s="10" t="s">
        <v>310</v>
      </c>
    </row>
    <row r="3" spans="1:15">
      <c r="A3" s="4" t="s">
        <v>1</v>
      </c>
      <c r="B3" s="17">
        <v>21100</v>
      </c>
      <c r="C3" s="17">
        <v>22100</v>
      </c>
      <c r="D3" s="17">
        <v>23000</v>
      </c>
      <c r="E3" s="17">
        <v>24800</v>
      </c>
      <c r="F3" s="17">
        <v>28700</v>
      </c>
      <c r="G3" s="11"/>
      <c r="H3" s="11"/>
      <c r="I3" s="11"/>
      <c r="J3" s="11"/>
      <c r="K3" s="11"/>
      <c r="O3" s="198"/>
    </row>
    <row r="4" spans="1:15">
      <c r="A4" s="12" t="s">
        <v>311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1"/>
      <c r="H4" s="11"/>
      <c r="I4" s="11"/>
      <c r="J4" s="11"/>
      <c r="K4" s="11"/>
    </row>
    <row r="5" spans="1:15">
      <c r="A5" s="12" t="s">
        <v>312</v>
      </c>
      <c r="B5" s="17">
        <v>4000</v>
      </c>
      <c r="C5" s="17">
        <v>4200</v>
      </c>
      <c r="D5" s="17">
        <v>4400</v>
      </c>
      <c r="E5" s="17">
        <v>4800</v>
      </c>
      <c r="F5" s="17">
        <v>5600</v>
      </c>
      <c r="G5" s="11"/>
      <c r="H5" s="11"/>
      <c r="I5" s="11"/>
      <c r="J5" s="199"/>
      <c r="K5" s="11"/>
    </row>
    <row r="6" spans="1:15" s="37" customFormat="1" ht="15.6">
      <c r="A6" s="41" t="s">
        <v>313</v>
      </c>
      <c r="B6" s="40">
        <f>37.5*4.5</f>
        <v>168.75</v>
      </c>
      <c r="C6" s="40">
        <f t="shared" ref="C6:F6" si="0">37.5*4.5</f>
        <v>168.75</v>
      </c>
      <c r="D6" s="40">
        <f t="shared" si="0"/>
        <v>168.75</v>
      </c>
      <c r="E6" s="40">
        <f t="shared" si="0"/>
        <v>168.75</v>
      </c>
      <c r="F6" s="40">
        <f t="shared" si="0"/>
        <v>168.75</v>
      </c>
      <c r="G6" s="11"/>
      <c r="H6" s="38"/>
      <c r="J6" s="200"/>
    </row>
    <row r="7" spans="1:15" s="37" customFormat="1" ht="15.6">
      <c r="A7" s="41" t="s">
        <v>14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11"/>
      <c r="H7" s="38"/>
      <c r="J7" s="200"/>
    </row>
    <row r="8" spans="1:15">
      <c r="A8" s="4" t="s">
        <v>2</v>
      </c>
      <c r="B8" s="17">
        <f>SUM(B3:B7)</f>
        <v>25268.75</v>
      </c>
      <c r="C8" s="17">
        <f>SUM(C3:C7)</f>
        <v>26468.75</v>
      </c>
      <c r="D8" s="17">
        <f>SUM(D3:D7)</f>
        <v>27568.75</v>
      </c>
      <c r="E8" s="17">
        <f>SUM(E3:E7)</f>
        <v>29768.75</v>
      </c>
      <c r="F8" s="17">
        <f>SUM(F3:F7)</f>
        <v>34468.75</v>
      </c>
      <c r="G8" s="11"/>
      <c r="H8" s="11"/>
      <c r="I8" s="11"/>
      <c r="J8" s="11"/>
      <c r="K8" s="11"/>
    </row>
    <row r="9" spans="1:15">
      <c r="A9" s="4" t="s">
        <v>3</v>
      </c>
      <c r="B9" s="17">
        <f>(B8*0.74)+(30840/12)</f>
        <v>21268.875</v>
      </c>
      <c r="C9" s="17">
        <f t="shared" ref="C9" si="1">(C8*0.74)+(30840/12)</f>
        <v>22156.875</v>
      </c>
      <c r="D9" s="17">
        <f t="shared" ref="D9" si="2">(D8*0.74)+(30840/12)</f>
        <v>22970.875</v>
      </c>
      <c r="E9" s="17">
        <f t="shared" ref="E9" si="3">(E8*0.74)+(30840/12)</f>
        <v>24598.875</v>
      </c>
      <c r="F9" s="17">
        <f t="shared" ref="F9" si="4">(F8*0.74)+(30840/12)</f>
        <v>28076.875</v>
      </c>
      <c r="G9" s="11"/>
      <c r="H9" s="11"/>
      <c r="I9" s="11"/>
      <c r="J9" s="11"/>
      <c r="K9" s="11"/>
    </row>
    <row r="10" spans="1:15">
      <c r="A10" s="4" t="s">
        <v>4</v>
      </c>
      <c r="B10" s="18">
        <f>SUM(B9:B9)/$H$1</f>
        <v>135.57848605577689</v>
      </c>
      <c r="C10" s="18">
        <f>SUM(C9:C9)/$H$1</f>
        <v>141.23904382470118</v>
      </c>
      <c r="D10" s="18">
        <f>SUM(D9:D9)/$H$1</f>
        <v>146.42788844621515</v>
      </c>
      <c r="E10" s="18">
        <f>SUM(E9:E9)/$H$1</f>
        <v>156.80557768924302</v>
      </c>
      <c r="F10" s="18">
        <f>SUM(F9:F9)/$H$1</f>
        <v>178.97609561752989</v>
      </c>
      <c r="G10" s="11"/>
      <c r="H10" s="11"/>
      <c r="I10" s="11"/>
      <c r="J10" s="11"/>
      <c r="K10" s="11"/>
    </row>
    <row r="11" spans="1:15">
      <c r="A11" s="4" t="s">
        <v>5</v>
      </c>
      <c r="B11" s="19">
        <f>B10</f>
        <v>135.57848605577689</v>
      </c>
      <c r="C11" s="19">
        <f>C10</f>
        <v>141.23904382470118</v>
      </c>
      <c r="D11" s="19">
        <f>D10</f>
        <v>146.42788844621515</v>
      </c>
      <c r="E11" s="19">
        <f>E10</f>
        <v>156.80557768924302</v>
      </c>
      <c r="F11" s="19">
        <f>F10</f>
        <v>178.97609561752989</v>
      </c>
      <c r="G11" s="11"/>
      <c r="H11" s="11"/>
      <c r="I11" s="11"/>
      <c r="J11" s="11"/>
      <c r="K11" s="11"/>
    </row>
    <row r="12" spans="1:15" ht="15" thickBot="1">
      <c r="A12" s="6"/>
      <c r="B12" s="20">
        <f>B11*$H$1</f>
        <v>21268.875</v>
      </c>
      <c r="C12" s="20">
        <f>C11*$H$1</f>
        <v>22156.875</v>
      </c>
      <c r="D12" s="20">
        <f>D11*$H$1</f>
        <v>22970.875</v>
      </c>
      <c r="E12" s="20">
        <f>E11*$H$1</f>
        <v>24598.875</v>
      </c>
      <c r="F12" s="20">
        <f>F11*$H$1</f>
        <v>28076.875000000004</v>
      </c>
      <c r="G12" s="11"/>
      <c r="H12" s="11"/>
      <c r="I12" s="11"/>
      <c r="J12" s="11"/>
      <c r="K12" s="11"/>
    </row>
    <row r="13" spans="1:15" ht="15" thickBot="1">
      <c r="A13" s="8" t="s">
        <v>6</v>
      </c>
      <c r="B13" s="21">
        <f>(B12-2570)/0.74</f>
        <v>25268.75</v>
      </c>
      <c r="C13" s="21">
        <f>(C12-2570)/0.74</f>
        <v>26468.75</v>
      </c>
      <c r="D13" s="21">
        <f>(D12-2570)/0.74</f>
        <v>27568.75</v>
      </c>
      <c r="E13" s="21">
        <f>(E12-2570)/0.74</f>
        <v>29768.75</v>
      </c>
      <c r="F13" s="21">
        <f>(F12-2570)/0.74</f>
        <v>34468.750000000007</v>
      </c>
      <c r="G13" s="11"/>
      <c r="H13" s="11"/>
      <c r="I13" s="11"/>
      <c r="J13" s="11"/>
      <c r="K13" s="11"/>
    </row>
    <row r="14" spans="1:15" ht="15" thickBot="1">
      <c r="A14" s="9"/>
      <c r="B14" s="16"/>
      <c r="C14" s="16"/>
      <c r="D14" s="16"/>
      <c r="E14" s="16"/>
      <c r="F14" s="16"/>
      <c r="G14" s="11"/>
      <c r="H14" s="11"/>
      <c r="I14" s="11"/>
      <c r="J14" s="11"/>
      <c r="K14" s="11"/>
    </row>
    <row r="15" spans="1:15" ht="15" thickBot="1">
      <c r="A15" s="25" t="s">
        <v>7</v>
      </c>
      <c r="B15" s="26">
        <f t="shared" ref="B15" si="5">AVERAGE(B11,B26)</f>
        <v>144.5410358565737</v>
      </c>
      <c r="C15" s="26">
        <f>AVERAGE(C11,C26)</f>
        <v>147.84302788844622</v>
      </c>
      <c r="D15" s="26">
        <f t="shared" ref="D15:F15" si="6">AVERAGE(D11,D26)</f>
        <v>153.03187250996018</v>
      </c>
      <c r="E15" s="26">
        <f t="shared" ref="E15" si="7">AVERAGE(E11,E26)</f>
        <v>163.40956175298805</v>
      </c>
      <c r="F15" s="26">
        <f t="shared" si="6"/>
        <v>185.58007968127492</v>
      </c>
      <c r="G15" s="28" t="s">
        <v>20</v>
      </c>
      <c r="H15" s="11"/>
      <c r="I15" s="11"/>
      <c r="J15" s="11"/>
      <c r="K15" s="11"/>
    </row>
    <row r="17" spans="1:11" ht="27.6">
      <c r="A17" s="13" t="s">
        <v>16</v>
      </c>
      <c r="B17" s="10" t="s">
        <v>290</v>
      </c>
      <c r="C17" s="10" t="s">
        <v>290</v>
      </c>
      <c r="D17" s="10" t="s">
        <v>290</v>
      </c>
      <c r="E17" s="10" t="s">
        <v>290</v>
      </c>
      <c r="F17" s="10" t="s">
        <v>290</v>
      </c>
      <c r="G17" s="11"/>
      <c r="H17" s="11"/>
      <c r="I17" s="11"/>
      <c r="J17" s="11"/>
      <c r="K17" s="11"/>
    </row>
    <row r="18" spans="1:11">
      <c r="A18" s="4" t="s">
        <v>1</v>
      </c>
      <c r="B18" s="17">
        <v>21100</v>
      </c>
      <c r="C18" s="17">
        <v>22100</v>
      </c>
      <c r="D18" s="17">
        <v>23000</v>
      </c>
      <c r="E18" s="17">
        <v>24800</v>
      </c>
      <c r="F18" s="17">
        <v>28700</v>
      </c>
      <c r="G18" s="11"/>
      <c r="H18" s="11"/>
      <c r="I18" s="11"/>
      <c r="J18" s="11"/>
      <c r="K18" s="11"/>
    </row>
    <row r="19" spans="1:11">
      <c r="A19" s="12" t="s">
        <v>311</v>
      </c>
      <c r="B19" s="17">
        <v>2800</v>
      </c>
      <c r="C19" s="17">
        <v>2800</v>
      </c>
      <c r="D19" s="17">
        <v>2800</v>
      </c>
      <c r="E19" s="17">
        <v>2800</v>
      </c>
      <c r="F19" s="17">
        <v>2800</v>
      </c>
      <c r="G19" s="11"/>
      <c r="H19" s="11"/>
      <c r="I19" s="11"/>
      <c r="J19" s="11"/>
      <c r="K19" s="11"/>
    </row>
    <row r="20" spans="1:11">
      <c r="A20" s="12" t="s">
        <v>312</v>
      </c>
      <c r="B20" s="17">
        <v>4000</v>
      </c>
      <c r="C20" s="17">
        <v>4200</v>
      </c>
      <c r="D20" s="17">
        <v>4400</v>
      </c>
      <c r="E20" s="17">
        <v>4800</v>
      </c>
      <c r="F20" s="17">
        <v>5600</v>
      </c>
      <c r="G20" s="11"/>
      <c r="H20" s="11"/>
      <c r="I20" s="11"/>
      <c r="J20" s="11"/>
      <c r="K20" s="11"/>
    </row>
    <row r="21" spans="1:11">
      <c r="A21" s="41" t="s">
        <v>147</v>
      </c>
      <c r="B21" s="40">
        <f>37.5*4.5</f>
        <v>168.75</v>
      </c>
      <c r="C21" s="40">
        <f t="shared" ref="C21:F21" si="8">37.5*4.5</f>
        <v>168.75</v>
      </c>
      <c r="D21" s="40">
        <f t="shared" si="8"/>
        <v>168.75</v>
      </c>
      <c r="E21" s="40">
        <f t="shared" si="8"/>
        <v>168.75</v>
      </c>
      <c r="F21" s="40">
        <f t="shared" si="8"/>
        <v>168.75</v>
      </c>
      <c r="G21" s="11"/>
      <c r="H21" s="11"/>
      <c r="I21" s="11"/>
      <c r="J21" s="11"/>
      <c r="K21" s="11"/>
    </row>
    <row r="22" spans="1:11">
      <c r="A22" s="41" t="s">
        <v>14</v>
      </c>
      <c r="B22" s="40">
        <v>1000</v>
      </c>
      <c r="C22" s="40">
        <v>1000</v>
      </c>
      <c r="D22" s="40">
        <v>1000</v>
      </c>
      <c r="E22" s="40">
        <v>1000</v>
      </c>
      <c r="F22" s="40">
        <v>1000</v>
      </c>
      <c r="G22" s="11"/>
      <c r="H22" s="11"/>
      <c r="I22" s="11"/>
      <c r="J22" s="11"/>
      <c r="K22" s="11"/>
    </row>
    <row r="23" spans="1:11">
      <c r="A23" s="4" t="s">
        <v>2</v>
      </c>
      <c r="B23" s="17">
        <f>SUM(B18:B22)</f>
        <v>29068.75</v>
      </c>
      <c r="C23" s="17">
        <f>SUM(C18:C21)</f>
        <v>29268.75</v>
      </c>
      <c r="D23" s="17">
        <f>SUM(D18:D21)</f>
        <v>30368.75</v>
      </c>
      <c r="E23" s="17">
        <f t="shared" ref="E23" si="9">SUM(E18:E21)</f>
        <v>32568.75</v>
      </c>
      <c r="F23" s="17">
        <f>SUM(F18:F21)</f>
        <v>37268.75</v>
      </c>
      <c r="G23" s="11"/>
      <c r="H23" s="11"/>
      <c r="I23" s="11"/>
      <c r="J23" s="11"/>
      <c r="K23" s="11"/>
    </row>
    <row r="24" spans="1:11">
      <c r="A24" s="4" t="s">
        <v>3</v>
      </c>
      <c r="B24" s="17">
        <f t="shared" ref="B24" si="10">(B23*0.74)+(30840/12)</f>
        <v>24080.875</v>
      </c>
      <c r="C24" s="17">
        <f t="shared" ref="C24" si="11">(C23*0.74)+(30840/12)</f>
        <v>24228.875</v>
      </c>
      <c r="D24" s="17">
        <f t="shared" ref="D24" si="12">(D23*0.74)+(30840/12)</f>
        <v>25042.875</v>
      </c>
      <c r="E24" s="17">
        <f t="shared" ref="E24" si="13">(E23*0.74)+(30840/12)</f>
        <v>26670.875</v>
      </c>
      <c r="F24" s="17">
        <f t="shared" ref="F24" si="14">(F23*0.74)+(30840/12)</f>
        <v>30148.875</v>
      </c>
      <c r="G24" s="11"/>
      <c r="H24" s="11"/>
      <c r="I24" s="11"/>
      <c r="J24" s="11"/>
      <c r="K24" s="11"/>
    </row>
    <row r="25" spans="1:11">
      <c r="A25" s="4" t="s">
        <v>4</v>
      </c>
      <c r="B25" s="18">
        <f>SUM(B24:B24)/$H$1</f>
        <v>153.50358565737051</v>
      </c>
      <c r="C25" s="18">
        <f>SUM(C24:C24)/$H$1</f>
        <v>154.44701195219125</v>
      </c>
      <c r="D25" s="18">
        <f>SUM(D24:D24)/$H$1</f>
        <v>159.63585657370518</v>
      </c>
      <c r="E25" s="18">
        <f>SUM(E24:E24)/$H$1</f>
        <v>170.01354581673306</v>
      </c>
      <c r="F25" s="18">
        <f>SUM(F24:F24)/$H$1</f>
        <v>192.18406374501993</v>
      </c>
      <c r="G25" s="11"/>
      <c r="H25" s="11"/>
      <c r="I25" s="11"/>
      <c r="J25" s="11"/>
      <c r="K25" s="11"/>
    </row>
    <row r="26" spans="1:11">
      <c r="A26" s="4" t="s">
        <v>5</v>
      </c>
      <c r="B26" s="19">
        <f>B25</f>
        <v>153.50358565737051</v>
      </c>
      <c r="C26" s="19">
        <f>C25</f>
        <v>154.44701195219125</v>
      </c>
      <c r="D26" s="19">
        <f>D25</f>
        <v>159.63585657370518</v>
      </c>
      <c r="E26" s="19">
        <f>E25</f>
        <v>170.01354581673306</v>
      </c>
      <c r="F26" s="19">
        <f>F25</f>
        <v>192.18406374501993</v>
      </c>
      <c r="G26" s="11"/>
      <c r="H26" s="11"/>
      <c r="I26" s="11"/>
      <c r="J26" s="11"/>
      <c r="K26" s="11"/>
    </row>
    <row r="27" spans="1:11" ht="15" thickBot="1">
      <c r="A27" s="6"/>
      <c r="B27" s="20">
        <f>B26*$H$1</f>
        <v>24080.875</v>
      </c>
      <c r="C27" s="20">
        <f>C26*$H$1</f>
        <v>24228.875</v>
      </c>
      <c r="D27" s="20">
        <f>D26*$H$1</f>
        <v>25042.875</v>
      </c>
      <c r="E27" s="20">
        <f>E26*$H$1</f>
        <v>26670.875</v>
      </c>
      <c r="F27" s="20">
        <f>F26*$H$1</f>
        <v>30148.875</v>
      </c>
      <c r="G27" s="11"/>
      <c r="H27" s="11"/>
      <c r="I27" s="11"/>
      <c r="J27" s="11"/>
      <c r="K27" s="11"/>
    </row>
    <row r="28" spans="1:11" ht="15" thickBot="1">
      <c r="A28" s="8" t="s">
        <v>9</v>
      </c>
      <c r="B28" s="21">
        <f t="shared" ref="B28" si="15">(B27-2570)/0.74</f>
        <v>29068.75</v>
      </c>
      <c r="C28" s="21">
        <f t="shared" ref="C28" si="16">(C27-2570)/0.74</f>
        <v>29268.75</v>
      </c>
      <c r="D28" s="21">
        <f t="shared" ref="D28:F28" si="17">(D27-2570)/0.74</f>
        <v>30368.75</v>
      </c>
      <c r="E28" s="21">
        <f t="shared" ref="E28" si="18">(E27-2570)/0.74</f>
        <v>32568.75</v>
      </c>
      <c r="F28" s="21">
        <f t="shared" si="17"/>
        <v>37268.75</v>
      </c>
      <c r="G28" s="11"/>
      <c r="H28" s="11"/>
      <c r="I28" s="11"/>
      <c r="J28" s="11"/>
      <c r="K28" s="11"/>
    </row>
  </sheetData>
  <pageMargins left="0.7" right="0.7" top="0.78740157499999996" bottom="0.78740157499999996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2F38-9F10-45C9-AB3C-A31B62793E05}">
  <sheetPr codeName="List28">
    <tabColor rgb="FF92D050"/>
  </sheetPr>
  <dimension ref="A1:G26"/>
  <sheetViews>
    <sheetView zoomScale="130" zoomScaleNormal="130" workbookViewId="0">
      <selection activeCell="A5" sqref="A5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28" bestFit="1" customWidth="1"/>
    <col min="6" max="6" width="11.77734375" bestFit="1" customWidth="1"/>
  </cols>
  <sheetData>
    <row r="1" spans="1:7">
      <c r="A1" s="1" t="s">
        <v>314</v>
      </c>
      <c r="B1" s="14" t="s">
        <v>0</v>
      </c>
      <c r="C1" s="2">
        <v>45798</v>
      </c>
      <c r="D1" s="22">
        <v>161</v>
      </c>
      <c r="E1" s="22"/>
      <c r="F1" s="23" t="s">
        <v>289</v>
      </c>
      <c r="G1" s="3"/>
    </row>
    <row r="2" spans="1:7" s="11" customFormat="1" ht="27.6">
      <c r="A2" s="13" t="s">
        <v>73</v>
      </c>
      <c r="B2" s="10" t="s">
        <v>290</v>
      </c>
      <c r="D2" s="22"/>
    </row>
    <row r="3" spans="1:7">
      <c r="A3" s="4" t="s">
        <v>1</v>
      </c>
      <c r="B3" s="17">
        <f>26000</f>
        <v>26000</v>
      </c>
      <c r="C3" s="11"/>
      <c r="D3" s="11"/>
      <c r="E3" s="11"/>
      <c r="F3" s="11"/>
      <c r="G3" s="11"/>
    </row>
    <row r="4" spans="1:7">
      <c r="A4" s="12" t="s">
        <v>326</v>
      </c>
      <c r="B4" s="17">
        <v>0</v>
      </c>
      <c r="C4" s="11"/>
      <c r="D4" s="11"/>
      <c r="E4" s="37"/>
      <c r="F4" s="11"/>
      <c r="G4" s="11"/>
    </row>
    <row r="5" spans="1:7" s="37" customFormat="1">
      <c r="A5" s="41" t="s">
        <v>147</v>
      </c>
      <c r="B5" s="40">
        <f>54*15</f>
        <v>810</v>
      </c>
      <c r="C5" s="11"/>
      <c r="D5" s="38"/>
    </row>
    <row r="6" spans="1:7" s="37" customFormat="1">
      <c r="A6" s="41" t="s">
        <v>315</v>
      </c>
      <c r="B6" s="40">
        <v>0</v>
      </c>
      <c r="C6" s="11"/>
      <c r="D6" s="38"/>
    </row>
    <row r="7" spans="1:7">
      <c r="A7" s="4" t="s">
        <v>2</v>
      </c>
      <c r="B7" s="17">
        <f>SUM(B3:B6)</f>
        <v>26810</v>
      </c>
      <c r="C7" s="11"/>
      <c r="D7" s="11"/>
      <c r="E7" s="11"/>
      <c r="F7" s="11"/>
      <c r="G7" s="11"/>
    </row>
    <row r="8" spans="1:7">
      <c r="A8" s="4" t="s">
        <v>3</v>
      </c>
      <c r="B8" s="17">
        <f>(B7*0.74)+(30840/12)</f>
        <v>22409.4</v>
      </c>
      <c r="C8" s="11"/>
      <c r="D8" s="11"/>
      <c r="E8" s="11"/>
      <c r="F8" s="11" t="s">
        <v>317</v>
      </c>
      <c r="G8" s="11"/>
    </row>
    <row r="9" spans="1:7">
      <c r="A9" s="4" t="s">
        <v>4</v>
      </c>
      <c r="B9" s="18">
        <f>SUM(B8:B8)/D1</f>
        <v>139.1888198757764</v>
      </c>
      <c r="C9" s="11">
        <v>160</v>
      </c>
      <c r="D9" s="11"/>
      <c r="E9" s="11"/>
      <c r="F9" s="11">
        <v>30000</v>
      </c>
      <c r="G9" s="11"/>
    </row>
    <row r="10" spans="1:7">
      <c r="A10" s="4" t="s">
        <v>5</v>
      </c>
      <c r="B10" s="19">
        <f>B9</f>
        <v>139.1888198757764</v>
      </c>
      <c r="C10" s="11"/>
      <c r="D10" s="11"/>
      <c r="E10" s="11"/>
      <c r="F10" s="11">
        <v>34000</v>
      </c>
      <c r="G10" s="11"/>
    </row>
    <row r="11" spans="1:7" ht="15" thickBot="1">
      <c r="A11" s="6"/>
      <c r="B11" s="20">
        <f>B10*$D$1</f>
        <v>22409.4</v>
      </c>
      <c r="C11" s="11"/>
      <c r="D11" s="11"/>
      <c r="E11" s="11"/>
      <c r="F11" s="11"/>
      <c r="G11" s="11"/>
    </row>
    <row r="12" spans="1:7" ht="15" thickBot="1">
      <c r="A12" s="8" t="s">
        <v>6</v>
      </c>
      <c r="B12" s="21">
        <f>(B11-2570)/0.74</f>
        <v>26810.000000000004</v>
      </c>
      <c r="C12" s="11"/>
      <c r="D12" s="11"/>
      <c r="E12" s="11"/>
      <c r="F12" s="11" t="s">
        <v>318</v>
      </c>
      <c r="G12" s="11"/>
    </row>
    <row r="13" spans="1:7" ht="15" thickBot="1">
      <c r="A13" s="9"/>
      <c r="B13" s="16"/>
      <c r="C13" s="11"/>
      <c r="D13" s="11"/>
      <c r="E13" s="11"/>
      <c r="F13" s="11"/>
      <c r="G13" s="11"/>
    </row>
    <row r="14" spans="1:7" ht="15" thickBot="1">
      <c r="A14" s="25" t="s">
        <v>7</v>
      </c>
      <c r="B14" s="26">
        <f>AVERAGE(B10,B24)</f>
        <v>148.95590062111802</v>
      </c>
      <c r="C14" s="28" t="s">
        <v>20</v>
      </c>
      <c r="D14" s="11"/>
      <c r="E14" s="11"/>
      <c r="F14" s="11"/>
      <c r="G14" s="11"/>
    </row>
    <row r="16" spans="1:7" ht="27.6">
      <c r="A16" s="13" t="s">
        <v>16</v>
      </c>
      <c r="B16" s="10" t="s">
        <v>290</v>
      </c>
      <c r="C16" s="11"/>
      <c r="D16" s="11"/>
      <c r="E16" s="11"/>
      <c r="G16" s="11"/>
    </row>
    <row r="17" spans="1:7">
      <c r="A17" s="4" t="s">
        <v>1</v>
      </c>
      <c r="B17" s="17">
        <f>26000</f>
        <v>26000</v>
      </c>
      <c r="C17" s="11"/>
      <c r="D17" s="11">
        <f>3000/158.875</f>
        <v>18.882769472856019</v>
      </c>
      <c r="E17" s="11"/>
      <c r="F17" s="205" t="s">
        <v>331</v>
      </c>
      <c r="G17" s="11"/>
    </row>
    <row r="18" spans="1:7">
      <c r="A18" s="12" t="s">
        <v>293</v>
      </c>
      <c r="B18" s="17">
        <v>1500</v>
      </c>
      <c r="C18" s="11"/>
      <c r="D18" s="11"/>
      <c r="E18" s="11"/>
      <c r="G18" s="11"/>
    </row>
    <row r="19" spans="1:7">
      <c r="A19" s="41" t="s">
        <v>147</v>
      </c>
      <c r="B19" s="40">
        <f>54*15</f>
        <v>810</v>
      </c>
      <c r="C19" s="11"/>
      <c r="D19" s="11"/>
      <c r="E19" s="11"/>
      <c r="F19" s="205" t="s">
        <v>332</v>
      </c>
      <c r="G19" s="11"/>
    </row>
    <row r="20" spans="1:7">
      <c r="A20" s="41" t="s">
        <v>316</v>
      </c>
      <c r="B20" s="40">
        <v>2750</v>
      </c>
      <c r="C20" s="11"/>
      <c r="D20" s="11"/>
      <c r="E20" s="11"/>
      <c r="G20" s="11"/>
    </row>
    <row r="21" spans="1:7">
      <c r="A21" s="4" t="s">
        <v>2</v>
      </c>
      <c r="B21" s="17">
        <f>SUM(B17:B20)</f>
        <v>31060</v>
      </c>
      <c r="C21" s="11"/>
      <c r="D21" s="11"/>
      <c r="E21" s="11"/>
      <c r="F21" s="205" t="s">
        <v>333</v>
      </c>
      <c r="G21" s="11"/>
    </row>
    <row r="22" spans="1:7">
      <c r="A22" s="4" t="s">
        <v>3</v>
      </c>
      <c r="B22" s="17">
        <f t="shared" ref="B22" si="0">(B21*0.74)+(30840/12)</f>
        <v>25554.400000000001</v>
      </c>
      <c r="C22" s="11"/>
      <c r="D22" s="11"/>
      <c r="E22" s="11"/>
      <c r="F22" s="205"/>
      <c r="G22" s="11"/>
    </row>
    <row r="23" spans="1:7">
      <c r="A23" s="4" t="s">
        <v>4</v>
      </c>
      <c r="B23" s="18">
        <f>SUM(B22:B22)/D1</f>
        <v>158.72298136645963</v>
      </c>
      <c r="C23" s="11">
        <v>190</v>
      </c>
      <c r="D23" s="11"/>
      <c r="E23" s="11"/>
      <c r="F23" s="205" t="s">
        <v>334</v>
      </c>
      <c r="G23" s="11"/>
    </row>
    <row r="24" spans="1:7">
      <c r="A24" s="4" t="s">
        <v>5</v>
      </c>
      <c r="B24" s="19">
        <f>B23</f>
        <v>158.72298136645963</v>
      </c>
      <c r="C24" s="11"/>
      <c r="D24" s="11"/>
      <c r="E24" s="11"/>
      <c r="F24" s="11"/>
      <c r="G24" s="11"/>
    </row>
    <row r="25" spans="1:7" ht="15" thickBot="1">
      <c r="A25" s="6"/>
      <c r="B25" s="20">
        <f>B24*$D$1</f>
        <v>25554.400000000001</v>
      </c>
      <c r="C25" s="11"/>
      <c r="D25" s="11"/>
      <c r="E25" s="11"/>
      <c r="F25" s="11"/>
      <c r="G25" s="11"/>
    </row>
    <row r="26" spans="1:7" ht="15" thickBot="1">
      <c r="A26" s="8" t="s">
        <v>9</v>
      </c>
      <c r="B26" s="21">
        <f t="shared" ref="B26" si="1">(B25-2570)/0.74</f>
        <v>31060.000000000004</v>
      </c>
      <c r="C26" s="11"/>
      <c r="D26" s="11"/>
      <c r="E26" s="11"/>
      <c r="F26" s="11"/>
      <c r="G26" s="11"/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9A7F-8D5A-450B-97C0-25DCD0CCD5B6}">
  <sheetPr codeName="List29">
    <tabColor rgb="FF92D050"/>
  </sheetPr>
  <dimension ref="A1:J26"/>
  <sheetViews>
    <sheetView zoomScale="115" zoomScaleNormal="115" workbookViewId="0">
      <selection activeCell="G1" sqref="G1"/>
    </sheetView>
  </sheetViews>
  <sheetFormatPr defaultRowHeight="14.4"/>
  <cols>
    <col min="1" max="1" width="35.109375" bestFit="1" customWidth="1"/>
    <col min="2" max="5" width="10.88671875" style="15" customWidth="1"/>
    <col min="6" max="6" width="28" bestFit="1" customWidth="1"/>
    <col min="9" max="9" width="11.77734375" bestFit="1" customWidth="1"/>
  </cols>
  <sheetData>
    <row r="1" spans="1:10">
      <c r="A1" s="1" t="s">
        <v>319</v>
      </c>
      <c r="B1" s="14" t="s">
        <v>0</v>
      </c>
      <c r="C1" s="14"/>
      <c r="D1" s="14"/>
      <c r="E1" s="14"/>
      <c r="F1" s="2">
        <v>45798</v>
      </c>
      <c r="G1" s="22">
        <v>156.875</v>
      </c>
      <c r="H1" s="22"/>
      <c r="I1" s="23" t="s">
        <v>289</v>
      </c>
      <c r="J1" s="3"/>
    </row>
    <row r="2" spans="1:10" s="11" customFormat="1" ht="41.4">
      <c r="A2" s="13" t="s">
        <v>73</v>
      </c>
      <c r="B2" s="10" t="s">
        <v>322</v>
      </c>
      <c r="C2" s="10" t="s">
        <v>323</v>
      </c>
      <c r="D2" s="10" t="s">
        <v>324</v>
      </c>
      <c r="E2" s="10" t="s">
        <v>325</v>
      </c>
    </row>
    <row r="3" spans="1:10">
      <c r="A3" s="4" t="s">
        <v>1</v>
      </c>
      <c r="B3" s="17">
        <f>170*$G$1</f>
        <v>26668.75</v>
      </c>
      <c r="C3" s="17">
        <f>180*$G$1</f>
        <v>28237.5</v>
      </c>
      <c r="D3" s="17">
        <f>190*$G$1</f>
        <v>29806.25</v>
      </c>
      <c r="E3" s="17">
        <f>200*$G$1</f>
        <v>31375</v>
      </c>
      <c r="F3" s="11"/>
      <c r="G3" s="11"/>
      <c r="H3" s="11"/>
      <c r="I3" s="11"/>
      <c r="J3" s="11"/>
    </row>
    <row r="4" spans="1:10">
      <c r="A4" s="12" t="s">
        <v>320</v>
      </c>
      <c r="B4" s="17">
        <v>0</v>
      </c>
      <c r="C4" s="17">
        <v>0</v>
      </c>
      <c r="D4" s="17">
        <v>0</v>
      </c>
      <c r="E4" s="17">
        <v>0</v>
      </c>
      <c r="F4" s="11"/>
      <c r="G4" s="11"/>
      <c r="H4" s="37"/>
      <c r="I4" s="11"/>
      <c r="J4" s="11"/>
    </row>
    <row r="5" spans="1:10">
      <c r="A5" s="41" t="s">
        <v>321</v>
      </c>
      <c r="B5" s="17">
        <f>20*$G$1/6</f>
        <v>522.91666666666663</v>
      </c>
      <c r="C5" s="17">
        <f t="shared" ref="C5:E5" si="0">20*$G$1/6</f>
        <v>522.91666666666663</v>
      </c>
      <c r="D5" s="17">
        <f t="shared" si="0"/>
        <v>522.91666666666663</v>
      </c>
      <c r="E5" s="17">
        <f t="shared" si="0"/>
        <v>522.91666666666663</v>
      </c>
      <c r="F5" s="11"/>
      <c r="G5" s="11"/>
      <c r="H5" s="37"/>
      <c r="I5" s="11"/>
      <c r="J5" s="11"/>
    </row>
    <row r="6" spans="1:10" s="37" customFormat="1" hidden="1">
      <c r="A6" s="41" t="s">
        <v>147</v>
      </c>
      <c r="B6" s="40">
        <v>0</v>
      </c>
      <c r="C6" s="40">
        <v>0</v>
      </c>
      <c r="D6" s="40">
        <v>0</v>
      </c>
      <c r="E6" s="40">
        <v>0</v>
      </c>
      <c r="F6" s="11"/>
      <c r="G6" s="38"/>
    </row>
    <row r="7" spans="1:10">
      <c r="A7" s="4" t="s">
        <v>2</v>
      </c>
      <c r="B7" s="17">
        <f>SUM(B3:B6)</f>
        <v>27191.666666666668</v>
      </c>
      <c r="C7" s="17">
        <f>SUM(C3:C6)</f>
        <v>28760.416666666668</v>
      </c>
      <c r="D7" s="17">
        <f>SUM(D3:D6)</f>
        <v>30329.166666666668</v>
      </c>
      <c r="E7" s="17">
        <f>SUM(E3:E6)</f>
        <v>31897.916666666668</v>
      </c>
      <c r="F7" s="11"/>
      <c r="G7" s="11"/>
      <c r="H7" s="11"/>
      <c r="I7" s="11"/>
      <c r="J7" s="11"/>
    </row>
    <row r="8" spans="1:10">
      <c r="A8" s="4" t="s">
        <v>3</v>
      </c>
      <c r="B8" s="17">
        <f>(B7*0.74)+(30840/12)</f>
        <v>22691.833333333336</v>
      </c>
      <c r="C8" s="17">
        <f>(C7*0.74)+(30840/12)</f>
        <v>23852.708333333336</v>
      </c>
      <c r="D8" s="17">
        <f>(D7*0.74)+(30840/12)</f>
        <v>25013.583333333336</v>
      </c>
      <c r="E8" s="17">
        <f>(E7*0.74)+(30840/12)</f>
        <v>26174.458333333336</v>
      </c>
      <c r="F8" s="11"/>
      <c r="G8" s="11"/>
      <c r="H8" s="11"/>
      <c r="I8" s="11" t="s">
        <v>317</v>
      </c>
      <c r="J8" s="11"/>
    </row>
    <row r="9" spans="1:10">
      <c r="A9" s="4" t="s">
        <v>4</v>
      </c>
      <c r="B9" s="18">
        <f>SUM(B8:B8)/$G$1</f>
        <v>144.64913678618859</v>
      </c>
      <c r="C9" s="18">
        <f>SUM(C8:C8)/$G$1</f>
        <v>152.0491367861886</v>
      </c>
      <c r="D9" s="18">
        <f>SUM(D8:D8)/$G$1</f>
        <v>159.4491367861886</v>
      </c>
      <c r="E9" s="18">
        <f>SUM(E8:E8)/$G$1</f>
        <v>166.84913678618858</v>
      </c>
      <c r="F9" s="11"/>
      <c r="G9" s="11"/>
      <c r="H9" s="11"/>
      <c r="I9" s="11">
        <v>30000</v>
      </c>
      <c r="J9" s="11"/>
    </row>
    <row r="10" spans="1:10">
      <c r="A10" s="4" t="s">
        <v>5</v>
      </c>
      <c r="B10" s="19">
        <f>B9</f>
        <v>144.64913678618859</v>
      </c>
      <c r="C10" s="19">
        <f>C9</f>
        <v>152.0491367861886</v>
      </c>
      <c r="D10" s="19">
        <f>D9</f>
        <v>159.4491367861886</v>
      </c>
      <c r="E10" s="19">
        <f>E9</f>
        <v>166.84913678618858</v>
      </c>
      <c r="F10" s="11"/>
      <c r="G10" s="11"/>
      <c r="H10" s="11"/>
      <c r="I10" s="11">
        <v>33000</v>
      </c>
      <c r="J10" s="11"/>
    </row>
    <row r="11" spans="1:10" ht="15" thickBot="1">
      <c r="A11" s="6"/>
      <c r="B11" s="20">
        <f>B10*$G$1</f>
        <v>22691.833333333336</v>
      </c>
      <c r="C11" s="20">
        <f>C10*$G$1</f>
        <v>23852.708333333336</v>
      </c>
      <c r="D11" s="20">
        <f>D10*$G$1</f>
        <v>25013.583333333336</v>
      </c>
      <c r="E11" s="20">
        <f>E10*$G$1</f>
        <v>26174.458333333332</v>
      </c>
      <c r="F11" s="11"/>
      <c r="G11" s="11"/>
      <c r="H11" s="11"/>
      <c r="I11" s="11"/>
      <c r="J11" s="11"/>
    </row>
    <row r="12" spans="1:10" ht="15" thickBot="1">
      <c r="A12" s="8" t="s">
        <v>6</v>
      </c>
      <c r="B12" s="21">
        <f>(B11-2570)/0.74</f>
        <v>27191.666666666672</v>
      </c>
      <c r="C12" s="21">
        <f>(C11-2570)/0.74</f>
        <v>28760.416666666672</v>
      </c>
      <c r="D12" s="21">
        <f>(D11-2570)/0.74</f>
        <v>30329.166666666672</v>
      </c>
      <c r="E12" s="21">
        <f>(E11-2570)/0.74</f>
        <v>31897.916666666664</v>
      </c>
      <c r="F12" s="11"/>
      <c r="G12" s="11"/>
      <c r="H12" s="11"/>
      <c r="I12" s="11"/>
      <c r="J12" s="11"/>
    </row>
    <row r="13" spans="1:10" ht="15" thickBot="1">
      <c r="A13" s="9"/>
      <c r="B13" s="16"/>
      <c r="C13" s="94"/>
      <c r="D13" s="94"/>
      <c r="E13" s="94"/>
      <c r="F13" s="11"/>
      <c r="G13" s="11"/>
      <c r="H13" s="11"/>
      <c r="I13" s="11"/>
      <c r="J13" s="11"/>
    </row>
    <row r="14" spans="1:10" ht="15" thickBot="1">
      <c r="A14" s="25" t="s">
        <v>7</v>
      </c>
      <c r="B14" s="26">
        <f>AVERAGE(B10,B24)</f>
        <v>151.99508632138117</v>
      </c>
      <c r="C14" s="26">
        <f t="shared" ref="C14:E14" si="1">AVERAGE(C10,C24)</f>
        <v>159.39508632138114</v>
      </c>
      <c r="D14" s="26">
        <f t="shared" si="1"/>
        <v>166.79508632138115</v>
      </c>
      <c r="E14" s="26">
        <f t="shared" si="1"/>
        <v>181.59508632138113</v>
      </c>
      <c r="F14" s="28" t="s">
        <v>20</v>
      </c>
      <c r="G14" s="11"/>
      <c r="H14" s="11"/>
      <c r="I14" s="11"/>
      <c r="J14" s="11"/>
    </row>
    <row r="15" spans="1:10">
      <c r="I15">
        <f>3000/G1</f>
        <v>19.123505976095618</v>
      </c>
    </row>
    <row r="16" spans="1:10" ht="41.4">
      <c r="A16" s="13" t="s">
        <v>16</v>
      </c>
      <c r="B16" s="10" t="s">
        <v>322</v>
      </c>
      <c r="C16" s="10" t="s">
        <v>323</v>
      </c>
      <c r="D16" s="10" t="s">
        <v>324</v>
      </c>
      <c r="E16" s="10" t="s">
        <v>325</v>
      </c>
      <c r="F16" s="11"/>
      <c r="G16" s="11"/>
      <c r="H16" s="11"/>
      <c r="I16" s="11"/>
      <c r="J16" s="11"/>
    </row>
    <row r="17" spans="1:10">
      <c r="A17" s="4" t="s">
        <v>1</v>
      </c>
      <c r="B17" s="17">
        <f>170*$G$1</f>
        <v>26668.75</v>
      </c>
      <c r="C17" s="17">
        <f>180*$G$1</f>
        <v>28237.5</v>
      </c>
      <c r="D17" s="17">
        <f>190*$G$1</f>
        <v>29806.25</v>
      </c>
      <c r="E17" s="17">
        <f>220*$G$1</f>
        <v>34512.5</v>
      </c>
      <c r="F17" s="11"/>
      <c r="G17" s="11"/>
      <c r="H17" s="11"/>
      <c r="I17" s="11"/>
      <c r="J17" s="11"/>
    </row>
    <row r="18" spans="1:10">
      <c r="A18" s="12" t="s">
        <v>320</v>
      </c>
      <c r="B18" s="17">
        <v>500</v>
      </c>
      <c r="C18" s="17">
        <v>500</v>
      </c>
      <c r="D18" s="17">
        <v>500</v>
      </c>
      <c r="E18" s="17">
        <v>500</v>
      </c>
      <c r="F18" s="11"/>
      <c r="G18" s="11"/>
      <c r="H18" s="11"/>
      <c r="I18" s="11"/>
      <c r="J18" s="11"/>
    </row>
    <row r="19" spans="1:10">
      <c r="A19" s="41" t="s">
        <v>321</v>
      </c>
      <c r="B19" s="17">
        <f>20*$G$1</f>
        <v>3137.5</v>
      </c>
      <c r="C19" s="17">
        <f t="shared" ref="C19:E19" si="2">20*$G$1</f>
        <v>3137.5</v>
      </c>
      <c r="D19" s="17">
        <f t="shared" si="2"/>
        <v>3137.5</v>
      </c>
      <c r="E19" s="17">
        <f t="shared" si="2"/>
        <v>3137.5</v>
      </c>
      <c r="F19" s="11"/>
      <c r="G19" s="11"/>
      <c r="H19" s="11"/>
      <c r="I19" s="11"/>
      <c r="J19" s="11"/>
    </row>
    <row r="20" spans="1:10" hidden="1">
      <c r="A20" s="41" t="s">
        <v>147</v>
      </c>
      <c r="B20" s="40">
        <v>0</v>
      </c>
      <c r="C20" s="40">
        <v>0</v>
      </c>
      <c r="D20" s="40">
        <v>0</v>
      </c>
      <c r="E20" s="40">
        <v>0</v>
      </c>
      <c r="F20" s="11"/>
      <c r="G20" s="11"/>
      <c r="H20" s="11"/>
      <c r="I20" s="11"/>
      <c r="J20" s="11"/>
    </row>
    <row r="21" spans="1:10">
      <c r="A21" s="4" t="s">
        <v>2</v>
      </c>
      <c r="B21" s="17">
        <f>SUM(B17:B20)</f>
        <v>30306.25</v>
      </c>
      <c r="C21" s="17">
        <f>SUM(C17:C20)</f>
        <v>31875</v>
      </c>
      <c r="D21" s="17">
        <f>SUM(D17:D20)</f>
        <v>33443.75</v>
      </c>
      <c r="E21" s="17">
        <f>SUM(E17:E20)</f>
        <v>38150</v>
      </c>
      <c r="F21" s="11"/>
      <c r="G21" s="11"/>
      <c r="H21" s="11"/>
      <c r="I21" s="11"/>
      <c r="J21" s="11"/>
    </row>
    <row r="22" spans="1:10">
      <c r="A22" s="4" t="s">
        <v>3</v>
      </c>
      <c r="B22" s="17">
        <f t="shared" ref="B22" si="3">(B21*0.74)+(30840/12)</f>
        <v>24996.625</v>
      </c>
      <c r="C22" s="17">
        <f t="shared" ref="C22" si="4">(C21*0.74)+(30840/12)</f>
        <v>26157.5</v>
      </c>
      <c r="D22" s="17">
        <f>(D21*0.74)+(30840/12)</f>
        <v>27318.375</v>
      </c>
      <c r="E22" s="17">
        <f>(E21*0.74)+(30840/12)</f>
        <v>30801</v>
      </c>
      <c r="F22" s="11"/>
      <c r="G22" s="11"/>
      <c r="H22" s="11"/>
      <c r="I22" s="11"/>
      <c r="J22" s="11"/>
    </row>
    <row r="23" spans="1:10">
      <c r="A23" s="4" t="s">
        <v>4</v>
      </c>
      <c r="B23" s="18">
        <f>SUM(B22:B22)/$G$1</f>
        <v>159.34103585657371</v>
      </c>
      <c r="C23" s="18">
        <f>SUM(C22:C22)/$G$1</f>
        <v>166.74103585657372</v>
      </c>
      <c r="D23" s="18">
        <f>SUM(D22:D22)/$G$1</f>
        <v>174.14103585657369</v>
      </c>
      <c r="E23" s="18">
        <f>SUM(E22:E22)/$G$1</f>
        <v>196.34103585657371</v>
      </c>
      <c r="F23" s="11"/>
      <c r="G23" s="11"/>
      <c r="H23" s="11"/>
      <c r="I23" s="11"/>
      <c r="J23" s="11"/>
    </row>
    <row r="24" spans="1:10">
      <c r="A24" s="4" t="s">
        <v>5</v>
      </c>
      <c r="B24" s="19">
        <f>B23</f>
        <v>159.34103585657371</v>
      </c>
      <c r="C24" s="19">
        <f>C23</f>
        <v>166.74103585657372</v>
      </c>
      <c r="D24" s="19">
        <f>D23</f>
        <v>174.14103585657369</v>
      </c>
      <c r="E24" s="19">
        <f>E23</f>
        <v>196.34103585657371</v>
      </c>
      <c r="F24" s="11"/>
      <c r="G24" s="11"/>
      <c r="H24" s="11"/>
      <c r="I24" s="11"/>
      <c r="J24" s="11"/>
    </row>
    <row r="25" spans="1:10" ht="15" thickBot="1">
      <c r="A25" s="6"/>
      <c r="B25" s="20">
        <f>B24*$G$1</f>
        <v>24996.625</v>
      </c>
      <c r="C25" s="20">
        <f>C24*$G$1</f>
        <v>26157.500000000004</v>
      </c>
      <c r="D25" s="20">
        <f>D24*$G$1</f>
        <v>27318.375</v>
      </c>
      <c r="E25" s="20">
        <f>E24*$G$1</f>
        <v>30801</v>
      </c>
      <c r="F25" s="11"/>
      <c r="G25" s="11"/>
      <c r="H25" s="11"/>
      <c r="I25" s="11"/>
      <c r="J25" s="11"/>
    </row>
    <row r="26" spans="1:10" ht="15" thickBot="1">
      <c r="A26" s="8" t="s">
        <v>9</v>
      </c>
      <c r="B26" s="21">
        <f t="shared" ref="B26" si="5">(B25-2570)/0.74</f>
        <v>30306.25</v>
      </c>
      <c r="C26" s="21">
        <f t="shared" ref="C26" si="6">(C25-2570)/0.74</f>
        <v>31875.000000000004</v>
      </c>
      <c r="D26" s="21">
        <f>(D25-2570)/0.74</f>
        <v>33443.75</v>
      </c>
      <c r="E26" s="21">
        <f>(E25-2570)/0.74</f>
        <v>38150</v>
      </c>
      <c r="F26" s="11"/>
      <c r="G26" s="11"/>
      <c r="H26" s="11"/>
      <c r="I26" s="11"/>
      <c r="J26" s="11"/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A186-0015-40B7-B050-5E49AF42ED27}">
  <sheetPr codeName="List30">
    <tabColor rgb="FF92D050"/>
  </sheetPr>
  <dimension ref="A1:T33"/>
  <sheetViews>
    <sheetView zoomScale="85" zoomScaleNormal="85" workbookViewId="0">
      <selection activeCell="P21" sqref="P21"/>
    </sheetView>
  </sheetViews>
  <sheetFormatPr defaultRowHeight="14.4"/>
  <cols>
    <col min="1" max="1" width="35.109375" bestFit="1" customWidth="1"/>
    <col min="2" max="3" width="10.88671875" style="15" customWidth="1"/>
    <col min="4" max="6" width="10.88671875" style="15" hidden="1" customWidth="1"/>
    <col min="7" max="7" width="9.44140625" style="15" hidden="1" customWidth="1"/>
    <col min="8" max="9" width="10.33203125" style="15" hidden="1" customWidth="1"/>
    <col min="10" max="10" width="28" bestFit="1" customWidth="1"/>
    <col min="13" max="20" width="16.21875" customWidth="1"/>
  </cols>
  <sheetData>
    <row r="1" spans="1:20">
      <c r="A1" s="1" t="s">
        <v>339</v>
      </c>
      <c r="B1" s="14" t="s">
        <v>0</v>
      </c>
      <c r="C1" s="14"/>
      <c r="D1" s="14"/>
      <c r="E1" s="14"/>
      <c r="F1" s="14"/>
      <c r="G1" s="14"/>
      <c r="H1" s="14"/>
      <c r="I1" s="14"/>
      <c r="J1" s="209">
        <v>45833</v>
      </c>
      <c r="K1" s="22">
        <v>156.875</v>
      </c>
      <c r="L1" s="22"/>
      <c r="M1" s="23" t="s">
        <v>289</v>
      </c>
      <c r="N1" s="3"/>
    </row>
    <row r="2" spans="1:20" s="11" customFormat="1" ht="90.75" customHeight="1">
      <c r="A2" s="13" t="s">
        <v>73</v>
      </c>
      <c r="B2" s="10" t="s">
        <v>360</v>
      </c>
      <c r="C2" s="10" t="s">
        <v>361</v>
      </c>
      <c r="D2" s="10" t="s">
        <v>349</v>
      </c>
      <c r="E2" s="10" t="s">
        <v>350</v>
      </c>
      <c r="F2" s="10" t="s">
        <v>353</v>
      </c>
      <c r="G2" s="10" t="s">
        <v>354</v>
      </c>
      <c r="H2" s="10" t="s">
        <v>355</v>
      </c>
      <c r="I2" s="10" t="s">
        <v>356</v>
      </c>
    </row>
    <row r="3" spans="1:20">
      <c r="A3" s="4" t="s">
        <v>1</v>
      </c>
      <c r="B3" s="17">
        <f t="shared" ref="B3:G3" si="0">137*$K$1</f>
        <v>21491.875</v>
      </c>
      <c r="C3" s="17">
        <f t="shared" si="0"/>
        <v>21491.875</v>
      </c>
      <c r="D3" s="223">
        <f t="shared" si="0"/>
        <v>21491.875</v>
      </c>
      <c r="E3" s="223">
        <f t="shared" si="0"/>
        <v>21491.875</v>
      </c>
      <c r="F3" s="223">
        <f t="shared" si="0"/>
        <v>21491.875</v>
      </c>
      <c r="G3" s="223">
        <f t="shared" si="0"/>
        <v>21491.875</v>
      </c>
      <c r="H3" s="223">
        <f>145*$K$1</f>
        <v>22746.875</v>
      </c>
      <c r="I3" s="223">
        <f>145*$K$1</f>
        <v>22746.875</v>
      </c>
      <c r="J3" s="11"/>
      <c r="K3" s="11"/>
      <c r="L3" s="11"/>
      <c r="M3" s="11"/>
      <c r="N3" s="11"/>
    </row>
    <row r="4" spans="1:20">
      <c r="A4" s="12" t="s">
        <v>345</v>
      </c>
      <c r="B4" s="17">
        <v>0</v>
      </c>
      <c r="C4" s="17">
        <v>0</v>
      </c>
      <c r="D4" s="223">
        <v>0</v>
      </c>
      <c r="E4" s="223">
        <v>0</v>
      </c>
      <c r="F4" s="223">
        <v>0</v>
      </c>
      <c r="G4" s="223">
        <v>0</v>
      </c>
      <c r="H4" s="223">
        <v>0</v>
      </c>
      <c r="I4" s="223">
        <v>0</v>
      </c>
      <c r="J4" s="11"/>
      <c r="K4" s="11"/>
      <c r="L4" s="37"/>
      <c r="M4" s="11"/>
      <c r="N4" s="11"/>
    </row>
    <row r="5" spans="1:20">
      <c r="A5" s="12" t="s">
        <v>347</v>
      </c>
      <c r="B5" s="17">
        <f>10*$K$1</f>
        <v>1568.75</v>
      </c>
      <c r="C5" s="17">
        <f>10*$K$1</f>
        <v>1568.75</v>
      </c>
      <c r="D5" s="223">
        <f t="shared" ref="D5:E5" si="1">10*$K$1</f>
        <v>1568.75</v>
      </c>
      <c r="E5" s="223">
        <f t="shared" si="1"/>
        <v>1568.75</v>
      </c>
      <c r="F5" s="223">
        <f>20*$K$1</f>
        <v>3137.5</v>
      </c>
      <c r="G5" s="223">
        <f>20*$K$1</f>
        <v>3137.5</v>
      </c>
      <c r="H5" s="223">
        <f>30*$K$1</f>
        <v>4706.25</v>
      </c>
      <c r="I5" s="223">
        <f>30*$K$1</f>
        <v>4706.25</v>
      </c>
      <c r="J5" s="11"/>
      <c r="K5" s="11"/>
      <c r="L5" s="37"/>
      <c r="M5" s="11"/>
      <c r="N5" s="11"/>
    </row>
    <row r="6" spans="1:20">
      <c r="A6" s="41" t="s">
        <v>343</v>
      </c>
      <c r="B6" s="17">
        <f>5*$K$1/2</f>
        <v>392.1875</v>
      </c>
      <c r="C6" s="17">
        <v>0</v>
      </c>
      <c r="D6" s="223">
        <f>5*$K$1/2</f>
        <v>392.1875</v>
      </c>
      <c r="E6" s="223">
        <v>0</v>
      </c>
      <c r="F6" s="223">
        <f>5*$K$1/2</f>
        <v>392.1875</v>
      </c>
      <c r="G6" s="223">
        <v>0</v>
      </c>
      <c r="H6" s="223">
        <f>5*$K$1/2</f>
        <v>392.1875</v>
      </c>
      <c r="I6" s="223">
        <v>0</v>
      </c>
      <c r="J6" s="11"/>
      <c r="K6" s="11"/>
      <c r="L6" s="37"/>
      <c r="M6" s="281" t="s">
        <v>346</v>
      </c>
      <c r="N6" s="282"/>
      <c r="O6" s="282"/>
      <c r="P6" s="282"/>
      <c r="Q6" s="282"/>
      <c r="R6" s="282"/>
      <c r="S6" s="282"/>
      <c r="T6" s="282"/>
    </row>
    <row r="7" spans="1:20" s="37" customFormat="1" ht="14.25" hidden="1" customHeight="1">
      <c r="A7" s="41" t="s">
        <v>147</v>
      </c>
      <c r="B7" s="40">
        <v>0</v>
      </c>
      <c r="C7" s="40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11"/>
      <c r="K7" s="38"/>
      <c r="M7" s="282"/>
      <c r="N7" s="282"/>
      <c r="O7" s="282"/>
      <c r="P7" s="282"/>
      <c r="Q7" s="282"/>
      <c r="R7" s="282"/>
      <c r="S7" s="282"/>
      <c r="T7" s="282"/>
    </row>
    <row r="8" spans="1:20" s="37" customFormat="1">
      <c r="A8" s="41" t="s">
        <v>344</v>
      </c>
      <c r="B8" s="17">
        <v>0</v>
      </c>
      <c r="C8" s="17">
        <f>9*$K$1/3</f>
        <v>470.625</v>
      </c>
      <c r="D8" s="223">
        <v>0</v>
      </c>
      <c r="E8" s="223">
        <f>9*$K$1/3</f>
        <v>470.625</v>
      </c>
      <c r="F8" s="223">
        <v>0</v>
      </c>
      <c r="G8" s="223">
        <f>9*$K$1/3</f>
        <v>470.625</v>
      </c>
      <c r="H8" s="223">
        <v>0</v>
      </c>
      <c r="I8" s="223">
        <f>9*$K$1/3</f>
        <v>470.625</v>
      </c>
      <c r="J8" s="11"/>
      <c r="K8" s="38"/>
      <c r="M8" s="282"/>
      <c r="N8" s="282"/>
      <c r="O8" s="282"/>
      <c r="P8" s="282"/>
      <c r="Q8" s="282"/>
      <c r="R8" s="282"/>
      <c r="S8" s="282"/>
      <c r="T8" s="282"/>
    </row>
    <row r="9" spans="1:20">
      <c r="A9" s="4" t="s">
        <v>2</v>
      </c>
      <c r="B9" s="17">
        <f t="shared" ref="B9:I9" si="2">SUM(B3:B8)</f>
        <v>23452.8125</v>
      </c>
      <c r="C9" s="17">
        <f t="shared" si="2"/>
        <v>23531.25</v>
      </c>
      <c r="D9" s="223">
        <f t="shared" si="2"/>
        <v>23452.8125</v>
      </c>
      <c r="E9" s="223">
        <f t="shared" si="2"/>
        <v>23531.25</v>
      </c>
      <c r="F9" s="223">
        <f t="shared" si="2"/>
        <v>25021.5625</v>
      </c>
      <c r="G9" s="223">
        <f t="shared" si="2"/>
        <v>25100</v>
      </c>
      <c r="H9" s="223">
        <f t="shared" si="2"/>
        <v>27845.3125</v>
      </c>
      <c r="I9" s="223">
        <f t="shared" si="2"/>
        <v>27923.75</v>
      </c>
      <c r="J9" s="11"/>
      <c r="K9" s="11"/>
      <c r="L9" s="11"/>
      <c r="M9" s="282"/>
      <c r="N9" s="282"/>
      <c r="O9" s="282"/>
      <c r="P9" s="282"/>
      <c r="Q9" s="282"/>
      <c r="R9" s="282"/>
      <c r="S9" s="282"/>
      <c r="T9" s="282"/>
    </row>
    <row r="10" spans="1:20">
      <c r="A10" s="4" t="s">
        <v>3</v>
      </c>
      <c r="B10" s="17">
        <f t="shared" ref="B10:I10" si="3">(B9*0.74)+(30840/12)</f>
        <v>19925.081249999999</v>
      </c>
      <c r="C10" s="17">
        <f t="shared" si="3"/>
        <v>19983.125</v>
      </c>
      <c r="D10" s="223">
        <f t="shared" si="3"/>
        <v>19925.081249999999</v>
      </c>
      <c r="E10" s="223">
        <f t="shared" si="3"/>
        <v>19983.125</v>
      </c>
      <c r="F10" s="223">
        <f t="shared" si="3"/>
        <v>21085.956249999999</v>
      </c>
      <c r="G10" s="223">
        <f t="shared" si="3"/>
        <v>21144</v>
      </c>
      <c r="H10" s="223">
        <f t="shared" si="3"/>
        <v>23175.53125</v>
      </c>
      <c r="I10" s="223">
        <f t="shared" si="3"/>
        <v>23233.575000000001</v>
      </c>
      <c r="J10" s="11"/>
      <c r="K10" s="11"/>
      <c r="L10" s="11"/>
      <c r="M10" s="282"/>
      <c r="N10" s="282"/>
      <c r="O10" s="282"/>
      <c r="P10" s="282"/>
      <c r="Q10" s="282"/>
      <c r="R10" s="282"/>
      <c r="S10" s="282"/>
      <c r="T10" s="282"/>
    </row>
    <row r="11" spans="1:20">
      <c r="A11" s="4" t="s">
        <v>4</v>
      </c>
      <c r="B11" s="18">
        <f t="shared" ref="B11:I11" si="4">SUM(B10:B10)/$K$1</f>
        <v>127.01247011952191</v>
      </c>
      <c r="C11" s="18">
        <f t="shared" si="4"/>
        <v>127.38247011952191</v>
      </c>
      <c r="D11" s="225">
        <f t="shared" si="4"/>
        <v>127.01247011952191</v>
      </c>
      <c r="E11" s="225">
        <f t="shared" si="4"/>
        <v>127.38247011952191</v>
      </c>
      <c r="F11" s="225">
        <f t="shared" si="4"/>
        <v>134.41247011952191</v>
      </c>
      <c r="G11" s="225">
        <f t="shared" si="4"/>
        <v>134.78247011952192</v>
      </c>
      <c r="H11" s="225">
        <f t="shared" si="4"/>
        <v>147.73247011952191</v>
      </c>
      <c r="I11" s="225">
        <f t="shared" si="4"/>
        <v>148.10247011952191</v>
      </c>
      <c r="J11" s="11"/>
      <c r="K11" s="11"/>
      <c r="L11" s="11"/>
      <c r="M11" s="282"/>
      <c r="N11" s="282"/>
      <c r="O11" s="282"/>
      <c r="P11" s="282"/>
      <c r="Q11" s="282"/>
      <c r="R11" s="282"/>
      <c r="S11" s="282"/>
      <c r="T11" s="282"/>
    </row>
    <row r="12" spans="1:20">
      <c r="A12" s="4" t="s">
        <v>5</v>
      </c>
      <c r="B12" s="19">
        <f t="shared" ref="B12:I12" si="5">B11</f>
        <v>127.01247011952191</v>
      </c>
      <c r="C12" s="19">
        <f t="shared" si="5"/>
        <v>127.38247011952191</v>
      </c>
      <c r="D12" s="226">
        <f t="shared" si="5"/>
        <v>127.01247011952191</v>
      </c>
      <c r="E12" s="226">
        <f t="shared" si="5"/>
        <v>127.38247011952191</v>
      </c>
      <c r="F12" s="226">
        <f t="shared" si="5"/>
        <v>134.41247011952191</v>
      </c>
      <c r="G12" s="226">
        <f t="shared" si="5"/>
        <v>134.78247011952192</v>
      </c>
      <c r="H12" s="226">
        <f t="shared" si="5"/>
        <v>147.73247011952191</v>
      </c>
      <c r="I12" s="226">
        <f t="shared" si="5"/>
        <v>148.10247011952191</v>
      </c>
      <c r="J12" s="11"/>
      <c r="K12" s="11"/>
      <c r="L12" s="11"/>
      <c r="M12" s="282"/>
      <c r="N12" s="282"/>
      <c r="O12" s="282"/>
      <c r="P12" s="282"/>
      <c r="Q12" s="282"/>
      <c r="R12" s="282"/>
      <c r="S12" s="282"/>
      <c r="T12" s="282"/>
    </row>
    <row r="13" spans="1:20" ht="15" thickBot="1">
      <c r="A13" s="6"/>
      <c r="B13" s="20">
        <f t="shared" ref="B13:I13" si="6">B12*$K$1</f>
        <v>19925.081249999999</v>
      </c>
      <c r="C13" s="20">
        <f t="shared" si="6"/>
        <v>19983.125</v>
      </c>
      <c r="D13" s="227">
        <f t="shared" si="6"/>
        <v>19925.081249999999</v>
      </c>
      <c r="E13" s="227">
        <f t="shared" si="6"/>
        <v>19983.125</v>
      </c>
      <c r="F13" s="227">
        <f t="shared" si="6"/>
        <v>21085.956249999999</v>
      </c>
      <c r="G13" s="227">
        <f t="shared" si="6"/>
        <v>21144</v>
      </c>
      <c r="H13" s="227">
        <f t="shared" si="6"/>
        <v>23175.53125</v>
      </c>
      <c r="I13" s="227">
        <f t="shared" si="6"/>
        <v>23233.575000000001</v>
      </c>
      <c r="J13" s="11"/>
      <c r="K13" s="11"/>
      <c r="L13" s="11"/>
      <c r="M13" s="282"/>
      <c r="N13" s="282"/>
      <c r="O13" s="282"/>
      <c r="P13" s="282"/>
      <c r="Q13" s="282"/>
      <c r="R13" s="282"/>
      <c r="S13" s="282"/>
      <c r="T13" s="282"/>
    </row>
    <row r="14" spans="1:20" ht="15" thickBot="1">
      <c r="A14" s="8" t="s">
        <v>6</v>
      </c>
      <c r="B14" s="21">
        <f t="shared" ref="B14:I14" si="7">(B13-2570)/0.74</f>
        <v>23452.8125</v>
      </c>
      <c r="C14" s="21">
        <f t="shared" si="7"/>
        <v>23531.25</v>
      </c>
      <c r="D14" s="21">
        <f t="shared" si="7"/>
        <v>23452.8125</v>
      </c>
      <c r="E14" s="21">
        <f t="shared" si="7"/>
        <v>23531.25</v>
      </c>
      <c r="F14" s="21">
        <f t="shared" si="7"/>
        <v>25021.5625</v>
      </c>
      <c r="G14" s="21">
        <f t="shared" si="7"/>
        <v>25100</v>
      </c>
      <c r="H14" s="21">
        <f t="shared" si="7"/>
        <v>27845.3125</v>
      </c>
      <c r="I14" s="21">
        <f t="shared" si="7"/>
        <v>27923.75</v>
      </c>
      <c r="J14" s="11"/>
      <c r="K14" s="11"/>
      <c r="L14" s="11"/>
      <c r="M14" s="282"/>
      <c r="N14" s="282"/>
      <c r="O14" s="282"/>
      <c r="P14" s="282"/>
      <c r="Q14" s="282"/>
      <c r="R14" s="282"/>
      <c r="S14" s="282"/>
      <c r="T14" s="282"/>
    </row>
    <row r="15" spans="1:20" ht="15" thickBot="1">
      <c r="A15" s="9"/>
      <c r="B15" s="16"/>
      <c r="C15" s="94"/>
      <c r="D15" s="94"/>
      <c r="E15" s="94"/>
      <c r="F15" s="94"/>
      <c r="G15" s="94"/>
      <c r="H15" s="94"/>
      <c r="I15" s="94"/>
      <c r="J15" s="11"/>
      <c r="K15" s="11"/>
      <c r="L15" s="11"/>
      <c r="M15" s="282"/>
      <c r="N15" s="282"/>
      <c r="O15" s="282"/>
      <c r="P15" s="282"/>
      <c r="Q15" s="282"/>
      <c r="R15" s="282"/>
      <c r="S15" s="282"/>
      <c r="T15" s="282"/>
    </row>
    <row r="16" spans="1:20" ht="15" thickBot="1">
      <c r="A16" s="25" t="s">
        <v>7</v>
      </c>
      <c r="B16" s="26">
        <f>AVERAGE(B12,B29)</f>
        <v>135.38346215139441</v>
      </c>
      <c r="C16" s="26">
        <f t="shared" ref="C16:I16" si="8">AVERAGE(C12,C29)</f>
        <v>135.75346215139442</v>
      </c>
      <c r="D16" s="26">
        <f t="shared" si="8"/>
        <v>135.38346215139441</v>
      </c>
      <c r="E16" s="26">
        <f t="shared" si="8"/>
        <v>135.75346215139442</v>
      </c>
      <c r="F16" s="26">
        <f t="shared" si="8"/>
        <v>142.78346215139442</v>
      </c>
      <c r="G16" s="26">
        <f t="shared" si="8"/>
        <v>139.85147011952193</v>
      </c>
      <c r="H16" s="26">
        <f t="shared" si="8"/>
        <v>152.80147011952192</v>
      </c>
      <c r="I16" s="26">
        <f t="shared" si="8"/>
        <v>153.17147011952193</v>
      </c>
      <c r="J16" s="28" t="s">
        <v>20</v>
      </c>
      <c r="K16" s="11"/>
      <c r="L16" s="11"/>
      <c r="M16" s="282"/>
      <c r="N16" s="282"/>
      <c r="O16" s="282"/>
      <c r="P16" s="282"/>
      <c r="Q16" s="282"/>
      <c r="R16" s="282"/>
      <c r="S16" s="282"/>
      <c r="T16" s="282"/>
    </row>
    <row r="17" spans="1:20">
      <c r="M17" s="282"/>
      <c r="N17" s="282"/>
      <c r="O17" s="282"/>
      <c r="P17" s="282"/>
      <c r="Q17" s="282"/>
      <c r="R17" s="282"/>
      <c r="S17" s="282"/>
      <c r="T17" s="282"/>
    </row>
    <row r="18" spans="1:20" ht="83.4" thickBot="1">
      <c r="A18" s="13" t="s">
        <v>16</v>
      </c>
      <c r="B18" s="10" t="s">
        <v>341</v>
      </c>
      <c r="C18" s="10" t="s">
        <v>342</v>
      </c>
      <c r="D18" s="10" t="s">
        <v>349</v>
      </c>
      <c r="E18" s="10" t="s">
        <v>350</v>
      </c>
      <c r="F18" s="10" t="s">
        <v>353</v>
      </c>
      <c r="G18" s="10" t="s">
        <v>354</v>
      </c>
      <c r="H18" s="10" t="s">
        <v>355</v>
      </c>
      <c r="I18" s="10" t="s">
        <v>356</v>
      </c>
      <c r="J18" s="11"/>
      <c r="K18" s="11"/>
      <c r="L18" s="11"/>
      <c r="M18" s="11"/>
      <c r="N18" s="11"/>
    </row>
    <row r="19" spans="1:20" ht="28.8">
      <c r="A19" s="4" t="s">
        <v>1</v>
      </c>
      <c r="B19" s="17">
        <f t="shared" ref="B19:G19" si="9">137*$K$1</f>
        <v>21491.875</v>
      </c>
      <c r="C19" s="17">
        <f t="shared" si="9"/>
        <v>21491.875</v>
      </c>
      <c r="D19" s="223">
        <f t="shared" si="9"/>
        <v>21491.875</v>
      </c>
      <c r="E19" s="223">
        <f t="shared" si="9"/>
        <v>21491.875</v>
      </c>
      <c r="F19" s="223">
        <f t="shared" si="9"/>
        <v>21491.875</v>
      </c>
      <c r="G19" s="223">
        <f t="shared" si="9"/>
        <v>21491.875</v>
      </c>
      <c r="H19" s="223">
        <f>145*$K$1</f>
        <v>22746.875</v>
      </c>
      <c r="I19" s="223">
        <f>145*$K$1</f>
        <v>22746.875</v>
      </c>
      <c r="J19" s="11"/>
      <c r="K19" s="11"/>
      <c r="L19" s="11"/>
      <c r="M19" s="211" t="s">
        <v>359</v>
      </c>
      <c r="N19" s="212" t="s">
        <v>357</v>
      </c>
      <c r="O19" s="213" t="s">
        <v>358</v>
      </c>
    </row>
    <row r="20" spans="1:20">
      <c r="A20" s="12" t="s">
        <v>345</v>
      </c>
      <c r="B20" s="17">
        <f>137*0.1*K1</f>
        <v>2149.1875</v>
      </c>
      <c r="C20" s="17">
        <f>137*0.1*$K$1</f>
        <v>2149.1875</v>
      </c>
      <c r="D20" s="223">
        <f t="shared" ref="D20:I20" si="10">137*0.1*$K$1</f>
        <v>2149.1875</v>
      </c>
      <c r="E20" s="223">
        <f t="shared" si="10"/>
        <v>2149.1875</v>
      </c>
      <c r="F20" s="223">
        <f t="shared" si="10"/>
        <v>2149.1875</v>
      </c>
      <c r="G20" s="223">
        <f t="shared" si="10"/>
        <v>2149.1875</v>
      </c>
      <c r="H20" s="223">
        <f t="shared" si="10"/>
        <v>2149.1875</v>
      </c>
      <c r="I20" s="223">
        <f t="shared" si="10"/>
        <v>2149.1875</v>
      </c>
      <c r="J20" s="11"/>
      <c r="K20" s="11"/>
      <c r="L20" s="11"/>
      <c r="M20" s="214" t="s">
        <v>340</v>
      </c>
      <c r="N20" s="217">
        <v>27000</v>
      </c>
      <c r="O20" s="218">
        <v>30000</v>
      </c>
    </row>
    <row r="21" spans="1:20">
      <c r="A21" s="12" t="s">
        <v>347</v>
      </c>
      <c r="B21" s="17">
        <f>10*$K$1</f>
        <v>1568.75</v>
      </c>
      <c r="C21" s="17">
        <f>10*$K$1</f>
        <v>1568.75</v>
      </c>
      <c r="D21" s="223">
        <f t="shared" ref="D21:E21" si="11">10*$K$1</f>
        <v>1568.75</v>
      </c>
      <c r="E21" s="223">
        <f t="shared" si="11"/>
        <v>1568.75</v>
      </c>
      <c r="F21" s="223">
        <f>20*$K$1</f>
        <v>3137.5</v>
      </c>
      <c r="G21" s="223">
        <f>20*$K$1</f>
        <v>3137.5</v>
      </c>
      <c r="H21" s="223">
        <f>30*$K$1</f>
        <v>4706.25</v>
      </c>
      <c r="I21" s="223">
        <f>30*$K$1</f>
        <v>4706.25</v>
      </c>
      <c r="J21" s="11"/>
      <c r="K21" s="11"/>
      <c r="L21" s="11"/>
      <c r="M21" s="215" t="s">
        <v>351</v>
      </c>
      <c r="N21" s="217">
        <v>26300</v>
      </c>
      <c r="O21" s="218">
        <v>33500</v>
      </c>
    </row>
    <row r="22" spans="1:20" ht="15" thickBot="1">
      <c r="A22" s="41" t="s">
        <v>343</v>
      </c>
      <c r="B22" s="17">
        <f>5*$K$1/2</f>
        <v>392.1875</v>
      </c>
      <c r="C22" s="17">
        <v>0</v>
      </c>
      <c r="D22" s="223">
        <f>5*$K$1/2</f>
        <v>392.1875</v>
      </c>
      <c r="E22" s="223">
        <v>0</v>
      </c>
      <c r="F22" s="223">
        <f>5*$K$1/2</f>
        <v>392.1875</v>
      </c>
      <c r="G22" s="223">
        <v>0</v>
      </c>
      <c r="H22" s="223">
        <f>5*$K$1/2</f>
        <v>392.1875</v>
      </c>
      <c r="I22" s="223">
        <v>0</v>
      </c>
      <c r="J22" s="11"/>
      <c r="K22" s="11"/>
      <c r="L22" s="11"/>
      <c r="M22" s="216" t="s">
        <v>352</v>
      </c>
      <c r="N22" s="219">
        <v>35600</v>
      </c>
      <c r="O22" s="220">
        <v>40800</v>
      </c>
    </row>
    <row r="23" spans="1:20" hidden="1">
      <c r="A23" s="41" t="s">
        <v>147</v>
      </c>
      <c r="B23" s="40">
        <v>0</v>
      </c>
      <c r="C23" s="40">
        <v>0</v>
      </c>
      <c r="D23" s="224">
        <v>0</v>
      </c>
      <c r="E23" s="224">
        <v>0</v>
      </c>
      <c r="F23" s="224">
        <v>0</v>
      </c>
      <c r="G23" s="224">
        <v>0</v>
      </c>
      <c r="H23" s="224">
        <v>0</v>
      </c>
      <c r="I23" s="224">
        <v>0</v>
      </c>
      <c r="J23" s="11"/>
      <c r="K23" s="11"/>
      <c r="L23" s="11"/>
      <c r="M23" s="210" t="s">
        <v>348</v>
      </c>
      <c r="N23" s="11"/>
    </row>
    <row r="24" spans="1:20" s="37" customFormat="1">
      <c r="A24" s="41" t="s">
        <v>344</v>
      </c>
      <c r="B24" s="17">
        <v>0</v>
      </c>
      <c r="C24" s="17">
        <f>9*$K$1/3</f>
        <v>470.625</v>
      </c>
      <c r="D24" s="223">
        <v>0</v>
      </c>
      <c r="E24" s="223">
        <f>9*$K$1/3</f>
        <v>470.625</v>
      </c>
      <c r="F24" s="223">
        <v>0</v>
      </c>
      <c r="G24" s="223">
        <f>9*$K$1/3</f>
        <v>470.625</v>
      </c>
      <c r="H24" s="223">
        <v>0</v>
      </c>
      <c r="I24" s="223">
        <f>9*$K$1/3</f>
        <v>470.625</v>
      </c>
      <c r="J24" s="11"/>
      <c r="K24" s="38"/>
    </row>
    <row r="25" spans="1:20" s="37" customFormat="1">
      <c r="A25" s="41" t="s">
        <v>362</v>
      </c>
      <c r="B25" s="222">
        <v>1400</v>
      </c>
      <c r="C25" s="222">
        <v>1400</v>
      </c>
      <c r="D25" s="223">
        <v>1400</v>
      </c>
      <c r="E25" s="223">
        <v>1400</v>
      </c>
      <c r="F25" s="223">
        <v>1400</v>
      </c>
      <c r="G25" s="223">
        <v>1400</v>
      </c>
      <c r="H25" s="223">
        <v>1400</v>
      </c>
      <c r="I25" s="223">
        <v>1400</v>
      </c>
      <c r="J25" s="11"/>
      <c r="K25" s="38"/>
    </row>
    <row r="26" spans="1:20">
      <c r="A26" s="4" t="s">
        <v>2</v>
      </c>
      <c r="B26" s="17">
        <f>SUM(B19:B25)</f>
        <v>27002</v>
      </c>
      <c r="C26" s="17">
        <f>SUM(C19:C25)</f>
        <v>27080.4375</v>
      </c>
      <c r="D26" s="223">
        <f>SUM(D19:D25)</f>
        <v>27002</v>
      </c>
      <c r="E26" s="223">
        <f>SUM(E19:E25)</f>
        <v>27080.4375</v>
      </c>
      <c r="F26" s="223">
        <f>SUM(F19:F25)</f>
        <v>28570.75</v>
      </c>
      <c r="G26" s="223">
        <f>SUM(G19:G24)</f>
        <v>27249.1875</v>
      </c>
      <c r="H26" s="223">
        <f>SUM(H19:H24)</f>
        <v>29994.5</v>
      </c>
      <c r="I26" s="223">
        <f>SUM(I19:I24)</f>
        <v>30072.9375</v>
      </c>
      <c r="J26" s="11"/>
      <c r="K26" s="11"/>
      <c r="L26" s="11"/>
      <c r="M26" s="11"/>
      <c r="N26" s="11"/>
    </row>
    <row r="27" spans="1:20">
      <c r="A27" s="4" t="s">
        <v>3</v>
      </c>
      <c r="B27" s="17">
        <f t="shared" ref="B27:C27" si="12">(B26*0.74)+(30840/12)</f>
        <v>22551.48</v>
      </c>
      <c r="C27" s="17">
        <f t="shared" si="12"/>
        <v>22609.52375</v>
      </c>
      <c r="D27" s="223">
        <f t="shared" ref="D27:I27" si="13">(D26*0.74)+(30840/12)</f>
        <v>22551.48</v>
      </c>
      <c r="E27" s="223">
        <f t="shared" si="13"/>
        <v>22609.52375</v>
      </c>
      <c r="F27" s="223">
        <f t="shared" si="13"/>
        <v>23712.355</v>
      </c>
      <c r="G27" s="223">
        <f t="shared" si="13"/>
        <v>22734.39875</v>
      </c>
      <c r="H27" s="223">
        <f t="shared" si="13"/>
        <v>24765.93</v>
      </c>
      <c r="I27" s="223">
        <f t="shared" si="13"/>
        <v>24823.973750000001</v>
      </c>
      <c r="J27" s="11"/>
      <c r="K27" s="11"/>
      <c r="L27" s="11"/>
      <c r="M27" s="11"/>
      <c r="N27" s="11"/>
    </row>
    <row r="28" spans="1:20">
      <c r="A28" s="4" t="s">
        <v>4</v>
      </c>
      <c r="B28" s="18">
        <f t="shared" ref="B28:I28" si="14">SUM(B27:B27)/$K$1</f>
        <v>143.75445418326692</v>
      </c>
      <c r="C28" s="18">
        <f t="shared" si="14"/>
        <v>144.12445418326692</v>
      </c>
      <c r="D28" s="225">
        <f t="shared" si="14"/>
        <v>143.75445418326692</v>
      </c>
      <c r="E28" s="225">
        <f t="shared" si="14"/>
        <v>144.12445418326692</v>
      </c>
      <c r="F28" s="225">
        <f t="shared" si="14"/>
        <v>151.15445418326692</v>
      </c>
      <c r="G28" s="225">
        <f t="shared" si="14"/>
        <v>144.92047011952192</v>
      </c>
      <c r="H28" s="225">
        <f t="shared" si="14"/>
        <v>157.87047011952191</v>
      </c>
      <c r="I28" s="225">
        <f t="shared" si="14"/>
        <v>158.24047011952192</v>
      </c>
      <c r="J28" s="11"/>
      <c r="K28" s="11"/>
      <c r="L28" s="11"/>
      <c r="M28" s="11"/>
      <c r="N28" s="11"/>
    </row>
    <row r="29" spans="1:20">
      <c r="A29" s="4" t="s">
        <v>5</v>
      </c>
      <c r="B29" s="19">
        <f t="shared" ref="B29:I29" si="15">B28</f>
        <v>143.75445418326692</v>
      </c>
      <c r="C29" s="19">
        <f t="shared" si="15"/>
        <v>144.12445418326692</v>
      </c>
      <c r="D29" s="226">
        <f t="shared" si="15"/>
        <v>143.75445418326692</v>
      </c>
      <c r="E29" s="226">
        <f t="shared" si="15"/>
        <v>144.12445418326692</v>
      </c>
      <c r="F29" s="226">
        <f t="shared" si="15"/>
        <v>151.15445418326692</v>
      </c>
      <c r="G29" s="226">
        <f t="shared" si="15"/>
        <v>144.92047011952192</v>
      </c>
      <c r="H29" s="226">
        <f t="shared" si="15"/>
        <v>157.87047011952191</v>
      </c>
      <c r="I29" s="226">
        <f t="shared" si="15"/>
        <v>158.24047011952192</v>
      </c>
      <c r="J29" s="11"/>
      <c r="K29" s="11"/>
      <c r="L29" s="11"/>
      <c r="M29" s="11"/>
      <c r="N29" s="11"/>
    </row>
    <row r="30" spans="1:20" ht="15" thickBot="1">
      <c r="A30" s="6"/>
      <c r="B30" s="20">
        <f t="shared" ref="B30:I30" si="16">B29*$K$1</f>
        <v>22551.479999999996</v>
      </c>
      <c r="C30" s="20">
        <f t="shared" si="16"/>
        <v>22609.523749999997</v>
      </c>
      <c r="D30" s="227">
        <f t="shared" si="16"/>
        <v>22551.479999999996</v>
      </c>
      <c r="E30" s="227">
        <f t="shared" si="16"/>
        <v>22609.523749999997</v>
      </c>
      <c r="F30" s="227">
        <f t="shared" si="16"/>
        <v>23712.355</v>
      </c>
      <c r="G30" s="227">
        <f t="shared" si="16"/>
        <v>22734.39875</v>
      </c>
      <c r="H30" s="227">
        <f t="shared" si="16"/>
        <v>24765.93</v>
      </c>
      <c r="I30" s="227">
        <f t="shared" si="16"/>
        <v>24823.973750000001</v>
      </c>
      <c r="J30" s="11"/>
      <c r="K30" s="11"/>
      <c r="L30" s="11"/>
      <c r="M30" s="11"/>
      <c r="N30" s="11"/>
    </row>
    <row r="31" spans="1:20" ht="15" thickBot="1">
      <c r="A31" s="8" t="s">
        <v>9</v>
      </c>
      <c r="B31" s="21">
        <f t="shared" ref="B31:C31" si="17">(B30-2570)/0.74</f>
        <v>27001.999999999996</v>
      </c>
      <c r="C31" s="21">
        <f t="shared" si="17"/>
        <v>27080.437499999996</v>
      </c>
      <c r="D31" s="21">
        <f t="shared" ref="D31:I31" si="18">(D30-2570)/0.74</f>
        <v>27001.999999999996</v>
      </c>
      <c r="E31" s="21">
        <f t="shared" si="18"/>
        <v>27080.437499999996</v>
      </c>
      <c r="F31" s="21">
        <f t="shared" si="18"/>
        <v>28570.75</v>
      </c>
      <c r="G31" s="21">
        <f t="shared" si="18"/>
        <v>27249.1875</v>
      </c>
      <c r="H31" s="21">
        <f t="shared" si="18"/>
        <v>29994.5</v>
      </c>
      <c r="I31" s="21">
        <f t="shared" si="18"/>
        <v>30072.9375</v>
      </c>
      <c r="J31" s="11"/>
      <c r="K31" s="11"/>
      <c r="L31" s="11"/>
      <c r="M31" s="11"/>
      <c r="N31" s="11"/>
    </row>
    <row r="33" spans="2:2">
      <c r="B33" s="221"/>
    </row>
  </sheetData>
  <mergeCells count="1">
    <mergeCell ref="M6:T17"/>
  </mergeCells>
  <pageMargins left="0.7" right="0.7" top="0.78740157499999996" bottom="0.78740157499999996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12F7-6357-4610-805B-C9CEF8D93D79}">
  <sheetPr codeName="List31">
    <tabColor rgb="FF92D050"/>
  </sheetPr>
  <dimension ref="A1:L29"/>
  <sheetViews>
    <sheetView zoomScaleNormal="100" workbookViewId="0">
      <selection activeCell="H30" sqref="H30"/>
    </sheetView>
  </sheetViews>
  <sheetFormatPr defaultRowHeight="14.4"/>
  <cols>
    <col min="1" max="1" width="29.5546875" bestFit="1" customWidth="1"/>
    <col min="2" max="2" width="10.77734375" style="15" bestFit="1" customWidth="1"/>
    <col min="3" max="3" width="15.77734375" customWidth="1"/>
    <col min="4" max="4" width="5.44140625" customWidth="1"/>
    <col min="5" max="5" width="51.5546875" customWidth="1"/>
    <col min="6" max="6" width="11.77734375" bestFit="1" customWidth="1"/>
    <col min="7" max="7" width="12.21875" customWidth="1"/>
  </cols>
  <sheetData>
    <row r="1" spans="1:12">
      <c r="A1" s="1" t="s">
        <v>363</v>
      </c>
      <c r="B1" s="14" t="s">
        <v>0</v>
      </c>
      <c r="C1" s="2">
        <v>45869</v>
      </c>
      <c r="D1" s="22">
        <v>165</v>
      </c>
      <c r="E1" s="22"/>
      <c r="F1" s="23" t="s">
        <v>289</v>
      </c>
      <c r="G1" s="3"/>
    </row>
    <row r="2" spans="1:12" s="11" customFormat="1" ht="36.450000000000003" customHeight="1">
      <c r="A2" s="13" t="s">
        <v>73</v>
      </c>
      <c r="B2" s="10" t="s">
        <v>117</v>
      </c>
    </row>
    <row r="3" spans="1:12" ht="12.9" customHeight="1">
      <c r="A3" s="4" t="s">
        <v>1</v>
      </c>
      <c r="B3" s="17">
        <v>23000</v>
      </c>
      <c r="C3" s="11"/>
      <c r="D3" s="11"/>
      <c r="E3" s="231"/>
      <c r="F3" s="11"/>
      <c r="G3" s="11"/>
    </row>
    <row r="4" spans="1:12" ht="12.9" customHeight="1">
      <c r="A4" s="12" t="s">
        <v>100</v>
      </c>
      <c r="B4" s="5">
        <v>0</v>
      </c>
      <c r="C4" s="11"/>
      <c r="D4" s="231"/>
      <c r="E4" s="231" t="s">
        <v>365</v>
      </c>
      <c r="F4" s="11"/>
      <c r="G4" s="11"/>
    </row>
    <row r="5" spans="1:12" ht="12.9" customHeight="1">
      <c r="A5" s="12" t="s">
        <v>364</v>
      </c>
      <c r="B5" s="17">
        <f>4050/2</f>
        <v>2025</v>
      </c>
      <c r="C5" s="11"/>
      <c r="D5" s="203"/>
      <c r="E5" s="203" t="s">
        <v>366</v>
      </c>
      <c r="F5" s="11"/>
      <c r="G5" s="11"/>
    </row>
    <row r="6" spans="1:12" s="161" customFormat="1" ht="12.9" customHeight="1">
      <c r="A6" s="166" t="s">
        <v>253</v>
      </c>
      <c r="B6" s="17">
        <f>8.48*D1/2</f>
        <v>699.6</v>
      </c>
      <c r="C6" s="11"/>
      <c r="D6" s="203"/>
      <c r="E6" s="203" t="s">
        <v>367</v>
      </c>
      <c r="F6" s="11"/>
      <c r="G6" s="11"/>
      <c r="H6" s="11"/>
      <c r="I6" s="11"/>
      <c r="J6" s="11"/>
      <c r="K6" s="11"/>
      <c r="L6" s="11"/>
    </row>
    <row r="7" spans="1:12" s="161" customFormat="1" ht="12.9" customHeight="1">
      <c r="A7" s="166" t="s">
        <v>371</v>
      </c>
      <c r="B7" s="17">
        <f>1275/2</f>
        <v>637.5</v>
      </c>
      <c r="C7" s="11"/>
      <c r="D7" s="203"/>
      <c r="E7" s="203" t="s">
        <v>368</v>
      </c>
      <c r="F7" s="11"/>
      <c r="G7" s="11"/>
      <c r="H7" s="11"/>
      <c r="I7" s="11"/>
      <c r="J7" s="11"/>
      <c r="K7" s="11"/>
      <c r="L7" s="11"/>
    </row>
    <row r="8" spans="1:12" ht="12.9" customHeight="1">
      <c r="A8" s="4" t="s">
        <v>2</v>
      </c>
      <c r="B8" s="17">
        <f>SUM(B3:B7)</f>
        <v>26362.1</v>
      </c>
      <c r="C8" s="11"/>
      <c r="D8" s="203"/>
      <c r="E8" s="203" t="s">
        <v>369</v>
      </c>
      <c r="F8" s="11"/>
      <c r="G8" s="11"/>
    </row>
    <row r="9" spans="1:12" ht="12.9" customHeight="1">
      <c r="A9" s="4" t="s">
        <v>3</v>
      </c>
      <c r="B9" s="17">
        <f t="shared" ref="B9" si="0">(B8*0.74)+(30840/12)</f>
        <v>22077.953999999998</v>
      </c>
      <c r="C9" s="11"/>
      <c r="D9" s="203"/>
      <c r="E9" s="203" t="s">
        <v>370</v>
      </c>
      <c r="F9" s="11"/>
      <c r="G9" s="11"/>
    </row>
    <row r="10" spans="1:12" ht="12.9" customHeight="1">
      <c r="A10" s="4" t="s">
        <v>4</v>
      </c>
      <c r="B10" s="18">
        <f>SUM(B9:B9)/D1</f>
        <v>133.8057818181818</v>
      </c>
      <c r="C10" s="11"/>
      <c r="D10" s="203"/>
      <c r="E10" s="203"/>
      <c r="F10" s="11"/>
      <c r="G10" s="11"/>
    </row>
    <row r="11" spans="1:12" ht="12.9" customHeight="1">
      <c r="A11" s="4" t="s">
        <v>5</v>
      </c>
      <c r="B11" s="19">
        <f>B10</f>
        <v>133.8057818181818</v>
      </c>
      <c r="C11" s="11"/>
      <c r="D11" s="11"/>
      <c r="E11" s="11"/>
      <c r="F11" s="11"/>
      <c r="G11" s="11"/>
    </row>
    <row r="12" spans="1:12" ht="16.95" customHeight="1" thickBot="1">
      <c r="A12" s="6"/>
      <c r="B12" s="20">
        <f>B11*$D$1</f>
        <v>22077.953999999998</v>
      </c>
      <c r="C12" s="11"/>
      <c r="D12" s="11"/>
      <c r="E12" s="11"/>
      <c r="F12" s="11"/>
      <c r="G12" s="11"/>
    </row>
    <row r="13" spans="1:12" ht="13.2" customHeight="1" thickBot="1">
      <c r="A13" s="8" t="s">
        <v>6</v>
      </c>
      <c r="B13" s="21">
        <f t="shared" ref="B13" si="1">(B12-2570)/0.74</f>
        <v>26362.1</v>
      </c>
      <c r="C13" s="11"/>
      <c r="D13" s="11"/>
      <c r="E13" s="11"/>
      <c r="F13" s="11"/>
      <c r="G13" s="11"/>
    </row>
    <row r="14" spans="1:12" ht="15" thickBot="1">
      <c r="A14" s="9"/>
      <c r="B14" s="16"/>
      <c r="C14" s="11"/>
      <c r="D14" s="11"/>
      <c r="E14" s="11"/>
      <c r="F14" s="11"/>
      <c r="G14" s="11"/>
    </row>
    <row r="15" spans="1:12" ht="15" thickBot="1">
      <c r="A15" s="25" t="s">
        <v>7</v>
      </c>
      <c r="B15" s="26">
        <f>AVERAGE(B11,B26)</f>
        <v>146.50440606060604</v>
      </c>
      <c r="C15" s="28" t="s">
        <v>20</v>
      </c>
      <c r="D15" s="11"/>
      <c r="E15" s="11"/>
      <c r="F15" s="11"/>
      <c r="G15" s="11"/>
    </row>
    <row r="17" spans="1:7" ht="29.25" customHeight="1">
      <c r="A17" s="13" t="s">
        <v>16</v>
      </c>
      <c r="B17" s="10" t="s">
        <v>290</v>
      </c>
      <c r="C17" s="11"/>
      <c r="D17" s="11" t="s">
        <v>372</v>
      </c>
      <c r="E17" s="11"/>
      <c r="F17" s="11"/>
      <c r="G17" s="11"/>
    </row>
    <row r="18" spans="1:7">
      <c r="A18" s="4" t="s">
        <v>1</v>
      </c>
      <c r="B18" s="17">
        <v>23000</v>
      </c>
      <c r="C18" s="11"/>
      <c r="D18" s="11"/>
      <c r="E18" s="11"/>
      <c r="F18" s="11"/>
      <c r="G18" s="11"/>
    </row>
    <row r="19" spans="1:7">
      <c r="A19" s="12" t="s">
        <v>100</v>
      </c>
      <c r="B19" s="5">
        <v>2300</v>
      </c>
      <c r="C19" s="11"/>
      <c r="D19" s="11"/>
      <c r="E19" s="11"/>
      <c r="F19" s="11"/>
      <c r="G19" s="11"/>
    </row>
    <row r="20" spans="1:7">
      <c r="A20" s="12" t="s">
        <v>364</v>
      </c>
      <c r="B20" s="17">
        <v>4050</v>
      </c>
      <c r="C20" s="230"/>
      <c r="D20" s="11"/>
      <c r="E20" s="11"/>
      <c r="F20" s="11"/>
      <c r="G20" s="11"/>
    </row>
    <row r="21" spans="1:7">
      <c r="A21" s="166" t="s">
        <v>253</v>
      </c>
      <c r="B21" s="17">
        <v>1400</v>
      </c>
      <c r="C21" s="11"/>
      <c r="D21" s="11"/>
      <c r="E21" s="11"/>
      <c r="F21" s="11"/>
      <c r="G21" s="11"/>
    </row>
    <row r="22" spans="1:7">
      <c r="A22" s="166" t="s">
        <v>371</v>
      </c>
      <c r="B22" s="17">
        <f>1275</f>
        <v>1275</v>
      </c>
      <c r="C22" s="11"/>
      <c r="D22" s="11"/>
      <c r="E22" s="11"/>
      <c r="F22" s="11"/>
      <c r="G22" s="11"/>
    </row>
    <row r="23" spans="1:7">
      <c r="A23" s="4" t="s">
        <v>2</v>
      </c>
      <c r="B23" s="17">
        <f>SUM(B18:B22)</f>
        <v>32025</v>
      </c>
      <c r="C23" s="11"/>
      <c r="D23" s="11"/>
      <c r="E23" s="11"/>
      <c r="F23" s="11"/>
      <c r="G23" s="11"/>
    </row>
    <row r="24" spans="1:7">
      <c r="A24" s="4" t="s">
        <v>3</v>
      </c>
      <c r="B24" s="17">
        <f t="shared" ref="B24" si="2">(B23*0.74)+(30840/12)</f>
        <v>26268.5</v>
      </c>
      <c r="C24" s="11"/>
      <c r="D24" s="11"/>
      <c r="E24" s="11"/>
      <c r="F24" s="11"/>
      <c r="G24" s="11"/>
    </row>
    <row r="25" spans="1:7">
      <c r="A25" s="4" t="s">
        <v>4</v>
      </c>
      <c r="B25" s="18">
        <f>SUM(B24:B24)/D1</f>
        <v>159.20303030303029</v>
      </c>
      <c r="C25" s="11"/>
      <c r="D25" s="11"/>
      <c r="E25" s="11"/>
      <c r="F25" s="11"/>
      <c r="G25" s="11"/>
    </row>
    <row r="26" spans="1:7">
      <c r="A26" s="4" t="s">
        <v>5</v>
      </c>
      <c r="B26" s="19">
        <f>B25</f>
        <v>159.20303030303029</v>
      </c>
      <c r="C26" s="11"/>
      <c r="D26" s="11"/>
      <c r="E26" s="11"/>
      <c r="F26" s="11"/>
      <c r="G26" s="11"/>
    </row>
    <row r="27" spans="1:7" ht="15" thickBot="1">
      <c r="A27" s="6"/>
      <c r="B27" s="20">
        <f>B26*$D$1</f>
        <v>26268.499999999996</v>
      </c>
      <c r="C27" s="11"/>
      <c r="D27" s="11"/>
      <c r="E27" s="11"/>
      <c r="F27" s="11" t="s">
        <v>374</v>
      </c>
      <c r="G27" s="11" t="s">
        <v>373</v>
      </c>
    </row>
    <row r="28" spans="1:7" ht="15" thickBot="1">
      <c r="A28" s="8" t="s">
        <v>9</v>
      </c>
      <c r="B28" s="21">
        <f t="shared" ref="B28" si="3">(B27-2570)/0.74</f>
        <v>32024.999999999996</v>
      </c>
      <c r="C28" s="11"/>
      <c r="E28" s="11"/>
      <c r="F28" s="232">
        <f>B28+7500</f>
        <v>39525</v>
      </c>
      <c r="G28" s="232">
        <f>B28+3000</f>
        <v>35025</v>
      </c>
    </row>
    <row r="29" spans="1:7">
      <c r="E29" t="s">
        <v>375</v>
      </c>
      <c r="F29" s="233"/>
    </row>
  </sheetData>
  <pageMargins left="0.7" right="0.7" top="0.78740157499999996" bottom="0.78740157499999996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9343-D856-4AF4-85BD-3D5879169BBE}">
  <sheetPr codeName="List32">
    <tabColor rgb="FF92D050"/>
  </sheetPr>
  <dimension ref="A1:AA135"/>
  <sheetViews>
    <sheetView zoomScaleNormal="100" workbookViewId="0">
      <selection activeCell="C2" sqref="C2"/>
    </sheetView>
  </sheetViews>
  <sheetFormatPr defaultRowHeight="14.4"/>
  <cols>
    <col min="1" max="1" width="29.5546875" bestFit="1" customWidth="1"/>
    <col min="2" max="2" width="10.77734375" style="15" hidden="1" customWidth="1"/>
    <col min="3" max="3" width="14.88671875" style="15" bestFit="1" customWidth="1"/>
    <col min="4" max="4" width="26.44140625" bestFit="1" customWidth="1"/>
    <col min="5" max="5" width="5.44140625" customWidth="1"/>
    <col min="6" max="6" width="51.5546875" customWidth="1"/>
    <col min="7" max="7" width="11.77734375" bestFit="1" customWidth="1"/>
    <col min="8" max="8" width="12.21875" customWidth="1"/>
  </cols>
  <sheetData>
    <row r="1" spans="1:27">
      <c r="A1" s="1" t="s">
        <v>376</v>
      </c>
      <c r="B1" s="14" t="s">
        <v>0</v>
      </c>
      <c r="C1" s="14" t="s">
        <v>0</v>
      </c>
      <c r="D1" s="2" t="s">
        <v>401</v>
      </c>
      <c r="E1" s="22">
        <v>156.875</v>
      </c>
      <c r="F1" s="22"/>
      <c r="G1" s="23" t="s">
        <v>289</v>
      </c>
      <c r="H1" s="3"/>
      <c r="I1">
        <v>158</v>
      </c>
      <c r="J1">
        <v>170</v>
      </c>
    </row>
    <row r="2" spans="1:27" s="11" customFormat="1" ht="36.450000000000003" customHeight="1">
      <c r="A2" s="13" t="s">
        <v>73</v>
      </c>
      <c r="B2" s="10" t="s">
        <v>381</v>
      </c>
      <c r="C2" s="10" t="s">
        <v>382</v>
      </c>
      <c r="D2" s="239"/>
      <c r="E2" s="240">
        <f>B3/E1</f>
        <v>158</v>
      </c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27" ht="12.9" customHeight="1">
      <c r="A3" s="4" t="s">
        <v>1</v>
      </c>
      <c r="B3" s="17">
        <f>158*E1</f>
        <v>24786.25</v>
      </c>
      <c r="C3" s="17">
        <f>172*E1</f>
        <v>26982.5</v>
      </c>
      <c r="D3" s="239"/>
      <c r="E3" s="239"/>
      <c r="F3" s="241"/>
      <c r="G3" s="239"/>
      <c r="H3" s="239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</row>
    <row r="4" spans="1:27" ht="12.9" customHeight="1">
      <c r="A4" s="12" t="s">
        <v>100</v>
      </c>
      <c r="B4" s="5">
        <v>0</v>
      </c>
      <c r="C4" s="5">
        <v>0</v>
      </c>
      <c r="D4" s="239"/>
      <c r="E4" s="241"/>
      <c r="F4" s="241"/>
      <c r="G4" s="239"/>
      <c r="H4" s="239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4"/>
      <c r="W4" s="234"/>
      <c r="X4" s="234"/>
      <c r="Y4" s="234"/>
      <c r="Z4" s="234"/>
      <c r="AA4" s="234"/>
    </row>
    <row r="5" spans="1:27" ht="12.9" customHeight="1">
      <c r="A5" s="12" t="s">
        <v>364</v>
      </c>
      <c r="B5" s="17">
        <f>18*$E$1/2</f>
        <v>1411.875</v>
      </c>
      <c r="C5" s="17">
        <f>18*$E$1/2</f>
        <v>1411.875</v>
      </c>
      <c r="D5" s="239"/>
      <c r="E5" s="242"/>
      <c r="F5" s="242"/>
      <c r="G5" s="239"/>
      <c r="H5" s="239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4"/>
      <c r="W5" s="234"/>
      <c r="X5" s="234"/>
      <c r="Y5" s="234"/>
      <c r="Z5" s="234"/>
      <c r="AA5" s="234"/>
    </row>
    <row r="6" spans="1:27" s="161" customFormat="1" ht="12.9" customHeight="1">
      <c r="A6" s="166" t="s">
        <v>378</v>
      </c>
      <c r="B6" s="17">
        <f>($E$2*0.12)*$E$1/2</f>
        <v>1487.175</v>
      </c>
      <c r="C6" s="17">
        <f>($E$2*0.12)*$E$1/2</f>
        <v>1487.175</v>
      </c>
      <c r="D6" s="239"/>
      <c r="E6" s="242"/>
      <c r="F6" s="242"/>
      <c r="G6" s="239"/>
      <c r="H6" s="239"/>
      <c r="I6" s="239"/>
      <c r="J6" s="239"/>
      <c r="K6" s="239"/>
      <c r="L6" s="239"/>
      <c r="M6" s="239"/>
      <c r="N6" s="243"/>
      <c r="O6" s="243"/>
      <c r="P6" s="243"/>
      <c r="Q6" s="243"/>
      <c r="R6" s="243"/>
      <c r="S6" s="243"/>
      <c r="T6" s="243"/>
      <c r="U6" s="243"/>
      <c r="V6" s="235"/>
      <c r="W6" s="235"/>
      <c r="X6" s="235"/>
      <c r="Y6" s="235"/>
      <c r="Z6" s="235"/>
      <c r="AA6" s="235"/>
    </row>
    <row r="7" spans="1:27" s="161" customFormat="1" ht="12.9" customHeight="1">
      <c r="A7" s="166" t="s">
        <v>377</v>
      </c>
      <c r="B7" s="17">
        <v>0</v>
      </c>
      <c r="C7" s="17">
        <v>0</v>
      </c>
      <c r="D7" s="239"/>
      <c r="E7" s="242"/>
      <c r="F7" s="242"/>
      <c r="G7" s="239"/>
      <c r="H7" s="239"/>
      <c r="I7" s="239"/>
      <c r="J7" s="239"/>
      <c r="K7" s="239"/>
      <c r="L7" s="239"/>
      <c r="M7" s="239"/>
      <c r="N7" s="243"/>
      <c r="O7" s="243"/>
      <c r="P7" s="243"/>
      <c r="Q7" s="243"/>
      <c r="R7" s="243"/>
      <c r="S7" s="243"/>
      <c r="T7" s="243"/>
      <c r="U7" s="243"/>
      <c r="V7" s="235"/>
      <c r="W7" s="235"/>
      <c r="X7" s="235"/>
      <c r="Y7" s="235"/>
      <c r="Z7" s="235"/>
      <c r="AA7" s="235"/>
    </row>
    <row r="8" spans="1:27" s="161" customFormat="1" ht="12.9" customHeight="1">
      <c r="A8" s="166" t="s">
        <v>379</v>
      </c>
      <c r="B8" s="17">
        <f>$E$1*30/3</f>
        <v>1568.75</v>
      </c>
      <c r="C8" s="17">
        <f>$E$1*30/3</f>
        <v>1568.75</v>
      </c>
      <c r="D8" s="239"/>
      <c r="E8" s="242"/>
      <c r="F8" s="242"/>
      <c r="G8" s="239"/>
      <c r="H8" s="239"/>
      <c r="I8" s="239"/>
      <c r="J8" s="239"/>
      <c r="K8" s="239"/>
      <c r="L8" s="239"/>
      <c r="M8" s="239"/>
      <c r="N8" s="243"/>
      <c r="O8" s="243"/>
      <c r="P8" s="243"/>
      <c r="Q8" s="243"/>
      <c r="R8" s="243"/>
      <c r="S8" s="243"/>
      <c r="T8" s="243"/>
      <c r="U8" s="243"/>
      <c r="V8" s="235"/>
      <c r="W8" s="235"/>
      <c r="X8" s="235"/>
      <c r="Y8" s="235"/>
      <c r="Z8" s="235"/>
      <c r="AA8" s="235"/>
    </row>
    <row r="9" spans="1:27" s="161" customFormat="1" ht="12.9" customHeight="1">
      <c r="A9" s="166" t="s">
        <v>383</v>
      </c>
      <c r="B9" s="17">
        <v>0</v>
      </c>
      <c r="C9" s="17">
        <v>2000</v>
      </c>
      <c r="D9" s="239"/>
      <c r="E9" s="242"/>
      <c r="F9" s="242"/>
      <c r="G9" s="239"/>
      <c r="H9" s="239"/>
      <c r="I9" s="239"/>
      <c r="J9" s="239"/>
      <c r="K9" s="239"/>
      <c r="L9" s="239"/>
      <c r="M9" s="239"/>
      <c r="N9" s="243"/>
      <c r="O9" s="243"/>
      <c r="P9" s="243"/>
      <c r="Q9" s="243"/>
      <c r="R9" s="243"/>
      <c r="S9" s="243"/>
      <c r="T9" s="243"/>
      <c r="U9" s="243"/>
      <c r="V9" s="235"/>
      <c r="W9" s="235"/>
      <c r="X9" s="235"/>
      <c r="Y9" s="235"/>
      <c r="Z9" s="235"/>
      <c r="AA9" s="235"/>
    </row>
    <row r="10" spans="1:27" ht="12.9" customHeight="1">
      <c r="A10" s="4" t="s">
        <v>2</v>
      </c>
      <c r="B10" s="17">
        <f>SUM(B3:B9)</f>
        <v>29254.05</v>
      </c>
      <c r="C10" s="17">
        <f>SUM(C3:C9)</f>
        <v>33450.300000000003</v>
      </c>
      <c r="D10" s="239"/>
      <c r="E10" s="242"/>
      <c r="F10" s="242"/>
      <c r="G10" s="239"/>
      <c r="H10" s="239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4"/>
      <c r="W10" s="234"/>
      <c r="X10" s="234"/>
      <c r="Y10" s="234"/>
      <c r="Z10" s="234"/>
      <c r="AA10" s="234"/>
    </row>
    <row r="11" spans="1:27" ht="12.9" customHeight="1">
      <c r="A11" s="4" t="s">
        <v>3</v>
      </c>
      <c r="B11" s="17">
        <f t="shared" ref="B11" si="0">(B10*0.74)+(30840/12)</f>
        <v>24217.996999999999</v>
      </c>
      <c r="C11" s="17">
        <f>(C10*0.74)+(30840/12)</f>
        <v>27323.222000000002</v>
      </c>
      <c r="D11" s="239"/>
      <c r="E11" s="242"/>
      <c r="F11" s="242"/>
      <c r="G11" s="239"/>
      <c r="H11" s="239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4"/>
      <c r="W11" s="234"/>
      <c r="X11" s="234"/>
      <c r="Y11" s="234"/>
      <c r="Z11" s="234"/>
      <c r="AA11" s="234"/>
    </row>
    <row r="12" spans="1:27" ht="12.9" customHeight="1">
      <c r="A12" s="4" t="s">
        <v>4</v>
      </c>
      <c r="B12" s="18">
        <f>SUM(B11:B11)/$E$1</f>
        <v>154.37767011952189</v>
      </c>
      <c r="C12" s="18">
        <f>SUM(C11:C11)/E1</f>
        <v>174.1719330677291</v>
      </c>
      <c r="D12" s="239"/>
      <c r="E12" s="242"/>
      <c r="F12" s="242"/>
      <c r="G12" s="239"/>
      <c r="H12" s="239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4"/>
      <c r="W12" s="234"/>
      <c r="X12" s="234"/>
      <c r="Y12" s="234"/>
      <c r="Z12" s="234"/>
      <c r="AA12" s="234"/>
    </row>
    <row r="13" spans="1:27" ht="12.9" customHeight="1">
      <c r="A13" s="4" t="s">
        <v>5</v>
      </c>
      <c r="B13" s="19">
        <f>B12</f>
        <v>154.37767011952189</v>
      </c>
      <c r="C13" s="19">
        <f>C12</f>
        <v>174.1719330677291</v>
      </c>
      <c r="D13" s="239"/>
      <c r="E13" s="239"/>
      <c r="F13" s="239"/>
      <c r="G13" s="239"/>
      <c r="H13" s="239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4"/>
      <c r="W13" s="234"/>
      <c r="X13" s="234"/>
      <c r="Y13" s="234"/>
      <c r="Z13" s="234"/>
      <c r="AA13" s="234"/>
    </row>
    <row r="14" spans="1:27" ht="16.95" customHeight="1" thickBot="1">
      <c r="A14" s="6"/>
      <c r="B14" s="20">
        <f>B13*$E$1</f>
        <v>24217.996999999996</v>
      </c>
      <c r="C14" s="20">
        <f>C13*$E$1</f>
        <v>27323.222000000002</v>
      </c>
      <c r="D14" s="239"/>
      <c r="E14" s="239"/>
      <c r="F14" s="239"/>
      <c r="G14" s="239"/>
      <c r="H14" s="239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4"/>
      <c r="W14" s="234"/>
      <c r="X14" s="234"/>
      <c r="Y14" s="234"/>
      <c r="Z14" s="234"/>
      <c r="AA14" s="234"/>
    </row>
    <row r="15" spans="1:27" ht="13.2" customHeight="1" thickBot="1">
      <c r="A15" s="8" t="s">
        <v>6</v>
      </c>
      <c r="B15" s="21">
        <f t="shared" ref="B15:C15" si="1">(B14-2570)/0.74</f>
        <v>29254.049999999996</v>
      </c>
      <c r="C15" s="21">
        <f t="shared" si="1"/>
        <v>33450.300000000003</v>
      </c>
      <c r="D15" s="239"/>
      <c r="E15" s="239"/>
      <c r="F15" s="239"/>
      <c r="G15" s="239"/>
      <c r="H15" s="239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4"/>
      <c r="W15" s="234"/>
      <c r="X15" s="234"/>
      <c r="Y15" s="234"/>
      <c r="Z15" s="234"/>
      <c r="AA15" s="234"/>
    </row>
    <row r="16" spans="1:27" ht="15" thickBot="1">
      <c r="A16" s="9"/>
      <c r="B16" s="16"/>
      <c r="C16" s="94"/>
      <c r="D16" s="239"/>
      <c r="E16" s="239"/>
      <c r="F16" s="239"/>
      <c r="G16" s="239"/>
      <c r="H16" s="239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4"/>
      <c r="W16" s="234"/>
      <c r="X16" s="234"/>
      <c r="Y16" s="234"/>
      <c r="Z16" s="234"/>
      <c r="AA16" s="234"/>
    </row>
    <row r="17" spans="1:27" ht="15" thickBot="1">
      <c r="A17" s="25" t="s">
        <v>7</v>
      </c>
      <c r="B17" s="26">
        <f>AVERAGE(B13,B30)</f>
        <v>168.29460345285523</v>
      </c>
      <c r="C17" s="26">
        <f>AVERAGE(C13,C30)</f>
        <v>188.08886640106243</v>
      </c>
      <c r="D17" s="244" t="s">
        <v>20</v>
      </c>
      <c r="E17" s="239"/>
      <c r="F17" s="239"/>
      <c r="G17" s="239"/>
      <c r="H17" s="239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4"/>
      <c r="W17" s="234"/>
      <c r="X17" s="234"/>
      <c r="Y17" s="234"/>
      <c r="Z17" s="234"/>
      <c r="AA17" s="234"/>
    </row>
    <row r="18" spans="1:27"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4"/>
      <c r="W18" s="234"/>
      <c r="X18" s="234"/>
      <c r="Y18" s="234"/>
      <c r="Z18" s="234"/>
      <c r="AA18" s="234"/>
    </row>
    <row r="19" spans="1:27" ht="34.5" customHeight="1">
      <c r="A19" s="13" t="s">
        <v>16</v>
      </c>
      <c r="B19" s="10" t="s">
        <v>381</v>
      </c>
      <c r="C19" s="10" t="s">
        <v>382</v>
      </c>
      <c r="D19" s="239"/>
      <c r="E19" s="239"/>
      <c r="F19" s="239"/>
      <c r="G19" s="239"/>
      <c r="H19" s="239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4"/>
      <c r="W19" s="234"/>
      <c r="X19" s="234"/>
      <c r="Y19" s="234"/>
      <c r="Z19" s="234"/>
      <c r="AA19" s="234"/>
    </row>
    <row r="20" spans="1:27">
      <c r="A20" s="4" t="s">
        <v>1</v>
      </c>
      <c r="B20" s="17">
        <f>158*$E$1</f>
        <v>24786.25</v>
      </c>
      <c r="C20" s="17">
        <f>172*$E$1</f>
        <v>26982.5</v>
      </c>
      <c r="D20" s="239"/>
      <c r="E20" s="239"/>
      <c r="F20" s="239"/>
      <c r="G20" s="239"/>
      <c r="H20" s="239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4"/>
      <c r="W20" s="234"/>
      <c r="X20" s="234"/>
      <c r="Y20" s="234"/>
      <c r="Z20" s="234"/>
      <c r="AA20" s="234"/>
    </row>
    <row r="21" spans="1:27">
      <c r="A21" s="12" t="s">
        <v>100</v>
      </c>
      <c r="B21" s="5">
        <f>$B$20*0.1</f>
        <v>2478.625</v>
      </c>
      <c r="C21" s="5">
        <f>$B$20*0.1</f>
        <v>2478.625</v>
      </c>
      <c r="D21" s="239"/>
      <c r="E21" s="239"/>
      <c r="F21" s="239"/>
      <c r="G21" s="239"/>
      <c r="H21" s="239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4"/>
      <c r="W21" s="234"/>
      <c r="X21" s="234"/>
      <c r="Y21" s="234"/>
      <c r="Z21" s="234"/>
      <c r="AA21" s="234"/>
    </row>
    <row r="22" spans="1:27">
      <c r="A22" s="12" t="s">
        <v>364</v>
      </c>
      <c r="B22" s="17">
        <f>18*$E$1</f>
        <v>2823.75</v>
      </c>
      <c r="C22" s="17">
        <f>18*$E$1</f>
        <v>2823.75</v>
      </c>
      <c r="D22" s="245"/>
      <c r="E22" s="239"/>
      <c r="F22" s="239"/>
      <c r="G22" s="239"/>
      <c r="H22" s="239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4"/>
      <c r="W22" s="234"/>
      <c r="X22" s="234"/>
      <c r="Y22" s="234"/>
      <c r="Z22" s="234"/>
      <c r="AA22" s="234"/>
    </row>
    <row r="23" spans="1:27">
      <c r="A23" s="166" t="s">
        <v>378</v>
      </c>
      <c r="B23" s="17">
        <f>($E$2*0.12)*E1</f>
        <v>2974.35</v>
      </c>
      <c r="C23" s="17">
        <f>($E$2*0.12)*E1</f>
        <v>2974.35</v>
      </c>
      <c r="D23" s="239"/>
      <c r="E23" s="239"/>
      <c r="F23" s="239"/>
      <c r="G23" s="239"/>
      <c r="H23" s="239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4"/>
      <c r="W23" s="234"/>
      <c r="X23" s="234"/>
      <c r="Y23" s="234"/>
      <c r="Z23" s="234"/>
      <c r="AA23" s="234"/>
    </row>
    <row r="24" spans="1:27">
      <c r="A24" s="166" t="s">
        <v>377</v>
      </c>
      <c r="B24" s="17">
        <f>$E$1*10/3</f>
        <v>522.91666666666663</v>
      </c>
      <c r="C24" s="17">
        <f>$E$1*10/3</f>
        <v>522.91666666666663</v>
      </c>
      <c r="D24" s="239"/>
      <c r="E24" s="239"/>
      <c r="F24" s="239"/>
      <c r="G24" s="239"/>
      <c r="H24" s="239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4"/>
      <c r="W24" s="234"/>
      <c r="X24" s="234"/>
      <c r="Y24" s="234"/>
      <c r="Z24" s="234"/>
      <c r="AA24" s="234"/>
    </row>
    <row r="25" spans="1:27">
      <c r="A25" s="166" t="s">
        <v>380</v>
      </c>
      <c r="B25" s="17">
        <f>($E$1*30)/3</f>
        <v>1568.75</v>
      </c>
      <c r="C25" s="17">
        <f>($E$1*30)/3</f>
        <v>1568.75</v>
      </c>
      <c r="D25" s="239"/>
      <c r="E25" s="239"/>
      <c r="F25" s="239"/>
      <c r="G25" s="239"/>
      <c r="H25" s="239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4"/>
      <c r="W25" s="234"/>
      <c r="X25" s="234"/>
      <c r="Y25" s="234"/>
      <c r="Z25" s="234"/>
      <c r="AA25" s="234"/>
    </row>
    <row r="26" spans="1:27">
      <c r="A26" s="166" t="s">
        <v>383</v>
      </c>
      <c r="B26" s="247">
        <v>0</v>
      </c>
      <c r="C26" s="17">
        <v>2000</v>
      </c>
      <c r="D26" s="239"/>
      <c r="E26" s="239"/>
      <c r="F26" s="239"/>
      <c r="G26" s="239"/>
      <c r="H26" s="239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4"/>
      <c r="W26" s="234"/>
      <c r="X26" s="234"/>
      <c r="Y26" s="234"/>
      <c r="Z26" s="234"/>
      <c r="AA26" s="234"/>
    </row>
    <row r="27" spans="1:27">
      <c r="A27" s="4" t="s">
        <v>2</v>
      </c>
      <c r="B27" s="17">
        <f>SUM(B20:B25)</f>
        <v>35154.641666666663</v>
      </c>
      <c r="C27" s="17">
        <f>SUM(C20:C26)</f>
        <v>39350.891666666663</v>
      </c>
      <c r="D27" s="239"/>
      <c r="E27" s="239"/>
      <c r="F27" s="239"/>
      <c r="G27" s="239"/>
      <c r="H27" s="239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4"/>
      <c r="W27" s="234"/>
      <c r="X27" s="234"/>
      <c r="Y27" s="234"/>
      <c r="Z27" s="234"/>
      <c r="AA27" s="234"/>
    </row>
    <row r="28" spans="1:27">
      <c r="A28" s="4" t="s">
        <v>3</v>
      </c>
      <c r="B28" s="17">
        <f>($B$27*0.74)+(30840/12)</f>
        <v>28584.434833333329</v>
      </c>
      <c r="C28" s="17">
        <f>($C$27*0.74)+(30840/12)</f>
        <v>31689.659833333331</v>
      </c>
      <c r="D28" s="239"/>
      <c r="E28" s="239"/>
      <c r="F28" s="239"/>
      <c r="G28" s="239"/>
      <c r="H28" s="239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4"/>
      <c r="W28" s="234"/>
      <c r="X28" s="234"/>
      <c r="Y28" s="234"/>
      <c r="Z28" s="234"/>
      <c r="AA28" s="234"/>
    </row>
    <row r="29" spans="1:27">
      <c r="A29" s="4" t="s">
        <v>4</v>
      </c>
      <c r="B29" s="18">
        <f>SUM(B28:B28)/E1</f>
        <v>182.21153678618856</v>
      </c>
      <c r="C29" s="18">
        <f>SUM(C28:C28)/E1</f>
        <v>202.00579973439574</v>
      </c>
      <c r="D29" s="239"/>
      <c r="E29" s="239"/>
      <c r="F29" s="239"/>
      <c r="G29" s="239"/>
      <c r="H29" s="239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4"/>
      <c r="W29" s="234"/>
      <c r="X29" s="234"/>
      <c r="Y29" s="234"/>
      <c r="Z29" s="234"/>
      <c r="AA29" s="234"/>
    </row>
    <row r="30" spans="1:27">
      <c r="A30" s="4" t="s">
        <v>5</v>
      </c>
      <c r="B30" s="19">
        <f>B29</f>
        <v>182.21153678618856</v>
      </c>
      <c r="C30" s="19">
        <f>C29</f>
        <v>202.00579973439574</v>
      </c>
      <c r="D30" s="239"/>
      <c r="E30" s="239"/>
      <c r="F30" s="239"/>
      <c r="G30" s="239"/>
      <c r="H30" s="239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4"/>
      <c r="W30" s="234"/>
      <c r="X30" s="234"/>
      <c r="Y30" s="234"/>
      <c r="Z30" s="234"/>
      <c r="AA30" s="234"/>
    </row>
    <row r="31" spans="1:27" ht="15" thickBot="1">
      <c r="A31" s="6"/>
      <c r="B31" s="20">
        <f>B30*$E$1</f>
        <v>28584.434833333329</v>
      </c>
      <c r="C31" s="20">
        <f>C30*$E$1</f>
        <v>31689.659833333331</v>
      </c>
      <c r="D31" s="239"/>
      <c r="E31" s="239"/>
      <c r="F31" s="239"/>
      <c r="G31" s="239"/>
      <c r="H31" s="239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4"/>
      <c r="W31" s="234"/>
      <c r="X31" s="234"/>
      <c r="Y31" s="234"/>
      <c r="Z31" s="234"/>
      <c r="AA31" s="234"/>
    </row>
    <row r="32" spans="1:27" ht="15" thickBot="1">
      <c r="A32" s="8" t="s">
        <v>9</v>
      </c>
      <c r="B32" s="21">
        <f t="shared" ref="B32:C32" si="2">(B31-2570)/0.74</f>
        <v>35154.641666666663</v>
      </c>
      <c r="C32" s="21">
        <f t="shared" si="2"/>
        <v>39350.891666666663</v>
      </c>
      <c r="D32" s="239"/>
      <c r="E32" s="236"/>
      <c r="F32" s="239"/>
      <c r="G32" s="246"/>
      <c r="H32" s="24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4"/>
      <c r="W32" s="234"/>
      <c r="X32" s="234"/>
      <c r="Y32" s="234"/>
      <c r="Z32" s="234"/>
      <c r="AA32" s="234"/>
    </row>
    <row r="33" spans="2:7" s="236" customFormat="1">
      <c r="B33" s="237"/>
      <c r="C33" s="237"/>
      <c r="G33" s="238"/>
    </row>
    <row r="34" spans="2:7" s="236" customFormat="1">
      <c r="B34" s="237"/>
      <c r="C34" s="237"/>
    </row>
    <row r="35" spans="2:7" s="236" customFormat="1">
      <c r="B35" s="237"/>
      <c r="C35" s="237"/>
    </row>
    <row r="36" spans="2:7" s="236" customFormat="1">
      <c r="B36" s="237"/>
      <c r="C36" s="237"/>
    </row>
    <row r="37" spans="2:7" s="236" customFormat="1">
      <c r="B37" s="237"/>
      <c r="C37" s="237"/>
    </row>
    <row r="38" spans="2:7" s="236" customFormat="1">
      <c r="B38" s="237"/>
      <c r="C38" s="237"/>
    </row>
    <row r="39" spans="2:7" s="236" customFormat="1">
      <c r="B39" s="237"/>
      <c r="C39" s="237"/>
    </row>
    <row r="40" spans="2:7" s="236" customFormat="1">
      <c r="B40" s="237"/>
      <c r="C40" s="237"/>
    </row>
    <row r="41" spans="2:7" s="236" customFormat="1">
      <c r="B41" s="237"/>
      <c r="C41" s="237"/>
    </row>
    <row r="42" spans="2:7" s="236" customFormat="1">
      <c r="B42" s="237"/>
      <c r="C42" s="237"/>
    </row>
    <row r="43" spans="2:7" s="236" customFormat="1">
      <c r="B43" s="237"/>
      <c r="C43" s="237"/>
    </row>
    <row r="44" spans="2:7" s="236" customFormat="1">
      <c r="B44" s="237"/>
      <c r="C44" s="237"/>
    </row>
    <row r="45" spans="2:7" s="236" customFormat="1">
      <c r="B45" s="237"/>
      <c r="C45" s="237"/>
    </row>
    <row r="46" spans="2:7" s="236" customFormat="1">
      <c r="B46" s="237"/>
      <c r="C46" s="237"/>
    </row>
    <row r="47" spans="2:7" s="236" customFormat="1">
      <c r="B47" s="237"/>
      <c r="C47" s="237"/>
    </row>
    <row r="48" spans="2:7" s="236" customFormat="1">
      <c r="B48" s="237"/>
      <c r="C48" s="237"/>
    </row>
    <row r="49" spans="2:3" s="236" customFormat="1">
      <c r="B49" s="237"/>
      <c r="C49" s="237"/>
    </row>
    <row r="50" spans="2:3" s="236" customFormat="1">
      <c r="B50" s="237"/>
      <c r="C50" s="237"/>
    </row>
    <row r="51" spans="2:3" s="236" customFormat="1">
      <c r="B51" s="237"/>
      <c r="C51" s="237"/>
    </row>
    <row r="52" spans="2:3" s="236" customFormat="1">
      <c r="B52" s="237"/>
      <c r="C52" s="237"/>
    </row>
    <row r="53" spans="2:3" s="236" customFormat="1">
      <c r="B53" s="237"/>
      <c r="C53" s="237"/>
    </row>
    <row r="54" spans="2:3" s="236" customFormat="1">
      <c r="B54" s="237"/>
      <c r="C54" s="237"/>
    </row>
    <row r="55" spans="2:3" s="236" customFormat="1">
      <c r="B55" s="237"/>
      <c r="C55" s="237"/>
    </row>
    <row r="56" spans="2:3" s="236" customFormat="1">
      <c r="B56" s="237"/>
      <c r="C56" s="237"/>
    </row>
    <row r="57" spans="2:3" s="236" customFormat="1">
      <c r="B57" s="237"/>
      <c r="C57" s="237"/>
    </row>
    <row r="58" spans="2:3" s="236" customFormat="1">
      <c r="B58" s="237"/>
      <c r="C58" s="237"/>
    </row>
    <row r="59" spans="2:3" s="236" customFormat="1">
      <c r="B59" s="237"/>
      <c r="C59" s="237"/>
    </row>
    <row r="60" spans="2:3" s="236" customFormat="1">
      <c r="B60" s="237"/>
      <c r="C60" s="237"/>
    </row>
    <row r="61" spans="2:3" s="236" customFormat="1">
      <c r="B61" s="237"/>
      <c r="C61" s="237"/>
    </row>
    <row r="62" spans="2:3" s="236" customFormat="1">
      <c r="B62" s="237"/>
      <c r="C62" s="237"/>
    </row>
    <row r="63" spans="2:3" s="236" customFormat="1">
      <c r="B63" s="237"/>
      <c r="C63" s="237"/>
    </row>
    <row r="64" spans="2:3" s="236" customFormat="1">
      <c r="B64" s="237"/>
      <c r="C64" s="237"/>
    </row>
    <row r="65" spans="2:3" s="236" customFormat="1">
      <c r="B65" s="237"/>
      <c r="C65" s="237"/>
    </row>
    <row r="66" spans="2:3" s="236" customFormat="1">
      <c r="B66" s="237"/>
      <c r="C66" s="237"/>
    </row>
    <row r="67" spans="2:3" s="236" customFormat="1">
      <c r="B67" s="237"/>
      <c r="C67" s="237"/>
    </row>
    <row r="68" spans="2:3" s="236" customFormat="1">
      <c r="B68" s="237"/>
      <c r="C68" s="237"/>
    </row>
    <row r="69" spans="2:3" s="236" customFormat="1">
      <c r="B69" s="237"/>
      <c r="C69" s="237"/>
    </row>
    <row r="70" spans="2:3" s="236" customFormat="1">
      <c r="B70" s="237"/>
      <c r="C70" s="237"/>
    </row>
    <row r="71" spans="2:3" s="236" customFormat="1">
      <c r="B71" s="237"/>
      <c r="C71" s="237"/>
    </row>
    <row r="72" spans="2:3" s="236" customFormat="1">
      <c r="B72" s="237"/>
      <c r="C72" s="237"/>
    </row>
    <row r="73" spans="2:3" s="236" customFormat="1">
      <c r="B73" s="237"/>
      <c r="C73" s="237"/>
    </row>
    <row r="74" spans="2:3" s="236" customFormat="1">
      <c r="B74" s="237"/>
      <c r="C74" s="237"/>
    </row>
    <row r="75" spans="2:3" s="236" customFormat="1">
      <c r="B75" s="237"/>
      <c r="C75" s="237"/>
    </row>
    <row r="76" spans="2:3" s="236" customFormat="1">
      <c r="B76" s="237"/>
      <c r="C76" s="237"/>
    </row>
    <row r="77" spans="2:3" s="236" customFormat="1">
      <c r="B77" s="237"/>
      <c r="C77" s="237"/>
    </row>
    <row r="78" spans="2:3" s="236" customFormat="1">
      <c r="B78" s="237"/>
      <c r="C78" s="237"/>
    </row>
    <row r="79" spans="2:3" s="236" customFormat="1">
      <c r="B79" s="237"/>
      <c r="C79" s="237"/>
    </row>
    <row r="80" spans="2:3" s="236" customFormat="1">
      <c r="B80" s="237"/>
      <c r="C80" s="237"/>
    </row>
    <row r="81" spans="2:3" s="236" customFormat="1">
      <c r="B81" s="237"/>
      <c r="C81" s="237"/>
    </row>
    <row r="82" spans="2:3" s="236" customFormat="1">
      <c r="B82" s="237"/>
      <c r="C82" s="237"/>
    </row>
    <row r="83" spans="2:3" s="236" customFormat="1">
      <c r="B83" s="237"/>
      <c r="C83" s="237"/>
    </row>
    <row r="84" spans="2:3" s="236" customFormat="1">
      <c r="B84" s="237"/>
      <c r="C84" s="237"/>
    </row>
    <row r="85" spans="2:3" s="236" customFormat="1">
      <c r="B85" s="237"/>
      <c r="C85" s="237"/>
    </row>
    <row r="86" spans="2:3" s="236" customFormat="1">
      <c r="B86" s="237"/>
      <c r="C86" s="237"/>
    </row>
    <row r="87" spans="2:3" s="236" customFormat="1">
      <c r="B87" s="237"/>
      <c r="C87" s="237"/>
    </row>
    <row r="88" spans="2:3" s="236" customFormat="1">
      <c r="B88" s="237"/>
      <c r="C88" s="237"/>
    </row>
    <row r="89" spans="2:3" s="236" customFormat="1">
      <c r="B89" s="237"/>
      <c r="C89" s="237"/>
    </row>
    <row r="90" spans="2:3" s="236" customFormat="1">
      <c r="B90" s="237"/>
      <c r="C90" s="237"/>
    </row>
    <row r="91" spans="2:3" s="236" customFormat="1">
      <c r="B91" s="237"/>
      <c r="C91" s="237"/>
    </row>
    <row r="92" spans="2:3" s="236" customFormat="1">
      <c r="B92" s="237"/>
      <c r="C92" s="237"/>
    </row>
    <row r="93" spans="2:3" s="236" customFormat="1">
      <c r="B93" s="237"/>
      <c r="C93" s="237"/>
    </row>
    <row r="94" spans="2:3" s="236" customFormat="1">
      <c r="B94" s="237"/>
      <c r="C94" s="237"/>
    </row>
    <row r="95" spans="2:3" s="236" customFormat="1">
      <c r="B95" s="237"/>
      <c r="C95" s="237"/>
    </row>
    <row r="96" spans="2:3" s="236" customFormat="1">
      <c r="B96" s="237"/>
      <c r="C96" s="237"/>
    </row>
    <row r="97" spans="2:3" s="236" customFormat="1">
      <c r="B97" s="237"/>
      <c r="C97" s="237"/>
    </row>
    <row r="98" spans="2:3" s="236" customFormat="1">
      <c r="B98" s="237"/>
      <c r="C98" s="237"/>
    </row>
    <row r="99" spans="2:3" s="236" customFormat="1">
      <c r="B99" s="237"/>
      <c r="C99" s="237"/>
    </row>
    <row r="100" spans="2:3" s="236" customFormat="1">
      <c r="B100" s="237"/>
      <c r="C100" s="237"/>
    </row>
    <row r="101" spans="2:3" s="236" customFormat="1">
      <c r="B101" s="237"/>
      <c r="C101" s="237"/>
    </row>
    <row r="102" spans="2:3" s="236" customFormat="1">
      <c r="B102" s="237"/>
      <c r="C102" s="237"/>
    </row>
    <row r="103" spans="2:3" s="236" customFormat="1">
      <c r="B103" s="237"/>
      <c r="C103" s="237"/>
    </row>
    <row r="104" spans="2:3" s="236" customFormat="1">
      <c r="B104" s="237"/>
      <c r="C104" s="237"/>
    </row>
    <row r="105" spans="2:3" s="236" customFormat="1">
      <c r="B105" s="237"/>
      <c r="C105" s="237"/>
    </row>
    <row r="106" spans="2:3" s="236" customFormat="1">
      <c r="B106" s="237"/>
      <c r="C106" s="237"/>
    </row>
    <row r="107" spans="2:3" s="236" customFormat="1">
      <c r="B107" s="237"/>
      <c r="C107" s="237"/>
    </row>
    <row r="108" spans="2:3" s="236" customFormat="1">
      <c r="B108" s="237"/>
      <c r="C108" s="237"/>
    </row>
    <row r="109" spans="2:3" s="236" customFormat="1">
      <c r="B109" s="237"/>
      <c r="C109" s="237"/>
    </row>
    <row r="110" spans="2:3" s="236" customFormat="1">
      <c r="B110" s="237"/>
      <c r="C110" s="237"/>
    </row>
    <row r="111" spans="2:3" s="236" customFormat="1">
      <c r="B111" s="237"/>
      <c r="C111" s="237"/>
    </row>
    <row r="112" spans="2:3" s="236" customFormat="1">
      <c r="B112" s="237"/>
      <c r="C112" s="237"/>
    </row>
    <row r="113" spans="2:3" s="236" customFormat="1">
      <c r="B113" s="237"/>
      <c r="C113" s="237"/>
    </row>
    <row r="114" spans="2:3" s="236" customFormat="1">
      <c r="B114" s="237"/>
      <c r="C114" s="237"/>
    </row>
    <row r="115" spans="2:3" s="236" customFormat="1">
      <c r="B115" s="237"/>
      <c r="C115" s="237"/>
    </row>
    <row r="116" spans="2:3" s="236" customFormat="1">
      <c r="B116" s="237"/>
      <c r="C116" s="237"/>
    </row>
    <row r="117" spans="2:3" s="236" customFormat="1">
      <c r="B117" s="237"/>
      <c r="C117" s="237"/>
    </row>
    <row r="118" spans="2:3" s="236" customFormat="1">
      <c r="B118" s="237"/>
      <c r="C118" s="237"/>
    </row>
    <row r="119" spans="2:3" s="236" customFormat="1">
      <c r="B119" s="237"/>
      <c r="C119" s="237"/>
    </row>
    <row r="120" spans="2:3" s="236" customFormat="1">
      <c r="B120" s="237"/>
      <c r="C120" s="237"/>
    </row>
    <row r="121" spans="2:3" s="236" customFormat="1">
      <c r="B121" s="237"/>
      <c r="C121" s="237"/>
    </row>
    <row r="122" spans="2:3" s="236" customFormat="1">
      <c r="B122" s="237"/>
      <c r="C122" s="237"/>
    </row>
    <row r="123" spans="2:3" s="236" customFormat="1">
      <c r="B123" s="237"/>
      <c r="C123" s="237"/>
    </row>
    <row r="124" spans="2:3" s="236" customFormat="1">
      <c r="B124" s="237"/>
      <c r="C124" s="237"/>
    </row>
    <row r="125" spans="2:3" s="236" customFormat="1">
      <c r="B125" s="237"/>
      <c r="C125" s="237"/>
    </row>
    <row r="126" spans="2:3" s="236" customFormat="1">
      <c r="B126" s="237"/>
      <c r="C126" s="237"/>
    </row>
    <row r="127" spans="2:3" s="236" customFormat="1">
      <c r="B127" s="237"/>
      <c r="C127" s="237"/>
    </row>
    <row r="128" spans="2:3" s="236" customFormat="1">
      <c r="B128" s="237"/>
      <c r="C128" s="237"/>
    </row>
    <row r="129" spans="2:27" s="236" customFormat="1">
      <c r="B129" s="237"/>
      <c r="C129" s="237"/>
    </row>
    <row r="130" spans="2:27"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</row>
    <row r="131" spans="2:27"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</row>
    <row r="132" spans="2:27"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</row>
    <row r="133" spans="2:27"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</row>
    <row r="134" spans="2:27"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</row>
    <row r="135" spans="2:27"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</row>
  </sheetData>
  <pageMargins left="0.7" right="0.7" top="0.78740157499999996" bottom="0.78740157499999996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BD6F-2C02-437C-8BBE-BD7BE0EBE8E9}">
  <sheetPr codeName="List33">
    <tabColor rgb="FF92D050"/>
  </sheetPr>
  <dimension ref="A1:K30"/>
  <sheetViews>
    <sheetView topLeftCell="A15" zoomScale="115" zoomScaleNormal="115" workbookViewId="0">
      <selection activeCell="H28" sqref="H28"/>
    </sheetView>
  </sheetViews>
  <sheetFormatPr defaultRowHeight="14.4"/>
  <cols>
    <col min="1" max="1" width="35.109375" bestFit="1" customWidth="1"/>
    <col min="2" max="2" width="10.88671875" style="15" hidden="1" customWidth="1"/>
    <col min="3" max="3" width="10.88671875" style="15" customWidth="1"/>
    <col min="4" max="4" width="10.77734375" style="15" customWidth="1"/>
    <col min="5" max="6" width="10.88671875" style="15" customWidth="1"/>
    <col min="7" max="7" width="38.5546875" bestFit="1" customWidth="1"/>
    <col min="10" max="10" width="11.77734375" bestFit="1" customWidth="1"/>
  </cols>
  <sheetData>
    <row r="1" spans="1:11">
      <c r="A1" s="1" t="s">
        <v>386</v>
      </c>
      <c r="B1" s="14" t="s">
        <v>0</v>
      </c>
      <c r="C1" s="14" t="s">
        <v>0</v>
      </c>
      <c r="D1" s="14"/>
      <c r="E1" s="14"/>
      <c r="F1" s="14"/>
      <c r="G1" s="2">
        <v>45980</v>
      </c>
      <c r="H1" s="22">
        <v>156.875</v>
      </c>
      <c r="I1" s="22"/>
      <c r="J1" s="23" t="s">
        <v>289</v>
      </c>
      <c r="K1" s="3"/>
    </row>
    <row r="2" spans="1:11" s="11" customFormat="1" ht="138">
      <c r="A2" s="13" t="s">
        <v>73</v>
      </c>
      <c r="B2" s="10" t="s">
        <v>395</v>
      </c>
      <c r="C2" s="10" t="s">
        <v>387</v>
      </c>
      <c r="D2" s="10" t="s">
        <v>388</v>
      </c>
      <c r="E2" s="10" t="s">
        <v>389</v>
      </c>
      <c r="F2" s="10" t="s">
        <v>390</v>
      </c>
    </row>
    <row r="3" spans="1:11">
      <c r="A3" s="4" t="s">
        <v>1</v>
      </c>
      <c r="B3" s="17">
        <v>23000</v>
      </c>
      <c r="C3" s="17">
        <v>25000</v>
      </c>
      <c r="D3" s="17">
        <v>28000</v>
      </c>
      <c r="E3" s="17">
        <v>32000</v>
      </c>
      <c r="F3" s="17">
        <v>35000</v>
      </c>
      <c r="G3" s="11"/>
      <c r="H3" s="11"/>
      <c r="I3" s="11"/>
      <c r="J3" s="11"/>
      <c r="K3" s="11"/>
    </row>
    <row r="4" spans="1:11">
      <c r="A4" s="4" t="s">
        <v>391</v>
      </c>
      <c r="B4" s="17">
        <v>700</v>
      </c>
      <c r="C4" s="17">
        <v>700</v>
      </c>
      <c r="D4" s="17">
        <v>700</v>
      </c>
      <c r="E4" s="17">
        <v>0</v>
      </c>
      <c r="F4" s="17">
        <v>0</v>
      </c>
      <c r="G4" s="11"/>
      <c r="H4" s="11"/>
      <c r="I4" s="11"/>
      <c r="J4" s="11"/>
      <c r="K4" s="11"/>
    </row>
    <row r="5" spans="1:11">
      <c r="A5" s="12" t="s">
        <v>392</v>
      </c>
      <c r="B5" s="17">
        <v>750</v>
      </c>
      <c r="C5" s="17">
        <v>750</v>
      </c>
      <c r="D5" s="17">
        <v>750</v>
      </c>
      <c r="E5" s="17">
        <v>1500</v>
      </c>
      <c r="F5" s="17">
        <v>1500</v>
      </c>
      <c r="G5" s="11"/>
      <c r="H5" s="11"/>
      <c r="I5" s="37"/>
      <c r="J5" s="11"/>
      <c r="K5" s="11"/>
    </row>
    <row r="6" spans="1:11">
      <c r="A6" s="12" t="s">
        <v>393</v>
      </c>
      <c r="B6" s="17">
        <v>800</v>
      </c>
      <c r="C6" s="17">
        <v>800</v>
      </c>
      <c r="D6" s="17">
        <v>800</v>
      </c>
      <c r="E6" s="17">
        <v>2000</v>
      </c>
      <c r="F6" s="17">
        <v>1000</v>
      </c>
      <c r="G6" s="11"/>
      <c r="H6" s="11"/>
      <c r="I6" s="37"/>
      <c r="J6" s="11"/>
      <c r="K6" s="11"/>
    </row>
    <row r="7" spans="1:11">
      <c r="A7" s="41" t="s">
        <v>394</v>
      </c>
      <c r="B7" s="17">
        <v>750</v>
      </c>
      <c r="C7" s="17">
        <v>750</v>
      </c>
      <c r="D7" s="17">
        <v>750</v>
      </c>
      <c r="E7" s="17">
        <v>0</v>
      </c>
      <c r="F7" s="17">
        <f t="shared" ref="F7" si="0">20*$H$1/6</f>
        <v>522.91666666666663</v>
      </c>
      <c r="G7" s="11"/>
      <c r="H7" s="11"/>
      <c r="I7" s="37"/>
      <c r="J7" s="11"/>
      <c r="K7" s="11"/>
    </row>
    <row r="8" spans="1:11" s="37" customFormat="1" hidden="1">
      <c r="A8" s="41" t="s">
        <v>147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11"/>
      <c r="H8" s="38"/>
    </row>
    <row r="9" spans="1:11">
      <c r="A9" s="4" t="s">
        <v>2</v>
      </c>
      <c r="B9" s="17">
        <f>SUM(B3:B8)</f>
        <v>26000</v>
      </c>
      <c r="C9" s="17">
        <f>SUM(C3:C8)</f>
        <v>28000</v>
      </c>
      <c r="D9" s="17">
        <f>SUM(D3:D8)</f>
        <v>31000</v>
      </c>
      <c r="E9" s="17">
        <f>SUM(E3:E8)</f>
        <v>35500</v>
      </c>
      <c r="F9" s="17">
        <f>SUM(F3:F8)</f>
        <v>38022.916666666664</v>
      </c>
      <c r="G9" s="11"/>
      <c r="H9" s="11"/>
      <c r="I9" s="11"/>
      <c r="J9" s="11"/>
      <c r="K9" s="11"/>
    </row>
    <row r="10" spans="1:11">
      <c r="A10" s="4" t="s">
        <v>3</v>
      </c>
      <c r="B10" s="17">
        <f>(B9*0.74)+(30840/12)</f>
        <v>21810</v>
      </c>
      <c r="C10" s="17">
        <f>(C9*0.74)+(30840/12)</f>
        <v>23290</v>
      </c>
      <c r="D10" s="17">
        <f>(D9*0.74)+(30840/12)</f>
        <v>25510</v>
      </c>
      <c r="E10" s="17">
        <f>(E9*0.74)+(30840/12)</f>
        <v>28840</v>
      </c>
      <c r="F10" s="17">
        <f>(F9*0.74)+(30840/12)</f>
        <v>30706.958333333332</v>
      </c>
      <c r="G10" s="11"/>
      <c r="H10" s="11"/>
      <c r="I10" s="11"/>
      <c r="J10" s="11"/>
      <c r="K10" s="11"/>
    </row>
    <row r="11" spans="1:11">
      <c r="A11" s="4" t="s">
        <v>4</v>
      </c>
      <c r="B11" s="18">
        <f>SUM(B10:B10)/$H$1</f>
        <v>139.02788844621514</v>
      </c>
      <c r="C11" s="18">
        <f>SUM(C10:C10)/$H$1</f>
        <v>148.46215139442231</v>
      </c>
      <c r="D11" s="18">
        <f>SUM(D10:D10)/$H$1</f>
        <v>162.61354581673308</v>
      </c>
      <c r="E11" s="18">
        <f>SUM(E10:E10)/$H$1</f>
        <v>183.84063745019921</v>
      </c>
      <c r="F11" s="18">
        <f>SUM(F10:F10)/$H$1</f>
        <v>195.74156706507304</v>
      </c>
      <c r="G11" s="11"/>
      <c r="H11" s="11"/>
      <c r="I11" s="11"/>
      <c r="J11" s="11"/>
      <c r="K11" s="11"/>
    </row>
    <row r="12" spans="1:11">
      <c r="A12" s="4" t="s">
        <v>5</v>
      </c>
      <c r="B12" s="19">
        <f>B11</f>
        <v>139.02788844621514</v>
      </c>
      <c r="C12" s="19">
        <f>C11</f>
        <v>148.46215139442231</v>
      </c>
      <c r="D12" s="19">
        <f>D11</f>
        <v>162.61354581673308</v>
      </c>
      <c r="E12" s="19">
        <f>E11</f>
        <v>183.84063745019921</v>
      </c>
      <c r="F12" s="19">
        <f>F11</f>
        <v>195.74156706507304</v>
      </c>
      <c r="G12" s="11"/>
      <c r="H12" s="11"/>
      <c r="I12" s="11"/>
      <c r="J12" s="11"/>
      <c r="K12" s="11"/>
    </row>
    <row r="13" spans="1:11" ht="15" thickBot="1">
      <c r="A13" s="6"/>
      <c r="B13" s="20">
        <f>B12*$H$1</f>
        <v>21810</v>
      </c>
      <c r="C13" s="20">
        <f>C12*$H$1</f>
        <v>23290</v>
      </c>
      <c r="D13" s="20">
        <f>D12*$H$1</f>
        <v>25510.000000000004</v>
      </c>
      <c r="E13" s="20">
        <f>E12*$H$1</f>
        <v>28840</v>
      </c>
      <c r="F13" s="20">
        <f>F12*$H$1</f>
        <v>30706.958333333332</v>
      </c>
      <c r="G13" s="11"/>
      <c r="H13" s="11"/>
      <c r="I13" s="11"/>
      <c r="J13" s="11"/>
      <c r="K13" s="11"/>
    </row>
    <row r="14" spans="1:11" ht="15" thickBot="1">
      <c r="A14" s="8" t="s">
        <v>6</v>
      </c>
      <c r="B14" s="21">
        <f>(B13-2570)/0.74</f>
        <v>26000</v>
      </c>
      <c r="C14" s="21">
        <f>(C13-2570)/0.74</f>
        <v>28000</v>
      </c>
      <c r="D14" s="21">
        <f>(D13-2570)/0.74</f>
        <v>31000.000000000004</v>
      </c>
      <c r="E14" s="21">
        <f>(E13-2570)/0.74</f>
        <v>35500</v>
      </c>
      <c r="F14" s="21">
        <f>(F13-2570)/0.74</f>
        <v>38022.916666666664</v>
      </c>
      <c r="G14" s="11"/>
      <c r="H14" s="11"/>
      <c r="I14" s="11"/>
      <c r="J14" s="11"/>
      <c r="K14" s="11"/>
    </row>
    <row r="15" spans="1:11" ht="15" thickBot="1">
      <c r="A15" s="9"/>
      <c r="B15" s="16"/>
      <c r="C15" s="16"/>
      <c r="D15" s="94"/>
      <c r="E15" s="94"/>
      <c r="F15" s="94"/>
      <c r="G15" s="11"/>
      <c r="H15" s="11"/>
      <c r="I15" s="11"/>
      <c r="J15" s="11"/>
      <c r="K15" s="11"/>
    </row>
    <row r="16" spans="1:11" ht="15" thickBot="1">
      <c r="A16" s="25" t="s">
        <v>7</v>
      </c>
      <c r="B16" s="26">
        <f>AVERAGE(B12,B28)</f>
        <v>148.34422310756972</v>
      </c>
      <c r="C16" s="26">
        <f>AVERAGE(C12,C28)</f>
        <v>153.76892430278883</v>
      </c>
      <c r="D16" s="26">
        <f t="shared" ref="D16:F16" si="1">AVERAGE(D12,D28)</f>
        <v>177.35458167330677</v>
      </c>
      <c r="E16" s="26">
        <f t="shared" si="1"/>
        <v>199.17131474103587</v>
      </c>
      <c r="F16" s="26">
        <f t="shared" si="1"/>
        <v>230.6827357237716</v>
      </c>
      <c r="G16" s="28" t="s">
        <v>396</v>
      </c>
      <c r="H16" s="11"/>
      <c r="I16" s="11"/>
      <c r="J16" s="11"/>
      <c r="K16" s="11"/>
    </row>
    <row r="18" spans="1:11" ht="138">
      <c r="A18" s="13" t="s">
        <v>16</v>
      </c>
      <c r="B18" s="10" t="s">
        <v>387</v>
      </c>
      <c r="C18" s="10" t="s">
        <v>387</v>
      </c>
      <c r="D18" s="10" t="s">
        <v>388</v>
      </c>
      <c r="E18" s="10" t="s">
        <v>389</v>
      </c>
      <c r="F18" s="10" t="s">
        <v>390</v>
      </c>
      <c r="G18" s="11"/>
      <c r="H18" s="11"/>
      <c r="I18" s="11"/>
      <c r="J18" s="11"/>
      <c r="K18" s="11"/>
    </row>
    <row r="19" spans="1:11">
      <c r="A19" s="4" t="s">
        <v>1</v>
      </c>
      <c r="B19" s="17">
        <v>25000</v>
      </c>
      <c r="C19" s="17">
        <v>25000</v>
      </c>
      <c r="D19" s="17">
        <v>32000</v>
      </c>
      <c r="E19" s="17">
        <v>40000</v>
      </c>
      <c r="F19" s="17">
        <v>45000</v>
      </c>
      <c r="G19" s="11"/>
      <c r="H19" s="11"/>
      <c r="I19" s="11"/>
      <c r="J19" s="11"/>
      <c r="K19" s="11"/>
    </row>
    <row r="20" spans="1:11">
      <c r="A20" s="4" t="s">
        <v>391</v>
      </c>
      <c r="B20" s="17">
        <v>1500</v>
      </c>
      <c r="C20" s="17">
        <v>1500</v>
      </c>
      <c r="D20" s="17">
        <v>1500</v>
      </c>
      <c r="E20" s="17">
        <v>0</v>
      </c>
      <c r="F20" s="17">
        <v>700</v>
      </c>
      <c r="G20" s="11"/>
      <c r="H20" s="11"/>
      <c r="I20" s="11"/>
      <c r="J20" s="11"/>
      <c r="K20" s="11"/>
    </row>
    <row r="21" spans="1:11">
      <c r="A21" s="12" t="s">
        <v>392</v>
      </c>
      <c r="B21" s="17">
        <v>1200</v>
      </c>
      <c r="C21" s="17">
        <v>1500</v>
      </c>
      <c r="D21" s="17">
        <v>1500</v>
      </c>
      <c r="E21" s="17">
        <v>2000</v>
      </c>
      <c r="F21" s="17">
        <v>2500</v>
      </c>
      <c r="G21" s="11"/>
      <c r="H21" s="11"/>
      <c r="I21" s="11"/>
      <c r="J21" s="11"/>
      <c r="K21" s="11"/>
    </row>
    <row r="22" spans="1:11">
      <c r="A22" s="12" t="s">
        <v>393</v>
      </c>
      <c r="B22" s="17">
        <v>1500</v>
      </c>
      <c r="C22" s="17">
        <v>1500</v>
      </c>
      <c r="D22" s="17">
        <v>1500</v>
      </c>
      <c r="E22" s="17">
        <v>0</v>
      </c>
      <c r="F22" s="17">
        <v>1500</v>
      </c>
      <c r="G22" s="11"/>
      <c r="H22" s="11"/>
      <c r="I22" s="11"/>
      <c r="J22" s="11"/>
      <c r="K22" s="11"/>
    </row>
    <row r="23" spans="1:11">
      <c r="A23" s="41" t="s">
        <v>394</v>
      </c>
      <c r="B23" s="17">
        <v>750</v>
      </c>
      <c r="C23" s="17">
        <v>750</v>
      </c>
      <c r="D23" s="17">
        <v>750</v>
      </c>
      <c r="E23" s="17">
        <v>0</v>
      </c>
      <c r="F23" s="17">
        <f t="shared" ref="F23" si="2">20*$H$1</f>
        <v>3137.5</v>
      </c>
      <c r="G23" s="11"/>
      <c r="H23" s="11"/>
      <c r="I23" s="11"/>
      <c r="J23" s="11"/>
      <c r="K23" s="11"/>
    </row>
    <row r="24" spans="1:11" hidden="1">
      <c r="A24" s="41" t="s">
        <v>147</v>
      </c>
      <c r="B24" s="40">
        <v>0</v>
      </c>
      <c r="C24" s="40">
        <v>0</v>
      </c>
      <c r="D24" s="40">
        <v>0</v>
      </c>
      <c r="E24" s="40">
        <v>0</v>
      </c>
      <c r="F24" s="40">
        <v>0</v>
      </c>
      <c r="G24" s="11"/>
      <c r="H24" s="11"/>
      <c r="I24" s="11"/>
      <c r="J24" s="11"/>
      <c r="K24" s="11"/>
    </row>
    <row r="25" spans="1:11">
      <c r="A25" s="4" t="s">
        <v>2</v>
      </c>
      <c r="B25" s="17">
        <f>SUM(B19:B24)</f>
        <v>29950</v>
      </c>
      <c r="C25" s="17">
        <f>SUM(C19:C24)</f>
        <v>30250</v>
      </c>
      <c r="D25" s="17">
        <f>SUM(D19:D24)</f>
        <v>37250</v>
      </c>
      <c r="E25" s="17">
        <f>SUM(E19:E24)</f>
        <v>42000</v>
      </c>
      <c r="F25" s="17">
        <f>SUM(F19:F24)</f>
        <v>52837.5</v>
      </c>
      <c r="G25" s="11"/>
      <c r="H25" s="11"/>
      <c r="I25" s="11"/>
      <c r="J25" s="11"/>
      <c r="K25" s="11"/>
    </row>
    <row r="26" spans="1:11">
      <c r="A26" s="4" t="s">
        <v>3</v>
      </c>
      <c r="B26" s="17">
        <f t="shared" ref="B26:D26" si="3">(B25*0.74)+(30840/12)</f>
        <v>24733</v>
      </c>
      <c r="C26" s="17">
        <f t="shared" ref="C26" si="4">(C25*0.74)+(30840/12)</f>
        <v>24955</v>
      </c>
      <c r="D26" s="17">
        <f t="shared" si="3"/>
        <v>30135</v>
      </c>
      <c r="E26" s="17">
        <f>(E25*0.74)+(30840/12)</f>
        <v>33650</v>
      </c>
      <c r="F26" s="17">
        <f>(F25*0.74)+(30840/12)</f>
        <v>41669.75</v>
      </c>
      <c r="G26" s="11"/>
      <c r="H26" s="11"/>
      <c r="I26" s="11"/>
      <c r="J26" s="11"/>
      <c r="K26" s="11"/>
    </row>
    <row r="27" spans="1:11">
      <c r="A27" s="4" t="s">
        <v>4</v>
      </c>
      <c r="B27" s="18">
        <f>SUM(B26:B26)/$H$1</f>
        <v>157.66055776892429</v>
      </c>
      <c r="C27" s="18">
        <f>SUM(C26:C26)/$H$1</f>
        <v>159.07569721115539</v>
      </c>
      <c r="D27" s="18">
        <f>SUM(D26:D26)/$H$1</f>
        <v>192.09561752988049</v>
      </c>
      <c r="E27" s="18">
        <f>SUM(E26:E26)/$H$1</f>
        <v>214.5019920318725</v>
      </c>
      <c r="F27" s="18">
        <f>SUM(F26:F26)/$H$1</f>
        <v>265.62390438247013</v>
      </c>
      <c r="G27" s="11"/>
      <c r="H27" s="11"/>
      <c r="I27" s="11"/>
      <c r="J27" s="11"/>
      <c r="K27" s="11"/>
    </row>
    <row r="28" spans="1:11">
      <c r="A28" s="4" t="s">
        <v>5</v>
      </c>
      <c r="B28" s="19">
        <f>B27</f>
        <v>157.66055776892429</v>
      </c>
      <c r="C28" s="19">
        <f>C27</f>
        <v>159.07569721115539</v>
      </c>
      <c r="D28" s="19">
        <f>D27</f>
        <v>192.09561752988049</v>
      </c>
      <c r="E28" s="19">
        <f>E27</f>
        <v>214.5019920318725</v>
      </c>
      <c r="F28" s="19">
        <f>F27</f>
        <v>265.62390438247013</v>
      </c>
      <c r="G28" s="11"/>
      <c r="H28" s="11"/>
      <c r="I28" s="11"/>
      <c r="J28" s="11"/>
      <c r="K28" s="11"/>
    </row>
    <row r="29" spans="1:11" ht="15" thickBot="1">
      <c r="A29" s="6"/>
      <c r="B29" s="20">
        <f>B28*$H$1</f>
        <v>24733</v>
      </c>
      <c r="C29" s="20">
        <f>C28*$H$1</f>
        <v>24955</v>
      </c>
      <c r="D29" s="20">
        <f>D28*$H$1</f>
        <v>30135</v>
      </c>
      <c r="E29" s="20">
        <f>E28*$H$1</f>
        <v>33650</v>
      </c>
      <c r="F29" s="20">
        <f>F28*$H$1</f>
        <v>41669.75</v>
      </c>
      <c r="G29" s="11"/>
      <c r="H29" s="11"/>
      <c r="I29" s="11"/>
      <c r="J29" s="11"/>
      <c r="K29" s="11"/>
    </row>
    <row r="30" spans="1:11" ht="15" thickBot="1">
      <c r="A30" s="8" t="s">
        <v>9</v>
      </c>
      <c r="B30" s="21">
        <f t="shared" ref="B30:D30" si="5">(B29-2570)/0.74</f>
        <v>29950</v>
      </c>
      <c r="C30" s="21">
        <f t="shared" ref="C30" si="6">(C29-2570)/0.74</f>
        <v>30250</v>
      </c>
      <c r="D30" s="21">
        <f t="shared" si="5"/>
        <v>37250</v>
      </c>
      <c r="E30" s="21">
        <f>(E29-2570)/0.74</f>
        <v>42000</v>
      </c>
      <c r="F30" s="21">
        <f>(F29-2570)/0.74</f>
        <v>52837.5</v>
      </c>
      <c r="G30" s="11"/>
      <c r="H30" s="11"/>
      <c r="I30" s="11"/>
      <c r="J30" s="11"/>
      <c r="K30" s="11"/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B19C-6C53-4E93-BD41-E2AE20717E04}">
  <sheetPr codeName="List34"/>
  <dimension ref="A1"/>
  <sheetViews>
    <sheetView workbookViewId="0"/>
  </sheetViews>
  <sheetFormatPr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34</vt:i4>
      </vt:variant>
    </vt:vector>
  </HeadingPairs>
  <TitlesOfParts>
    <vt:vector size="34" baseType="lpstr">
      <vt:lpstr>ABL</vt:lpstr>
      <vt:lpstr>Composite Components</vt:lpstr>
      <vt:lpstr>ČKD</vt:lpstr>
      <vt:lpstr>Elbas</vt:lpstr>
      <vt:lpstr>Fau Pce</vt:lpstr>
      <vt:lpstr>Fau Bezděčín</vt:lpstr>
      <vt:lpstr>Fau Bakov</vt:lpstr>
      <vt:lpstr>GCE</vt:lpstr>
      <vt:lpstr>Ch Kovo</vt:lpstr>
      <vt:lpstr>Inventec</vt:lpstr>
      <vt:lpstr>Iveco</vt:lpstr>
      <vt:lpstr>Jtekt</vt:lpstr>
      <vt:lpstr>Kiekert</vt:lpstr>
      <vt:lpstr>Kingspan</vt:lpstr>
      <vt:lpstr>Kogel</vt:lpstr>
      <vt:lpstr>Kyb</vt:lpstr>
      <vt:lpstr>Letiště Praha</vt:lpstr>
      <vt:lpstr>Marelli</vt:lpstr>
      <vt:lpstr>Motorpal</vt:lpstr>
      <vt:lpstr>Novanta</vt:lpstr>
      <vt:lpstr>Nedcon</vt:lpstr>
      <vt:lpstr>Omnika</vt:lpstr>
      <vt:lpstr>Panasonic</vt:lpstr>
      <vt:lpstr>Technistone</vt:lpstr>
      <vt:lpstr>SOR</vt:lpstr>
      <vt:lpstr>JUSDA</vt:lpstr>
      <vt:lpstr>AUTOKABELY)</vt:lpstr>
      <vt:lpstr>TE CONNECTIVITY</vt:lpstr>
      <vt:lpstr>BV Elektronic</vt:lpstr>
      <vt:lpstr>Mlékarna Hlinsko</vt:lpstr>
      <vt:lpstr>Synthesia</vt:lpstr>
      <vt:lpstr>Adient</vt:lpstr>
      <vt:lpstr>Candy Plus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Dobaka</dc:creator>
  <cp:lastModifiedBy>Nicol Motyčáková</cp:lastModifiedBy>
  <dcterms:created xsi:type="dcterms:W3CDTF">2023-08-02T12:30:15Z</dcterms:created>
  <dcterms:modified xsi:type="dcterms:W3CDTF">2026-01-11T12:43:04Z</dcterms:modified>
</cp:coreProperties>
</file>