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ett\Documents\Studium\medea\data\"/>
    </mc:Choice>
  </mc:AlternateContent>
  <xr:revisionPtr revIDLastSave="0" documentId="13_ncr:1_{B12C6FC7-5470-46F8-B888-648C7D4F1E97}" xr6:coauthVersionLast="47" xr6:coauthVersionMax="47" xr10:uidLastSave="{00000000-0000-0000-0000-000000000000}"/>
  <bookViews>
    <workbookView xWindow="-110" yWindow="-110" windowWidth="19420" windowHeight="10420" tabRatio="860" activeTab="2" xr2:uid="{621F8D32-52B7-4CE4-9D99-ED32CD70233E}"/>
  </bookViews>
  <sheets>
    <sheet name="Sources" sheetId="16" r:id="rId1"/>
    <sheet name="legend" sheetId="5" r:id="rId2"/>
    <sheet name="Capacities" sheetId="22" r:id="rId3"/>
    <sheet name="Technologies (3)" sheetId="28" r:id="rId4"/>
    <sheet name="Technologies" sheetId="21" r:id="rId5"/>
    <sheet name="Technologies (2)" sheetId="27" r:id="rId6"/>
    <sheet name="tech_full" sheetId="17" r:id="rId7"/>
    <sheet name="FEASIBLE_INPUT-OUTPUT" sheetId="18" r:id="rId8"/>
    <sheet name="AIR_POLLUTION" sheetId="20" r:id="rId9"/>
    <sheet name="ATC" sheetId="3" r:id="rId10"/>
    <sheet name="ATC_el" sheetId="25" r:id="rId11"/>
    <sheet name="KM" sheetId="4" r:id="rId12"/>
    <sheet name="COST_TRANSPORT" sheetId="11" r:id="rId13"/>
    <sheet name="VALUE_NSE" sheetId="26" r:id="rId14"/>
    <sheet name="ESTIMATES" sheetId="23" r:id="rId15"/>
    <sheet name="CO2_INTENSITY" sheetId="24" r:id="rId16"/>
    <sheet name="WACC" sheetId="7" r:id="rId17"/>
    <sheet name="INITIAL_CAP_R" sheetId="2" r:id="rId18"/>
    <sheet name="CAPITALCOST_R" sheetId="8" r:id="rId19"/>
    <sheet name="CAPITALCOST_S" sheetId="10" r:id="rId20"/>
    <sheet name="parameters_G" sheetId="9" r:id="rId21"/>
    <sheet name="FEASIBLE_INPUT-OUTPUT_BAK" sheetId="6" r:id="rId22"/>
    <sheet name="potentials" sheetId="19" r:id="rId23"/>
  </sheets>
  <definedNames>
    <definedName name="_xlnm._FilterDatabase" localSheetId="10" hidden="1">ATC_el!$A$1:$D$1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1" i="22" l="1"/>
  <c r="K16" i="21"/>
  <c r="K17" i="21"/>
  <c r="K18" i="21"/>
  <c r="K19" i="21"/>
  <c r="K20" i="21"/>
  <c r="K15" i="21"/>
  <c r="J16" i="21"/>
  <c r="J17" i="21"/>
  <c r="J18" i="21"/>
  <c r="J19" i="21"/>
  <c r="J20" i="21"/>
  <c r="J15" i="21"/>
  <c r="J4" i="21"/>
  <c r="F4" i="21"/>
  <c r="K25" i="21"/>
  <c r="K26" i="21"/>
  <c r="K27" i="21"/>
  <c r="K28" i="21"/>
  <c r="K24" i="21"/>
  <c r="J25" i="21"/>
  <c r="J26" i="21"/>
  <c r="J27" i="21"/>
  <c r="J28" i="21"/>
  <c r="J24" i="21"/>
  <c r="G28" i="21"/>
  <c r="G24" i="21" l="1"/>
  <c r="F25" i="21" l="1"/>
  <c r="F26" i="21"/>
  <c r="F27" i="21"/>
  <c r="F28" i="21"/>
  <c r="F24" i="21"/>
  <c r="K9" i="21"/>
  <c r="K10" i="21"/>
  <c r="K11" i="21"/>
  <c r="K12" i="21"/>
  <c r="K13" i="21"/>
  <c r="K14" i="21"/>
  <c r="K21" i="21"/>
  <c r="K8" i="21"/>
  <c r="J21" i="21"/>
  <c r="J14" i="21"/>
  <c r="J12" i="21"/>
  <c r="J11" i="21"/>
  <c r="J10" i="21"/>
  <c r="J9" i="21"/>
  <c r="J13" i="21"/>
  <c r="J8" i="21"/>
  <c r="G15" i="21"/>
  <c r="I15" i="21" s="1"/>
  <c r="G16" i="21"/>
  <c r="I16" i="21" s="1"/>
  <c r="G17" i="21"/>
  <c r="I17" i="21" s="1"/>
  <c r="G18" i="21"/>
  <c r="G19" i="21"/>
  <c r="G20" i="21"/>
  <c r="I18" i="21"/>
  <c r="I20" i="21"/>
  <c r="G14" i="21"/>
  <c r="F11" i="21"/>
  <c r="F10" i="21"/>
  <c r="F9" i="21"/>
  <c r="F13" i="21"/>
  <c r="F15" i="21"/>
  <c r="F16" i="21"/>
  <c r="F17" i="21"/>
  <c r="F18" i="21"/>
  <c r="F19" i="21"/>
  <c r="F20" i="21"/>
  <c r="F21" i="21"/>
  <c r="F14" i="21"/>
  <c r="F12" i="21"/>
  <c r="F8" i="21"/>
  <c r="H7" i="21"/>
  <c r="K6" i="21"/>
  <c r="J6" i="21"/>
  <c r="F6" i="21"/>
  <c r="H6" i="21" s="1"/>
  <c r="J5" i="21"/>
  <c r="F5" i="21"/>
  <c r="H5" i="21" s="1"/>
  <c r="H4" i="21"/>
  <c r="K6" i="28"/>
  <c r="J6" i="28"/>
  <c r="F6" i="28"/>
  <c r="J5" i="28"/>
  <c r="F5" i="28"/>
  <c r="I19" i="21"/>
  <c r="J30" i="28"/>
  <c r="I30" i="28"/>
  <c r="H30" i="28"/>
  <c r="J29" i="28"/>
  <c r="F28" i="28"/>
  <c r="F29" i="28" s="1"/>
  <c r="H29" i="28" s="1"/>
  <c r="S27" i="28"/>
  <c r="H27" i="28"/>
  <c r="S26" i="28"/>
  <c r="H26" i="28"/>
  <c r="S25" i="28"/>
  <c r="I25" i="28"/>
  <c r="H25" i="28"/>
  <c r="S24" i="28"/>
  <c r="J24" i="28"/>
  <c r="H24" i="28"/>
  <c r="S23" i="28"/>
  <c r="J23" i="28"/>
  <c r="H23" i="28"/>
  <c r="S22" i="28"/>
  <c r="F22" i="28"/>
  <c r="H22" i="28" s="1"/>
  <c r="S21" i="28"/>
  <c r="I21" i="28"/>
  <c r="H21" i="28"/>
  <c r="S20" i="28"/>
  <c r="H20" i="28"/>
  <c r="S19" i="28"/>
  <c r="H19" i="28"/>
  <c r="S18" i="28"/>
  <c r="H18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H17" i="28"/>
  <c r="A17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H16" i="28"/>
  <c r="A16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H15" i="28"/>
  <c r="A15" i="28"/>
  <c r="S14" i="28"/>
  <c r="M14" i="28"/>
  <c r="I14" i="28"/>
  <c r="H14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H13" i="28"/>
  <c r="AC12" i="28"/>
  <c r="AB12" i="28"/>
  <c r="AA12" i="28"/>
  <c r="Z12" i="28"/>
  <c r="Y12" i="28"/>
  <c r="X12" i="28"/>
  <c r="W12" i="28"/>
  <c r="V12" i="28"/>
  <c r="U12" i="28"/>
  <c r="T12" i="28"/>
  <c r="S12" i="28"/>
  <c r="K12" i="28"/>
  <c r="H12" i="28"/>
  <c r="AC11" i="28"/>
  <c r="AB11" i="28"/>
  <c r="AA11" i="28"/>
  <c r="Z11" i="28"/>
  <c r="Y11" i="28"/>
  <c r="X11" i="28"/>
  <c r="W11" i="28"/>
  <c r="V11" i="28"/>
  <c r="U11" i="28"/>
  <c r="T11" i="28"/>
  <c r="S11" i="28"/>
  <c r="H11" i="28"/>
  <c r="S10" i="28"/>
  <c r="H10" i="28"/>
  <c r="T9" i="28"/>
  <c r="S9" i="28"/>
  <c r="H9" i="28"/>
  <c r="A9" i="28"/>
  <c r="T8" i="28"/>
  <c r="S8" i="28"/>
  <c r="H8" i="28"/>
  <c r="A8" i="28"/>
  <c r="S7" i="28"/>
  <c r="H7" i="28"/>
  <c r="S6" i="28"/>
  <c r="H6" i="28"/>
  <c r="S5" i="28"/>
  <c r="H5" i="28"/>
  <c r="S4" i="28"/>
  <c r="H4" i="28"/>
  <c r="H14" i="21"/>
  <c r="M14" i="21"/>
  <c r="H28" i="28" l="1"/>
  <c r="H24" i="21"/>
  <c r="I28" i="21"/>
  <c r="I24" i="21"/>
  <c r="I14" i="21"/>
  <c r="J22" i="21" l="1"/>
  <c r="J23" i="21"/>
  <c r="H27" i="21" l="1"/>
  <c r="H28" i="21"/>
  <c r="D12" i="18"/>
  <c r="D11" i="18"/>
  <c r="D10" i="18"/>
  <c r="S39" i="17"/>
  <c r="L39" i="17"/>
  <c r="H39" i="17" s="1"/>
  <c r="N39" i="17" s="1"/>
  <c r="I39" i="17"/>
  <c r="M39" i="17" s="1"/>
  <c r="H26" i="21"/>
  <c r="N56" i="22"/>
  <c r="N29" i="22"/>
  <c r="K39" i="17" l="1"/>
  <c r="N55" i="22"/>
  <c r="S25" i="21"/>
  <c r="S24" i="21" l="1"/>
  <c r="S23" i="21" l="1"/>
  <c r="S22" i="21"/>
  <c r="H22" i="21" l="1"/>
  <c r="H23" i="21"/>
  <c r="H25" i="21"/>
  <c r="S57" i="27" l="1"/>
  <c r="I57" i="27"/>
  <c r="H57" i="27"/>
  <c r="S56" i="27"/>
  <c r="I56" i="27"/>
  <c r="H56" i="27"/>
  <c r="S55" i="27"/>
  <c r="I55" i="27"/>
  <c r="H55" i="27"/>
  <c r="S54" i="27"/>
  <c r="H54" i="27"/>
  <c r="S53" i="27"/>
  <c r="F53" i="27"/>
  <c r="H53" i="27" s="1"/>
  <c r="S52" i="27"/>
  <c r="M52" i="27"/>
  <c r="I52" i="27"/>
  <c r="H52" i="27"/>
  <c r="S51" i="27"/>
  <c r="H51" i="27"/>
  <c r="S50" i="27"/>
  <c r="H50" i="27"/>
  <c r="S49" i="27"/>
  <c r="H49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H48" i="27"/>
  <c r="A48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H47" i="27"/>
  <c r="A47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H46" i="27"/>
  <c r="A46" i="27"/>
  <c r="S45" i="27"/>
  <c r="I45" i="27"/>
  <c r="H45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H44" i="27"/>
  <c r="A44" i="27"/>
  <c r="AC43" i="27"/>
  <c r="AB43" i="27"/>
  <c r="AA43" i="27"/>
  <c r="Z43" i="27"/>
  <c r="Y43" i="27"/>
  <c r="X43" i="27"/>
  <c r="W43" i="27"/>
  <c r="V43" i="27"/>
  <c r="U43" i="27"/>
  <c r="T43" i="27"/>
  <c r="S43" i="27"/>
  <c r="H43" i="27"/>
  <c r="A43" i="27"/>
  <c r="AC42" i="27"/>
  <c r="AB42" i="27"/>
  <c r="AA42" i="27"/>
  <c r="Z42" i="27"/>
  <c r="Y42" i="27"/>
  <c r="X42" i="27"/>
  <c r="W42" i="27"/>
  <c r="V42" i="27"/>
  <c r="U42" i="27"/>
  <c r="T42" i="27"/>
  <c r="S42" i="27"/>
  <c r="H42" i="27"/>
  <c r="A42" i="27"/>
  <c r="AC41" i="27"/>
  <c r="AB41" i="27"/>
  <c r="AA41" i="27"/>
  <c r="Z41" i="27"/>
  <c r="Y41" i="27"/>
  <c r="X41" i="27"/>
  <c r="W41" i="27"/>
  <c r="V41" i="27"/>
  <c r="U41" i="27"/>
  <c r="T41" i="27"/>
  <c r="S41" i="27"/>
  <c r="H41" i="27"/>
  <c r="A41" i="27"/>
  <c r="AC40" i="27"/>
  <c r="AB40" i="27"/>
  <c r="AA40" i="27"/>
  <c r="Z40" i="27"/>
  <c r="Y40" i="27"/>
  <c r="X40" i="27"/>
  <c r="W40" i="27"/>
  <c r="V40" i="27"/>
  <c r="U40" i="27"/>
  <c r="T40" i="27"/>
  <c r="S40" i="27"/>
  <c r="H40" i="27"/>
  <c r="A40" i="27"/>
  <c r="S39" i="27"/>
  <c r="F39" i="27"/>
  <c r="AC38" i="27"/>
  <c r="AB38" i="27"/>
  <c r="AA38" i="27"/>
  <c r="Z38" i="27"/>
  <c r="Y38" i="27"/>
  <c r="X38" i="27"/>
  <c r="W38" i="27"/>
  <c r="V38" i="27"/>
  <c r="U38" i="27"/>
  <c r="T38" i="27"/>
  <c r="S38" i="27"/>
  <c r="H38" i="27"/>
  <c r="A38" i="27"/>
  <c r="AC37" i="27"/>
  <c r="AB37" i="27"/>
  <c r="AA37" i="27"/>
  <c r="Z37" i="27"/>
  <c r="Y37" i="27"/>
  <c r="X37" i="27"/>
  <c r="W37" i="27"/>
  <c r="V37" i="27"/>
  <c r="U37" i="27"/>
  <c r="T37" i="27"/>
  <c r="S37" i="27"/>
  <c r="H37" i="27"/>
  <c r="A37" i="27"/>
  <c r="AC36" i="27"/>
  <c r="AB36" i="27"/>
  <c r="AA36" i="27"/>
  <c r="Z36" i="27"/>
  <c r="Y36" i="27"/>
  <c r="X36" i="27"/>
  <c r="W36" i="27"/>
  <c r="V36" i="27"/>
  <c r="U36" i="27"/>
  <c r="T36" i="27"/>
  <c r="S36" i="27"/>
  <c r="H36" i="27"/>
  <c r="A36" i="27"/>
  <c r="AC35" i="27"/>
  <c r="AB35" i="27"/>
  <c r="AA35" i="27"/>
  <c r="Z35" i="27"/>
  <c r="Y35" i="27"/>
  <c r="X35" i="27"/>
  <c r="W35" i="27"/>
  <c r="V35" i="27"/>
  <c r="U35" i="27"/>
  <c r="T35" i="27"/>
  <c r="S35" i="27"/>
  <c r="H35" i="27"/>
  <c r="A35" i="27"/>
  <c r="AC34" i="27"/>
  <c r="AB34" i="27"/>
  <c r="AA34" i="27"/>
  <c r="Z34" i="27"/>
  <c r="Y34" i="27"/>
  <c r="X34" i="27"/>
  <c r="W34" i="27"/>
  <c r="V34" i="27"/>
  <c r="U34" i="27"/>
  <c r="T34" i="27"/>
  <c r="S34" i="27"/>
  <c r="H34" i="27"/>
  <c r="A34" i="27"/>
  <c r="AC33" i="27"/>
  <c r="AB33" i="27"/>
  <c r="AA33" i="27"/>
  <c r="Z33" i="27"/>
  <c r="Y33" i="27"/>
  <c r="X33" i="27"/>
  <c r="W33" i="27"/>
  <c r="V33" i="27"/>
  <c r="U33" i="27"/>
  <c r="T33" i="27"/>
  <c r="S33" i="27"/>
  <c r="H33" i="27"/>
  <c r="A33" i="27"/>
  <c r="AC32" i="27"/>
  <c r="AB32" i="27"/>
  <c r="AA32" i="27"/>
  <c r="Z32" i="27"/>
  <c r="Y32" i="27"/>
  <c r="X32" i="27"/>
  <c r="W32" i="27"/>
  <c r="V32" i="27"/>
  <c r="U32" i="27"/>
  <c r="T32" i="27"/>
  <c r="S32" i="27"/>
  <c r="H32" i="27"/>
  <c r="A32" i="27"/>
  <c r="AC31" i="27"/>
  <c r="AB31" i="27"/>
  <c r="AA31" i="27"/>
  <c r="Z31" i="27"/>
  <c r="Y31" i="27"/>
  <c r="X31" i="27"/>
  <c r="W31" i="27"/>
  <c r="V31" i="27"/>
  <c r="U31" i="27"/>
  <c r="T31" i="27"/>
  <c r="S31" i="27"/>
  <c r="H31" i="27"/>
  <c r="A31" i="27"/>
  <c r="AC30" i="27"/>
  <c r="AB30" i="27"/>
  <c r="AA30" i="27"/>
  <c r="Z30" i="27"/>
  <c r="Y30" i="27"/>
  <c r="X30" i="27"/>
  <c r="W30" i="27"/>
  <c r="V30" i="27"/>
  <c r="U30" i="27"/>
  <c r="T30" i="27"/>
  <c r="S30" i="27"/>
  <c r="H30" i="27"/>
  <c r="A30" i="27"/>
  <c r="AC29" i="27"/>
  <c r="AB29" i="27"/>
  <c r="AA29" i="27"/>
  <c r="Z29" i="27"/>
  <c r="Y29" i="27"/>
  <c r="X29" i="27"/>
  <c r="W29" i="27"/>
  <c r="V29" i="27"/>
  <c r="U29" i="27"/>
  <c r="T29" i="27"/>
  <c r="S29" i="27"/>
  <c r="H29" i="27"/>
  <c r="A29" i="27"/>
  <c r="S28" i="27"/>
  <c r="F28" i="27"/>
  <c r="T27" i="27"/>
  <c r="S27" i="27"/>
  <c r="H27" i="27"/>
  <c r="A27" i="27"/>
  <c r="S26" i="27"/>
  <c r="F26" i="27"/>
  <c r="T25" i="27"/>
  <c r="S25" i="27"/>
  <c r="H25" i="27"/>
  <c r="A25" i="27"/>
  <c r="T24" i="27"/>
  <c r="S24" i="27"/>
  <c r="H24" i="27"/>
  <c r="A24" i="27"/>
  <c r="T23" i="27"/>
  <c r="S23" i="27"/>
  <c r="H23" i="27"/>
  <c r="A23" i="27"/>
  <c r="T22" i="27"/>
  <c r="S22" i="27"/>
  <c r="H22" i="27"/>
  <c r="A22" i="27"/>
  <c r="T21" i="27"/>
  <c r="S21" i="27"/>
  <c r="H21" i="27"/>
  <c r="A21" i="27"/>
  <c r="T20" i="27"/>
  <c r="S20" i="27"/>
  <c r="H20" i="27"/>
  <c r="A20" i="27"/>
  <c r="T19" i="27"/>
  <c r="S19" i="27"/>
  <c r="H19" i="27"/>
  <c r="A19" i="27"/>
  <c r="T18" i="27"/>
  <c r="S18" i="27"/>
  <c r="H18" i="27"/>
  <c r="A18" i="27"/>
  <c r="T17" i="27"/>
  <c r="S17" i="27"/>
  <c r="H17" i="27"/>
  <c r="A17" i="27"/>
  <c r="T16" i="27"/>
  <c r="S16" i="27"/>
  <c r="H16" i="27"/>
  <c r="A16" i="27"/>
  <c r="T15" i="27"/>
  <c r="S15" i="27"/>
  <c r="H15" i="27"/>
  <c r="A15" i="27"/>
  <c r="T14" i="27"/>
  <c r="S14" i="27"/>
  <c r="H14" i="27"/>
  <c r="A14" i="27"/>
  <c r="T13" i="27"/>
  <c r="S13" i="27"/>
  <c r="H13" i="27"/>
  <c r="A13" i="27"/>
  <c r="T12" i="27"/>
  <c r="S12" i="27"/>
  <c r="H12" i="27"/>
  <c r="A12" i="27"/>
  <c r="T11" i="27"/>
  <c r="S11" i="27"/>
  <c r="H11" i="27"/>
  <c r="A11" i="27"/>
  <c r="S10" i="27"/>
  <c r="H10" i="27"/>
  <c r="T9" i="27"/>
  <c r="S9" i="27"/>
  <c r="H9" i="27"/>
  <c r="A9" i="27"/>
  <c r="T8" i="27"/>
  <c r="S8" i="27"/>
  <c r="H8" i="27"/>
  <c r="A8" i="27"/>
  <c r="S7" i="27"/>
  <c r="H7" i="27"/>
  <c r="S6" i="27"/>
  <c r="H6" i="27"/>
  <c r="S5" i="27"/>
  <c r="H5" i="27"/>
  <c r="S4" i="27"/>
  <c r="H4" i="27"/>
  <c r="H66" i="22"/>
  <c r="U11" i="21"/>
  <c r="V11" i="21"/>
  <c r="W11" i="21"/>
  <c r="X11" i="21"/>
  <c r="Y11" i="21"/>
  <c r="Z11" i="21"/>
  <c r="AA11" i="21"/>
  <c r="AB11" i="21"/>
  <c r="AC11" i="21"/>
  <c r="U12" i="21"/>
  <c r="V12" i="21"/>
  <c r="W12" i="21"/>
  <c r="X12" i="21"/>
  <c r="Y12" i="21"/>
  <c r="Z12" i="21"/>
  <c r="AA12" i="21"/>
  <c r="AB12" i="21"/>
  <c r="AC12" i="21"/>
  <c r="U13" i="21"/>
  <c r="V13" i="21"/>
  <c r="W13" i="21"/>
  <c r="X13" i="21"/>
  <c r="Y13" i="21"/>
  <c r="Z13" i="21"/>
  <c r="AA13" i="21"/>
  <c r="AB13" i="21"/>
  <c r="AC13" i="21"/>
  <c r="AD13" i="21"/>
  <c r="U15" i="21"/>
  <c r="V15" i="21"/>
  <c r="W15" i="21"/>
  <c r="X15" i="21"/>
  <c r="Y15" i="21"/>
  <c r="Z15" i="21"/>
  <c r="AA15" i="21"/>
  <c r="AB15" i="21"/>
  <c r="AC15" i="21"/>
  <c r="AD15" i="21"/>
  <c r="U16" i="21"/>
  <c r="V16" i="21"/>
  <c r="W16" i="21"/>
  <c r="X16" i="21"/>
  <c r="Y16" i="21"/>
  <c r="Z16" i="21"/>
  <c r="AA16" i="21"/>
  <c r="AB16" i="21"/>
  <c r="AC16" i="21"/>
  <c r="AD16" i="21"/>
  <c r="U17" i="21"/>
  <c r="V17" i="21"/>
  <c r="W17" i="21"/>
  <c r="X17" i="21"/>
  <c r="Y17" i="21"/>
  <c r="Z17" i="21"/>
  <c r="AA17" i="21"/>
  <c r="AB17" i="21"/>
  <c r="AC17" i="21"/>
  <c r="AD17" i="21"/>
  <c r="T16" i="21"/>
  <c r="T17" i="21"/>
  <c r="T15" i="21"/>
  <c r="T11" i="21"/>
  <c r="T12" i="21"/>
  <c r="T13" i="21"/>
  <c r="T9" i="21"/>
  <c r="T8" i="21"/>
  <c r="A15" i="21"/>
  <c r="A16" i="21"/>
  <c r="A17" i="21"/>
  <c r="A8" i="21"/>
  <c r="A9" i="21"/>
  <c r="H5" i="17" l="1"/>
  <c r="H7" i="17"/>
  <c r="H16" i="17"/>
  <c r="H24" i="17"/>
  <c r="S10" i="21" l="1"/>
  <c r="H9" i="21"/>
  <c r="H10" i="21"/>
  <c r="S5" i="21" l="1"/>
  <c r="S6" i="21"/>
  <c r="S7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4" i="21"/>
  <c r="H21" i="21"/>
  <c r="H19" i="21" l="1"/>
  <c r="H20" i="21"/>
  <c r="H16" i="21"/>
  <c r="H17" i="21"/>
  <c r="H15" i="21" l="1"/>
  <c r="H18" i="21"/>
  <c r="H8" i="21"/>
  <c r="H11" i="21"/>
  <c r="H12" i="21"/>
  <c r="H13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D2" i="18"/>
  <c r="F2" i="18" s="1"/>
  <c r="L35" i="17"/>
  <c r="H35" i="17" s="1"/>
  <c r="V34" i="17"/>
  <c r="U34" i="17"/>
  <c r="T34" i="17"/>
  <c r="S34" i="17"/>
  <c r="L30" i="17"/>
  <c r="H30" i="17" s="1"/>
  <c r="I30" i="17"/>
  <c r="L27" i="17"/>
  <c r="H27" i="17" s="1"/>
  <c r="I27" i="17"/>
  <c r="L24" i="17"/>
  <c r="I24" i="17"/>
  <c r="V23" i="17"/>
  <c r="U23" i="17"/>
  <c r="T23" i="17"/>
  <c r="S23" i="17"/>
  <c r="L22" i="17"/>
  <c r="H22" i="17" s="1"/>
  <c r="I22" i="17"/>
  <c r="V21" i="17"/>
  <c r="U21" i="17"/>
  <c r="T21" i="17"/>
  <c r="S21" i="17"/>
  <c r="L20" i="17"/>
  <c r="H20" i="17" s="1"/>
  <c r="I20" i="17"/>
  <c r="I16" i="17"/>
  <c r="U14" i="17"/>
  <c r="L13" i="17"/>
  <c r="H13" i="17" s="1"/>
  <c r="I13" i="17"/>
  <c r="L11" i="17"/>
  <c r="H11" i="17" s="1"/>
  <c r="I11" i="17"/>
  <c r="I9" i="17"/>
  <c r="S7" i="17"/>
  <c r="U7" i="17" s="1"/>
  <c r="L7" i="17"/>
  <c r="I7" i="17"/>
  <c r="U6" i="17"/>
  <c r="L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N11" i="17" l="1"/>
  <c r="K7" i="17"/>
  <c r="N7" i="17"/>
  <c r="N13" i="17"/>
  <c r="K11" i="17"/>
  <c r="K13" i="17"/>
  <c r="M7" i="17"/>
  <c r="M13" i="17"/>
  <c r="N5" i="17"/>
  <c r="M11" i="17"/>
  <c r="I35" i="17"/>
  <c r="D4" i="18" s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H9" i="17" s="1"/>
  <c r="L16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N9" i="17" l="1"/>
  <c r="E3" i="18"/>
  <c r="K35" i="17"/>
  <c r="D3" i="18" s="1"/>
  <c r="M35" i="17"/>
  <c r="N35" i="17"/>
  <c r="E4" i="18"/>
  <c r="F4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F3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tc={EEB7E096-0B5E-4254-A814-5284922EED8B}</author>
  </authors>
  <commentList>
    <comment ref="D22" authorId="0" shapeId="0" xr:uid="{EEB7E096-0B5E-4254-A814-5284922EED8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Table 3 for cost increase due to 100% H2 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D18" authorId="0" shapeId="0" xr:uid="{9EBCF03B-BA74-4058-87E7-1808BBBFC36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1,033 (e-control Bestandsstatistik Strom, Jahresreihen)</t>
        </r>
      </text>
    </comment>
    <comment ref="E18" authorId="0" shapeId="0" xr:uid="{93FF72D7-EE86-4585-AEB5-52ED06000142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5,7</t>
        </r>
      </text>
    </comment>
    <comment ref="F18" authorId="0" shapeId="0" xr:uid="{4D0951C0-E14D-4F4F-A7BF-F0E433F2F78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2,73</t>
        </r>
      </text>
    </comment>
    <comment ref="I18" authorId="0" shapeId="0" xr:uid="{4B4B343C-8F14-4655-876B-5A6C375794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0,355 in 2016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tc={F9AC9046-EA4F-4C49-A61D-99595D56DAAC}</author>
    <author>tc={FBBBED47-20F0-4922-9505-A44F6B41709F}</author>
    <author>tc={78F3230B-F1E7-43F3-A1E9-9DD90157B3FB}</author>
    <author>tc={1940DEC2-05C5-4F9B-8011-FD8FFB8172B4}</author>
    <author>tc={D03ABF38-A430-4B0F-B48E-543130F2E9EB}</author>
    <author>Sebastian</author>
    <author>tc={AFFD00B4-A9CB-4F23-AB8E-4F2FD0ED0FFA}</author>
    <author>tc={0534A949-470C-4F89-B25D-51688CDBD0A1}</author>
    <author>tc={FC6679CB-BC85-40FD-A0A2-913072DE26F3}</author>
    <author>tc={086CF11A-1C27-4EF6-91A9-21C5BCC1E339}</author>
    <author>tc={A40E148E-07B3-4806-8950-93A8ABD7CE08}</author>
    <author>tc={0697E143-A765-4B81-9FEE-B0F6F6DBAB1C}</author>
    <author>tc={2058A2D9-327E-4D5A-805E-FDABC310D584}</author>
    <author>tc={59682705-46FA-4928-B68A-F31B08AD9A57}</author>
    <author>tc={8607A74D-581E-416F-8219-AC8D86E44052}</author>
    <author>tc={DD280BBA-4972-4018-BCA2-CEAF3B9FA3BF}</author>
    <author>tc={42225112-5C31-4726-ACFB-D86A24CBCF4C}</author>
    <author>tc={AB5C555A-80C2-496A-AAFF-AA715243F5A7}</author>
    <author>tc={76C140E9-6DF6-41BF-90A2-5A130142BA6A}</author>
    <author>tc={0F3447D4-A48E-4C4D-B318-BBC21E157197}</author>
    <author>tc={1738BF9C-2F20-47AD-A55F-69EA15B93442}</author>
    <author>tc={77E51E57-D6B3-4C8A-8FC3-8BBA72336091}</author>
    <author>tc={B9F745CB-36D1-4693-9D4B-B3EA104778BB}</author>
  </authors>
  <commentList>
    <comment ref="M1" authorId="0" shapeId="0" xr:uid="{3DCAC517-E1C0-4732-9DC3-242358D85A09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FF8BBAB2-3556-4653-B7BC-51B7A6E5E13A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F4" authorId="1" shapeId="0" xr:uid="{F9AC9046-EA4F-4C49-A61D-99595D56DAA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320 € in 2020: 
With inflation rate of 0,99% this translates to 305 € in 2015</t>
      </text>
    </comment>
    <comment ref="F5" authorId="2" shapeId="0" xr:uid="{FBBBED47-20F0-4922-9505-A44F6B41709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3000€ in 2010 € from Source 3: 
OECD PPI: 
2010: 93,1
2015: 100
2020: 101,73
--&gt; </t>
      </text>
    </comment>
    <comment ref="J5" authorId="3" shapeId="0" xr:uid="{78F3230B-F1E7-43F3-A1E9-9DD90157B3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60.000€ in 2010 Source 3: 
corrected to 2020€ using the OECD PPI (total market) of Euro zone</t>
      </text>
    </comment>
    <comment ref="F6" authorId="4" shapeId="0" xr:uid="{1940DEC2-05C5-4F9B-8011-FD8FFB8172B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2015 €</t>
      </text>
    </comment>
    <comment ref="F8" authorId="5" shapeId="0" xr:uid="{D03ABF38-A430-4B0F-B48E-543130F2E9E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From which biomass plant are these data exactly? 
Source 3 suggests 2076 €/kW in 2010€ for 2040 --&gt; HICP conversion: 2342 € in 2020€
BUT: they also calculate with higher fix O&amp;M costs and no variable O &amp; M costs for biomass</t>
      </text>
    </comment>
    <comment ref="AC9" authorId="6" shapeId="0" xr:uid="{F502D4EA-8C6C-4B8D-A21A-287BD6392F4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F12" authorId="7" shapeId="0" xr:uid="{AFFD00B4-A9CB-4F23-AB8E-4F2FD0ED0F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2015 € und mittelwert zwischen 2030 und 2050</t>
      </text>
    </comment>
    <comment ref="M12" authorId="8" shapeId="0" xr:uid="{0534A949-470C-4F89-B25D-51688CDBD0A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2030 -2050</t>
      </text>
    </comment>
    <comment ref="J13" authorId="9" shapeId="0" xr:uid="{FC6679CB-BC85-40FD-A0A2-913072DE26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 aus 2030 und 2050</t>
      </text>
    </comment>
    <comment ref="F14" authorId="10" shapeId="0" xr:uid="{086CF11A-1C27-4EF6-91A9-21C5BCC1E33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Costs capacity expansion + alternative investment costs</t>
      </text>
    </comment>
    <comment ref="G14" authorId="11" shapeId="0" xr:uid="{A40E148E-07B3-4806-8950-93A8ABD7CE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Costs storage capacity expansion</t>
      </text>
    </comment>
    <comment ref="M14" authorId="12" shapeId="0" xr:uid="{0697E143-A765-4B81-9FEE-B0F6F6DBAB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+ 0,1 % loss/day --&gt; 1/24000 pro stunde</t>
      </text>
    </comment>
    <comment ref="F25" authorId="13" shapeId="0" xr:uid="{2058A2D9-327E-4D5A-805E-FDABC310D58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Basiert auf Blatt "Underground Storage of Gas" --&gt; berechnet die Kosten eine neue Cavern anzulegen: 108,9 Mio€ für 2200 MW Injektionsleistung</t>
      </text>
    </comment>
    <comment ref="F26" authorId="14" shapeId="0" xr:uid="{59682705-46FA-4928-B68A-F31B08AD9A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 2030 - 2050</t>
      </text>
    </comment>
    <comment ref="F27" authorId="15" shapeId="0" xr:uid="{8607A74D-581E-416F-8219-AC8D86E440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Calculated from Pimm et al (2021): hydrogen expansion turbine with 800 pound/kW capital cost. Currency conversion 28.10.22: 1 pound = 1,16€</t>
      </text>
    </comment>
    <comment ref="F28" authorId="16" shapeId="0" xr:uid="{DD280BBA-4972-4018-BCA2-CEAF3B9FA3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Öberg et al (2022) assume 15% cost increase for 100% H2 compared to NG only. 2040 costs for NG-combined cycle: mean of 2030 and 2050</t>
      </text>
    </comment>
    <comment ref="J28" authorId="17" shapeId="0" xr:uid="{42225112-5C31-4726-ACFB-D86A24CBCF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 2030-2050 ohne aufschlag für h2</t>
      </text>
    </comment>
    <comment ref="M28" authorId="18" shapeId="0" xr:uid="{AB5C555A-80C2-496A-AAFF-AA715243F5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Mittelwert 2030 - 2050</t>
      </text>
    </comment>
    <comment ref="F29" authorId="19" shapeId="0" xr:uid="{76C140E9-6DF6-41BF-90A2-5A130142BA6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anteilig höher wie bei Wehrle et al 2021, da im Originaldatensatz keine Daten zum CHP Wert sind. Faktor: 1,05</t>
      </text>
    </comment>
    <comment ref="J29" authorId="20" shapeId="0" xr:uid="{0F3447D4-A48E-4C4D-B318-BBC21E1571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Faktor 1,05 wie in Daten von Wehrle et al</t>
      </text>
    </comment>
    <comment ref="F30" authorId="21" shapeId="0" xr:uid="{1738BF9C-2F20-47AD-A55F-69EA15B934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max. 1/60 der Kapazität</t>
      </text>
    </comment>
    <comment ref="J30" authorId="22" shapeId="0" xr:uid="{77E51E57-D6B3-4C8A-8FC3-8BBA723360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Umgerechnet von 8,6€/MWh wenn 2,9 MW/175MWh. I.e. ratio of ca. 60,3 MWh/MW</t>
      </text>
    </comment>
    <comment ref="M30" authorId="23" shapeId="0" xr:uid="{B9F745CB-36D1-4693-9D4B-B3EA104778B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+ 0,2% loss per day
Or 0,00833 % (1/12000) per hour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tc={B82239AE-6BF5-4941-A039-5235DF37F8A9}</author>
    <author>tc={123943CE-4B11-42D2-91A6-6043AB6992FC}</author>
    <author>tc={B36F97E9-1F17-436F-A36D-A790E6D58A2A}</author>
    <author>tc={337A7ADC-C808-4FFA-9436-75E3E8B0B4B5}</author>
    <author>tc={EF89F5B5-07E2-427B-ABEF-4644C84A3611}</author>
    <author>tc={EB8B99CE-F9E5-405D-A432-C8D9920D1A53}</author>
    <author>tc={ADE879D4-056D-4868-B954-1905F380CCF6}</author>
    <author>tc={CBA4296E-CA17-4E0E-8A01-A9DE72F62F1F}</author>
    <author>Sebastian</author>
    <author>tc={B9D5171C-8BAD-4D97-95E1-B8E0D3DCB9BC}</author>
    <author>tc={628CB3D1-477E-4EAE-BBC4-99342A9673B5}</author>
    <author>tc={625B144F-8BBA-4687-8269-3318BF6060E3}</author>
    <author>tc={9458D55C-0B8D-4F36-88B1-D0B19055BE27}</author>
    <author>tc={E9EC88FC-539C-4F39-8235-2B6D019C7F9A}</author>
    <author>tc={14BB528E-72C3-4A06-9C9C-65B713CF05CC}</author>
    <author>tc={90850B09-BE65-4A58-B4DB-6030DB83CED2}</author>
    <author>tc={69531953-D368-4809-8531-691922F026C8}</author>
    <author>tc={4C91C4BE-B081-4A37-BFEF-C09F2B7A9206}</author>
    <author>tc={631573C4-3A9F-469E-AB67-B595573E226F}</author>
    <author>tc={3DB8D6B1-181A-47AB-8A1C-BAFDD16950E9}</author>
    <author>tc={0425EEA0-2A8F-4532-B37F-CDD6D0404C25}</author>
    <author>tc={24A0B3B3-BC47-45F0-90CD-2D154E6A93AE}</author>
    <author>tc={C9B8D82C-4776-4C8D-8E55-41CF939693B2}</author>
    <author>tc={DA8CA576-2C70-4584-B891-38612BB9E986}</author>
    <author>tc={AFD9B1EE-9DAC-40EC-926E-5C4D001DC266}</author>
    <author>tc={B8D28C0D-DBC4-4750-BB01-049CEC6D250A}</author>
    <author>tc={F3C1C638-6E42-406D-A105-0F39885821C8}</author>
    <author>tc={1B10F2D2-A70A-454B-BF50-BC5CC9C5968D}</author>
    <author>tc={B0E90972-6F51-4D5F-B394-400EA1CDD542}</author>
    <author>tc={255F4E1A-EB27-4F86-A534-8547B401DB9C}</author>
    <author>tc={2214E2E1-2B18-4989-98AA-1BBA5F0A990F}</author>
    <author>tc={9BB21B75-6674-437B-8B37-F370D04936D5}</author>
    <author>tc={38BA230F-155D-4EED-BEC3-4E6FB3747CDD}</author>
    <author>tc={E3C90F1C-5124-475D-AE11-BBB4B49BB5CE}</author>
    <author>tc={6591D668-FD89-4875-9536-C915A47C3E85}</author>
    <author>tc={A7C4749E-81EB-4FAB-83C5-518861E36349}</author>
    <author>tc={A581618E-661C-4120-B24F-11224A87C322}</author>
    <author>tc={1063E14A-8C10-46BD-B0EA-5F40F599ABC7}</author>
    <author>tc={219E3A1C-6D1A-4854-9D5D-D0D7F50801FA}</author>
    <author>tc={7CC4E53E-386E-48E6-81B5-51AA6F2C756C}</author>
    <author>tc={EEAA8E52-1EAC-4E60-A138-ABE0060175F3}</author>
    <author>tc={9D63E520-CB1A-4EFF-87B0-E8D0E27F9D18}</author>
    <author>tc={C70AAFFB-1359-4BA6-BF54-C7DEA6BB8811}</author>
    <author>tc={040719CB-CD89-49BE-8ED3-E57A608852F5}</author>
    <author>tc={7532C294-BC69-45CF-B447-786377EBF8EF}</author>
    <author>tc={66206ECF-E7F8-47AB-81C4-8E4C19EF6491}</author>
    <author>tc={FA23D085-D9BE-4066-8317-B8EDA0C51866}</author>
    <author>tc={00CD7BC5-5367-48A1-8479-B90AE522C112}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F4" authorId="1" shapeId="0" xr:uid="{B82239AE-6BF5-4941-A039-5235DF37F8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50-50 utility scale and rooftop</t>
      </text>
    </comment>
    <comment ref="F5" authorId="2" shapeId="0" xr:uid="{123943CE-4B11-42D2-91A6-6043AB6992F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3000€ in 2010 € from Source 3: 
OECD PPI: 
2010: 93,1
2015: 100
2020: 101,73
--&gt; </t>
      </text>
    </comment>
    <comment ref="J5" authorId="3" shapeId="0" xr:uid="{B36F97E9-1F17-436F-A36D-A790E6D58A2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60.000€ in 2010 Source 3: 
corrected to 2020€ using the OECD PPI (total market) of Euro zone</t>
      </text>
    </comment>
    <comment ref="F6" authorId="4" shapeId="0" xr:uid="{337A7ADC-C808-4FFA-9436-75E3E8B0B4B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8" authorId="5" shapeId="0" xr:uid="{EF89F5B5-07E2-427B-ABEF-4644C84A36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From which biomass plant are these data exactly? 
Source 3 suggests 2076 €/kW in 2010€ for 2040 --&gt; HICP conversion: 2342 € in 2020€
BUT: they also calculate with higher fix O&amp;M costs and no variable O &amp; M costs for biomass</t>
      </text>
    </comment>
    <comment ref="J8" authorId="6" shapeId="0" xr:uid="{EB8B99CE-F9E5-405D-A432-C8D9920D1A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9" authorId="7" shapeId="0" xr:uid="{ADE879D4-056D-4868-B954-1905F380CCF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9" authorId="8" shapeId="0" xr:uid="{CBA4296E-CA17-4E0E-8A01-A9DE72F62F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AC9" authorId="9" shapeId="0" xr:uid="{77D4CFA7-8972-4C3A-AC8F-FF531888168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F10" authorId="10" shapeId="0" xr:uid="{B9D5171C-8BAD-4D97-95E1-B8E0D3DCB9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0" authorId="11" shapeId="0" xr:uid="{628CB3D1-477E-4EAE-BBC4-99342A9673B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11" authorId="12" shapeId="0" xr:uid="{625B144F-8BBA-4687-8269-3318BF6060E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1" authorId="13" shapeId="0" xr:uid="{9458D55C-0B8D-4F36-88B1-D0B19055BE2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12" authorId="14" shapeId="0" xr:uid="{E9EC88FC-539C-4F39-8235-2B6D019C7F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2015 € und mittelwert zwischen 2030 und 2050</t>
      </text>
    </comment>
    <comment ref="J12" authorId="15" shapeId="0" xr:uid="{14BB528E-72C3-4A06-9C9C-65B713CF05C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M12" authorId="16" shapeId="0" xr:uid="{90850B09-BE65-4A58-B4DB-6030DB83CE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2030 -2050</t>
      </text>
    </comment>
    <comment ref="F13" authorId="17" shapeId="0" xr:uid="{69531953-D368-4809-8531-691922F026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3" authorId="18" shapeId="0" xr:uid="{4C91C4BE-B081-4A37-BFEF-C09F2B7A92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 aus 2030 und 2050</t>
      </text>
    </comment>
    <comment ref="F14" authorId="19" shapeId="0" xr:uid="{631573C4-3A9F-469E-AB67-B595573E22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Costs capacity expansion + alternative investment costs</t>
      </text>
    </comment>
    <comment ref="G14" authorId="20" shapeId="0" xr:uid="{3DB8D6B1-181A-47AB-8A1C-BAFDD16950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Costs storage capacity expansion</t>
      </text>
    </comment>
    <comment ref="J14" authorId="21" shapeId="0" xr:uid="{0425EEA0-2A8F-4532-B37F-CDD6D0404C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M14" authorId="22" shapeId="0" xr:uid="{24A0B3B3-BC47-45F0-90CD-2D154E6A93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+ 0,1 % loss/day --&gt; 1/24000 pro stunde</t>
      </text>
    </comment>
    <comment ref="F15" authorId="23" shapeId="0" xr:uid="{C9B8D82C-4776-4C8D-8E55-41CF939693B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5" authorId="24" shapeId="0" xr:uid="{DA8CA576-2C70-4584-B891-38612BB9E9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16" authorId="25" shapeId="0" xr:uid="{AFD9B1EE-9DAC-40EC-926E-5C4D001DC2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6" authorId="26" shapeId="0" xr:uid="{B8D28C0D-DBC4-4750-BB01-049CEC6D25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17" authorId="27" shapeId="0" xr:uid="{F3C1C638-6E42-406D-A105-0F39885821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7" authorId="28" shapeId="0" xr:uid="{1B10F2D2-A70A-454B-BF50-BC5CC9C596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18" authorId="29" shapeId="0" xr:uid="{B0E90972-6F51-4D5F-B394-400EA1CDD5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8" authorId="30" shapeId="0" xr:uid="{255F4E1A-EB27-4F86-A534-8547B401DB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19" authorId="31" shapeId="0" xr:uid="{2214E2E1-2B18-4989-98AA-1BBA5F0A99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19" authorId="32" shapeId="0" xr:uid="{9BB21B75-6674-437B-8B37-F370D04936D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20" authorId="33" shapeId="0" xr:uid="{38BA230F-155D-4EED-BEC3-4E6FB3747C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20" authorId="34" shapeId="0" xr:uid="{E3C90F1C-5124-475D-AE11-BBB4B49BB5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F21" authorId="35" shapeId="0" xr:uid="{6591D668-FD89-4875-9536-C915A47C3E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21" authorId="36" shapeId="0" xr:uid="{A7C4749E-81EB-4FAB-83C5-518861E363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corrected</t>
      </text>
    </comment>
    <comment ref="J22" authorId="37" shapeId="0" xr:uid="{A581618E-661C-4120-B24F-11224A87C3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12% der Investitionskosten</t>
      </text>
    </comment>
    <comment ref="J23" authorId="38" shapeId="0" xr:uid="{1063E14A-8C10-46BD-B0EA-5F40F599AB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2% der Investitionskosten</t>
      </text>
    </comment>
    <comment ref="F24" authorId="39" shapeId="0" xr:uid="{219E3A1C-6D1A-4854-9D5D-D0D7F50801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Basiert auf Blatt "Underground Storage of Gas" --&gt; berechnet die Kosten eine neue Cavern anzulegen: 108,9 Mio€ für 2200 MW Injektionsleistung</t>
      </text>
    </comment>
    <comment ref="F25" authorId="40" shapeId="0" xr:uid="{7CC4E53E-386E-48E6-81B5-51AA6F2C75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 2030 - 2050</t>
      </text>
    </comment>
    <comment ref="F26" authorId="41" shapeId="0" xr:uid="{EEAA8E52-1EAC-4E60-A138-ABE0060175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Öberg et al (2022) assume 15% cost increase for 100% H2 compared to NG only. 2040 costs for NG-combined cycle: mean of 2030 and 2050</t>
      </text>
    </comment>
    <comment ref="J26" authorId="42" shapeId="0" xr:uid="{9D63E520-CB1A-4EFF-87B0-E8D0E27F9D1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 2030-2050 ohne aufschlag für h2</t>
      </text>
    </comment>
    <comment ref="M26" authorId="43" shapeId="0" xr:uid="{C70AAFFB-1359-4BA6-BF54-C7DEA6BB88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Mittel 2030 - 2050</t>
      </text>
    </comment>
    <comment ref="F27" authorId="44" shapeId="0" xr:uid="{040719CB-CD89-49BE-8ED3-E57A608852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anteilig höher wie bei Wehrle et al 2021, da im Originaldatensatz keine Daten zum CHP Wert sind. Faktor: 1,05</t>
      </text>
    </comment>
    <comment ref="J27" authorId="45" shapeId="0" xr:uid="{7532C294-BC69-45CF-B447-786377EBF8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Faktor 1,05 wie in Daten von Wehrle et al</t>
      </text>
    </comment>
    <comment ref="F28" authorId="46" shapeId="0" xr:uid="{66206ECF-E7F8-47AB-81C4-8E4C19EF64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= max. 1/60 der Kapazität</t>
      </text>
    </comment>
    <comment ref="J28" authorId="47" shapeId="0" xr:uid="{FA23D085-D9BE-4066-8317-B8EDA0C518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Umgerechnet von 8,6€/MWh wenn 2,9 MW/175MWh. I.e. ratio of ca. 60,3 MWh/MW</t>
      </text>
    </comment>
    <comment ref="M28" authorId="48" shapeId="0" xr:uid="{00CD7BC5-5367-48A1-8479-B90AE522C1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+ 0,2% loss per day
Or 0,00833 % (1/12000) per hour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B6E3E8BC-25DF-4BE3-B63B-3D4B1D5EFE2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70FAEF22-2568-44B4-B8A0-09BC5EF01302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9E017841-893B-4027-951D-E3327763F8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F9AEEDB9-BCA6-4D18-9E5B-FC71CCC2791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sharedStrings.xml><?xml version="1.0" encoding="utf-8"?>
<sst xmlns="http://schemas.openxmlformats.org/spreadsheetml/2006/main" count="2482" uniqueCount="427">
  <si>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</si>
  <si>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</si>
  <si>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</si>
  <si>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</si>
  <si>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</si>
  <si>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</si>
  <si>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</si>
  <si>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</si>
  <si>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</si>
  <si>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</si>
  <si>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</si>
  <si>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</si>
  <si>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</si>
  <si>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</si>
  <si>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</si>
  <si>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</si>
  <si>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</si>
  <si>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</si>
  <si>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</si>
  <si>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</si>
  <si>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</si>
  <si>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</si>
  <si>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</si>
  <si>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</si>
  <si>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</si>
  <si>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</si>
  <si>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</si>
  <si>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</si>
  <si>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</si>
  <si>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</si>
  <si>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</si>
  <si>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</si>
  <si>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</si>
  <si>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</si>
  <si>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</si>
  <si>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</si>
  <si>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</si>
  <si>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</si>
  <si>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</si>
  <si>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</si>
  <si>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</si>
  <si>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</si>
  <si>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</si>
  <si>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</si>
  <si>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</si>
  <si>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</si>
  <si>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</si>
  <si>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</si>
  <si>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</si>
  <si>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</si>
  <si>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</si>
  <si>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</si>
  <si>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</si>
  <si>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</si>
  <si>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</si>
  <si>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</si>
  <si>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</si>
  <si>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</si>
  <si>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</si>
  <si>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</si>
  <si>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</si>
  <si>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</si>
  <si>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</si>
  <si>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</si>
  <si>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</si>
  <si>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</si>
  <si>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</si>
  <si>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</si>
  <si>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</si>
  <si>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</si>
  <si>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</si>
  <si>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</si>
  <si>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</si>
  <si>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</si>
  <si>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</si>
  <si>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</si>
  <si>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</si>
  <si>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</si>
  <si>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</si>
  <si>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</si>
  <si>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</si>
  <si>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</si>
  <si>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</si>
  <si>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</si>
  <si>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</si>
  <si>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</si>
  <si>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</si>
  <si>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</si>
  <si>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</si>
  <si>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</si>
  <si>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</si>
  <si>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</si>
  <si>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</si>
  <si>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</si>
  <si>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</si>
  <si>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</si>
  <si>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</si>
  <si>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</si>
  <si>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</si>
  <si>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</si>
  <si>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</si>
  <si>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</si>
  <si>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</si>
  <si>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</si>
  <si>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</si>
  <si>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</si>
  <si>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</si>
  <si>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</si>
  <si>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</si>
  <si>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</si>
  <si>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</si>
  <si>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</si>
  <si>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</si>
  <si>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</si>
  <si>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</si>
  <si>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</si>
  <si>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</si>
  <si>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</si>
  <si>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</si>
  <si>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</si>
  <si>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</si>
  <si>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</si>
  <si>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</si>
  <si>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</si>
  <si>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</si>
  <si>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</si>
  <si>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</si>
  <si>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</si>
  <si>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</si>
  <si>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</si>
  <si>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</si>
  <si>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</si>
  <si>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</si>
  <si>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</si>
  <si>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</si>
  <si>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</si>
  <si>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</si>
  <si>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</si>
  <si>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</si>
  <si>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</si>
  <si>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</si>
  <si>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</si>
  <si>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</si>
  <si>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</si>
  <si>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</si>
  <si>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</si>
  <si>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</si>
  <si>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</si>
  <si>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</si>
  <si>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</si>
  <si>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</si>
  <si>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</si>
  <si>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</si>
  <si>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</si>
  <si>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</si>
  <si>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</si>
  <si>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</si>
  <si>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</si>
  <si>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</si>
  <si>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</si>
  <si>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</si>
  <si>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</si>
  <si>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</si>
  <si>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</si>
  <si>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</si>
  <si>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</si>
  <si>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</si>
  <si>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</si>
  <si>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</si>
  <si>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</si>
  <si>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</si>
  <si>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</si>
  <si>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</si>
  <si>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</si>
  <si>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</si>
  <si>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</si>
  <si>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</si>
  <si>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</si>
  <si>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</si>
  <si>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</si>
  <si>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</si>
  <si>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</si>
  <si>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</si>
  <si>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</si>
  <si>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</si>
  <si>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</si>
  <si>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</si>
  <si>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</si>
  <si>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</si>
  <si>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</si>
  <si>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</si>
  <si>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</si>
  <si>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</si>
  <si>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</si>
  <si>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</si>
  <si>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</si>
  <si>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</si>
  <si>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</si>
  <si>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</si>
  <si>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</si>
  <si>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</si>
  <si>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</si>
  <si>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</si>
  <si>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</si>
  <si>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</si>
  <si>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</si>
  <si>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</si>
  <si>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</si>
  <si>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</si>
  <si>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</si>
  <si>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</si>
  <si>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</si>
  <si>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</si>
  <si>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</si>
  <si>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</si>
  <si>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</si>
  <si>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</si>
  <si>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</si>
  <si>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</si>
  <si>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</si>
  <si>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</si>
  <si>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</si>
  <si>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</si>
  <si>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</si>
  <si>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</si>
  <si>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</si>
  <si>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</si>
  <si>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</si>
  <si>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</si>
  <si>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</si>
  <si>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</si>
  <si>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</si>
  <si>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</si>
  <si>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</si>
  <si>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</si>
  <si>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</si>
  <si>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</si>
  <si>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</si>
  <si>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</si>
  <si>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</si>
  <si>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</si>
  <si>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</si>
  <si>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</si>
  <si>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</si>
  <si>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</si>
  <si>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</si>
  <si>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</si>
  <si>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</si>
  <si>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</si>
  <si>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</si>
  <si>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</si>
  <si>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</si>
  <si>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</si>
  <si>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</si>
  <si>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</si>
  <si>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</si>
  <si>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</si>
  <si>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</si>
  <si>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</si>
  <si>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</si>
  <si>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</si>
  <si>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</si>
  <si>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</si>
  <si>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</si>
  <si>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</si>
  <si>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</si>
  <si>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</si>
  <si>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</si>
  <si>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</si>
  <si>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</si>
  <si>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</si>
  <si>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</si>
  <si>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</si>
  <si>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</si>
  <si>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</si>
  <si>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</si>
  <si>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</si>
  <si>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</si>
  <si>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</si>
  <si>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</si>
  <si>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</si>
  <si>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</si>
  <si>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</si>
  <si>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</si>
  <si>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</si>
  <si>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</si>
  <si>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</si>
  <si>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</si>
  <si>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</si>
  <si>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</si>
  <si>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</si>
  <si>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</si>
  <si>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</si>
  <si>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</si>
  <si>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</si>
  <si>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</si>
  <si>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</si>
  <si>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</si>
  <si>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</si>
  <si>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</si>
  <si>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</si>
  <si>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</si>
  <si>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</si>
  <si>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</si>
  <si>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</si>
  <si>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</si>
  <si>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</si>
  <si>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</si>
  <si>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</si>
  <si>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</si>
  <si>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</si>
  <si>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</si>
  <si>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</si>
  <si>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</si>
  <si>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</si>
  <si>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</si>
  <si>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</si>
  <si>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</si>
  <si>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</si>
  <si>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</si>
  <si>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</si>
  <si>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</si>
  <si>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</si>
  <si>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</si>
  <si>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</si>
  <si>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</si>
  <si>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</si>
  <si>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</si>
  <si>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</si>
  <si>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</si>
  <si>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</si>
  <si>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</si>
  <si>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</si>
  <si>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</si>
  <si>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</si>
  <si>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</si>
  <si>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</si>
  <si>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</si>
  <si>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</si>
  <si>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</si>
  <si>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</si>
  <si>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</si>
  <si>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</si>
  <si>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</si>
  <si>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</si>
  <si>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</si>
  <si>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</si>
  <si>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</si>
  <si>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</si>
  <si>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</si>
  <si>
    <t>Biomass Boiler</t>
  </si>
  <si>
    <t>bio_boiler_chp</t>
  </si>
  <si>
    <t>Country from</t>
  </si>
  <si>
    <t>Country to</t>
  </si>
  <si>
    <t>Quantity</t>
  </si>
  <si>
    <t>prim_prod</t>
  </si>
  <si>
    <t>h2</t>
  </si>
  <si>
    <t>Methanation unit</t>
  </si>
  <si>
    <t>meth</t>
  </si>
  <si>
    <t>ch4</t>
  </si>
  <si>
    <t>Hydrogen storage</t>
  </si>
  <si>
    <t>Syngas storage</t>
  </si>
  <si>
    <t>store_h2</t>
  </si>
  <si>
    <t>store_ch4</t>
  </si>
  <si>
    <t>Heat storage</t>
  </si>
  <si>
    <t>store_ht</t>
  </si>
  <si>
    <t>Power</t>
  </si>
  <si>
    <t>Wind_On</t>
  </si>
  <si>
    <t>Wind_Off</t>
  </si>
  <si>
    <t>Fuel Cell</t>
  </si>
  <si>
    <t>h2_fuel_cell</t>
  </si>
  <si>
    <t>aec_100MW</t>
  </si>
  <si>
    <t>https://ens.dk/en/our-services/projections-and-models/technology-data/technology-data-renewable-fuels</t>
  </si>
  <si>
    <t>Data Sheets for energy carrier generation and conversion</t>
  </si>
  <si>
    <t>OPEX_Fix_auf_Output</t>
  </si>
  <si>
    <t>CAPEX_Energy_Kosten_Speicherkapazitätserweiterung</t>
  </si>
  <si>
    <t>Siemens H2 Gas Turbine</t>
  </si>
  <si>
    <t>h2_gas_turbine</t>
  </si>
  <si>
    <t>Siemens Energy</t>
  </si>
  <si>
    <t>https://www.siemens-energy.com/global/en/offerings/power-generation/power-plants/hydrogen-power-plants.html</t>
  </si>
  <si>
    <t>100MW_AEC_Electrolyzer (2020€)</t>
  </si>
  <si>
    <t xml:space="preserve">test Daten. Effizienz von Siemens Energy </t>
  </si>
  <si>
    <t>H2 - Cavern Storage</t>
  </si>
  <si>
    <t>h2_s_cavern</t>
  </si>
  <si>
    <t>Daten von DEA-1</t>
  </si>
  <si>
    <t>Daten von DEA-2</t>
  </si>
  <si>
    <t>Daten von DEA-3</t>
  </si>
  <si>
    <t xml:space="preserve">Pimm et al </t>
  </si>
  <si>
    <t>https://www.sciencedirect.com/science/article/pii/S0959652621018837</t>
  </si>
  <si>
    <t>Energy system requirements of fossil-free steelmaking using hydrogen direct reduction</t>
  </si>
  <si>
    <t>19, 20 (cost + lifetime)</t>
  </si>
  <si>
    <t>https://www.sciencedirect.com/science/article/pii/S0360319921039768#tbl2</t>
  </si>
  <si>
    <t>Exploring the competitiveness of hydrogen-fueled gas turbines in future energy systems</t>
  </si>
  <si>
    <t>Öberg et al</t>
  </si>
  <si>
    <t>h2_cc_hi</t>
  </si>
  <si>
    <t>h2_cc_hi_chp</t>
  </si>
  <si>
    <t>H2 Turbine wie NG Turbine, Kosten von Öberg et al (2022)</t>
  </si>
  <si>
    <t>H2 - New Combined Cycle</t>
  </si>
  <si>
    <t>H2 - New Combined Cycle CoGen</t>
  </si>
  <si>
    <t>1, 21</t>
  </si>
  <si>
    <t>H2</t>
  </si>
  <si>
    <t>1, 20</t>
  </si>
  <si>
    <t>hw_tank</t>
  </si>
  <si>
    <t>Hot Water Tank</t>
  </si>
  <si>
    <t>DH-Hot Water tank - thermal storage</t>
  </si>
  <si>
    <t>DH - Hot Water tank</t>
  </si>
  <si>
    <t>Technology Data, Generation of Electricity and District heating, Update November 2022</t>
  </si>
  <si>
    <t xml:space="preserve">Power Heat Pump - Air Source - 10 MW </t>
  </si>
  <si>
    <t xml:space="preserve">Power heat Pump absorption DH </t>
  </si>
  <si>
    <t>Electric Boiler - large (5MW)</t>
  </si>
  <si>
    <t>1MW_SOEC_Electrolyzer (2020€)</t>
  </si>
  <si>
    <t>soec_1MW</t>
  </si>
  <si>
    <t>Low temp. H2 fuel cell</t>
  </si>
  <si>
    <t>h_2</t>
  </si>
  <si>
    <t>h_2 - Cavern Storage</t>
  </si>
  <si>
    <t>h_2_s_cavern</t>
  </si>
  <si>
    <t>Low temp. h_2 fuel cell</t>
  </si>
  <si>
    <t>h_2_fuel_cell</t>
  </si>
  <si>
    <t>h_2 Turbine wie NG Turbine, Kosten von Öberg et al (2022)</t>
  </si>
  <si>
    <t>h_2 - New Combined Cycle</t>
  </si>
  <si>
    <t>h_2_cc_hi</t>
  </si>
  <si>
    <t>h_2 - New Combined Cycle CoGen</t>
  </si>
  <si>
    <t>h_2_cc_hi_chp</t>
  </si>
  <si>
    <t>h_2 Gas Turbine +15%</t>
  </si>
  <si>
    <t>h_2 Gas CHP Turbine +15%</t>
  </si>
  <si>
    <t xml:space="preserve">Wehrle et al </t>
  </si>
  <si>
    <t>The cost of undisturbed landscapes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</si>
</sst>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2" fontId="0" fillId="8" borderId="0" xfId="0" applyNumberFormat="1" applyFill="1"/>
    <xf numFmtId="170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0" fontId="1" fillId="8" borderId="0" xfId="0" applyFont="1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0" borderId="0" xfId="0" applyAlignment="1">
      <alignment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3" fontId="0" fillId="13" borderId="0" xfId="0" applyNumberFormat="1" applyFill="1"/>
    <xf numFmtId="165" fontId="0" fillId="13" borderId="0" xfId="0" applyNumberFormat="1" applyFill="1"/>
    <xf numFmtId="1" fontId="0" fillId="13" borderId="0" xfId="0" applyNumberFormat="1" applyFill="1"/>
    <xf numFmtId="1" fontId="0" fillId="12" borderId="0" xfId="0" applyNumberFormat="1" applyFill="1"/>
    <xf numFmtId="170" fontId="0" fillId="12" borderId="0" xfId="0" applyNumberFormat="1" applyFill="1"/>
    <xf numFmtId="1" fontId="0" fillId="14" borderId="0" xfId="0" applyNumberFormat="1" applyFill="1"/>
    <xf numFmtId="3" fontId="0" fillId="14" borderId="0" xfId="0" applyNumberFormat="1" applyFill="1"/>
    <xf numFmtId="170" fontId="0" fillId="14" borderId="0" xfId="0" applyNumberFormat="1" applyFill="1"/>
    <xf numFmtId="4" fontId="0" fillId="14" borderId="0" xfId="0" applyNumberFormat="1" applyFill="1"/>
    <xf numFmtId="170" fontId="0" fillId="6" borderId="0" xfId="0" applyNumberFormat="1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B" id="{A1512B1F-CF5D-4A33-9BC3-515043DA802F}" userId="40d939dc6058a4ba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2-10-29T12:42:21.11" personId="{A1512B1F-CF5D-4A33-9BC3-515043DA802F}" id="{EEB7E096-0B5E-4254-A814-5284922EED8B}">
    <text xml:space="preserve">Table 3 for cost increase due to 100% H2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" dT="2022-11-25T11:37:24.81" personId="{A1512B1F-CF5D-4A33-9BC3-515043DA802F}" id="{F9AC9046-EA4F-4C49-A61D-99595D56DAAC}">
    <text>320 € in 2020: 
With inflation rate of 0,99% this translates to 305 € in 2015</text>
  </threadedComment>
  <threadedComment ref="F5" dT="2022-11-27T17:45:10.68" personId="{A1512B1F-CF5D-4A33-9BC3-515043DA802F}" id="{FBBBED47-20F0-4922-9505-A44F6B41709F}">
    <text xml:space="preserve">3000€ in 2010 € from Source 3: 
OECD PPI: 
2010: 93,1
2015: 100
2020: 101,73
--&gt; </text>
  </threadedComment>
  <threadedComment ref="J5" dT="2022-11-27T17:47:01.66" personId="{A1512B1F-CF5D-4A33-9BC3-515043DA802F}" id="{78F3230B-F1E7-43F3-A1E9-9DD90157B3FB}">
    <text>60.000€ in 2010 Source 3: 
corrected to 2020€ using the OECD PPI (total market) of Euro zone</text>
  </threadedComment>
  <threadedComment ref="F6" dT="2022-11-25T11:46:10.14" personId="{A1512B1F-CF5D-4A33-9BC3-515043DA802F}" id="{1940DEC2-05C5-4F9B-8011-FD8FFB8172B4}">
    <text>2015 €</text>
  </threadedComment>
  <threadedComment ref="F8" dT="2022-11-27T21:39:12.99" personId="{A1512B1F-CF5D-4A33-9BC3-515043DA802F}" id="{D03ABF38-A430-4B0F-B48E-543130F2E9EB}">
    <text>From which biomass plant are these data exactly? 
Source 3 suggests 2076 €/kW in 2010€ for 2040 --&gt; HICP conversion: 2342 € in 2020€
BUT: they also calculate with higher fix O&amp;M costs and no variable O &amp; M costs for biomass</text>
  </threadedComment>
  <threadedComment ref="F12" dT="2022-11-25T11:53:08.58" personId="{A1512B1F-CF5D-4A33-9BC3-515043DA802F}" id="{AFFD00B4-A9CB-4F23-AB8E-4F2FD0ED0FFA}">
    <text>2015 € und mittelwert zwischen 2030 und 2050</text>
  </threadedComment>
  <threadedComment ref="M12" dT="2022-11-25T11:58:42.87" personId="{A1512B1F-CF5D-4A33-9BC3-515043DA802F}" id="{0534A949-470C-4F89-B25D-51688CDBD0A1}">
    <text>2030 -2050</text>
  </threadedComment>
  <threadedComment ref="J13" dT="2022-11-25T11:57:47.69" personId="{A1512B1F-CF5D-4A33-9BC3-515043DA802F}" id="{FC6679CB-BC85-40FD-A0A2-913072DE26F3}">
    <text>Mittel aus 2030 und 2050</text>
  </threadedComment>
  <threadedComment ref="F14" dT="2022-11-27T14:40:02.53" personId="{A1512B1F-CF5D-4A33-9BC3-515043DA802F}" id="{086CF11A-1C27-4EF6-91A9-21C5BCC1E339}">
    <text>Costs capacity expansion + alternative investment costs</text>
  </threadedComment>
  <threadedComment ref="G14" dT="2022-11-27T14:40:15.33" personId="{A1512B1F-CF5D-4A33-9BC3-515043DA802F}" id="{A40E148E-07B3-4806-8950-93A8ABD7CE08}">
    <text>Costs storage capacity expansion</text>
  </threadedComment>
  <threadedComment ref="M14" dT="2022-11-13T15:16:46.70" personId="{A1512B1F-CF5D-4A33-9BC3-515043DA802F}" id="{0697E143-A765-4B81-9FEE-B0F6F6DBAB1C}">
    <text>+ 0,1 % loss/day --&gt; 1/24000 pro stunde</text>
  </threadedComment>
  <threadedComment ref="F25" dT="2022-08-15T12:30:52.79" personId="{A1512B1F-CF5D-4A33-9BC3-515043DA802F}" id="{2058A2D9-327E-4D5A-805E-FDABC310D584}">
    <text>Basiert auf Blatt "Underground Storage of Gas" --&gt; berechnet die Kosten eine neue Cavern anzulegen: 108,9 Mio€ für 2200 MW Injektionsleistung</text>
  </threadedComment>
  <threadedComment ref="F26" dT="2022-11-27T16:38:42.49" personId="{A1512B1F-CF5D-4A33-9BC3-515043DA802F}" id="{59682705-46FA-4928-B68A-F31B08AD9A57}">
    <text>Mittel 2030 - 2050</text>
  </threadedComment>
  <threadedComment ref="F27" dT="2022-10-28T15:45:39.32" personId="{A1512B1F-CF5D-4A33-9BC3-515043DA802F}" id="{8607A74D-581E-416F-8219-AC8D86E44052}">
    <text>Calculated from Pimm et al (2021): hydrogen expansion turbine with 800 pound/kW capital cost. Currency conversion 28.10.22: 1 pound = 1,16€</text>
  </threadedComment>
  <threadedComment ref="F28" dT="2022-10-29T12:48:30.96" personId="{A1512B1F-CF5D-4A33-9BC3-515043DA802F}" id="{DD280BBA-4972-4018-BCA2-CEAF3B9FA3BF}">
    <text>Öberg et al (2022) assume 15% cost increase for 100% H2 compared to NG only. 2040 costs for NG-combined cycle: mean of 2030 and 2050</text>
  </threadedComment>
  <threadedComment ref="J28" dT="2022-11-27T16:57:10.42" personId="{A1512B1F-CF5D-4A33-9BC3-515043DA802F}" id="{42225112-5C31-4726-ACFB-D86A24CBCF4C}">
    <text>Mittel 2030-2050 ohne aufschlag für h2</text>
  </threadedComment>
  <threadedComment ref="M28" dT="2022-12-02T10:18:43.41" personId="{A1512B1F-CF5D-4A33-9BC3-515043DA802F}" id="{AB5C555A-80C2-496A-AAFF-AA715243F5A7}">
    <text>Mittelwert 2030 - 2050</text>
  </threadedComment>
  <threadedComment ref="F29" dT="2022-11-27T16:55:48.03" personId="{A1512B1F-CF5D-4A33-9BC3-515043DA802F}" id="{76C140E9-6DF6-41BF-90A2-5A130142BA6A}">
    <text>Wert anteilig höher wie bei Wehrle et al 2021, da im Originaldatensatz keine Daten zum CHP Wert sind. Faktor: 1,05</text>
  </threadedComment>
  <threadedComment ref="J29" dT="2022-11-27T16:58:17.03" personId="{A1512B1F-CF5D-4A33-9BC3-515043DA802F}" id="{0F3447D4-A48E-4C4D-B318-BBC21E157197}">
    <text>Faktor 1,05 wie in Daten von Wehrle et al</text>
  </threadedComment>
  <threadedComment ref="F30" dT="2022-11-13T14:58:20.84" personId="{A1512B1F-CF5D-4A33-9BC3-515043DA802F}" id="{1738BF9C-2F20-47AD-A55F-69EA15B93442}">
    <text>= max. 1/60 der Kapazität</text>
  </threadedComment>
  <threadedComment ref="J30" dT="2022-11-13T15:16:10.66" personId="{A1512B1F-CF5D-4A33-9BC3-515043DA802F}" id="{77E51E57-D6B3-4C8A-8FC3-8BBA72336091}">
    <text>Umgerechnet von 8,6€/MWh wenn 2,9 MW/175MWh. I.e. ratio of ca. 60,3 MWh/MW</text>
  </threadedComment>
  <threadedComment ref="M30" dT="2022-11-13T14:57:49.53" personId="{A1512B1F-CF5D-4A33-9BC3-515043DA802F}" id="{B9F745CB-36D1-4693-9D4B-B3EA104778BB}">
    <text>+ 0,2% loss per day
Or 0,00833 % (1/12000) per hour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4" dT="2022-12-05T17:57:36.29" personId="{A1512B1F-CF5D-4A33-9BC3-515043DA802F}" id="{B82239AE-6BF5-4941-A039-5235DF37F8A9}">
    <text>50-50 utility scale and rooftop</text>
  </threadedComment>
  <threadedComment ref="F5" dT="2022-11-27T17:45:10.68" personId="{A1512B1F-CF5D-4A33-9BC3-515043DA802F}" id="{123943CE-4B11-42D2-91A6-6043AB6992FC}">
    <text xml:space="preserve">3000€ in 2010 € from Source 3: 
OECD PPI: 
2010: 93,1
2015: 100
2020: 101,73
--&gt; </text>
  </threadedComment>
  <threadedComment ref="J5" dT="2022-11-27T17:47:01.66" personId="{A1512B1F-CF5D-4A33-9BC3-515043DA802F}" id="{B36F97E9-1F17-436F-A36D-A790E6D58A2A}">
    <text>60.000€ in 2010 Source 3: 
corrected to 2020€ using the OECD PPI (total market) of Euro zone</text>
  </threadedComment>
  <threadedComment ref="F6" dT="2022-11-30T16:51:51.56" personId="{A1512B1F-CF5D-4A33-9BC3-515043DA802F}" id="{337A7ADC-C808-4FFA-9436-75E3E8B0B4B5}">
    <text>corrected</text>
  </threadedComment>
  <threadedComment ref="F8" dT="2022-11-27T21:39:12.99" personId="{A1512B1F-CF5D-4A33-9BC3-515043DA802F}" id="{EF89F5B5-07E2-427B-ABEF-4644C84A3611}">
    <text>From which biomass plant are these data exactly? 
Source 3 suggests 2076 €/kW in 2010€ for 2040 --&gt; HICP conversion: 2342 € in 2020€
BUT: they also calculate with higher fix O&amp;M costs and no variable O &amp; M costs for biomass</text>
  </threadedComment>
  <threadedComment ref="J8" dT="2022-11-30T16:58:11.82" personId="{A1512B1F-CF5D-4A33-9BC3-515043DA802F}" id="{EB8B99CE-F9E5-405D-A432-C8D9920D1A53}">
    <text>corrected</text>
  </threadedComment>
  <threadedComment ref="F9" dT="2022-11-30T16:54:06.42" personId="{A1512B1F-CF5D-4A33-9BC3-515043DA802F}" id="{ADE879D4-056D-4868-B954-1905F380CCF6}">
    <text>corrected</text>
  </threadedComment>
  <threadedComment ref="J9" dT="2022-11-30T16:58:11.82" personId="{A1512B1F-CF5D-4A33-9BC3-515043DA802F}" id="{CBA4296E-CA17-4E0E-8A01-A9DE72F62F1F}">
    <text>corrected</text>
  </threadedComment>
  <threadedComment ref="F10" dT="2022-11-30T16:54:06.42" personId="{A1512B1F-CF5D-4A33-9BC3-515043DA802F}" id="{B9D5171C-8BAD-4D97-95E1-B8E0D3DCB9BC}">
    <text>corrected</text>
  </threadedComment>
  <threadedComment ref="J10" dT="2022-11-30T16:58:11.82" personId="{A1512B1F-CF5D-4A33-9BC3-515043DA802F}" id="{628CB3D1-477E-4EAE-BBC4-99342A9673B5}">
    <text>corrected</text>
  </threadedComment>
  <threadedComment ref="F11" dT="2022-11-30T16:54:06.42" personId="{A1512B1F-CF5D-4A33-9BC3-515043DA802F}" id="{625B144F-8BBA-4687-8269-3318BF6060E3}">
    <text>corrected</text>
  </threadedComment>
  <threadedComment ref="J11" dT="2022-11-30T16:58:11.82" personId="{A1512B1F-CF5D-4A33-9BC3-515043DA802F}" id="{9458D55C-0B8D-4F36-88B1-D0B19055BE27}">
    <text>corrected</text>
  </threadedComment>
  <threadedComment ref="F12" dT="2022-11-25T11:53:08.58" personId="{A1512B1F-CF5D-4A33-9BC3-515043DA802F}" id="{E9EC88FC-539C-4F39-8235-2B6D019C7F9A}">
    <text>2015 € und mittelwert zwischen 2030 und 2050</text>
  </threadedComment>
  <threadedComment ref="J12" dT="2022-11-30T16:58:11.82" personId="{A1512B1F-CF5D-4A33-9BC3-515043DA802F}" id="{14BB528E-72C3-4A06-9C9C-65B713CF05CC}">
    <text>corrected</text>
  </threadedComment>
  <threadedComment ref="M12" dT="2022-11-25T11:58:42.87" personId="{A1512B1F-CF5D-4A33-9BC3-515043DA802F}" id="{90850B09-BE65-4A58-B4DB-6030DB83CED2}">
    <text>2030 -2050</text>
  </threadedComment>
  <threadedComment ref="F13" dT="2022-11-30T16:54:06.42" personId="{A1512B1F-CF5D-4A33-9BC3-515043DA802F}" id="{69531953-D368-4809-8531-691922F026C8}">
    <text>corrected</text>
  </threadedComment>
  <threadedComment ref="J13" dT="2022-11-25T11:57:47.69" personId="{A1512B1F-CF5D-4A33-9BC3-515043DA802F}" id="{4C91C4BE-B081-4A37-BFEF-C09F2B7A9206}">
    <text>Mittel aus 2030 und 2050</text>
  </threadedComment>
  <threadedComment ref="F14" dT="2022-11-27T14:40:02.53" personId="{A1512B1F-CF5D-4A33-9BC3-515043DA802F}" id="{631573C4-3A9F-469E-AB67-B595573E226F}">
    <text>Costs capacity expansion + alternative investment costs</text>
  </threadedComment>
  <threadedComment ref="G14" dT="2022-11-27T14:40:15.33" personId="{A1512B1F-CF5D-4A33-9BC3-515043DA802F}" id="{3DB8D6B1-181A-47AB-8A1C-BAFDD16950E9}">
    <text>Costs storage capacity expansion</text>
  </threadedComment>
  <threadedComment ref="J14" dT="2022-11-30T16:58:11.82" personId="{A1512B1F-CF5D-4A33-9BC3-515043DA802F}" id="{0425EEA0-2A8F-4532-B37F-CDD6D0404C25}">
    <text>corrected</text>
  </threadedComment>
  <threadedComment ref="M14" dT="2022-11-13T15:16:46.70" personId="{A1512B1F-CF5D-4A33-9BC3-515043DA802F}" id="{24A0B3B3-BC47-45F0-90CD-2D154E6A93AE}">
    <text>+ 0,1 % loss/day --&gt; 1/24000 pro stunde</text>
  </threadedComment>
  <threadedComment ref="F15" dT="2022-11-30T16:54:06.42" personId="{A1512B1F-CF5D-4A33-9BC3-515043DA802F}" id="{C9B8D82C-4776-4C8D-8E55-41CF939693B2}">
    <text>corrected</text>
  </threadedComment>
  <threadedComment ref="J15" dT="2022-11-30T16:58:11.82" personId="{A1512B1F-CF5D-4A33-9BC3-515043DA802F}" id="{DA8CA576-2C70-4584-B891-38612BB9E986}">
    <text>corrected</text>
  </threadedComment>
  <threadedComment ref="F16" dT="2022-11-30T16:54:06.42" personId="{A1512B1F-CF5D-4A33-9BC3-515043DA802F}" id="{AFD9B1EE-9DAC-40EC-926E-5C4D001DC266}">
    <text>corrected</text>
  </threadedComment>
  <threadedComment ref="J16" dT="2022-11-30T16:58:11.82" personId="{A1512B1F-CF5D-4A33-9BC3-515043DA802F}" id="{B8D28C0D-DBC4-4750-BB01-049CEC6D250A}">
    <text>corrected</text>
  </threadedComment>
  <threadedComment ref="F17" dT="2022-11-30T16:54:06.42" personId="{A1512B1F-CF5D-4A33-9BC3-515043DA802F}" id="{F3C1C638-6E42-406D-A105-0F39885821C8}">
    <text>corrected</text>
  </threadedComment>
  <threadedComment ref="J17" dT="2022-11-30T16:58:11.82" personId="{A1512B1F-CF5D-4A33-9BC3-515043DA802F}" id="{1B10F2D2-A70A-454B-BF50-BC5CC9C5968D}">
    <text>corrected</text>
  </threadedComment>
  <threadedComment ref="F18" dT="2022-11-30T16:54:06.42" personId="{A1512B1F-CF5D-4A33-9BC3-515043DA802F}" id="{B0E90972-6F51-4D5F-B394-400EA1CDD542}">
    <text>corrected</text>
  </threadedComment>
  <threadedComment ref="J18" dT="2022-11-30T16:58:11.82" personId="{A1512B1F-CF5D-4A33-9BC3-515043DA802F}" id="{255F4E1A-EB27-4F86-A534-8547B401DB9C}">
    <text>corrected</text>
  </threadedComment>
  <threadedComment ref="F19" dT="2022-11-30T16:54:06.42" personId="{A1512B1F-CF5D-4A33-9BC3-515043DA802F}" id="{2214E2E1-2B18-4989-98AA-1BBA5F0A990F}">
    <text>corrected</text>
  </threadedComment>
  <threadedComment ref="J19" dT="2022-11-30T16:58:11.82" personId="{A1512B1F-CF5D-4A33-9BC3-515043DA802F}" id="{9BB21B75-6674-437B-8B37-F370D04936D5}">
    <text>corrected</text>
  </threadedComment>
  <threadedComment ref="F20" dT="2022-11-30T16:54:06.42" personId="{A1512B1F-CF5D-4A33-9BC3-515043DA802F}" id="{38BA230F-155D-4EED-BEC3-4E6FB3747CDD}">
    <text>corrected</text>
  </threadedComment>
  <threadedComment ref="J20" dT="2022-11-30T16:58:11.82" personId="{A1512B1F-CF5D-4A33-9BC3-515043DA802F}" id="{E3C90F1C-5124-475D-AE11-BBB4B49BB5CE}">
    <text>corrected</text>
  </threadedComment>
  <threadedComment ref="F21" dT="2022-11-30T16:54:06.42" personId="{A1512B1F-CF5D-4A33-9BC3-515043DA802F}" id="{6591D668-FD89-4875-9536-C915A47C3E85}">
    <text>corrected</text>
  </threadedComment>
  <threadedComment ref="J21" dT="2022-11-30T16:58:11.82" personId="{A1512B1F-CF5D-4A33-9BC3-515043DA802F}" id="{A7C4749E-81EB-4FAB-83C5-518861E36349}">
    <text>corrected</text>
  </threadedComment>
  <threadedComment ref="J22" dT="2022-11-30T16:59:12.35" personId="{A1512B1F-CF5D-4A33-9BC3-515043DA802F}" id="{A581618E-661C-4120-B24F-11224A87C322}">
    <text>12% der Investitionskosten</text>
  </threadedComment>
  <threadedComment ref="J23" dT="2022-11-30T16:59:28.62" personId="{A1512B1F-CF5D-4A33-9BC3-515043DA802F}" id="{1063E14A-8C10-46BD-B0EA-5F40F599ABC7}">
    <text>2% der Investitionskosten</text>
  </threadedComment>
  <threadedComment ref="F24" dT="2022-12-02T09:48:46.70" personId="{A1512B1F-CF5D-4A33-9BC3-515043DA802F}" id="{219E3A1C-6D1A-4854-9D5D-D0D7F50801FA}">
    <text>Basiert auf Blatt "Underground Storage of Gas" --&gt; berechnet die Kosten eine neue Cavern anzulegen: 108,9 Mio€ für 2200 MW Injektionsleistung</text>
  </threadedComment>
  <threadedComment ref="F25" dT="2022-11-27T16:38:42.49" personId="{A1512B1F-CF5D-4A33-9BC3-515043DA802F}" id="{7CC4E53E-386E-48E6-81B5-51AA6F2C756C}">
    <text>Mittel 2030 - 2050</text>
  </threadedComment>
  <threadedComment ref="F26" dT="2022-10-29T12:48:30.96" personId="{A1512B1F-CF5D-4A33-9BC3-515043DA802F}" id="{EEAA8E52-1EAC-4E60-A138-ABE0060175F3}">
    <text>Öberg et al (2022) assume 15% cost increase for 100% H2 compared to NG only. 2040 costs for NG-combined cycle: mean of 2030 and 2050</text>
  </threadedComment>
  <threadedComment ref="J26" dT="2022-11-27T16:57:10.42" personId="{A1512B1F-CF5D-4A33-9BC3-515043DA802F}" id="{9D63E520-CB1A-4EFF-87B0-E8D0E27F9D18}">
    <text>Mittel 2030-2050 ohne aufschlag für h2</text>
  </threadedComment>
  <threadedComment ref="M26" dT="2022-12-02T10:20:24.13" personId="{A1512B1F-CF5D-4A33-9BC3-515043DA802F}" id="{C70AAFFB-1359-4BA6-BF54-C7DEA6BB8811}">
    <text>Mittel 2030 - 2050</text>
  </threadedComment>
  <threadedComment ref="F27" dT="2022-11-27T16:55:48.03" personId="{A1512B1F-CF5D-4A33-9BC3-515043DA802F}" id="{040719CB-CD89-49BE-8ED3-E57A608852F5}">
    <text>Wert anteilig höher wie bei Wehrle et al 2021, da im Originaldatensatz keine Daten zum CHP Wert sind. Faktor: 1,05</text>
  </threadedComment>
  <threadedComment ref="J27" dT="2022-11-27T16:58:17.03" personId="{A1512B1F-CF5D-4A33-9BC3-515043DA802F}" id="{7532C294-BC69-45CF-B447-786377EBF8EF}">
    <text>Faktor 1,05 wie in Daten von Wehrle et al</text>
  </threadedComment>
  <threadedComment ref="F28" dT="2022-11-13T14:58:20.84" personId="{A1512B1F-CF5D-4A33-9BC3-515043DA802F}" id="{66206ECF-E7F8-47AB-81C4-8E4C19EF6491}">
    <text>= max. 1/60 der Kapazität</text>
  </threadedComment>
  <threadedComment ref="J28" dT="2022-11-13T15:16:10.66" personId="{A1512B1F-CF5D-4A33-9BC3-515043DA802F}" id="{FA23D085-D9BE-4066-8317-B8EDA0C51866}">
    <text>Umgerechnet von 8,6€/MWh wenn 2,9 MW/175MWh. I.e. ratio of ca. 60,3 MWh/MW</text>
  </threadedComment>
  <threadedComment ref="M28" dT="2022-11-13T14:57:49.53" personId="{A1512B1F-CF5D-4A33-9BC3-515043DA802F}" id="{00CD7BC5-5367-48A1-8479-B90AE522C112}">
    <text>+ 0,2% loss per day
Or 0,00833 % (1/12000) per hour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13" Type="http://schemas.openxmlformats.org/officeDocument/2006/relationships/hyperlink" Target="https://www.siemens-energy.com/global/en/offerings/power-generation/power-plants/hydrogen-power-plants.html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12" Type="http://schemas.openxmlformats.org/officeDocument/2006/relationships/hyperlink" Target="https://ens.dk/en/our-services/projections-and-models/technology-data/technology-data-renewable-fuels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diw.de/documents/publikationen/73/diw_01.c.574130.de/diw_datadoc_2017-092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Relationship Id="rId1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23"/>
  <sheetViews>
    <sheetView topLeftCell="A10" workbookViewId="0">
      <selection activeCell="D18" sqref="D18"/>
    </sheetView>
  </sheetViews>
  <sheetFormatPr baseColWidth="10" defaultRowHeight="14.5" x14ac:dyDescent="0.35"/>
  <cols>
    <col min="2" max="2" width="21.7265625" bestFit="1" customWidth="1"/>
    <col min="4" max="4" width="90.453125" bestFit="1" customWidth="1"/>
    <col min="5" max="5" width="24.453125" customWidth="1"/>
  </cols>
  <sheetData>
    <row r="1" spans="1:6" x14ac:dyDescent="0.35">
      <c r="A1" s="2" t="s">
        <v>149</v>
      </c>
      <c r="B1" s="2" t="s">
        <v>150</v>
      </c>
      <c r="C1" s="2" t="s">
        <v>151</v>
      </c>
      <c r="D1" s="2" t="s">
        <v>152</v>
      </c>
      <c r="E1" s="2" t="s">
        <v>165</v>
      </c>
      <c r="F1" s="2" t="s">
        <v>154</v>
      </c>
    </row>
    <row r="2" spans="1:6" x14ac:dyDescent="0.35">
      <c r="A2">
        <v>1</v>
      </c>
      <c r="B2" t="s">
        <v>155</v>
      </c>
      <c r="C2">
        <v>2022</v>
      </c>
      <c r="D2" t="s">
        <v>406</v>
      </c>
      <c r="E2" s="17" t="s">
        <v>168</v>
      </c>
    </row>
    <row r="3" spans="1:6" x14ac:dyDescent="0.35">
      <c r="A3">
        <v>2</v>
      </c>
      <c r="B3" t="s">
        <v>155</v>
      </c>
      <c r="C3">
        <v>2018</v>
      </c>
      <c r="D3" t="s">
        <v>171</v>
      </c>
      <c r="E3" s="17" t="s">
        <v>172</v>
      </c>
    </row>
    <row r="4" spans="1:6" x14ac:dyDescent="0.35">
      <c r="A4">
        <v>3</v>
      </c>
      <c r="B4" t="s">
        <v>156</v>
      </c>
      <c r="C4">
        <v>2013</v>
      </c>
      <c r="D4" t="s">
        <v>161</v>
      </c>
      <c r="E4" s="17" t="s">
        <v>169</v>
      </c>
    </row>
    <row r="5" spans="1:6" x14ac:dyDescent="0.35">
      <c r="A5">
        <v>4</v>
      </c>
      <c r="B5" t="s">
        <v>164</v>
      </c>
      <c r="C5">
        <v>2014</v>
      </c>
      <c r="D5" t="s">
        <v>163</v>
      </c>
      <c r="E5" s="17" t="s">
        <v>166</v>
      </c>
    </row>
    <row r="6" spans="1:6" x14ac:dyDescent="0.35">
      <c r="A6">
        <v>5</v>
      </c>
      <c r="B6" t="s">
        <v>162</v>
      </c>
      <c r="C6">
        <v>2017</v>
      </c>
      <c r="D6" t="s">
        <v>160</v>
      </c>
      <c r="E6" s="17" t="s">
        <v>167</v>
      </c>
    </row>
    <row r="7" spans="1:6" x14ac:dyDescent="0.35">
      <c r="A7">
        <v>6</v>
      </c>
      <c r="B7" t="s">
        <v>157</v>
      </c>
      <c r="C7">
        <v>2014</v>
      </c>
      <c r="D7" t="s">
        <v>158</v>
      </c>
      <c r="E7" s="17" t="s">
        <v>170</v>
      </c>
    </row>
    <row r="8" spans="1:6" x14ac:dyDescent="0.35">
      <c r="A8">
        <v>7</v>
      </c>
      <c r="B8" t="s">
        <v>153</v>
      </c>
      <c r="C8">
        <v>2018</v>
      </c>
      <c r="D8" t="s">
        <v>153</v>
      </c>
      <c r="F8" t="s">
        <v>148</v>
      </c>
    </row>
    <row r="9" spans="1:6" x14ac:dyDescent="0.35">
      <c r="A9">
        <v>8</v>
      </c>
      <c r="B9" t="s">
        <v>153</v>
      </c>
      <c r="C9" t="s">
        <v>153</v>
      </c>
      <c r="D9" t="s">
        <v>153</v>
      </c>
      <c r="F9" t="s">
        <v>159</v>
      </c>
    </row>
    <row r="10" spans="1:6" x14ac:dyDescent="0.35">
      <c r="A10">
        <v>9</v>
      </c>
      <c r="B10" t="s">
        <v>214</v>
      </c>
      <c r="C10">
        <v>2017</v>
      </c>
      <c r="D10" t="s">
        <v>215</v>
      </c>
      <c r="E10" s="17" t="s">
        <v>216</v>
      </c>
    </row>
    <row r="11" spans="1:6" x14ac:dyDescent="0.35">
      <c r="A11">
        <v>10</v>
      </c>
      <c r="B11" t="s">
        <v>222</v>
      </c>
      <c r="C11">
        <v>2017</v>
      </c>
      <c r="D11" t="s">
        <v>223</v>
      </c>
      <c r="E11" t="s">
        <v>224</v>
      </c>
      <c r="F11" t="s">
        <v>236</v>
      </c>
    </row>
    <row r="12" spans="1:6" x14ac:dyDescent="0.35">
      <c r="A12">
        <v>11</v>
      </c>
      <c r="B12" t="s">
        <v>225</v>
      </c>
      <c r="C12">
        <v>2007</v>
      </c>
      <c r="D12" t="s">
        <v>232</v>
      </c>
      <c r="E12" s="17" t="s">
        <v>230</v>
      </c>
      <c r="F12" t="s">
        <v>231</v>
      </c>
    </row>
    <row r="13" spans="1:6" x14ac:dyDescent="0.35">
      <c r="A13">
        <v>12</v>
      </c>
      <c r="B13" t="s">
        <v>225</v>
      </c>
      <c r="C13">
        <v>2008</v>
      </c>
      <c r="D13" t="s">
        <v>227</v>
      </c>
      <c r="E13" s="17" t="s">
        <v>226</v>
      </c>
    </row>
    <row r="14" spans="1:6" x14ac:dyDescent="0.35">
      <c r="A14">
        <v>13</v>
      </c>
      <c r="B14" t="s">
        <v>225</v>
      </c>
      <c r="C14">
        <v>2008</v>
      </c>
      <c r="D14" t="s">
        <v>228</v>
      </c>
      <c r="E14" t="s">
        <v>229</v>
      </c>
    </row>
    <row r="15" spans="1:6" x14ac:dyDescent="0.35">
      <c r="A15">
        <v>14</v>
      </c>
      <c r="B15" t="s">
        <v>225</v>
      </c>
      <c r="C15">
        <v>2008</v>
      </c>
      <c r="D15" t="s">
        <v>235</v>
      </c>
      <c r="E15" s="17" t="s">
        <v>233</v>
      </c>
      <c r="F15" t="s">
        <v>234</v>
      </c>
    </row>
    <row r="16" spans="1:6" x14ac:dyDescent="0.35">
      <c r="A16">
        <v>15</v>
      </c>
      <c r="B16" t="s">
        <v>155</v>
      </c>
      <c r="C16">
        <v>2017</v>
      </c>
      <c r="D16" t="s">
        <v>255</v>
      </c>
    </row>
    <row r="17" spans="1:5" x14ac:dyDescent="0.35">
      <c r="A17">
        <v>16</v>
      </c>
      <c r="B17" t="s">
        <v>328</v>
      </c>
      <c r="C17">
        <v>2014</v>
      </c>
      <c r="D17" t="s">
        <v>329</v>
      </c>
      <c r="E17" s="17" t="s">
        <v>330</v>
      </c>
    </row>
    <row r="18" spans="1:5" x14ac:dyDescent="0.35">
      <c r="A18">
        <v>17</v>
      </c>
      <c r="B18" t="s">
        <v>331</v>
      </c>
      <c r="C18">
        <v>2018</v>
      </c>
      <c r="D18" t="s">
        <v>332</v>
      </c>
      <c r="E18" t="s">
        <v>333</v>
      </c>
    </row>
    <row r="19" spans="1:5" x14ac:dyDescent="0.35">
      <c r="A19">
        <v>18</v>
      </c>
      <c r="B19" t="s">
        <v>155</v>
      </c>
      <c r="C19">
        <v>2022</v>
      </c>
      <c r="D19" t="s">
        <v>373</v>
      </c>
      <c r="E19" s="17" t="s">
        <v>372</v>
      </c>
    </row>
    <row r="20" spans="1:5" x14ac:dyDescent="0.35">
      <c r="A20">
        <v>19</v>
      </c>
      <c r="B20" t="s">
        <v>378</v>
      </c>
      <c r="E20" s="17" t="s">
        <v>379</v>
      </c>
    </row>
    <row r="21" spans="1:5" x14ac:dyDescent="0.35">
      <c r="A21">
        <v>20</v>
      </c>
      <c r="B21" t="s">
        <v>387</v>
      </c>
      <c r="C21">
        <v>2021</v>
      </c>
      <c r="D21" s="46" t="s">
        <v>389</v>
      </c>
      <c r="E21" t="s">
        <v>388</v>
      </c>
    </row>
    <row r="22" spans="1:5" x14ac:dyDescent="0.35">
      <c r="A22">
        <v>21</v>
      </c>
      <c r="B22" t="s">
        <v>393</v>
      </c>
      <c r="C22">
        <v>2022</v>
      </c>
      <c r="D22" s="46" t="s">
        <v>392</v>
      </c>
      <c r="E22" t="s">
        <v>391</v>
      </c>
    </row>
    <row r="23" spans="1:5" x14ac:dyDescent="0.35">
      <c r="A23">
        <v>22</v>
      </c>
      <c r="B23" t="s">
        <v>425</v>
      </c>
      <c r="C23">
        <v>2021</v>
      </c>
      <c r="D23" t="s">
        <v>426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  <hyperlink ref="E19" r:id="rId12" xr:uid="{5462AAAC-675E-4A65-B8B9-F62B71887219}"/>
    <hyperlink ref="E20" r:id="rId13" xr:uid="{0C19AB8F-23D2-4D20-A076-1562CC47AAAE}"/>
  </hyperlinks>
  <pageMargins left="0.7" right="0.7" top="0.78740157499999996" bottom="0.78740157499999996" header="0.3" footer="0.3"/>
  <pageSetup paperSize="9" orientation="portrait" horizontalDpi="4294967293" verticalDpi="0" r:id="rId14"/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baseColWidth="10" defaultRowHeight="14.5" x14ac:dyDescent="0.35"/>
  <sheetData>
    <row r="1" spans="1:14" x14ac:dyDescent="0.3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5">
      <c r="A2" t="s">
        <v>1</v>
      </c>
      <c r="B2">
        <v>0</v>
      </c>
      <c r="C2" s="16"/>
      <c r="D2">
        <v>1200</v>
      </c>
      <c r="E2">
        <v>900</v>
      </c>
      <c r="F2">
        <v>5400</v>
      </c>
      <c r="G2" s="16"/>
      <c r="H2" s="16"/>
      <c r="I2">
        <v>800</v>
      </c>
      <c r="J2">
        <v>680</v>
      </c>
      <c r="K2" s="16"/>
      <c r="L2" s="16"/>
      <c r="M2">
        <v>950</v>
      </c>
      <c r="N2">
        <v>1800</v>
      </c>
    </row>
    <row r="3" spans="1:14" x14ac:dyDescent="0.35">
      <c r="A3" t="s">
        <v>7</v>
      </c>
      <c r="B3" s="16"/>
      <c r="C3">
        <v>0</v>
      </c>
      <c r="D3" s="16"/>
      <c r="E3" s="16"/>
      <c r="G3" s="16"/>
      <c r="H3">
        <v>600</v>
      </c>
      <c r="I3" s="16"/>
      <c r="J3" s="16"/>
      <c r="K3">
        <v>950</v>
      </c>
      <c r="L3" s="16"/>
      <c r="M3" s="16"/>
      <c r="N3" s="16"/>
    </row>
    <row r="4" spans="1:14" x14ac:dyDescent="0.35">
      <c r="A4" t="s">
        <v>8</v>
      </c>
      <c r="B4">
        <v>1200</v>
      </c>
      <c r="C4" s="16"/>
      <c r="D4">
        <v>0</v>
      </c>
      <c r="E4" s="16"/>
      <c r="F4">
        <v>4600</v>
      </c>
      <c r="G4" s="16"/>
      <c r="H4">
        <v>1300</v>
      </c>
      <c r="I4" s="16"/>
      <c r="J4">
        <v>3750</v>
      </c>
      <c r="K4" s="16"/>
      <c r="L4" s="16"/>
      <c r="M4" s="16"/>
      <c r="N4" s="16"/>
    </row>
    <row r="5" spans="1:14" x14ac:dyDescent="0.35">
      <c r="A5" t="s">
        <v>9</v>
      </c>
      <c r="B5">
        <v>900</v>
      </c>
      <c r="C5" s="16"/>
      <c r="D5" s="16"/>
      <c r="E5">
        <v>0</v>
      </c>
      <c r="F5">
        <v>1750</v>
      </c>
      <c r="G5" s="16"/>
      <c r="H5" s="16"/>
      <c r="I5" s="16"/>
      <c r="J5" s="16"/>
      <c r="K5" s="16"/>
      <c r="L5">
        <v>600</v>
      </c>
      <c r="M5" s="16"/>
      <c r="N5">
        <v>800</v>
      </c>
    </row>
    <row r="6" spans="1:14" x14ac:dyDescent="0.35">
      <c r="A6" t="s">
        <v>2</v>
      </c>
      <c r="B6">
        <v>5400</v>
      </c>
      <c r="D6">
        <v>4600</v>
      </c>
      <c r="E6">
        <v>2100</v>
      </c>
      <c r="F6">
        <v>0</v>
      </c>
      <c r="G6">
        <v>800</v>
      </c>
      <c r="H6">
        <v>3200</v>
      </c>
      <c r="I6" s="16"/>
      <c r="J6" s="16"/>
      <c r="L6">
        <v>150</v>
      </c>
      <c r="M6" s="16"/>
      <c r="N6" s="16"/>
    </row>
    <row r="7" spans="1:14" x14ac:dyDescent="0.35">
      <c r="A7" t="s">
        <v>10</v>
      </c>
      <c r="B7" s="16"/>
      <c r="C7" s="16"/>
      <c r="D7" s="16"/>
      <c r="E7" s="16"/>
      <c r="F7">
        <v>800</v>
      </c>
      <c r="G7">
        <v>0</v>
      </c>
      <c r="H7" s="16"/>
      <c r="I7" s="16"/>
      <c r="J7" s="16"/>
      <c r="K7" s="16"/>
      <c r="L7" s="16"/>
      <c r="M7" s="16"/>
      <c r="N7" s="16"/>
    </row>
    <row r="8" spans="1:14" x14ac:dyDescent="0.35">
      <c r="A8" t="s">
        <v>11</v>
      </c>
      <c r="B8" s="16"/>
      <c r="C8">
        <v>600</v>
      </c>
      <c r="D8">
        <v>1300</v>
      </c>
      <c r="E8" s="16"/>
      <c r="F8">
        <v>3200</v>
      </c>
      <c r="G8" s="16"/>
      <c r="H8">
        <v>0</v>
      </c>
      <c r="I8" s="16"/>
      <c r="J8">
        <v>870</v>
      </c>
      <c r="K8" s="16"/>
      <c r="L8" s="16"/>
      <c r="M8" s="16"/>
      <c r="N8" s="16"/>
    </row>
    <row r="9" spans="1:14" x14ac:dyDescent="0.35">
      <c r="A9" t="s">
        <v>12</v>
      </c>
      <c r="B9">
        <v>800</v>
      </c>
      <c r="C9" s="16"/>
      <c r="D9" s="16"/>
      <c r="E9" s="16"/>
      <c r="F9" s="16"/>
      <c r="G9" s="16"/>
      <c r="H9" s="16"/>
      <c r="I9">
        <v>0</v>
      </c>
      <c r="J9" s="16"/>
      <c r="K9" s="16"/>
      <c r="L9" s="16"/>
      <c r="M9">
        <v>1200</v>
      </c>
      <c r="N9">
        <v>1800</v>
      </c>
    </row>
    <row r="10" spans="1:14" x14ac:dyDescent="0.35">
      <c r="A10" t="s">
        <v>13</v>
      </c>
      <c r="B10">
        <v>680</v>
      </c>
      <c r="C10" s="16"/>
      <c r="D10">
        <v>3750</v>
      </c>
      <c r="E10" s="16"/>
      <c r="F10" s="16"/>
      <c r="G10" s="16"/>
      <c r="H10">
        <v>870</v>
      </c>
      <c r="I10" s="16"/>
      <c r="J10">
        <v>0</v>
      </c>
      <c r="K10" s="16"/>
      <c r="L10" s="16"/>
      <c r="M10">
        <v>650</v>
      </c>
      <c r="N10" s="16"/>
    </row>
    <row r="11" spans="1:14" x14ac:dyDescent="0.35">
      <c r="A11" t="s">
        <v>14</v>
      </c>
      <c r="B11" s="16"/>
      <c r="C11">
        <v>950</v>
      </c>
      <c r="D11" s="16"/>
      <c r="E11" s="16"/>
      <c r="G11" s="16"/>
      <c r="H11" s="16"/>
      <c r="I11" s="16"/>
      <c r="J11" s="16"/>
      <c r="K11">
        <v>0</v>
      </c>
      <c r="L11" s="16"/>
      <c r="M11" s="16"/>
      <c r="N11" s="16"/>
    </row>
    <row r="12" spans="1:14" x14ac:dyDescent="0.35">
      <c r="A12" t="s">
        <v>15</v>
      </c>
      <c r="B12" s="16"/>
      <c r="C12" s="16"/>
      <c r="D12" s="16"/>
      <c r="E12">
        <v>600</v>
      </c>
      <c r="F12">
        <v>150</v>
      </c>
      <c r="G12" s="16"/>
      <c r="H12" s="16"/>
      <c r="I12" s="16"/>
      <c r="J12" s="16"/>
      <c r="K12" s="16"/>
      <c r="L12">
        <v>0</v>
      </c>
      <c r="M12" s="16"/>
    </row>
    <row r="13" spans="1:14" x14ac:dyDescent="0.35">
      <c r="A13" t="s">
        <v>16</v>
      </c>
      <c r="B13">
        <v>950</v>
      </c>
      <c r="C13" s="16"/>
      <c r="D13" s="16"/>
      <c r="E13" s="16"/>
      <c r="F13" s="16"/>
      <c r="G13" s="16"/>
      <c r="H13" s="16"/>
      <c r="I13">
        <v>1200</v>
      </c>
      <c r="J13">
        <v>650</v>
      </c>
      <c r="K13" s="16"/>
      <c r="L13" s="16"/>
      <c r="M13">
        <v>0</v>
      </c>
      <c r="N13" s="16"/>
    </row>
    <row r="14" spans="1:14" x14ac:dyDescent="0.35">
      <c r="A14" t="s">
        <v>17</v>
      </c>
      <c r="C14" s="16"/>
      <c r="D14" s="16"/>
      <c r="E14">
        <v>1800</v>
      </c>
      <c r="F14" s="16"/>
      <c r="G14" s="16"/>
      <c r="H14" s="16"/>
      <c r="I14">
        <v>1800</v>
      </c>
      <c r="J14" s="16"/>
      <c r="K14" s="16"/>
      <c r="M14" s="16"/>
      <c r="N14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527D-2FD9-4809-BA39-0125140E393D}">
  <dimension ref="A1:D14"/>
  <sheetViews>
    <sheetView workbookViewId="0">
      <selection activeCell="B17" sqref="B17"/>
    </sheetView>
  </sheetViews>
  <sheetFormatPr baseColWidth="10" defaultRowHeight="14.5" x14ac:dyDescent="0.35"/>
  <sheetData>
    <row r="1" spans="1:4" x14ac:dyDescent="0.35">
      <c r="A1" t="s">
        <v>352</v>
      </c>
      <c r="B1" t="s">
        <v>353</v>
      </c>
      <c r="C1" t="s">
        <v>281</v>
      </c>
      <c r="D1" t="s">
        <v>354</v>
      </c>
    </row>
    <row r="2" spans="1:4" x14ac:dyDescent="0.35">
      <c r="A2" t="s">
        <v>1</v>
      </c>
      <c r="C2" t="s">
        <v>137</v>
      </c>
    </row>
    <row r="3" spans="1:4" x14ac:dyDescent="0.35">
      <c r="A3" t="s">
        <v>7</v>
      </c>
      <c r="C3" t="s">
        <v>137</v>
      </c>
    </row>
    <row r="4" spans="1:4" x14ac:dyDescent="0.35">
      <c r="A4" t="s">
        <v>8</v>
      </c>
      <c r="C4" t="s">
        <v>137</v>
      </c>
    </row>
    <row r="5" spans="1:4" x14ac:dyDescent="0.35">
      <c r="A5" t="s">
        <v>9</v>
      </c>
      <c r="C5" t="s">
        <v>137</v>
      </c>
    </row>
    <row r="6" spans="1:4" x14ac:dyDescent="0.35">
      <c r="A6" t="s">
        <v>2</v>
      </c>
      <c r="C6" t="s">
        <v>137</v>
      </c>
    </row>
    <row r="7" spans="1:4" x14ac:dyDescent="0.35">
      <c r="A7" t="s">
        <v>10</v>
      </c>
      <c r="C7" t="s">
        <v>137</v>
      </c>
    </row>
    <row r="8" spans="1:4" x14ac:dyDescent="0.35">
      <c r="A8" t="s">
        <v>11</v>
      </c>
      <c r="C8" t="s">
        <v>137</v>
      </c>
    </row>
    <row r="9" spans="1:4" x14ac:dyDescent="0.35">
      <c r="A9" t="s">
        <v>12</v>
      </c>
      <c r="C9" t="s">
        <v>137</v>
      </c>
    </row>
    <row r="10" spans="1:4" x14ac:dyDescent="0.35">
      <c r="A10" t="s">
        <v>13</v>
      </c>
      <c r="C10" t="s">
        <v>137</v>
      </c>
    </row>
    <row r="11" spans="1:4" x14ac:dyDescent="0.35">
      <c r="A11" t="s">
        <v>14</v>
      </c>
      <c r="C11" t="s">
        <v>137</v>
      </c>
    </row>
    <row r="12" spans="1:4" x14ac:dyDescent="0.35">
      <c r="A12" t="s">
        <v>15</v>
      </c>
      <c r="C12" t="s">
        <v>137</v>
      </c>
    </row>
    <row r="13" spans="1:4" x14ac:dyDescent="0.35">
      <c r="A13" t="s">
        <v>16</v>
      </c>
      <c r="C13" t="s">
        <v>137</v>
      </c>
    </row>
    <row r="14" spans="1:4" x14ac:dyDescent="0.35">
      <c r="A14" t="s">
        <v>17</v>
      </c>
      <c r="C14" t="s">
        <v>137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4.5" x14ac:dyDescent="0.35"/>
  <sheetData>
    <row r="1" spans="1:14" x14ac:dyDescent="0.3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5">
      <c r="A2" t="s">
        <v>1</v>
      </c>
      <c r="B2">
        <v>0</v>
      </c>
      <c r="C2" s="16"/>
      <c r="D2">
        <v>429</v>
      </c>
      <c r="E2">
        <v>308</v>
      </c>
      <c r="F2">
        <v>464</v>
      </c>
      <c r="G2" s="16"/>
      <c r="H2" s="16"/>
      <c r="I2">
        <v>434</v>
      </c>
      <c r="J2">
        <v>576</v>
      </c>
      <c r="K2" s="16"/>
      <c r="L2" s="16"/>
      <c r="M2">
        <v>198</v>
      </c>
      <c r="N2">
        <v>422</v>
      </c>
    </row>
    <row r="3" spans="1:14" x14ac:dyDescent="0.35">
      <c r="A3" t="s">
        <v>7</v>
      </c>
      <c r="B3" s="16"/>
      <c r="C3">
        <v>0</v>
      </c>
      <c r="D3" s="16"/>
      <c r="E3" s="16"/>
      <c r="F3">
        <v>408</v>
      </c>
      <c r="G3" s="16"/>
      <c r="H3">
        <v>483</v>
      </c>
      <c r="I3" s="16"/>
      <c r="J3" s="16"/>
      <c r="K3">
        <v>176</v>
      </c>
      <c r="L3" s="16"/>
      <c r="M3" s="16"/>
      <c r="N3" s="16"/>
    </row>
    <row r="4" spans="1:14" x14ac:dyDescent="0.35">
      <c r="A4" t="s">
        <v>8</v>
      </c>
      <c r="B4">
        <v>429</v>
      </c>
      <c r="C4" s="16"/>
      <c r="D4">
        <v>0</v>
      </c>
      <c r="E4" s="16"/>
      <c r="F4">
        <v>512</v>
      </c>
      <c r="G4" s="16"/>
      <c r="H4">
        <v>444</v>
      </c>
      <c r="I4" s="16"/>
      <c r="J4">
        <v>591</v>
      </c>
      <c r="K4" s="16"/>
      <c r="L4" s="16"/>
      <c r="M4" s="16"/>
      <c r="N4" s="16"/>
    </row>
    <row r="5" spans="1:14" x14ac:dyDescent="0.35">
      <c r="A5" t="s">
        <v>9</v>
      </c>
      <c r="B5">
        <v>308</v>
      </c>
      <c r="C5" s="16"/>
      <c r="D5" s="16"/>
      <c r="E5">
        <v>0</v>
      </c>
      <c r="F5">
        <v>442</v>
      </c>
      <c r="G5" s="16"/>
      <c r="H5" s="16"/>
      <c r="I5" s="16"/>
      <c r="J5" s="16"/>
      <c r="K5" s="16"/>
      <c r="L5">
        <v>389</v>
      </c>
      <c r="M5" s="16"/>
      <c r="N5">
        <v>305</v>
      </c>
    </row>
    <row r="6" spans="1:14" x14ac:dyDescent="0.3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6"/>
      <c r="J6" s="16"/>
      <c r="K6">
        <v>349</v>
      </c>
      <c r="L6">
        <v>633</v>
      </c>
      <c r="M6" s="16"/>
      <c r="N6" s="16"/>
    </row>
    <row r="7" spans="1:14" x14ac:dyDescent="0.35">
      <c r="A7" t="s">
        <v>10</v>
      </c>
      <c r="B7" s="16"/>
      <c r="C7" s="16"/>
      <c r="D7" s="16"/>
      <c r="E7" s="16"/>
      <c r="F7">
        <v>536</v>
      </c>
      <c r="G7">
        <v>0</v>
      </c>
      <c r="H7" s="16"/>
      <c r="I7" s="16"/>
      <c r="J7" s="16"/>
      <c r="K7" s="16"/>
      <c r="L7" s="16"/>
      <c r="M7" s="16"/>
      <c r="N7" s="16"/>
    </row>
    <row r="8" spans="1:14" x14ac:dyDescent="0.35">
      <c r="A8" t="s">
        <v>11</v>
      </c>
      <c r="B8" s="16"/>
      <c r="C8">
        <v>483</v>
      </c>
      <c r="D8">
        <v>444</v>
      </c>
      <c r="E8" s="16"/>
      <c r="F8">
        <v>780</v>
      </c>
      <c r="G8" s="16"/>
      <c r="H8">
        <v>0</v>
      </c>
      <c r="I8" s="16"/>
      <c r="J8">
        <v>916</v>
      </c>
      <c r="K8" s="16"/>
      <c r="L8" s="16"/>
      <c r="M8" s="16"/>
      <c r="N8" s="16"/>
    </row>
    <row r="9" spans="1:14" x14ac:dyDescent="0.35">
      <c r="A9" t="s">
        <v>12</v>
      </c>
      <c r="B9">
        <v>434</v>
      </c>
      <c r="C9" s="16"/>
      <c r="D9" s="16"/>
      <c r="E9" s="16"/>
      <c r="F9" s="16"/>
      <c r="G9" s="16"/>
      <c r="H9" s="16"/>
      <c r="I9">
        <v>0</v>
      </c>
      <c r="J9" s="16"/>
      <c r="K9" s="16"/>
      <c r="L9" s="16"/>
      <c r="M9">
        <v>395</v>
      </c>
      <c r="N9">
        <v>172</v>
      </c>
    </row>
    <row r="10" spans="1:14" x14ac:dyDescent="0.35">
      <c r="A10" t="s">
        <v>13</v>
      </c>
      <c r="B10">
        <v>576</v>
      </c>
      <c r="C10" s="16"/>
      <c r="D10">
        <v>591</v>
      </c>
      <c r="E10" s="16"/>
      <c r="F10" s="16"/>
      <c r="G10" s="16"/>
      <c r="H10">
        <v>916</v>
      </c>
      <c r="I10" s="16"/>
      <c r="J10">
        <v>0</v>
      </c>
      <c r="K10" s="16"/>
      <c r="L10" s="16"/>
      <c r="M10">
        <v>415</v>
      </c>
      <c r="N10" s="16"/>
    </row>
    <row r="11" spans="1:14" x14ac:dyDescent="0.35">
      <c r="A11" t="s">
        <v>14</v>
      </c>
      <c r="B11" s="16"/>
      <c r="C11">
        <v>176</v>
      </c>
      <c r="D11" s="16"/>
      <c r="E11" s="16"/>
      <c r="F11">
        <v>349</v>
      </c>
      <c r="G11" s="16"/>
      <c r="H11" s="16"/>
      <c r="I11" s="16"/>
      <c r="J11" s="16"/>
      <c r="K11">
        <v>0</v>
      </c>
      <c r="L11" s="16"/>
      <c r="M11" s="16"/>
      <c r="N11" s="16"/>
    </row>
    <row r="12" spans="1:14" x14ac:dyDescent="0.35">
      <c r="A12" t="s">
        <v>15</v>
      </c>
      <c r="B12" s="16"/>
      <c r="C12" s="16"/>
      <c r="D12" s="16"/>
      <c r="E12">
        <v>389</v>
      </c>
      <c r="F12">
        <v>633</v>
      </c>
      <c r="G12" s="16"/>
      <c r="H12" s="16"/>
      <c r="I12" s="16"/>
      <c r="J12" s="16"/>
      <c r="K12" s="16"/>
      <c r="L12">
        <v>0</v>
      </c>
      <c r="M12" s="16"/>
      <c r="N12">
        <v>374</v>
      </c>
    </row>
    <row r="13" spans="1:14" x14ac:dyDescent="0.35">
      <c r="A13" t="s">
        <v>16</v>
      </c>
      <c r="B13">
        <v>198</v>
      </c>
      <c r="C13" s="16"/>
      <c r="D13" s="16"/>
      <c r="E13" s="16"/>
      <c r="F13" s="16"/>
      <c r="G13" s="16"/>
      <c r="H13" s="16"/>
      <c r="I13">
        <v>395</v>
      </c>
      <c r="J13">
        <v>415</v>
      </c>
      <c r="K13" s="16"/>
      <c r="L13" s="16"/>
      <c r="M13">
        <v>0</v>
      </c>
      <c r="N13" s="16"/>
    </row>
    <row r="14" spans="1:14" x14ac:dyDescent="0.35">
      <c r="A14" t="s">
        <v>17</v>
      </c>
      <c r="B14">
        <v>422</v>
      </c>
      <c r="C14" s="16"/>
      <c r="D14" s="16"/>
      <c r="E14">
        <v>305</v>
      </c>
      <c r="F14" s="16"/>
      <c r="G14" s="16"/>
      <c r="H14" s="16"/>
      <c r="I14">
        <v>172</v>
      </c>
      <c r="J14" s="16"/>
      <c r="K14" s="16"/>
      <c r="L14">
        <v>374</v>
      </c>
      <c r="M14" s="16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baseColWidth="10" defaultRowHeight="14.5" x14ac:dyDescent="0.35"/>
  <sheetData>
    <row r="1" spans="1:12" x14ac:dyDescent="0.35">
      <c r="A1" s="2" t="s">
        <v>147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283</v>
      </c>
      <c r="H1" s="2" t="s">
        <v>132</v>
      </c>
      <c r="I1" s="2" t="s">
        <v>133</v>
      </c>
      <c r="J1" s="2" t="s">
        <v>134</v>
      </c>
      <c r="K1" s="2" t="s">
        <v>366</v>
      </c>
      <c r="L1" s="2" t="s">
        <v>135</v>
      </c>
    </row>
    <row r="2" spans="1:12" x14ac:dyDescent="0.35">
      <c r="A2" t="s">
        <v>1</v>
      </c>
      <c r="B2">
        <v>1</v>
      </c>
      <c r="C2">
        <v>9</v>
      </c>
      <c r="D2">
        <v>9</v>
      </c>
      <c r="E2">
        <v>6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35">
      <c r="A3" t="s">
        <v>2</v>
      </c>
      <c r="B3">
        <v>1</v>
      </c>
      <c r="C3">
        <v>1</v>
      </c>
      <c r="D3">
        <v>1</v>
      </c>
      <c r="E3">
        <v>3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CF3D-3091-4B96-A9BA-3C440DCBB176}">
  <dimension ref="A1:C5"/>
  <sheetViews>
    <sheetView workbookViewId="0">
      <selection activeCell="C6" sqref="C6"/>
    </sheetView>
  </sheetViews>
  <sheetFormatPr baseColWidth="10" defaultRowHeight="14.5" x14ac:dyDescent="0.35"/>
  <sheetData>
    <row r="1" spans="1:3" x14ac:dyDescent="0.35">
      <c r="B1" t="s">
        <v>1</v>
      </c>
      <c r="C1" t="s">
        <v>2</v>
      </c>
    </row>
    <row r="2" spans="1:3" x14ac:dyDescent="0.35">
      <c r="A2" t="s">
        <v>137</v>
      </c>
      <c r="B2">
        <v>12500</v>
      </c>
      <c r="C2">
        <v>12500</v>
      </c>
    </row>
    <row r="3" spans="1:3" x14ac:dyDescent="0.35">
      <c r="A3" t="s">
        <v>138</v>
      </c>
      <c r="B3">
        <v>25000</v>
      </c>
      <c r="C3">
        <v>25000</v>
      </c>
    </row>
    <row r="4" spans="1:3" x14ac:dyDescent="0.35">
      <c r="A4" t="s">
        <v>356</v>
      </c>
      <c r="B4">
        <v>10000</v>
      </c>
      <c r="C4">
        <v>10000</v>
      </c>
    </row>
    <row r="5" spans="1:3" x14ac:dyDescent="0.35">
      <c r="A5" t="s">
        <v>359</v>
      </c>
      <c r="B5">
        <v>50000</v>
      </c>
      <c r="C5">
        <v>50000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4.5" x14ac:dyDescent="0.35"/>
  <sheetData>
    <row r="1" spans="1:3" x14ac:dyDescent="0.35">
      <c r="B1" t="s">
        <v>1</v>
      </c>
      <c r="C1" t="s">
        <v>2</v>
      </c>
    </row>
    <row r="2" spans="1:3" x14ac:dyDescent="0.35">
      <c r="A2" t="s">
        <v>322</v>
      </c>
      <c r="B2">
        <v>0.125</v>
      </c>
      <c r="C2">
        <v>0.125</v>
      </c>
    </row>
    <row r="3" spans="1:3" x14ac:dyDescent="0.35">
      <c r="A3" t="s">
        <v>323</v>
      </c>
      <c r="B3">
        <v>0.17499999999999999</v>
      </c>
      <c r="C3">
        <v>0.17499999999999999</v>
      </c>
    </row>
    <row r="4" spans="1:3" x14ac:dyDescent="0.35">
      <c r="A4" t="s">
        <v>324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workbookViewId="0">
      <selection activeCell="A12" sqref="A12"/>
    </sheetView>
  </sheetViews>
  <sheetFormatPr baseColWidth="10" defaultRowHeight="14.5" x14ac:dyDescent="0.35"/>
  <sheetData>
    <row r="1" spans="1:2" x14ac:dyDescent="0.35">
      <c r="B1" t="s">
        <v>325</v>
      </c>
    </row>
    <row r="2" spans="1:2" x14ac:dyDescent="0.35">
      <c r="A2" t="s">
        <v>20</v>
      </c>
      <c r="B2">
        <v>0</v>
      </c>
    </row>
    <row r="3" spans="1:2" x14ac:dyDescent="0.35">
      <c r="A3" t="s">
        <v>128</v>
      </c>
      <c r="B3">
        <v>0.39900000000000002</v>
      </c>
    </row>
    <row r="4" spans="1:2" x14ac:dyDescent="0.35">
      <c r="A4" t="s">
        <v>129</v>
      </c>
      <c r="B4">
        <v>0.33700000000000002</v>
      </c>
    </row>
    <row r="5" spans="1:2" x14ac:dyDescent="0.35">
      <c r="A5" t="s">
        <v>130</v>
      </c>
      <c r="B5">
        <v>0.20100000000000001</v>
      </c>
    </row>
    <row r="6" spans="1:2" x14ac:dyDescent="0.35">
      <c r="A6" t="s">
        <v>131</v>
      </c>
      <c r="B6">
        <v>0.26600000000000001</v>
      </c>
    </row>
    <row r="7" spans="1:2" x14ac:dyDescent="0.35">
      <c r="A7" t="s">
        <v>283</v>
      </c>
      <c r="B7">
        <v>0</v>
      </c>
    </row>
    <row r="8" spans="1:2" x14ac:dyDescent="0.35">
      <c r="A8" t="s">
        <v>132</v>
      </c>
      <c r="B8">
        <v>0</v>
      </c>
    </row>
    <row r="9" spans="1:2" x14ac:dyDescent="0.35">
      <c r="A9" t="s">
        <v>133</v>
      </c>
      <c r="B9">
        <v>0</v>
      </c>
    </row>
    <row r="10" spans="1:2" x14ac:dyDescent="0.35">
      <c r="A10" t="s">
        <v>134</v>
      </c>
      <c r="B10">
        <v>0</v>
      </c>
    </row>
    <row r="11" spans="1:2" x14ac:dyDescent="0.35">
      <c r="A11" t="s">
        <v>366</v>
      </c>
      <c r="B11">
        <v>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RowHeight="14.5" x14ac:dyDescent="0.35"/>
  <sheetData>
    <row r="1" spans="1:2" x14ac:dyDescent="0.35">
      <c r="A1" s="2" t="s">
        <v>147</v>
      </c>
      <c r="B1" s="2" t="s">
        <v>63</v>
      </c>
    </row>
    <row r="2" spans="1:2" x14ac:dyDescent="0.35">
      <c r="A2" t="s">
        <v>1</v>
      </c>
      <c r="B2">
        <v>0.03</v>
      </c>
    </row>
    <row r="3" spans="1:2" x14ac:dyDescent="0.3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RowHeight="14.5" x14ac:dyDescent="0.35"/>
  <sheetData>
    <row r="1" spans="1:6" x14ac:dyDescent="0.35">
      <c r="A1" s="2" t="s">
        <v>147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t="s">
        <v>1</v>
      </c>
      <c r="B2">
        <v>2012</v>
      </c>
      <c r="C2">
        <v>0.215</v>
      </c>
      <c r="D2">
        <v>5.53</v>
      </c>
      <c r="E2">
        <v>1.337</v>
      </c>
      <c r="F2">
        <v>0</v>
      </c>
    </row>
    <row r="3" spans="1:6" x14ac:dyDescent="0.35">
      <c r="A3" t="s">
        <v>1</v>
      </c>
      <c r="B3">
        <v>2013</v>
      </c>
      <c r="C3">
        <v>0.46100000000000002</v>
      </c>
      <c r="D3">
        <v>5.58</v>
      </c>
      <c r="E3">
        <v>1.681</v>
      </c>
      <c r="F3">
        <v>0</v>
      </c>
    </row>
    <row r="4" spans="1:6" x14ac:dyDescent="0.35">
      <c r="A4" t="s">
        <v>1</v>
      </c>
      <c r="B4">
        <v>2014</v>
      </c>
      <c r="C4">
        <v>0.72399999999999998</v>
      </c>
      <c r="D4">
        <v>5.6210000000000004</v>
      </c>
      <c r="E4">
        <v>2.11</v>
      </c>
      <c r="F4">
        <v>0</v>
      </c>
    </row>
    <row r="5" spans="1:6" x14ac:dyDescent="0.35">
      <c r="A5" t="s">
        <v>1</v>
      </c>
      <c r="B5">
        <v>2015</v>
      </c>
      <c r="C5">
        <v>0.872</v>
      </c>
      <c r="D5">
        <v>5.6619999999999999</v>
      </c>
      <c r="E5">
        <v>2.4889999999999999</v>
      </c>
      <c r="F5">
        <v>0</v>
      </c>
    </row>
    <row r="6" spans="1:6" x14ac:dyDescent="0.35">
      <c r="A6" t="s">
        <v>1</v>
      </c>
      <c r="B6">
        <v>2016</v>
      </c>
      <c r="C6">
        <v>1.0329999999999999</v>
      </c>
      <c r="D6">
        <v>5.7</v>
      </c>
      <c r="E6">
        <v>2.73</v>
      </c>
      <c r="F6">
        <v>0</v>
      </c>
    </row>
    <row r="7" spans="1:6" x14ac:dyDescent="0.35">
      <c r="A7" t="s">
        <v>1</v>
      </c>
      <c r="B7">
        <v>2017</v>
      </c>
      <c r="C7">
        <v>1.1930000000000001</v>
      </c>
      <c r="D7">
        <v>5.7160000000000002</v>
      </c>
      <c r="E7">
        <v>2.887</v>
      </c>
      <c r="F7">
        <v>0</v>
      </c>
    </row>
    <row r="8" spans="1:6" x14ac:dyDescent="0.35">
      <c r="A8" t="s">
        <v>1</v>
      </c>
      <c r="B8">
        <v>2018</v>
      </c>
      <c r="C8">
        <v>1.371</v>
      </c>
      <c r="D8">
        <v>5.7229999999999999</v>
      </c>
      <c r="E8">
        <v>3.133</v>
      </c>
      <c r="F8">
        <v>0</v>
      </c>
    </row>
    <row r="9" spans="1:6" x14ac:dyDescent="0.35">
      <c r="A9" t="s">
        <v>1</v>
      </c>
      <c r="B9">
        <v>2019</v>
      </c>
      <c r="C9">
        <v>1.615</v>
      </c>
      <c r="D9">
        <v>5.7969999999999997</v>
      </c>
      <c r="E9">
        <v>3.2080000000000002</v>
      </c>
      <c r="F9">
        <v>0</v>
      </c>
    </row>
    <row r="10" spans="1:6" x14ac:dyDescent="0.35">
      <c r="A10" t="s">
        <v>1</v>
      </c>
      <c r="B10">
        <v>2020</v>
      </c>
      <c r="C10">
        <v>1.976</v>
      </c>
      <c r="D10">
        <v>5.7960000000000003</v>
      </c>
      <c r="E10">
        <v>3.1640000000000001</v>
      </c>
      <c r="F10">
        <v>0</v>
      </c>
    </row>
    <row r="11" spans="1:6" x14ac:dyDescent="0.3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3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3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3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3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3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3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35">
      <c r="A18" t="s">
        <v>2</v>
      </c>
      <c r="B18">
        <v>2019</v>
      </c>
    </row>
    <row r="19" spans="1:6" x14ac:dyDescent="0.3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4.5" x14ac:dyDescent="0.35"/>
  <cols>
    <col min="9" max="9" width="12.1796875" bestFit="1" customWidth="1"/>
  </cols>
  <sheetData>
    <row r="1" spans="1:9" ht="43.5" x14ac:dyDescent="0.35">
      <c r="A1" s="2" t="s">
        <v>147</v>
      </c>
      <c r="B1" s="14" t="s">
        <v>145</v>
      </c>
      <c r="C1" s="14" t="s">
        <v>64</v>
      </c>
      <c r="D1" s="20" t="s">
        <v>146</v>
      </c>
      <c r="E1" s="21" t="s">
        <v>143</v>
      </c>
      <c r="F1" s="21" t="s">
        <v>144</v>
      </c>
      <c r="G1" s="14" t="s">
        <v>221</v>
      </c>
    </row>
    <row r="2" spans="1:9" ht="30" customHeight="1" x14ac:dyDescent="0.35">
      <c r="A2" s="18" t="s">
        <v>1</v>
      </c>
      <c r="B2" s="18" t="s">
        <v>3</v>
      </c>
      <c r="C2" s="1">
        <v>40</v>
      </c>
      <c r="D2" s="18">
        <f>D6</f>
        <v>625000</v>
      </c>
      <c r="E2" s="18">
        <f t="shared" ref="E2:F2" si="0">E6</f>
        <v>9032</v>
      </c>
      <c r="F2" s="19">
        <f t="shared" si="0"/>
        <v>0</v>
      </c>
      <c r="G2" s="1">
        <f>ROUND((WACC!$B$2*(1+WACC!$B$2)^$C2)/((1+WACC!$B$2)^$C2-1)*$D2,0)</f>
        <v>27039</v>
      </c>
      <c r="H2" s="26"/>
      <c r="I2" s="27"/>
    </row>
    <row r="3" spans="1:9" ht="30" customHeight="1" x14ac:dyDescent="0.35">
      <c r="A3" s="18" t="s">
        <v>1</v>
      </c>
      <c r="B3" s="18" t="s">
        <v>4</v>
      </c>
      <c r="C3" s="1">
        <f>C7</f>
        <v>60</v>
      </c>
      <c r="D3" s="18">
        <f t="shared" ref="D3:F5" si="1">D7</f>
        <v>2800000</v>
      </c>
      <c r="E3" s="18">
        <f t="shared" si="1"/>
        <v>60000</v>
      </c>
      <c r="F3" s="19">
        <f t="shared" si="1"/>
        <v>0</v>
      </c>
      <c r="G3" s="1">
        <f>ROUND((WACC!$B$2*(1+WACC!$B$2)^$C3)/((1+WACC!$B$2)^$C3-1)*$D3,0)</f>
        <v>101172</v>
      </c>
      <c r="I3" s="22"/>
    </row>
    <row r="4" spans="1:9" x14ac:dyDescent="0.35">
      <c r="A4" t="s">
        <v>1</v>
      </c>
      <c r="B4" t="s">
        <v>5</v>
      </c>
      <c r="C4" s="1">
        <f>C8</f>
        <v>30</v>
      </c>
      <c r="D4" s="18">
        <f t="shared" si="1"/>
        <v>1040000</v>
      </c>
      <c r="E4" s="18">
        <f t="shared" si="1"/>
        <v>12600</v>
      </c>
      <c r="F4" s="19">
        <f t="shared" si="1"/>
        <v>1.35</v>
      </c>
      <c r="G4" s="1">
        <f>ROUND((WACC!$B$2*(1+WACC!$B$2)^$C4)/((1+WACC!$B$2)^$C4-1)*$D4,0)</f>
        <v>53060</v>
      </c>
      <c r="I4" s="22"/>
    </row>
    <row r="5" spans="1:9" x14ac:dyDescent="0.35">
      <c r="A5" t="s">
        <v>1</v>
      </c>
      <c r="B5" t="s">
        <v>6</v>
      </c>
      <c r="C5" s="1">
        <f>C9</f>
        <v>30</v>
      </c>
      <c r="D5" s="18">
        <f t="shared" si="1"/>
        <v>1930000</v>
      </c>
      <c r="E5" s="18">
        <f t="shared" si="1"/>
        <v>36053</v>
      </c>
      <c r="F5" s="19">
        <f t="shared" si="1"/>
        <v>2.7</v>
      </c>
      <c r="G5" s="1">
        <f>ROUND((WACC!$B$2*(1+WACC!$B$2)^$C5)/((1+WACC!$B$2)^$C5-1)*$D5,0)</f>
        <v>98467</v>
      </c>
      <c r="I5" s="22"/>
    </row>
    <row r="6" spans="1:9" x14ac:dyDescent="0.35">
      <c r="A6" t="s">
        <v>2</v>
      </c>
      <c r="B6" s="18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2"/>
    </row>
    <row r="7" spans="1:9" x14ac:dyDescent="0.35">
      <c r="A7" t="s">
        <v>2</v>
      </c>
      <c r="B7" s="18" t="s">
        <v>4</v>
      </c>
      <c r="C7" s="1">
        <v>60</v>
      </c>
      <c r="D7" s="1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2"/>
    </row>
    <row r="8" spans="1:9" x14ac:dyDescent="0.3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2"/>
    </row>
    <row r="9" spans="1:9" x14ac:dyDescent="0.3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2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4.5" x14ac:dyDescent="0.35"/>
  <cols>
    <col min="1" max="1" width="13.81640625" style="3" bestFit="1" customWidth="1"/>
    <col min="2" max="2" width="38.81640625" bestFit="1" customWidth="1"/>
    <col min="3" max="3" width="14.1796875" bestFit="1" customWidth="1"/>
    <col min="6" max="6" width="11.453125" style="3"/>
  </cols>
  <sheetData>
    <row r="1" spans="1:6" s="15" customFormat="1" ht="29" x14ac:dyDescent="0.35">
      <c r="A1" s="13" t="s">
        <v>18</v>
      </c>
      <c r="B1" s="14" t="s">
        <v>19</v>
      </c>
      <c r="C1" s="14" t="s">
        <v>65</v>
      </c>
      <c r="D1" s="14" t="s">
        <v>142</v>
      </c>
      <c r="E1" s="14" t="s">
        <v>140</v>
      </c>
      <c r="F1" s="13" t="s">
        <v>141</v>
      </c>
    </row>
    <row r="2" spans="1:6" x14ac:dyDescent="0.35">
      <c r="A2" s="3">
        <v>10</v>
      </c>
      <c r="B2" t="s">
        <v>20</v>
      </c>
      <c r="C2" t="s">
        <v>80</v>
      </c>
    </row>
    <row r="3" spans="1:6" x14ac:dyDescent="0.35">
      <c r="A3" s="3">
        <v>20</v>
      </c>
      <c r="B3" t="s">
        <v>21</v>
      </c>
      <c r="C3" t="s">
        <v>81</v>
      </c>
    </row>
    <row r="4" spans="1:6" x14ac:dyDescent="0.3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35">
      <c r="A5" s="3">
        <v>21</v>
      </c>
      <c r="B5" t="s">
        <v>23</v>
      </c>
      <c r="C5" t="s">
        <v>83</v>
      </c>
    </row>
    <row r="6" spans="1:6" x14ac:dyDescent="0.3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35">
      <c r="A7" s="3">
        <v>30</v>
      </c>
      <c r="B7" t="s">
        <v>25</v>
      </c>
      <c r="C7" t="s">
        <v>85</v>
      </c>
    </row>
    <row r="8" spans="1:6" x14ac:dyDescent="0.3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35">
      <c r="A9" s="3">
        <v>31</v>
      </c>
      <c r="B9" t="s">
        <v>27</v>
      </c>
      <c r="C9" t="s">
        <v>87</v>
      </c>
    </row>
    <row r="10" spans="1:6" x14ac:dyDescent="0.3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35">
      <c r="A11" s="3">
        <v>32</v>
      </c>
      <c r="B11" t="s">
        <v>29</v>
      </c>
      <c r="C11" t="s">
        <v>89</v>
      </c>
    </row>
    <row r="12" spans="1:6" x14ac:dyDescent="0.3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35">
      <c r="A13" s="3">
        <v>33</v>
      </c>
      <c r="B13" t="s">
        <v>31</v>
      </c>
      <c r="C13" t="s">
        <v>91</v>
      </c>
    </row>
    <row r="14" spans="1:6" x14ac:dyDescent="0.35">
      <c r="A14" s="3">
        <v>40</v>
      </c>
      <c r="B14" t="s">
        <v>32</v>
      </c>
      <c r="C14" t="s">
        <v>92</v>
      </c>
    </row>
    <row r="15" spans="1:6" x14ac:dyDescent="0.3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35">
      <c r="A16" s="3">
        <v>41</v>
      </c>
      <c r="B16" t="s">
        <v>34</v>
      </c>
      <c r="C16" t="s">
        <v>94</v>
      </c>
    </row>
    <row r="17" spans="1:6" x14ac:dyDescent="0.3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35">
      <c r="A18" s="3">
        <v>42</v>
      </c>
      <c r="B18" t="s">
        <v>36</v>
      </c>
      <c r="C18" t="s">
        <v>96</v>
      </c>
    </row>
    <row r="19" spans="1:6" x14ac:dyDescent="0.3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35">
      <c r="A20" s="3">
        <v>43</v>
      </c>
      <c r="B20" t="s">
        <v>38</v>
      </c>
      <c r="C20" t="s">
        <v>98</v>
      </c>
    </row>
    <row r="21" spans="1:6" x14ac:dyDescent="0.3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35">
      <c r="A22" s="3">
        <v>44</v>
      </c>
      <c r="B22" t="s">
        <v>40</v>
      </c>
      <c r="C22" t="s">
        <v>100</v>
      </c>
    </row>
    <row r="23" spans="1:6" x14ac:dyDescent="0.3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35">
      <c r="A24" s="3">
        <v>45</v>
      </c>
      <c r="B24" t="s">
        <v>42</v>
      </c>
      <c r="C24" t="s">
        <v>102</v>
      </c>
    </row>
    <row r="25" spans="1:6" x14ac:dyDescent="0.3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35">
      <c r="A26" s="3">
        <v>49.5</v>
      </c>
      <c r="B26" t="s">
        <v>44</v>
      </c>
      <c r="C26" t="s">
        <v>104</v>
      </c>
    </row>
    <row r="27" spans="1:6" x14ac:dyDescent="0.35">
      <c r="A27" s="3">
        <v>50</v>
      </c>
      <c r="B27" t="s">
        <v>45</v>
      </c>
      <c r="C27" t="s">
        <v>105</v>
      </c>
    </row>
    <row r="28" spans="1:6" x14ac:dyDescent="0.3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35">
      <c r="A29" s="3">
        <v>51</v>
      </c>
      <c r="B29" t="s">
        <v>47</v>
      </c>
      <c r="C29" t="s">
        <v>107</v>
      </c>
    </row>
    <row r="30" spans="1:6" x14ac:dyDescent="0.3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35">
      <c r="A31" s="3">
        <v>52</v>
      </c>
      <c r="B31" t="s">
        <v>49</v>
      </c>
      <c r="C31" t="s">
        <v>109</v>
      </c>
    </row>
    <row r="32" spans="1:6" x14ac:dyDescent="0.35">
      <c r="A32" s="3">
        <v>52.5</v>
      </c>
      <c r="B32" t="s">
        <v>139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35">
      <c r="A33" s="3">
        <v>60</v>
      </c>
      <c r="B33" t="s">
        <v>50</v>
      </c>
      <c r="C33" t="s">
        <v>111</v>
      </c>
    </row>
    <row r="34" spans="1:6" x14ac:dyDescent="0.35">
      <c r="A34" s="3">
        <v>61</v>
      </c>
      <c r="B34" t="s">
        <v>51</v>
      </c>
      <c r="C34" t="s">
        <v>112</v>
      </c>
    </row>
    <row r="35" spans="1:6" x14ac:dyDescent="0.35">
      <c r="A35" s="3">
        <v>62</v>
      </c>
      <c r="B35" t="s">
        <v>52</v>
      </c>
    </row>
    <row r="36" spans="1:6" x14ac:dyDescent="0.35">
      <c r="A36" s="3">
        <v>63</v>
      </c>
      <c r="B36" t="s">
        <v>53</v>
      </c>
      <c r="C36" t="s">
        <v>113</v>
      </c>
    </row>
    <row r="37" spans="1:6" x14ac:dyDescent="0.35">
      <c r="A37" s="3">
        <v>70</v>
      </c>
      <c r="B37" t="s">
        <v>54</v>
      </c>
      <c r="C37" t="s">
        <v>114</v>
      </c>
    </row>
    <row r="38" spans="1:6" x14ac:dyDescent="0.3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3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4.5" x14ac:dyDescent="0.35"/>
  <cols>
    <col min="4" max="7" width="11.453125" customWidth="1"/>
  </cols>
  <sheetData>
    <row r="1" spans="1:15" s="15" customFormat="1" ht="29" x14ac:dyDescent="0.35">
      <c r="A1" s="14" t="s">
        <v>147</v>
      </c>
      <c r="B1" s="14" t="s">
        <v>145</v>
      </c>
      <c r="C1" s="14" t="s">
        <v>64</v>
      </c>
      <c r="D1" s="14" t="s">
        <v>118</v>
      </c>
      <c r="E1" s="14" t="s">
        <v>119</v>
      </c>
      <c r="F1" s="21" t="s">
        <v>143</v>
      </c>
      <c r="G1" s="21" t="s">
        <v>144</v>
      </c>
      <c r="H1" s="14" t="s">
        <v>120</v>
      </c>
      <c r="I1" s="14" t="s">
        <v>121</v>
      </c>
    </row>
    <row r="2" spans="1:15" x14ac:dyDescent="0.3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116596.48332502655</v>
      </c>
      <c r="I2" s="1">
        <f>E2*(WACC!$B$3*(1+WACC!$B$3)^$C2)/((1+WACC!$B$3)^$C2-1)</f>
        <v>252.62571387089088</v>
      </c>
      <c r="N2" s="1"/>
      <c r="O2" s="1"/>
    </row>
    <row r="3" spans="1:15" x14ac:dyDescent="0.3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116596.48332502655</v>
      </c>
      <c r="I3" s="1">
        <f>E3*(WACC!$B$3*(1+WACC!$B$3)^$C3)/((1+WACC!$B$3)^$C3-1)</f>
        <v>252.62571387089088</v>
      </c>
      <c r="N3" s="1"/>
      <c r="O3" s="1"/>
    </row>
    <row r="4" spans="1:15" x14ac:dyDescent="0.3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116596.48332502655</v>
      </c>
      <c r="I4" s="1">
        <f>E4*(WACC!$B$3*(1+WACC!$B$3)^$C4)/((1+WACC!$B$3)^$C4-1)</f>
        <v>252.62571387089088</v>
      </c>
      <c r="N4" s="1"/>
      <c r="O4" s="1"/>
    </row>
    <row r="5" spans="1:15" x14ac:dyDescent="0.3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93277.186660021238</v>
      </c>
      <c r="I5" s="1">
        <f>E5*(WACC!$B$3*(1+WACC!$B$3)^$C5)/((1+WACC!$B$3)^$C5-1)</f>
        <v>252.62571387089088</v>
      </c>
      <c r="N5" s="1"/>
      <c r="O5" s="1"/>
    </row>
    <row r="6" spans="1:15" x14ac:dyDescent="0.3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93277.186660021238</v>
      </c>
      <c r="I6" s="1">
        <f>E6*(WACC!$B$3*(1+WACC!$B$3)^$C6)/((1+WACC!$B$3)^$C6-1)</f>
        <v>252.62571387089088</v>
      </c>
    </row>
    <row r="7" spans="1:15" x14ac:dyDescent="0.3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93277.186660021238</v>
      </c>
      <c r="I7" s="1">
        <f>E7*(WACC!$B$3*(1+WACC!$B$3)^$C7)/((1+WACC!$B$3)^$C7-1)</f>
        <v>252.62571387089088</v>
      </c>
    </row>
    <row r="8" spans="1:15" x14ac:dyDescent="0.3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18376.918732520902</v>
      </c>
      <c r="I8" s="1">
        <f>E8*(WACC!$B$3*(1+WACC!$B$3)^$C8)/((1+WACC!$B$3)^$C8-1)</f>
        <v>17343.217053816603</v>
      </c>
    </row>
    <row r="9" spans="1:15" x14ac:dyDescent="0.35">
      <c r="A9" t="s">
        <v>1</v>
      </c>
      <c r="B9" t="s">
        <v>256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147876.76792575413</v>
      </c>
      <c r="I9" s="1">
        <f>E9*(WACC!$B$3*(1+WACC!$B$3)^$C9)/((1+WACC!$B$3)^$C9-1)</f>
        <v>114.85574207825563</v>
      </c>
    </row>
    <row r="10" spans="1:15" x14ac:dyDescent="0.35">
      <c r="D10" s="8"/>
      <c r="E10" s="6"/>
      <c r="F10" s="6"/>
      <c r="G10" s="6"/>
      <c r="H10" s="7"/>
    </row>
    <row r="11" spans="1:15" x14ac:dyDescent="0.35">
      <c r="E11" s="9"/>
      <c r="F11" s="9"/>
      <c r="G11" s="9"/>
      <c r="H11" s="7"/>
    </row>
    <row r="14" spans="1:15" x14ac:dyDescent="0.35">
      <c r="D14" s="8"/>
      <c r="E14" s="9"/>
      <c r="F14" s="9"/>
      <c r="G14" s="9"/>
      <c r="H14" s="7"/>
    </row>
    <row r="15" spans="1:15" x14ac:dyDescent="0.3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baseColWidth="10" defaultRowHeight="14.5" x14ac:dyDescent="0.35"/>
  <cols>
    <col min="2" max="2" width="14.1796875" bestFit="1" customWidth="1"/>
  </cols>
  <sheetData>
    <row r="1" spans="1:19" x14ac:dyDescent="0.35">
      <c r="A1" s="2" t="s">
        <v>18</v>
      </c>
      <c r="B1" s="2" t="s">
        <v>65</v>
      </c>
      <c r="C1" s="25" t="s">
        <v>66</v>
      </c>
      <c r="D1" s="25" t="s">
        <v>67</v>
      </c>
      <c r="E1" s="25" t="s">
        <v>68</v>
      </c>
      <c r="F1" s="25" t="s">
        <v>69</v>
      </c>
      <c r="G1" s="25" t="s">
        <v>70</v>
      </c>
      <c r="H1" s="25" t="s">
        <v>71</v>
      </c>
      <c r="I1" s="25" t="s">
        <v>72</v>
      </c>
      <c r="J1" s="25" t="s">
        <v>73</v>
      </c>
      <c r="K1" s="25" t="s">
        <v>74</v>
      </c>
      <c r="L1" s="25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35">
      <c r="A2">
        <v>10</v>
      </c>
      <c r="B2" t="s">
        <v>80</v>
      </c>
      <c r="C2" s="16">
        <v>24</v>
      </c>
      <c r="D2" s="16">
        <v>4</v>
      </c>
      <c r="E2" s="16">
        <v>12</v>
      </c>
      <c r="F2" s="16">
        <v>18</v>
      </c>
      <c r="G2" s="16">
        <v>30</v>
      </c>
      <c r="H2" s="16">
        <v>1.95</v>
      </c>
      <c r="I2" s="16">
        <v>2.0625</v>
      </c>
      <c r="J2" s="16">
        <v>3.05</v>
      </c>
      <c r="K2" s="16">
        <v>1</v>
      </c>
      <c r="L2" s="16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250921.79176468478</v>
      </c>
      <c r="S2" s="7"/>
    </row>
    <row r="3" spans="1:19" x14ac:dyDescent="0.35">
      <c r="A3">
        <v>20</v>
      </c>
      <c r="B3" t="s">
        <v>81</v>
      </c>
      <c r="C3" s="16">
        <v>12</v>
      </c>
      <c r="D3" s="16">
        <v>4</v>
      </c>
      <c r="E3" s="16">
        <v>12</v>
      </c>
      <c r="F3" s="16">
        <v>18</v>
      </c>
      <c r="G3" s="16">
        <v>30</v>
      </c>
      <c r="H3" s="16">
        <v>3.95</v>
      </c>
      <c r="I3" s="16">
        <v>4.4000000000000004</v>
      </c>
      <c r="J3" s="16">
        <v>6</v>
      </c>
      <c r="K3" s="16">
        <v>1</v>
      </c>
      <c r="L3" s="16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73546.042413786927</v>
      </c>
      <c r="S3" s="7"/>
    </row>
    <row r="4" spans="1:19" x14ac:dyDescent="0.35">
      <c r="A4">
        <v>20.5</v>
      </c>
      <c r="B4" t="s">
        <v>82</v>
      </c>
      <c r="C4" s="16">
        <v>12</v>
      </c>
      <c r="D4" s="16">
        <v>4</v>
      </c>
      <c r="E4" s="16">
        <v>12</v>
      </c>
      <c r="F4" s="16">
        <v>18</v>
      </c>
      <c r="G4" s="16">
        <v>30</v>
      </c>
      <c r="H4" s="16">
        <v>3.95</v>
      </c>
      <c r="I4" s="16">
        <v>4.4000000000000004</v>
      </c>
      <c r="J4" s="16">
        <v>6</v>
      </c>
      <c r="K4" s="16">
        <v>1</v>
      </c>
      <c r="L4" s="16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73546.042413786927</v>
      </c>
      <c r="S4" s="7"/>
    </row>
    <row r="5" spans="1:19" x14ac:dyDescent="0.35">
      <c r="A5">
        <v>21</v>
      </c>
      <c r="B5" t="s">
        <v>83</v>
      </c>
      <c r="C5" s="16">
        <v>2</v>
      </c>
      <c r="D5" s="16">
        <v>4</v>
      </c>
      <c r="E5" s="16">
        <v>8</v>
      </c>
      <c r="F5" s="16">
        <v>14</v>
      </c>
      <c r="G5" s="16">
        <v>24</v>
      </c>
      <c r="H5" s="16">
        <v>3.7</v>
      </c>
      <c r="I5" s="16">
        <v>4.25</v>
      </c>
      <c r="J5" s="16">
        <v>5.5</v>
      </c>
      <c r="K5" s="16">
        <v>0.75</v>
      </c>
      <c r="L5" s="16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86524.7557809258</v>
      </c>
      <c r="S5" s="7"/>
    </row>
    <row r="6" spans="1:19" x14ac:dyDescent="0.35">
      <c r="A6">
        <v>21.5</v>
      </c>
      <c r="B6" t="s">
        <v>84</v>
      </c>
      <c r="C6" s="16">
        <v>2</v>
      </c>
      <c r="D6" s="16">
        <v>4</v>
      </c>
      <c r="E6" s="16">
        <v>8</v>
      </c>
      <c r="F6" s="16">
        <v>14</v>
      </c>
      <c r="G6" s="16">
        <v>24</v>
      </c>
      <c r="H6" s="16">
        <v>3.7</v>
      </c>
      <c r="I6" s="16">
        <v>4.25</v>
      </c>
      <c r="J6" s="16">
        <v>5.5</v>
      </c>
      <c r="K6" s="16">
        <v>0.75</v>
      </c>
      <c r="L6" s="16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91067.305459424402</v>
      </c>
      <c r="S6" s="7"/>
    </row>
    <row r="7" spans="1:19" x14ac:dyDescent="0.35">
      <c r="A7">
        <v>30</v>
      </c>
      <c r="B7" t="s">
        <v>85</v>
      </c>
      <c r="C7" s="16">
        <v>6</v>
      </c>
      <c r="D7" s="16">
        <v>6</v>
      </c>
      <c r="E7" s="16">
        <v>8</v>
      </c>
      <c r="F7" s="16">
        <v>14</v>
      </c>
      <c r="G7" s="16">
        <v>24</v>
      </c>
      <c r="H7" s="16">
        <v>3.95</v>
      </c>
      <c r="I7" s="16">
        <v>4.4000000000000004</v>
      </c>
      <c r="J7" s="16">
        <v>6</v>
      </c>
      <c r="K7" s="16">
        <v>1</v>
      </c>
      <c r="L7" s="16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51914.853468555477</v>
      </c>
      <c r="S7" s="7"/>
    </row>
    <row r="8" spans="1:19" x14ac:dyDescent="0.35">
      <c r="A8">
        <v>30.5</v>
      </c>
      <c r="B8" t="s">
        <v>86</v>
      </c>
      <c r="C8" s="16">
        <v>6</v>
      </c>
      <c r="D8" s="16">
        <v>6</v>
      </c>
      <c r="E8" s="16">
        <v>8</v>
      </c>
      <c r="F8" s="16">
        <v>14</v>
      </c>
      <c r="G8" s="16">
        <v>24</v>
      </c>
      <c r="H8" s="16">
        <v>3.95</v>
      </c>
      <c r="I8" s="16">
        <v>4.4000000000000004</v>
      </c>
      <c r="J8" s="16">
        <v>6</v>
      </c>
      <c r="K8" s="16">
        <v>1</v>
      </c>
      <c r="L8" s="16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54640.383275654633</v>
      </c>
      <c r="S8" s="7"/>
    </row>
    <row r="9" spans="1:19" x14ac:dyDescent="0.35">
      <c r="A9">
        <v>31</v>
      </c>
      <c r="B9" t="s">
        <v>87</v>
      </c>
      <c r="C9" s="16">
        <v>4</v>
      </c>
      <c r="D9" s="16">
        <v>2</v>
      </c>
      <c r="E9" s="16">
        <v>8</v>
      </c>
      <c r="F9" s="16">
        <v>14</v>
      </c>
      <c r="G9" s="16">
        <v>24</v>
      </c>
      <c r="H9" s="16">
        <v>3.7</v>
      </c>
      <c r="I9" s="16">
        <v>4.25</v>
      </c>
      <c r="J9" s="16">
        <v>5.5</v>
      </c>
      <c r="K9" s="16">
        <v>0.75</v>
      </c>
      <c r="L9" s="16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56241.091257601765</v>
      </c>
      <c r="S9" s="7"/>
    </row>
    <row r="10" spans="1:19" x14ac:dyDescent="0.35">
      <c r="A10">
        <v>31.5</v>
      </c>
      <c r="B10" t="s">
        <v>88</v>
      </c>
      <c r="C10" s="16">
        <v>4</v>
      </c>
      <c r="D10" s="16">
        <v>2</v>
      </c>
      <c r="E10" s="16">
        <v>8</v>
      </c>
      <c r="F10" s="16">
        <v>14</v>
      </c>
      <c r="G10" s="16">
        <v>24</v>
      </c>
      <c r="H10" s="16">
        <v>3.7</v>
      </c>
      <c r="I10" s="16">
        <v>4.25</v>
      </c>
      <c r="J10" s="16">
        <v>5.5</v>
      </c>
      <c r="K10" s="16">
        <v>0.75</v>
      </c>
      <c r="L10" s="16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59182.932954153242</v>
      </c>
      <c r="S10" s="7"/>
    </row>
    <row r="11" spans="1:19" x14ac:dyDescent="0.35">
      <c r="A11">
        <v>32</v>
      </c>
      <c r="B11" t="s">
        <v>89</v>
      </c>
      <c r="C11" s="16">
        <v>4</v>
      </c>
      <c r="D11" s="16">
        <v>2</v>
      </c>
      <c r="E11" s="16">
        <v>8</v>
      </c>
      <c r="F11" s="16">
        <v>14</v>
      </c>
      <c r="G11" s="16">
        <v>24</v>
      </c>
      <c r="H11" s="16">
        <v>3.7</v>
      </c>
      <c r="I11" s="16">
        <v>4.25</v>
      </c>
      <c r="J11" s="16">
        <v>5.5</v>
      </c>
      <c r="K11" s="16">
        <v>0.625</v>
      </c>
      <c r="L11" s="16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82198.517991879504</v>
      </c>
      <c r="S11" s="7"/>
    </row>
    <row r="12" spans="1:19" x14ac:dyDescent="0.35">
      <c r="A12">
        <v>32.5</v>
      </c>
      <c r="B12" t="s">
        <v>90</v>
      </c>
      <c r="C12" s="16">
        <v>4</v>
      </c>
      <c r="D12" s="16">
        <v>2</v>
      </c>
      <c r="E12" s="16">
        <v>8</v>
      </c>
      <c r="F12" s="16">
        <v>14</v>
      </c>
      <c r="G12" s="16">
        <v>24</v>
      </c>
      <c r="H12" s="16">
        <v>3.7</v>
      </c>
      <c r="I12" s="16">
        <v>4.25</v>
      </c>
      <c r="J12" s="16">
        <v>5.5</v>
      </c>
      <c r="K12" s="16">
        <v>0.625</v>
      </c>
      <c r="L12" s="16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86524.7557809258</v>
      </c>
      <c r="S12" s="7"/>
    </row>
    <row r="13" spans="1:19" x14ac:dyDescent="0.35">
      <c r="A13">
        <v>33</v>
      </c>
      <c r="B13" t="s">
        <v>91</v>
      </c>
      <c r="C13" s="16">
        <v>2</v>
      </c>
      <c r="D13" s="16">
        <v>2</v>
      </c>
      <c r="E13" s="16">
        <v>8</v>
      </c>
      <c r="F13" s="16">
        <v>12</v>
      </c>
      <c r="G13" s="16">
        <v>24</v>
      </c>
      <c r="H13" s="16">
        <v>1.6</v>
      </c>
      <c r="I13" s="16">
        <v>1.75</v>
      </c>
      <c r="J13" s="16">
        <v>2.75</v>
      </c>
      <c r="K13" s="16">
        <v>0.625</v>
      </c>
      <c r="L13" s="16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107040.37061007887</v>
      </c>
      <c r="S13" s="7"/>
    </row>
    <row r="14" spans="1:19" x14ac:dyDescent="0.35">
      <c r="A14">
        <v>40</v>
      </c>
      <c r="B14" t="s">
        <v>92</v>
      </c>
      <c r="C14" s="16">
        <v>6</v>
      </c>
      <c r="D14" s="16">
        <v>1</v>
      </c>
      <c r="E14" s="16">
        <v>8</v>
      </c>
      <c r="F14" s="16">
        <v>12</v>
      </c>
      <c r="G14" s="16">
        <v>24</v>
      </c>
      <c r="H14" s="16">
        <v>1.6</v>
      </c>
      <c r="I14" s="16">
        <v>1.75</v>
      </c>
      <c r="J14" s="16">
        <v>2.75</v>
      </c>
      <c r="K14" s="16">
        <v>0.625</v>
      </c>
      <c r="L14" s="16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20407.703728101038</v>
      </c>
      <c r="S14" s="7"/>
    </row>
    <row r="15" spans="1:19" x14ac:dyDescent="0.35">
      <c r="A15">
        <v>40.5</v>
      </c>
      <c r="B15" t="s">
        <v>93</v>
      </c>
      <c r="C15" s="16">
        <v>6</v>
      </c>
      <c r="D15" s="16">
        <v>1</v>
      </c>
      <c r="E15" s="16">
        <v>8</v>
      </c>
      <c r="F15" s="16">
        <v>12</v>
      </c>
      <c r="G15" s="16">
        <v>24</v>
      </c>
      <c r="H15" s="16">
        <v>1.6</v>
      </c>
      <c r="I15" s="16">
        <v>1.75</v>
      </c>
      <c r="J15" s="16">
        <v>2.75</v>
      </c>
      <c r="K15" s="16">
        <v>0.625</v>
      </c>
      <c r="L15" s="16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20407.703728101038</v>
      </c>
      <c r="S15" s="7"/>
    </row>
    <row r="16" spans="1:19" x14ac:dyDescent="0.35">
      <c r="A16">
        <v>41</v>
      </c>
      <c r="B16" t="s">
        <v>94</v>
      </c>
      <c r="C16" s="16">
        <v>4</v>
      </c>
      <c r="D16" s="16">
        <v>1</v>
      </c>
      <c r="E16" s="16">
        <v>6</v>
      </c>
      <c r="F16" s="16">
        <v>12</v>
      </c>
      <c r="G16" s="16">
        <v>24</v>
      </c>
      <c r="H16" s="16">
        <v>1.7</v>
      </c>
      <c r="I16" s="16">
        <v>1.8125</v>
      </c>
      <c r="J16" s="16">
        <v>2.8</v>
      </c>
      <c r="K16" s="16">
        <v>0.75</v>
      </c>
      <c r="L16" s="16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26072.253451764031</v>
      </c>
      <c r="S16" s="7"/>
    </row>
    <row r="17" spans="1:19" x14ac:dyDescent="0.35">
      <c r="A17">
        <v>41.5</v>
      </c>
      <c r="B17" t="s">
        <v>95</v>
      </c>
      <c r="C17" s="16">
        <v>4</v>
      </c>
      <c r="D17" s="16">
        <v>1</v>
      </c>
      <c r="E17" s="16">
        <v>6</v>
      </c>
      <c r="F17" s="16">
        <v>12</v>
      </c>
      <c r="G17" s="16">
        <v>24</v>
      </c>
      <c r="H17" s="16">
        <v>1.7</v>
      </c>
      <c r="I17" s="16">
        <v>1.8125</v>
      </c>
      <c r="J17" s="16">
        <v>2.8</v>
      </c>
      <c r="K17" s="16">
        <v>0.75</v>
      </c>
      <c r="L17" s="16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26072.253451764031</v>
      </c>
      <c r="S17" s="7"/>
    </row>
    <row r="18" spans="1:19" x14ac:dyDescent="0.35">
      <c r="A18">
        <v>42</v>
      </c>
      <c r="B18" t="s">
        <v>96</v>
      </c>
      <c r="C18" s="16">
        <v>1</v>
      </c>
      <c r="D18" s="16">
        <v>1</v>
      </c>
      <c r="E18" s="16">
        <v>6</v>
      </c>
      <c r="F18" s="16">
        <v>12</v>
      </c>
      <c r="G18" s="16">
        <v>24</v>
      </c>
      <c r="H18" s="16">
        <v>1.45</v>
      </c>
      <c r="I18" s="16">
        <v>1.55</v>
      </c>
      <c r="J18" s="16">
        <v>2.6</v>
      </c>
      <c r="K18" s="16">
        <v>0.5</v>
      </c>
      <c r="L18" s="16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33882.443913085415</v>
      </c>
      <c r="S18" s="7"/>
    </row>
    <row r="19" spans="1:19" x14ac:dyDescent="0.35">
      <c r="A19">
        <v>42.5</v>
      </c>
      <c r="B19" t="s">
        <v>97</v>
      </c>
      <c r="C19" s="16">
        <v>2</v>
      </c>
      <c r="D19" s="16">
        <v>1</v>
      </c>
      <c r="E19" s="16">
        <v>6</v>
      </c>
      <c r="F19" s="16">
        <v>12</v>
      </c>
      <c r="G19" s="16">
        <v>24</v>
      </c>
      <c r="H19" s="16">
        <v>1.45</v>
      </c>
      <c r="I19" s="16">
        <v>1.55</v>
      </c>
      <c r="J19" s="16">
        <v>2.6</v>
      </c>
      <c r="K19" s="16">
        <v>0.5</v>
      </c>
      <c r="L19" s="16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33882.443913085415</v>
      </c>
      <c r="S19" s="7"/>
    </row>
    <row r="20" spans="1:19" x14ac:dyDescent="0.35">
      <c r="A20">
        <v>43</v>
      </c>
      <c r="B20" t="s">
        <v>98</v>
      </c>
      <c r="C20" s="16">
        <v>4</v>
      </c>
      <c r="D20" s="16">
        <v>1</v>
      </c>
      <c r="E20" s="16">
        <v>6</v>
      </c>
      <c r="F20" s="16">
        <v>12</v>
      </c>
      <c r="G20" s="16">
        <v>24</v>
      </c>
      <c r="H20" s="16">
        <v>1.7</v>
      </c>
      <c r="I20" s="16">
        <v>1.8125</v>
      </c>
      <c r="J20" s="16">
        <v>2.8</v>
      </c>
      <c r="K20" s="16">
        <v>0.75</v>
      </c>
      <c r="L20" s="16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40815.407456202076</v>
      </c>
      <c r="S20" s="7"/>
    </row>
    <row r="21" spans="1:19" x14ac:dyDescent="0.35">
      <c r="A21">
        <v>43.5</v>
      </c>
      <c r="B21" t="s">
        <v>99</v>
      </c>
      <c r="C21" s="16">
        <v>4</v>
      </c>
      <c r="D21" s="16">
        <v>1</v>
      </c>
      <c r="E21" s="16">
        <v>6</v>
      </c>
      <c r="F21" s="16">
        <v>12</v>
      </c>
      <c r="G21" s="16">
        <v>24</v>
      </c>
      <c r="H21" s="16">
        <v>1.7</v>
      </c>
      <c r="I21" s="16">
        <v>1.8125</v>
      </c>
      <c r="J21" s="16">
        <v>2.8</v>
      </c>
      <c r="K21" s="16">
        <v>0.75</v>
      </c>
      <c r="L21" s="16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42958.216347652691</v>
      </c>
      <c r="S21" s="7"/>
    </row>
    <row r="22" spans="1:19" x14ac:dyDescent="0.35">
      <c r="A22">
        <v>44</v>
      </c>
      <c r="B22" t="s">
        <v>100</v>
      </c>
      <c r="C22" s="16">
        <v>2</v>
      </c>
      <c r="D22" s="16">
        <v>1</v>
      </c>
      <c r="E22" s="16">
        <v>6</v>
      </c>
      <c r="F22" s="16">
        <v>12</v>
      </c>
      <c r="G22" s="16">
        <v>24</v>
      </c>
      <c r="H22" s="16">
        <v>1.55</v>
      </c>
      <c r="I22" s="16">
        <v>1.65</v>
      </c>
      <c r="J22" s="16">
        <v>2.5</v>
      </c>
      <c r="K22" s="16">
        <v>0.5</v>
      </c>
      <c r="L22" s="16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48009.700188710856</v>
      </c>
      <c r="S22" s="7"/>
    </row>
    <row r="23" spans="1:19" x14ac:dyDescent="0.35">
      <c r="A23">
        <v>44.5</v>
      </c>
      <c r="B23" t="s">
        <v>101</v>
      </c>
      <c r="C23" s="16">
        <v>2</v>
      </c>
      <c r="D23" s="16">
        <v>1</v>
      </c>
      <c r="E23" s="16">
        <v>6</v>
      </c>
      <c r="F23" s="16">
        <v>12</v>
      </c>
      <c r="G23" s="16">
        <v>24</v>
      </c>
      <c r="H23" s="16">
        <v>1.55</v>
      </c>
      <c r="I23" s="16">
        <v>1.65</v>
      </c>
      <c r="J23" s="16">
        <v>2.5</v>
      </c>
      <c r="K23" s="16">
        <v>0.5</v>
      </c>
      <c r="L23" s="16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50536.52651443248</v>
      </c>
      <c r="S23" s="7"/>
    </row>
    <row r="24" spans="1:19" x14ac:dyDescent="0.35">
      <c r="A24">
        <v>45</v>
      </c>
      <c r="B24" t="s">
        <v>102</v>
      </c>
      <c r="C24" s="16">
        <v>1</v>
      </c>
      <c r="D24" s="16">
        <v>1</v>
      </c>
      <c r="E24" s="16">
        <v>6</v>
      </c>
      <c r="F24" s="16">
        <v>12</v>
      </c>
      <c r="G24" s="16">
        <v>24</v>
      </c>
      <c r="H24" s="16">
        <v>1.55</v>
      </c>
      <c r="I24" s="16">
        <v>1.65</v>
      </c>
      <c r="J24" s="16">
        <v>2.5</v>
      </c>
      <c r="K24" s="16">
        <v>0.5</v>
      </c>
      <c r="L24" s="16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51828.653612812857</v>
      </c>
      <c r="S24" s="7"/>
    </row>
    <row r="25" spans="1:19" x14ac:dyDescent="0.35">
      <c r="A25">
        <v>45.5</v>
      </c>
      <c r="B25" t="s">
        <v>103</v>
      </c>
      <c r="C25" s="16">
        <v>1</v>
      </c>
      <c r="D25" s="16">
        <v>1</v>
      </c>
      <c r="E25" s="16">
        <v>6</v>
      </c>
      <c r="F25" s="16">
        <v>12</v>
      </c>
      <c r="G25" s="16">
        <v>24</v>
      </c>
      <c r="H25" s="16">
        <v>1.55</v>
      </c>
      <c r="I25" s="16">
        <v>1.65</v>
      </c>
      <c r="J25" s="16">
        <v>2.5</v>
      </c>
      <c r="K25" s="16">
        <v>0.5</v>
      </c>
      <c r="L25" s="16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54556.477487171425</v>
      </c>
      <c r="S25" s="7"/>
    </row>
    <row r="26" spans="1:19" x14ac:dyDescent="0.35">
      <c r="A26">
        <v>49.5</v>
      </c>
      <c r="B26" t="s">
        <v>104</v>
      </c>
      <c r="C26" s="16">
        <v>0</v>
      </c>
      <c r="D26" s="16">
        <v>1</v>
      </c>
      <c r="E26" s="16">
        <v>1</v>
      </c>
      <c r="F26" s="16">
        <v>2</v>
      </c>
      <c r="G26" s="16">
        <v>4</v>
      </c>
      <c r="H26" s="16">
        <v>1</v>
      </c>
      <c r="I26" s="16">
        <v>1.1000000000000001</v>
      </c>
      <c r="J26" s="16">
        <v>1.2</v>
      </c>
      <c r="K26" s="16">
        <v>1</v>
      </c>
      <c r="L26" s="16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3445.6722623476694</v>
      </c>
      <c r="S26" s="7"/>
    </row>
    <row r="27" spans="1:19" x14ac:dyDescent="0.35">
      <c r="A27">
        <v>50</v>
      </c>
      <c r="B27" t="s">
        <v>105</v>
      </c>
      <c r="C27" s="16">
        <v>4</v>
      </c>
      <c r="D27" s="16">
        <v>1</v>
      </c>
      <c r="E27" s="16">
        <v>8</v>
      </c>
      <c r="F27" s="16">
        <v>12</v>
      </c>
      <c r="G27" s="16">
        <v>24</v>
      </c>
      <c r="H27" s="16">
        <v>1.65</v>
      </c>
      <c r="I27" s="16">
        <v>1.8</v>
      </c>
      <c r="J27" s="16">
        <v>2.625</v>
      </c>
      <c r="K27" s="16">
        <v>0.625</v>
      </c>
      <c r="L27" s="16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20407.703728101038</v>
      </c>
      <c r="S27" s="7"/>
    </row>
    <row r="28" spans="1:19" x14ac:dyDescent="0.35">
      <c r="A28">
        <v>50.5</v>
      </c>
      <c r="B28" t="s">
        <v>106</v>
      </c>
      <c r="C28" s="16">
        <v>4</v>
      </c>
      <c r="D28" s="16">
        <v>1</v>
      </c>
      <c r="E28" s="16">
        <v>8</v>
      </c>
      <c r="F28" s="16">
        <v>12</v>
      </c>
      <c r="G28" s="16">
        <v>24</v>
      </c>
      <c r="H28" s="16">
        <v>1.65</v>
      </c>
      <c r="I28" s="16">
        <v>1.8</v>
      </c>
      <c r="J28" s="16">
        <v>2.625</v>
      </c>
      <c r="K28" s="16">
        <v>0.625</v>
      </c>
      <c r="L28" s="16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20407.703728101038</v>
      </c>
      <c r="S28" s="7"/>
    </row>
    <row r="29" spans="1:19" x14ac:dyDescent="0.35">
      <c r="A29">
        <v>51</v>
      </c>
      <c r="B29" t="s">
        <v>107</v>
      </c>
      <c r="C29" s="16">
        <v>4</v>
      </c>
      <c r="D29" s="16">
        <v>1</v>
      </c>
      <c r="E29" s="16">
        <v>6</v>
      </c>
      <c r="F29" s="16">
        <v>12</v>
      </c>
      <c r="G29" s="16">
        <v>24</v>
      </c>
      <c r="H29" s="16">
        <v>1.65</v>
      </c>
      <c r="I29" s="16">
        <v>1.8</v>
      </c>
      <c r="J29" s="16">
        <v>2.625</v>
      </c>
      <c r="K29" s="16">
        <v>0.625</v>
      </c>
      <c r="L29" s="16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21707.735252790317</v>
      </c>
      <c r="S29" s="7"/>
    </row>
    <row r="30" spans="1:19" x14ac:dyDescent="0.35">
      <c r="A30">
        <v>51.5</v>
      </c>
      <c r="B30" t="s">
        <v>108</v>
      </c>
      <c r="C30" s="16">
        <v>4</v>
      </c>
      <c r="D30" s="16">
        <v>1</v>
      </c>
      <c r="E30" s="16">
        <v>6</v>
      </c>
      <c r="F30" s="16">
        <v>12</v>
      </c>
      <c r="G30" s="16">
        <v>24</v>
      </c>
      <c r="H30" s="16">
        <v>1.65</v>
      </c>
      <c r="I30" s="16">
        <v>1.8</v>
      </c>
      <c r="J30" s="16">
        <v>2.625</v>
      </c>
      <c r="K30" s="16">
        <v>0.625</v>
      </c>
      <c r="L30" s="16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21707.735252790317</v>
      </c>
      <c r="S30" s="7"/>
    </row>
    <row r="31" spans="1:19" x14ac:dyDescent="0.35">
      <c r="A31">
        <v>52</v>
      </c>
      <c r="B31" t="s">
        <v>109</v>
      </c>
      <c r="C31" s="16">
        <v>4</v>
      </c>
      <c r="D31" s="16">
        <v>1</v>
      </c>
      <c r="E31" s="16">
        <v>6</v>
      </c>
      <c r="F31" s="16">
        <v>12</v>
      </c>
      <c r="G31" s="16">
        <v>24</v>
      </c>
      <c r="H31" s="16">
        <v>1.65</v>
      </c>
      <c r="I31" s="16">
        <v>1.8</v>
      </c>
      <c r="J31" s="16">
        <v>2.625</v>
      </c>
      <c r="K31" s="16">
        <v>0.625</v>
      </c>
      <c r="L31" s="16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45942.29683130225</v>
      </c>
      <c r="S31" s="7"/>
    </row>
    <row r="32" spans="1:19" x14ac:dyDescent="0.35">
      <c r="A32">
        <v>52.5</v>
      </c>
      <c r="B32" t="s">
        <v>110</v>
      </c>
      <c r="C32" s="16">
        <v>4</v>
      </c>
      <c r="D32" s="16">
        <v>1</v>
      </c>
      <c r="E32" s="16">
        <v>6</v>
      </c>
      <c r="F32" s="16">
        <v>12</v>
      </c>
      <c r="G32" s="16">
        <v>24</v>
      </c>
      <c r="H32" s="16">
        <v>1.65</v>
      </c>
      <c r="I32" s="16">
        <v>1.8</v>
      </c>
      <c r="J32" s="16">
        <v>2.625</v>
      </c>
      <c r="K32" s="16">
        <v>0.625</v>
      </c>
      <c r="L32" s="16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48354.267414945622</v>
      </c>
      <c r="S32" s="7"/>
    </row>
    <row r="33" spans="1:19" x14ac:dyDescent="0.35">
      <c r="A33">
        <v>60</v>
      </c>
      <c r="B33" t="s">
        <v>111</v>
      </c>
      <c r="C33" s="16">
        <v>1</v>
      </c>
      <c r="D33" s="16">
        <v>1</v>
      </c>
      <c r="E33" s="16">
        <v>1</v>
      </c>
      <c r="F33" s="16">
        <v>1</v>
      </c>
      <c r="G33" s="16">
        <v>1</v>
      </c>
      <c r="H33" s="16">
        <v>0.5</v>
      </c>
      <c r="I33" s="16">
        <v>0.5</v>
      </c>
      <c r="J33" s="16">
        <v>0.5</v>
      </c>
      <c r="K33" s="16">
        <v>0.1</v>
      </c>
      <c r="L33" s="16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108398.87621413174</v>
      </c>
      <c r="S33" s="7"/>
    </row>
    <row r="34" spans="1:19" x14ac:dyDescent="0.35">
      <c r="A34">
        <v>61</v>
      </c>
      <c r="B34" t="s">
        <v>112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0.5</v>
      </c>
      <c r="I34" s="16">
        <v>0.5</v>
      </c>
      <c r="J34" s="16">
        <v>0.5</v>
      </c>
      <c r="K34" s="16">
        <v>0.1</v>
      </c>
      <c r="L34" s="16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72265.917476087823</v>
      </c>
      <c r="S34" s="7"/>
    </row>
    <row r="35" spans="1:19" x14ac:dyDescent="0.35">
      <c r="A35">
        <v>62</v>
      </c>
      <c r="B35" t="s">
        <v>113</v>
      </c>
      <c r="C35" s="16">
        <v>1</v>
      </c>
      <c r="D35" s="16">
        <v>1</v>
      </c>
      <c r="E35" s="16">
        <v>1</v>
      </c>
      <c r="F35" s="16">
        <v>1</v>
      </c>
      <c r="G35" s="16">
        <v>1</v>
      </c>
      <c r="H35" s="16">
        <v>0.5</v>
      </c>
      <c r="I35" s="16">
        <v>0.5</v>
      </c>
      <c r="J35" s="16">
        <v>0.5</v>
      </c>
      <c r="K35" s="16">
        <v>0.1</v>
      </c>
      <c r="L35" s="16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72265.917476087823</v>
      </c>
      <c r="S35" s="7"/>
    </row>
    <row r="36" spans="1:19" x14ac:dyDescent="0.35">
      <c r="A36">
        <v>70</v>
      </c>
      <c r="B36" t="s">
        <v>114</v>
      </c>
      <c r="C36" s="16">
        <v>4</v>
      </c>
      <c r="D36" s="16">
        <v>1</v>
      </c>
      <c r="E36" s="16">
        <v>10</v>
      </c>
      <c r="F36" s="16">
        <v>18</v>
      </c>
      <c r="G36" s="16">
        <v>30</v>
      </c>
      <c r="H36" s="16">
        <v>1.7</v>
      </c>
      <c r="I36" s="16">
        <v>1.8125</v>
      </c>
      <c r="J36" s="16">
        <v>2.8</v>
      </c>
      <c r="K36" s="16">
        <v>0.75</v>
      </c>
      <c r="L36" s="16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185492.02345638286</v>
      </c>
      <c r="S36" s="7"/>
    </row>
    <row r="37" spans="1:19" x14ac:dyDescent="0.35">
      <c r="A37">
        <v>70.5</v>
      </c>
      <c r="B37" t="s">
        <v>115</v>
      </c>
      <c r="C37" s="16">
        <v>4</v>
      </c>
      <c r="D37" s="16">
        <v>1</v>
      </c>
      <c r="E37" s="16">
        <v>10</v>
      </c>
      <c r="F37" s="16">
        <v>18</v>
      </c>
      <c r="G37" s="16">
        <v>30</v>
      </c>
      <c r="H37" s="16">
        <v>1.7</v>
      </c>
      <c r="I37" s="16">
        <v>1.8125</v>
      </c>
      <c r="J37" s="16">
        <v>2.8</v>
      </c>
      <c r="K37" s="16">
        <v>0.75</v>
      </c>
      <c r="L37" s="16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195254.76153303459</v>
      </c>
      <c r="S37" s="7"/>
    </row>
    <row r="38" spans="1:19" x14ac:dyDescent="0.35">
      <c r="A38">
        <v>100</v>
      </c>
      <c r="B38" t="s">
        <v>116</v>
      </c>
      <c r="C38" s="16">
        <v>1</v>
      </c>
      <c r="D38" s="16">
        <v>1</v>
      </c>
      <c r="E38" s="16">
        <v>1</v>
      </c>
      <c r="F38" s="16">
        <v>2</v>
      </c>
      <c r="G38" s="16">
        <v>4</v>
      </c>
      <c r="H38" s="16">
        <v>1</v>
      </c>
      <c r="I38" s="16">
        <v>1.01</v>
      </c>
      <c r="J38" s="16">
        <v>1.02</v>
      </c>
      <c r="K38" s="16">
        <v>1</v>
      </c>
      <c r="L38" s="16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37902.39488582436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baseColWidth="10" defaultRowHeight="14.5" x14ac:dyDescent="0.35"/>
  <cols>
    <col min="1" max="5" width="11.453125" style="5"/>
  </cols>
  <sheetData>
    <row r="1" spans="1:6" x14ac:dyDescent="0.35">
      <c r="A1" s="4" t="s">
        <v>18</v>
      </c>
      <c r="B1" s="4" t="s">
        <v>57</v>
      </c>
      <c r="C1" s="4" t="s">
        <v>137</v>
      </c>
      <c r="D1" s="4" t="s">
        <v>138</v>
      </c>
      <c r="E1" s="4" t="s">
        <v>58</v>
      </c>
      <c r="F1" s="4"/>
    </row>
    <row r="2" spans="1:6" x14ac:dyDescent="0.35">
      <c r="A2" s="4">
        <v>10</v>
      </c>
      <c r="B2" s="4" t="s">
        <v>59</v>
      </c>
      <c r="C2" s="5">
        <v>1</v>
      </c>
      <c r="D2" s="5">
        <v>0</v>
      </c>
      <c r="E2" s="5">
        <v>1</v>
      </c>
    </row>
    <row r="3" spans="1:6" x14ac:dyDescent="0.35">
      <c r="A3" s="4">
        <v>10</v>
      </c>
      <c r="B3" s="4" t="s">
        <v>60</v>
      </c>
      <c r="C3" s="5">
        <v>0.8</v>
      </c>
      <c r="D3" s="5">
        <v>0</v>
      </c>
      <c r="E3" s="5">
        <v>0.83330000000000004</v>
      </c>
    </row>
    <row r="4" spans="1:6" x14ac:dyDescent="0.35">
      <c r="A4" s="4">
        <v>10</v>
      </c>
      <c r="B4" s="4" t="s">
        <v>61</v>
      </c>
      <c r="C4" s="5">
        <v>0.5</v>
      </c>
      <c r="D4" s="5">
        <v>0</v>
      </c>
      <c r="E4" s="5">
        <v>0.54049999999999998</v>
      </c>
    </row>
    <row r="5" spans="1:6" x14ac:dyDescent="0.35">
      <c r="A5" s="4">
        <v>10</v>
      </c>
      <c r="B5" s="4" t="s">
        <v>62</v>
      </c>
      <c r="C5" s="5">
        <v>0</v>
      </c>
      <c r="D5" s="5">
        <v>0</v>
      </c>
      <c r="E5" s="5">
        <v>0</v>
      </c>
    </row>
    <row r="6" spans="1:6" x14ac:dyDescent="0.35">
      <c r="A6" s="4">
        <v>20</v>
      </c>
      <c r="B6" s="4" t="s">
        <v>59</v>
      </c>
      <c r="C6" s="5">
        <v>1</v>
      </c>
      <c r="D6" s="5">
        <v>0</v>
      </c>
      <c r="E6" s="5">
        <v>1</v>
      </c>
    </row>
    <row r="7" spans="1:6" x14ac:dyDescent="0.35">
      <c r="A7" s="4">
        <v>20</v>
      </c>
      <c r="B7" s="4" t="s">
        <v>60</v>
      </c>
      <c r="C7" s="5">
        <v>0.87</v>
      </c>
      <c r="D7" s="5">
        <v>0</v>
      </c>
      <c r="E7" s="5">
        <v>0.90629999999999999</v>
      </c>
    </row>
    <row r="8" spans="1:6" x14ac:dyDescent="0.35">
      <c r="A8" s="4">
        <v>20</v>
      </c>
      <c r="B8" s="4" t="s">
        <v>61</v>
      </c>
      <c r="C8" s="5">
        <v>0.55000000000000004</v>
      </c>
      <c r="D8" s="5">
        <v>0</v>
      </c>
      <c r="E8" s="5">
        <v>0.59460000000000002</v>
      </c>
    </row>
    <row r="9" spans="1:6" x14ac:dyDescent="0.35">
      <c r="A9" s="4">
        <v>20</v>
      </c>
      <c r="B9" s="4" t="s">
        <v>62</v>
      </c>
      <c r="C9" s="5">
        <v>0</v>
      </c>
      <c r="D9" s="5">
        <v>0</v>
      </c>
      <c r="E9" s="5">
        <v>0</v>
      </c>
    </row>
    <row r="10" spans="1:6" x14ac:dyDescent="0.35">
      <c r="A10" s="4">
        <v>20.5</v>
      </c>
      <c r="B10" s="4" t="s">
        <v>59</v>
      </c>
      <c r="C10" s="5">
        <v>1</v>
      </c>
      <c r="D10" s="5">
        <v>0</v>
      </c>
      <c r="E10" s="5">
        <v>1</v>
      </c>
    </row>
    <row r="11" spans="1:6" x14ac:dyDescent="0.35">
      <c r="A11" s="4">
        <v>20.5</v>
      </c>
      <c r="B11" s="4" t="s">
        <v>60</v>
      </c>
      <c r="C11" s="5">
        <v>0.875</v>
      </c>
      <c r="D11" s="5">
        <v>0.55000000000000004</v>
      </c>
      <c r="E11" s="5">
        <v>1</v>
      </c>
    </row>
    <row r="12" spans="1:6" x14ac:dyDescent="0.35">
      <c r="A12" s="4">
        <v>20.5</v>
      </c>
      <c r="B12" s="4" t="s">
        <v>61</v>
      </c>
      <c r="C12" s="5">
        <v>0</v>
      </c>
      <c r="D12" s="5">
        <v>0.28999999999999998</v>
      </c>
      <c r="E12" s="5">
        <f>ROUND(D12/0.85,2)</f>
        <v>0.34</v>
      </c>
    </row>
    <row r="13" spans="1:6" x14ac:dyDescent="0.35">
      <c r="A13" s="4">
        <v>20.5</v>
      </c>
      <c r="B13" s="4" t="s">
        <v>62</v>
      </c>
      <c r="C13" s="5">
        <v>0</v>
      </c>
      <c r="D13" s="5">
        <v>0</v>
      </c>
      <c r="E13" s="5">
        <v>0</v>
      </c>
    </row>
    <row r="14" spans="1:6" x14ac:dyDescent="0.35">
      <c r="A14" s="4">
        <v>21</v>
      </c>
      <c r="B14" s="4" t="s">
        <v>59</v>
      </c>
      <c r="C14" s="5">
        <v>1</v>
      </c>
      <c r="D14" s="5">
        <v>0</v>
      </c>
      <c r="E14" s="5">
        <v>1</v>
      </c>
    </row>
    <row r="15" spans="1:6" x14ac:dyDescent="0.35">
      <c r="A15" s="4">
        <v>21</v>
      </c>
      <c r="B15" s="4" t="s">
        <v>60</v>
      </c>
      <c r="C15" s="5">
        <v>0.89</v>
      </c>
      <c r="D15" s="5">
        <v>0</v>
      </c>
      <c r="E15" s="5">
        <v>0.92710000000000004</v>
      </c>
    </row>
    <row r="16" spans="1:6" x14ac:dyDescent="0.35">
      <c r="A16" s="4">
        <v>21</v>
      </c>
      <c r="B16" s="4" t="s">
        <v>61</v>
      </c>
      <c r="C16" s="5">
        <v>0.35</v>
      </c>
      <c r="D16" s="5">
        <v>0</v>
      </c>
      <c r="E16" s="5">
        <v>0.37840000000000001</v>
      </c>
    </row>
    <row r="17" spans="1:9" x14ac:dyDescent="0.35">
      <c r="A17" s="4">
        <v>21</v>
      </c>
      <c r="B17" s="4" t="s">
        <v>62</v>
      </c>
      <c r="C17" s="5">
        <v>0</v>
      </c>
      <c r="D17" s="5">
        <v>0</v>
      </c>
      <c r="E17" s="5">
        <v>0</v>
      </c>
    </row>
    <row r="18" spans="1:9" x14ac:dyDescent="0.35">
      <c r="A18" s="4">
        <v>21.5</v>
      </c>
      <c r="B18" s="4" t="s">
        <v>59</v>
      </c>
      <c r="C18" s="5">
        <v>1</v>
      </c>
      <c r="D18" s="5">
        <v>0</v>
      </c>
      <c r="E18" s="5">
        <v>1</v>
      </c>
      <c r="G18" s="5"/>
      <c r="H18" s="5"/>
      <c r="I18" s="5"/>
    </row>
    <row r="19" spans="1:9" x14ac:dyDescent="0.35">
      <c r="A19" s="4">
        <v>21.5</v>
      </c>
      <c r="B19" s="4" t="s">
        <v>60</v>
      </c>
      <c r="C19" s="5">
        <v>0.88</v>
      </c>
      <c r="D19" s="5">
        <v>0.6</v>
      </c>
      <c r="E19" s="5">
        <v>0.97499999999999998</v>
      </c>
    </row>
    <row r="20" spans="1:9" x14ac:dyDescent="0.35">
      <c r="A20" s="4">
        <v>21.5</v>
      </c>
      <c r="B20" s="4" t="s">
        <v>61</v>
      </c>
      <c r="C20" s="5">
        <v>0</v>
      </c>
      <c r="D20" s="5">
        <v>0.52500000000000002</v>
      </c>
      <c r="E20" s="5">
        <f>ROUND(D20/0.85,2)</f>
        <v>0.62</v>
      </c>
    </row>
    <row r="21" spans="1:9" x14ac:dyDescent="0.35">
      <c r="A21" s="4">
        <v>21.5</v>
      </c>
      <c r="B21" s="4" t="s">
        <v>62</v>
      </c>
      <c r="C21" s="5">
        <v>0</v>
      </c>
      <c r="D21" s="5">
        <v>0</v>
      </c>
      <c r="E21" s="5">
        <v>0</v>
      </c>
      <c r="G21" s="5"/>
      <c r="H21" s="5"/>
      <c r="I21" s="5"/>
    </row>
    <row r="22" spans="1:9" x14ac:dyDescent="0.35">
      <c r="A22" s="4">
        <v>30</v>
      </c>
      <c r="B22" s="4" t="s">
        <v>59</v>
      </c>
      <c r="C22" s="5">
        <v>1</v>
      </c>
      <c r="D22" s="5">
        <v>0</v>
      </c>
      <c r="E22" s="5">
        <v>1</v>
      </c>
    </row>
    <row r="23" spans="1:9" x14ac:dyDescent="0.35">
      <c r="A23" s="4">
        <v>30</v>
      </c>
      <c r="B23" s="4" t="s">
        <v>60</v>
      </c>
      <c r="C23" s="5">
        <v>0.9</v>
      </c>
      <c r="D23" s="5">
        <v>0</v>
      </c>
      <c r="E23" s="5">
        <v>0.9375</v>
      </c>
    </row>
    <row r="24" spans="1:9" x14ac:dyDescent="0.35">
      <c r="A24" s="4">
        <v>30</v>
      </c>
      <c r="B24" s="4" t="s">
        <v>61</v>
      </c>
      <c r="C24" s="5">
        <v>0.52500000000000002</v>
      </c>
      <c r="D24" s="5">
        <v>0</v>
      </c>
      <c r="E24" s="5">
        <v>0.56759999999999999</v>
      </c>
    </row>
    <row r="25" spans="1:9" x14ac:dyDescent="0.35">
      <c r="A25" s="4">
        <v>30</v>
      </c>
      <c r="B25" s="4" t="s">
        <v>62</v>
      </c>
      <c r="C25" s="5">
        <v>0</v>
      </c>
      <c r="D25" s="5">
        <v>0</v>
      </c>
      <c r="E25" s="5">
        <v>0</v>
      </c>
    </row>
    <row r="26" spans="1:9" x14ac:dyDescent="0.35">
      <c r="A26" s="4">
        <v>30.5</v>
      </c>
      <c r="B26" s="4" t="s">
        <v>59</v>
      </c>
      <c r="C26" s="5">
        <v>1</v>
      </c>
      <c r="D26" s="5">
        <v>0</v>
      </c>
      <c r="E26" s="5">
        <v>1</v>
      </c>
    </row>
    <row r="27" spans="1:9" x14ac:dyDescent="0.35">
      <c r="A27" s="4">
        <v>30.5</v>
      </c>
      <c r="B27" s="4" t="s">
        <v>60</v>
      </c>
      <c r="C27" s="5">
        <v>0.875</v>
      </c>
      <c r="D27" s="5">
        <v>0.55000000000000004</v>
      </c>
      <c r="E27" s="5">
        <v>0.97499999999999998</v>
      </c>
    </row>
    <row r="28" spans="1:9" x14ac:dyDescent="0.35">
      <c r="A28" s="4">
        <v>30.5</v>
      </c>
      <c r="B28" s="4" t="s">
        <v>61</v>
      </c>
      <c r="C28" s="5">
        <v>0</v>
      </c>
      <c r="D28" s="5">
        <v>0.24999999999999992</v>
      </c>
      <c r="E28" s="5">
        <f>ROUND(D28/0.85,2)</f>
        <v>0.28999999999999998</v>
      </c>
    </row>
    <row r="29" spans="1:9" x14ac:dyDescent="0.35">
      <c r="A29" s="4">
        <v>30.5</v>
      </c>
      <c r="B29" s="4" t="s">
        <v>62</v>
      </c>
      <c r="C29" s="5">
        <v>0</v>
      </c>
      <c r="D29" s="5">
        <v>0</v>
      </c>
      <c r="E29" s="5">
        <v>0</v>
      </c>
    </row>
    <row r="30" spans="1:9" x14ac:dyDescent="0.35">
      <c r="A30" s="4">
        <v>31</v>
      </c>
      <c r="B30" s="4" t="s">
        <v>59</v>
      </c>
      <c r="C30" s="5">
        <v>1</v>
      </c>
      <c r="D30" s="5">
        <v>0</v>
      </c>
      <c r="E30" s="5">
        <v>1</v>
      </c>
    </row>
    <row r="31" spans="1:9" x14ac:dyDescent="0.35">
      <c r="A31" s="4">
        <v>31</v>
      </c>
      <c r="B31" s="4" t="s">
        <v>60</v>
      </c>
      <c r="C31" s="5">
        <v>0.875</v>
      </c>
      <c r="D31" s="5">
        <v>0</v>
      </c>
      <c r="E31" s="5">
        <v>0.91149999999999998</v>
      </c>
    </row>
    <row r="32" spans="1:9" x14ac:dyDescent="0.35">
      <c r="A32" s="4">
        <v>31</v>
      </c>
      <c r="B32" s="4" t="s">
        <v>61</v>
      </c>
      <c r="C32" s="5">
        <v>0.4</v>
      </c>
      <c r="D32" s="5">
        <v>0</v>
      </c>
      <c r="E32" s="5">
        <v>0.43240000000000001</v>
      </c>
    </row>
    <row r="33" spans="1:5" x14ac:dyDescent="0.35">
      <c r="A33" s="4">
        <v>31</v>
      </c>
      <c r="B33" s="4" t="s">
        <v>62</v>
      </c>
      <c r="C33" s="5">
        <v>0</v>
      </c>
      <c r="D33" s="5">
        <v>0</v>
      </c>
      <c r="E33" s="5">
        <v>0</v>
      </c>
    </row>
    <row r="34" spans="1:5" x14ac:dyDescent="0.35">
      <c r="A34" s="4">
        <v>31.5</v>
      </c>
      <c r="B34" s="4" t="s">
        <v>59</v>
      </c>
      <c r="C34" s="5">
        <v>1</v>
      </c>
      <c r="D34" s="5">
        <v>0</v>
      </c>
      <c r="E34" s="5">
        <v>1</v>
      </c>
    </row>
    <row r="35" spans="1:5" x14ac:dyDescent="0.35">
      <c r="A35" s="4">
        <v>31.5</v>
      </c>
      <c r="B35" s="4" t="s">
        <v>60</v>
      </c>
      <c r="C35" s="5">
        <v>0.875</v>
      </c>
      <c r="D35" s="5">
        <v>0.57499999999999996</v>
      </c>
      <c r="E35" s="5">
        <v>0.97499999999999998</v>
      </c>
    </row>
    <row r="36" spans="1:5" x14ac:dyDescent="0.35">
      <c r="A36" s="4">
        <v>31.5</v>
      </c>
      <c r="B36" s="4" t="s">
        <v>61</v>
      </c>
      <c r="C36" s="5">
        <v>0</v>
      </c>
      <c r="D36" s="5">
        <v>0.25</v>
      </c>
      <c r="E36" s="5">
        <f>ROUND(D36/0.85,2)</f>
        <v>0.28999999999999998</v>
      </c>
    </row>
    <row r="37" spans="1:5" x14ac:dyDescent="0.35">
      <c r="A37" s="4">
        <v>31.5</v>
      </c>
      <c r="B37" s="4" t="s">
        <v>62</v>
      </c>
      <c r="C37" s="5">
        <v>0</v>
      </c>
      <c r="D37" s="5">
        <v>0</v>
      </c>
      <c r="E37" s="5">
        <v>0</v>
      </c>
    </row>
    <row r="38" spans="1:5" x14ac:dyDescent="0.35">
      <c r="A38" s="4">
        <v>32</v>
      </c>
      <c r="B38" s="4" t="s">
        <v>59</v>
      </c>
      <c r="C38" s="5">
        <v>1</v>
      </c>
      <c r="D38" s="5">
        <v>0</v>
      </c>
      <c r="E38" s="5">
        <v>1</v>
      </c>
    </row>
    <row r="39" spans="1:5" x14ac:dyDescent="0.35">
      <c r="A39" s="4">
        <v>32</v>
      </c>
      <c r="B39" s="4" t="s">
        <v>60</v>
      </c>
      <c r="C39" s="5">
        <v>0.85</v>
      </c>
      <c r="D39" s="5">
        <v>0</v>
      </c>
      <c r="E39" s="5">
        <v>0.88539999999999996</v>
      </c>
    </row>
    <row r="40" spans="1:5" x14ac:dyDescent="0.35">
      <c r="A40" s="4">
        <v>32</v>
      </c>
      <c r="B40" s="4" t="s">
        <v>61</v>
      </c>
      <c r="C40" s="5">
        <v>0.35</v>
      </c>
      <c r="D40" s="5">
        <v>0</v>
      </c>
      <c r="E40" s="5">
        <v>0.37840000000000001</v>
      </c>
    </row>
    <row r="41" spans="1:5" x14ac:dyDescent="0.35">
      <c r="A41" s="4">
        <v>32</v>
      </c>
      <c r="B41" s="4" t="s">
        <v>62</v>
      </c>
      <c r="C41" s="5">
        <v>0</v>
      </c>
      <c r="D41" s="5">
        <v>0</v>
      </c>
      <c r="E41" s="5">
        <v>0</v>
      </c>
    </row>
    <row r="42" spans="1:5" x14ac:dyDescent="0.35">
      <c r="A42" s="4">
        <v>32.5</v>
      </c>
      <c r="B42" s="4" t="s">
        <v>59</v>
      </c>
      <c r="C42" s="5">
        <v>1</v>
      </c>
      <c r="D42" s="5">
        <v>0</v>
      </c>
      <c r="E42" s="5">
        <v>1</v>
      </c>
    </row>
    <row r="43" spans="1:5" x14ac:dyDescent="0.35">
      <c r="A43" s="4">
        <v>32.5</v>
      </c>
      <c r="B43" s="4" t="s">
        <v>60</v>
      </c>
      <c r="C43" s="5">
        <v>0.88</v>
      </c>
      <c r="D43" s="5">
        <v>0.6</v>
      </c>
      <c r="E43" s="5">
        <v>0.97499999999999998</v>
      </c>
    </row>
    <row r="44" spans="1:5" x14ac:dyDescent="0.35">
      <c r="A44" s="4">
        <v>32.5</v>
      </c>
      <c r="B44" s="4" t="s">
        <v>61</v>
      </c>
      <c r="C44" s="5">
        <v>0</v>
      </c>
      <c r="D44" s="5">
        <v>0.26874999999999993</v>
      </c>
      <c r="E44" s="5">
        <f>ROUND(D44/0.85,2)</f>
        <v>0.32</v>
      </c>
    </row>
    <row r="45" spans="1:5" x14ac:dyDescent="0.35">
      <c r="A45" s="4">
        <v>32.5</v>
      </c>
      <c r="B45" s="4" t="s">
        <v>62</v>
      </c>
      <c r="C45" s="5">
        <v>0</v>
      </c>
      <c r="D45" s="5">
        <v>0</v>
      </c>
      <c r="E45" s="5">
        <v>0</v>
      </c>
    </row>
    <row r="46" spans="1:5" x14ac:dyDescent="0.35">
      <c r="A46" s="4">
        <v>33</v>
      </c>
      <c r="B46" s="4" t="s">
        <v>59</v>
      </c>
      <c r="C46" s="5">
        <v>1</v>
      </c>
      <c r="D46" s="5">
        <v>0</v>
      </c>
      <c r="E46" s="5">
        <v>1</v>
      </c>
    </row>
    <row r="47" spans="1:5" x14ac:dyDescent="0.35">
      <c r="A47" s="4">
        <v>33</v>
      </c>
      <c r="B47" s="4" t="s">
        <v>60</v>
      </c>
      <c r="C47" s="5">
        <v>0.8</v>
      </c>
      <c r="D47" s="5">
        <v>0</v>
      </c>
      <c r="E47" s="5">
        <v>0.83330000000000004</v>
      </c>
    </row>
    <row r="48" spans="1:5" x14ac:dyDescent="0.35">
      <c r="A48" s="4">
        <v>33</v>
      </c>
      <c r="B48" s="4" t="s">
        <v>61</v>
      </c>
      <c r="C48" s="5">
        <v>0.3</v>
      </c>
      <c r="D48" s="5">
        <v>0</v>
      </c>
      <c r="E48" s="5">
        <v>0.32429999999999998</v>
      </c>
    </row>
    <row r="49" spans="1:5" x14ac:dyDescent="0.35">
      <c r="A49" s="4">
        <v>33</v>
      </c>
      <c r="B49" s="4" t="s">
        <v>62</v>
      </c>
      <c r="C49" s="5">
        <v>0</v>
      </c>
      <c r="D49" s="5">
        <v>0</v>
      </c>
      <c r="E49" s="5">
        <v>0</v>
      </c>
    </row>
    <row r="50" spans="1:5" x14ac:dyDescent="0.35">
      <c r="A50" s="4">
        <v>40</v>
      </c>
      <c r="B50" s="4" t="s">
        <v>59</v>
      </c>
      <c r="C50" s="5">
        <v>1</v>
      </c>
      <c r="D50" s="5">
        <v>0</v>
      </c>
      <c r="E50" s="5">
        <v>1</v>
      </c>
    </row>
    <row r="51" spans="1:5" x14ac:dyDescent="0.35">
      <c r="A51" s="4">
        <v>40</v>
      </c>
      <c r="B51" s="4" t="s">
        <v>60</v>
      </c>
      <c r="C51" s="5">
        <v>0.88</v>
      </c>
      <c r="D51" s="5">
        <v>0</v>
      </c>
      <c r="E51" s="5">
        <v>0.91669999999999996</v>
      </c>
    </row>
    <row r="52" spans="1:5" x14ac:dyDescent="0.35">
      <c r="A52" s="4">
        <v>40</v>
      </c>
      <c r="B52" s="4" t="s">
        <v>61</v>
      </c>
      <c r="C52" s="5">
        <v>0.6</v>
      </c>
      <c r="D52" s="5">
        <v>0</v>
      </c>
      <c r="E52" s="5">
        <v>0.64859999999999995</v>
      </c>
    </row>
    <row r="53" spans="1:5" x14ac:dyDescent="0.35">
      <c r="A53" s="4">
        <v>40</v>
      </c>
      <c r="B53" s="4" t="s">
        <v>62</v>
      </c>
      <c r="C53" s="5">
        <v>0</v>
      </c>
      <c r="D53" s="5">
        <v>0</v>
      </c>
      <c r="E53" s="5">
        <v>0</v>
      </c>
    </row>
    <row r="54" spans="1:5" x14ac:dyDescent="0.35">
      <c r="A54" s="4">
        <v>40.5</v>
      </c>
      <c r="B54" s="4" t="s">
        <v>59</v>
      </c>
      <c r="C54" s="5">
        <v>1</v>
      </c>
      <c r="D54" s="5">
        <v>0</v>
      </c>
      <c r="E54" s="5">
        <v>1</v>
      </c>
    </row>
    <row r="55" spans="1:5" x14ac:dyDescent="0.35">
      <c r="A55" s="4">
        <v>40.5</v>
      </c>
      <c r="B55" s="4" t="s">
        <v>60</v>
      </c>
      <c r="C55" s="5">
        <v>0.55000000000000004</v>
      </c>
      <c r="D55" s="5">
        <v>1.2</v>
      </c>
      <c r="E55" s="5">
        <v>1</v>
      </c>
    </row>
    <row r="56" spans="1:5" x14ac:dyDescent="0.35">
      <c r="A56" s="4">
        <v>40.5</v>
      </c>
      <c r="B56" s="4" t="s">
        <v>61</v>
      </c>
      <c r="C56" s="5">
        <v>0</v>
      </c>
      <c r="D56" s="5">
        <v>0.54</v>
      </c>
      <c r="E56" s="5">
        <f>ROUND(D56/0.85,2)</f>
        <v>0.64</v>
      </c>
    </row>
    <row r="57" spans="1:5" x14ac:dyDescent="0.35">
      <c r="A57" s="4">
        <v>40.5</v>
      </c>
      <c r="B57" s="4" t="s">
        <v>62</v>
      </c>
      <c r="C57" s="5">
        <v>0</v>
      </c>
      <c r="D57" s="5">
        <v>0</v>
      </c>
      <c r="E57" s="5">
        <v>0</v>
      </c>
    </row>
    <row r="58" spans="1:5" x14ac:dyDescent="0.35">
      <c r="A58" s="4">
        <v>41</v>
      </c>
      <c r="B58" s="4" t="s">
        <v>59</v>
      </c>
      <c r="C58" s="5">
        <v>1</v>
      </c>
      <c r="D58" s="5">
        <v>0</v>
      </c>
      <c r="E58" s="5">
        <v>1</v>
      </c>
    </row>
    <row r="59" spans="1:5" x14ac:dyDescent="0.35">
      <c r="A59" s="4">
        <v>41</v>
      </c>
      <c r="B59" s="4" t="s">
        <v>60</v>
      </c>
      <c r="C59" s="5">
        <v>0.8</v>
      </c>
      <c r="D59" s="5">
        <v>0</v>
      </c>
      <c r="E59" s="5">
        <v>0.83330000000000004</v>
      </c>
    </row>
    <row r="60" spans="1:5" x14ac:dyDescent="0.35">
      <c r="A60" s="4">
        <v>41</v>
      </c>
      <c r="B60" s="4" t="s">
        <v>61</v>
      </c>
      <c r="C60" s="5">
        <v>0.7</v>
      </c>
      <c r="D60" s="5">
        <v>0</v>
      </c>
      <c r="E60" s="5">
        <v>0.75680000000000003</v>
      </c>
    </row>
    <row r="61" spans="1:5" x14ac:dyDescent="0.35">
      <c r="A61" s="4">
        <v>41</v>
      </c>
      <c r="B61" s="4" t="s">
        <v>62</v>
      </c>
      <c r="C61" s="5">
        <v>0</v>
      </c>
      <c r="D61" s="5">
        <v>0</v>
      </c>
      <c r="E61" s="5">
        <v>0</v>
      </c>
    </row>
    <row r="62" spans="1:5" x14ac:dyDescent="0.35">
      <c r="A62" s="4">
        <v>41.5</v>
      </c>
      <c r="B62" s="4" t="s">
        <v>59</v>
      </c>
      <c r="C62" s="5">
        <v>1</v>
      </c>
      <c r="D62" s="5">
        <v>0</v>
      </c>
      <c r="E62" s="5">
        <v>1</v>
      </c>
    </row>
    <row r="63" spans="1:5" x14ac:dyDescent="0.35">
      <c r="A63" s="4">
        <v>41.5</v>
      </c>
      <c r="B63" s="4" t="s">
        <v>60</v>
      </c>
      <c r="C63" s="5">
        <v>0.625</v>
      </c>
      <c r="D63" s="5">
        <v>1.25</v>
      </c>
      <c r="E63" s="5">
        <v>1</v>
      </c>
    </row>
    <row r="64" spans="1:5" x14ac:dyDescent="0.35">
      <c r="A64" s="4">
        <v>41.5</v>
      </c>
      <c r="B64" s="4" t="s">
        <v>61</v>
      </c>
      <c r="C64" s="5">
        <v>0</v>
      </c>
      <c r="D64" s="5">
        <v>0</v>
      </c>
      <c r="E64" s="5">
        <f>ROUND(D64/0.85,2)</f>
        <v>0</v>
      </c>
    </row>
    <row r="65" spans="1:5" x14ac:dyDescent="0.35">
      <c r="A65" s="4">
        <v>41.5</v>
      </c>
      <c r="B65" s="4" t="s">
        <v>62</v>
      </c>
      <c r="C65" s="5">
        <v>0</v>
      </c>
      <c r="D65" s="5">
        <v>0</v>
      </c>
      <c r="E65" s="5">
        <v>0</v>
      </c>
    </row>
    <row r="66" spans="1:5" x14ac:dyDescent="0.35">
      <c r="A66" s="4">
        <v>42</v>
      </c>
      <c r="B66" s="4" t="s">
        <v>59</v>
      </c>
      <c r="C66" s="5">
        <v>1</v>
      </c>
      <c r="D66" s="5">
        <v>0</v>
      </c>
      <c r="E66" s="5">
        <v>1</v>
      </c>
    </row>
    <row r="67" spans="1:5" x14ac:dyDescent="0.35">
      <c r="A67" s="4">
        <v>42</v>
      </c>
      <c r="B67" s="4" t="s">
        <v>60</v>
      </c>
      <c r="C67" s="5">
        <v>0.75</v>
      </c>
      <c r="D67" s="5">
        <v>0</v>
      </c>
      <c r="E67" s="5">
        <v>0.78129999999999999</v>
      </c>
    </row>
    <row r="68" spans="1:5" x14ac:dyDescent="0.35">
      <c r="A68" s="4">
        <v>42</v>
      </c>
      <c r="B68" s="4" t="s">
        <v>61</v>
      </c>
      <c r="C68" s="5">
        <v>0.65</v>
      </c>
      <c r="D68" s="5">
        <v>0</v>
      </c>
      <c r="E68" s="5">
        <v>0.70269999999999999</v>
      </c>
    </row>
    <row r="69" spans="1:5" x14ac:dyDescent="0.35">
      <c r="A69" s="4">
        <v>42</v>
      </c>
      <c r="B69" s="4" t="s">
        <v>62</v>
      </c>
      <c r="C69" s="5">
        <v>0</v>
      </c>
      <c r="D69" s="5">
        <v>0</v>
      </c>
      <c r="E69" s="5">
        <v>0</v>
      </c>
    </row>
    <row r="70" spans="1:5" x14ac:dyDescent="0.35">
      <c r="A70" s="4">
        <v>42.5</v>
      </c>
      <c r="B70" s="4" t="s">
        <v>59</v>
      </c>
      <c r="C70" s="5">
        <v>1</v>
      </c>
      <c r="D70" s="5">
        <v>0</v>
      </c>
      <c r="E70" s="5">
        <v>1</v>
      </c>
    </row>
    <row r="71" spans="1:5" x14ac:dyDescent="0.35">
      <c r="A71" s="4">
        <v>42.5</v>
      </c>
      <c r="B71" s="4" t="s">
        <v>60</v>
      </c>
      <c r="C71" s="5">
        <v>0.67</v>
      </c>
      <c r="D71" s="5">
        <v>1.1499999999999999</v>
      </c>
      <c r="E71" s="5">
        <v>0.97499999999999998</v>
      </c>
    </row>
    <row r="72" spans="1:5" x14ac:dyDescent="0.35">
      <c r="A72" s="4">
        <v>42.5</v>
      </c>
      <c r="B72" s="4" t="s">
        <v>61</v>
      </c>
      <c r="C72" s="5">
        <v>0</v>
      </c>
      <c r="D72" s="5">
        <v>0</v>
      </c>
      <c r="E72" s="5">
        <v>0</v>
      </c>
    </row>
    <row r="73" spans="1:5" x14ac:dyDescent="0.35">
      <c r="A73" s="4">
        <v>42.5</v>
      </c>
      <c r="B73" s="4" t="s">
        <v>62</v>
      </c>
      <c r="C73" s="5">
        <v>0</v>
      </c>
      <c r="D73" s="5">
        <v>0</v>
      </c>
      <c r="E73" s="5">
        <v>0</v>
      </c>
    </row>
    <row r="74" spans="1:5" x14ac:dyDescent="0.35">
      <c r="A74" s="4">
        <v>43</v>
      </c>
      <c r="B74" s="4" t="s">
        <v>59</v>
      </c>
      <c r="C74" s="5">
        <v>1</v>
      </c>
      <c r="D74" s="5">
        <v>0</v>
      </c>
      <c r="E74" s="5">
        <v>1</v>
      </c>
    </row>
    <row r="75" spans="1:5" x14ac:dyDescent="0.35">
      <c r="A75" s="4">
        <v>43</v>
      </c>
      <c r="B75" s="4" t="s">
        <v>60</v>
      </c>
      <c r="C75" s="5">
        <v>0.85</v>
      </c>
      <c r="D75" s="5">
        <v>0</v>
      </c>
      <c r="E75" s="5">
        <v>0.88539999999999996</v>
      </c>
    </row>
    <row r="76" spans="1:5" x14ac:dyDescent="0.35">
      <c r="A76" s="4">
        <v>43</v>
      </c>
      <c r="B76" s="4" t="s">
        <v>61</v>
      </c>
      <c r="C76" s="5">
        <v>0.375</v>
      </c>
      <c r="D76" s="5">
        <v>0</v>
      </c>
      <c r="E76" s="5">
        <v>0.40539999999999998</v>
      </c>
    </row>
    <row r="77" spans="1:5" x14ac:dyDescent="0.35">
      <c r="A77" s="4">
        <v>43</v>
      </c>
      <c r="B77" s="4" t="s">
        <v>62</v>
      </c>
      <c r="C77" s="5">
        <v>0</v>
      </c>
      <c r="D77" s="5">
        <v>0</v>
      </c>
      <c r="E77" s="5">
        <v>0</v>
      </c>
    </row>
    <row r="78" spans="1:5" x14ac:dyDescent="0.35">
      <c r="A78" s="4">
        <v>43.5</v>
      </c>
      <c r="B78" s="4" t="s">
        <v>59</v>
      </c>
      <c r="C78" s="5">
        <v>1</v>
      </c>
      <c r="D78" s="5">
        <v>0</v>
      </c>
      <c r="E78" s="5">
        <v>1</v>
      </c>
    </row>
    <row r="79" spans="1:5" x14ac:dyDescent="0.35">
      <c r="A79" s="4">
        <v>43.5</v>
      </c>
      <c r="B79" s="4" t="s">
        <v>60</v>
      </c>
      <c r="C79" s="5">
        <v>0.82499999999999996</v>
      </c>
      <c r="D79" s="5">
        <v>0.5</v>
      </c>
      <c r="E79" s="5">
        <v>0.95</v>
      </c>
    </row>
    <row r="80" spans="1:5" x14ac:dyDescent="0.35">
      <c r="A80" s="4">
        <v>43.5</v>
      </c>
      <c r="B80" s="4" t="s">
        <v>61</v>
      </c>
      <c r="C80" s="5">
        <v>0</v>
      </c>
      <c r="D80" s="5">
        <v>0.23499999999999999</v>
      </c>
      <c r="E80" s="5">
        <f>ROUND(D80/0.85,2)</f>
        <v>0.28000000000000003</v>
      </c>
    </row>
    <row r="81" spans="1:5" x14ac:dyDescent="0.35">
      <c r="A81" s="4">
        <v>43.5</v>
      </c>
      <c r="B81" s="4" t="s">
        <v>62</v>
      </c>
      <c r="C81" s="5">
        <v>0</v>
      </c>
      <c r="D81" s="5">
        <v>0</v>
      </c>
      <c r="E81" s="5">
        <v>0</v>
      </c>
    </row>
    <row r="82" spans="1:5" x14ac:dyDescent="0.35">
      <c r="A82" s="4">
        <v>44</v>
      </c>
      <c r="B82" s="4" t="s">
        <v>59</v>
      </c>
      <c r="C82" s="5">
        <v>1</v>
      </c>
      <c r="D82" s="5">
        <v>0</v>
      </c>
      <c r="E82" s="5">
        <v>1</v>
      </c>
    </row>
    <row r="83" spans="1:5" x14ac:dyDescent="0.35">
      <c r="A83" s="4">
        <v>44</v>
      </c>
      <c r="B83" s="4" t="s">
        <v>60</v>
      </c>
      <c r="C83" s="5">
        <v>0.82499999999999996</v>
      </c>
      <c r="D83" s="5">
        <v>0</v>
      </c>
      <c r="E83" s="5">
        <v>0.85940000000000005</v>
      </c>
    </row>
    <row r="84" spans="1:5" x14ac:dyDescent="0.35">
      <c r="A84" s="4">
        <v>44</v>
      </c>
      <c r="B84" s="4" t="s">
        <v>61</v>
      </c>
      <c r="C84" s="5">
        <v>0.27500000000000002</v>
      </c>
      <c r="D84" s="5">
        <v>0</v>
      </c>
      <c r="E84" s="5">
        <v>0.29730000000000001</v>
      </c>
    </row>
    <row r="85" spans="1:5" x14ac:dyDescent="0.35">
      <c r="A85" s="4">
        <v>44</v>
      </c>
      <c r="B85" s="4" t="s">
        <v>62</v>
      </c>
      <c r="C85" s="5">
        <v>0</v>
      </c>
      <c r="D85" s="5">
        <v>0</v>
      </c>
      <c r="E85" s="5">
        <v>0</v>
      </c>
    </row>
    <row r="86" spans="1:5" x14ac:dyDescent="0.35">
      <c r="A86" s="4">
        <v>44.5</v>
      </c>
      <c r="B86" s="4" t="s">
        <v>59</v>
      </c>
      <c r="C86" s="5">
        <v>1</v>
      </c>
      <c r="D86" s="5">
        <v>0</v>
      </c>
      <c r="E86" s="5">
        <v>1</v>
      </c>
    </row>
    <row r="87" spans="1:5" x14ac:dyDescent="0.35">
      <c r="A87" s="4">
        <v>44.5</v>
      </c>
      <c r="B87" s="4" t="s">
        <v>60</v>
      </c>
      <c r="C87" s="5">
        <v>0.82499999999999996</v>
      </c>
      <c r="D87" s="5">
        <v>0.75</v>
      </c>
      <c r="E87" s="5">
        <v>0.97499999999999998</v>
      </c>
    </row>
    <row r="88" spans="1:5" x14ac:dyDescent="0.35">
      <c r="A88" s="4">
        <v>44.5</v>
      </c>
      <c r="B88" s="4" t="s">
        <v>61</v>
      </c>
      <c r="C88" s="5">
        <v>0</v>
      </c>
      <c r="D88" s="5">
        <v>8.74999999999998E-2</v>
      </c>
      <c r="E88" s="5">
        <f>ROUND(D88/0.85,2)</f>
        <v>0.1</v>
      </c>
    </row>
    <row r="89" spans="1:5" x14ac:dyDescent="0.35">
      <c r="A89" s="4">
        <v>44.5</v>
      </c>
      <c r="B89" s="4" t="s">
        <v>62</v>
      </c>
      <c r="C89" s="5">
        <v>0</v>
      </c>
      <c r="D89" s="5">
        <v>0</v>
      </c>
      <c r="E89" s="5">
        <v>0</v>
      </c>
    </row>
    <row r="90" spans="1:5" x14ac:dyDescent="0.35">
      <c r="A90" s="4">
        <v>45</v>
      </c>
      <c r="B90" s="4" t="s">
        <v>59</v>
      </c>
      <c r="C90" s="5">
        <v>1</v>
      </c>
      <c r="D90" s="5">
        <v>0</v>
      </c>
      <c r="E90" s="5">
        <v>1</v>
      </c>
    </row>
    <row r="91" spans="1:5" x14ac:dyDescent="0.35">
      <c r="A91" s="4">
        <v>45</v>
      </c>
      <c r="B91" s="4" t="s">
        <v>60</v>
      </c>
      <c r="C91" s="5">
        <v>0.81</v>
      </c>
      <c r="D91" s="5">
        <v>0</v>
      </c>
      <c r="E91" s="5">
        <v>0.84379999999999999</v>
      </c>
    </row>
    <row r="92" spans="1:5" x14ac:dyDescent="0.35">
      <c r="A92" s="4">
        <v>45</v>
      </c>
      <c r="B92" s="4" t="s">
        <v>61</v>
      </c>
      <c r="C92" s="5">
        <v>0.26</v>
      </c>
      <c r="D92" s="5">
        <v>0</v>
      </c>
      <c r="E92" s="5">
        <v>0.28110000000000002</v>
      </c>
    </row>
    <row r="93" spans="1:5" x14ac:dyDescent="0.35">
      <c r="A93" s="4">
        <v>45</v>
      </c>
      <c r="B93" s="4" t="s">
        <v>62</v>
      </c>
      <c r="C93" s="5">
        <v>0</v>
      </c>
      <c r="D93" s="5">
        <v>0</v>
      </c>
      <c r="E93" s="5">
        <v>0</v>
      </c>
    </row>
    <row r="94" spans="1:5" x14ac:dyDescent="0.35">
      <c r="A94" s="4">
        <v>45.5</v>
      </c>
      <c r="B94" s="4" t="s">
        <v>59</v>
      </c>
      <c r="C94" s="5">
        <v>1</v>
      </c>
      <c r="D94" s="5">
        <v>0</v>
      </c>
      <c r="E94" s="5">
        <v>1</v>
      </c>
    </row>
    <row r="95" spans="1:5" x14ac:dyDescent="0.35">
      <c r="A95" s="4">
        <v>45.5</v>
      </c>
      <c r="B95" s="4" t="s">
        <v>60</v>
      </c>
      <c r="C95" s="5">
        <v>0.4</v>
      </c>
      <c r="D95" s="5">
        <v>0.75</v>
      </c>
      <c r="E95" s="5">
        <v>0.95</v>
      </c>
    </row>
    <row r="96" spans="1:5" x14ac:dyDescent="0.35">
      <c r="A96" s="4">
        <v>45.5</v>
      </c>
      <c r="B96" s="4" t="s">
        <v>61</v>
      </c>
      <c r="C96" s="5">
        <v>0</v>
      </c>
      <c r="D96" s="5">
        <v>0.1</v>
      </c>
      <c r="E96" s="5">
        <f>ROUND(D96/0.85,2)</f>
        <v>0.12</v>
      </c>
    </row>
    <row r="97" spans="1:5" x14ac:dyDescent="0.35">
      <c r="A97" s="4">
        <v>45.5</v>
      </c>
      <c r="B97" s="4" t="s">
        <v>62</v>
      </c>
      <c r="C97" s="5">
        <v>0</v>
      </c>
      <c r="D97" s="5">
        <v>0</v>
      </c>
      <c r="E97" s="5">
        <v>0</v>
      </c>
    </row>
    <row r="98" spans="1:5" x14ac:dyDescent="0.35">
      <c r="A98" s="4">
        <v>49.5</v>
      </c>
      <c r="B98" s="4" t="s">
        <v>59</v>
      </c>
      <c r="C98" s="5">
        <v>0</v>
      </c>
      <c r="D98" s="5">
        <v>1</v>
      </c>
      <c r="E98" s="5">
        <v>0.9</v>
      </c>
    </row>
    <row r="99" spans="1:5" x14ac:dyDescent="0.35">
      <c r="A99" s="4">
        <v>49.5</v>
      </c>
      <c r="B99" s="4" t="s">
        <v>60</v>
      </c>
      <c r="C99" s="5">
        <v>0</v>
      </c>
      <c r="D99" s="5">
        <v>0.8</v>
      </c>
      <c r="E99" s="5">
        <v>0.72600000000000009</v>
      </c>
    </row>
    <row r="100" spans="1:5" x14ac:dyDescent="0.35">
      <c r="A100" s="4">
        <v>49.5</v>
      </c>
      <c r="B100" s="4" t="s">
        <v>61</v>
      </c>
      <c r="C100" s="5">
        <v>0</v>
      </c>
      <c r="D100" s="5">
        <v>0.3</v>
      </c>
      <c r="E100" s="5">
        <v>0.34350000000000003</v>
      </c>
    </row>
    <row r="101" spans="1:5" x14ac:dyDescent="0.35">
      <c r="A101" s="4">
        <v>49.5</v>
      </c>
      <c r="B101" s="4" t="s">
        <v>62</v>
      </c>
      <c r="C101" s="5">
        <v>0</v>
      </c>
      <c r="D101" s="5">
        <v>0</v>
      </c>
      <c r="E101" s="5">
        <v>0</v>
      </c>
    </row>
    <row r="102" spans="1:5" x14ac:dyDescent="0.35">
      <c r="A102" s="4">
        <v>50</v>
      </c>
      <c r="B102" s="4" t="s">
        <v>59</v>
      </c>
      <c r="C102" s="5">
        <v>1</v>
      </c>
      <c r="D102" s="5">
        <v>0</v>
      </c>
      <c r="E102" s="5">
        <v>1</v>
      </c>
    </row>
    <row r="103" spans="1:5" x14ac:dyDescent="0.35">
      <c r="A103" s="4">
        <v>50</v>
      </c>
      <c r="B103" s="4" t="s">
        <v>60</v>
      </c>
      <c r="C103" s="5">
        <v>0.88</v>
      </c>
      <c r="D103" s="5">
        <v>0</v>
      </c>
      <c r="E103" s="5">
        <v>0.91669999999999996</v>
      </c>
    </row>
    <row r="104" spans="1:5" x14ac:dyDescent="0.35">
      <c r="A104" s="4">
        <v>50</v>
      </c>
      <c r="B104" s="4" t="s">
        <v>61</v>
      </c>
      <c r="C104" s="5">
        <v>0.5</v>
      </c>
      <c r="D104" s="5">
        <v>0</v>
      </c>
      <c r="E104" s="5">
        <v>0.54049999999999998</v>
      </c>
    </row>
    <row r="105" spans="1:5" x14ac:dyDescent="0.35">
      <c r="A105" s="4">
        <v>50</v>
      </c>
      <c r="B105" s="4" t="s">
        <v>62</v>
      </c>
      <c r="C105" s="5">
        <v>0</v>
      </c>
      <c r="D105" s="5">
        <v>0</v>
      </c>
      <c r="E105" s="5">
        <v>0</v>
      </c>
    </row>
    <row r="106" spans="1:5" x14ac:dyDescent="0.35">
      <c r="A106" s="4">
        <v>50.5</v>
      </c>
      <c r="B106" s="4" t="s">
        <v>59</v>
      </c>
      <c r="C106" s="5">
        <v>1</v>
      </c>
      <c r="D106" s="5">
        <v>0</v>
      </c>
      <c r="E106" s="5">
        <v>1</v>
      </c>
    </row>
    <row r="107" spans="1:5" x14ac:dyDescent="0.35">
      <c r="A107" s="4">
        <v>50.5</v>
      </c>
      <c r="B107" s="4" t="s">
        <v>60</v>
      </c>
      <c r="C107" s="5">
        <v>0.65</v>
      </c>
      <c r="D107" s="5">
        <v>0.8</v>
      </c>
      <c r="E107" s="5">
        <v>0.98</v>
      </c>
    </row>
    <row r="108" spans="1:5" x14ac:dyDescent="0.35">
      <c r="A108" s="4">
        <v>50.5</v>
      </c>
      <c r="B108" s="4" t="s">
        <v>61</v>
      </c>
      <c r="C108" s="5">
        <v>0</v>
      </c>
      <c r="D108" s="5">
        <v>0.15</v>
      </c>
      <c r="E108" s="5">
        <f>ROUND(D108/0.85,2)</f>
        <v>0.18</v>
      </c>
    </row>
    <row r="109" spans="1:5" x14ac:dyDescent="0.35">
      <c r="A109" s="4">
        <v>50.5</v>
      </c>
      <c r="B109" s="4" t="s">
        <v>62</v>
      </c>
      <c r="C109" s="5">
        <v>0</v>
      </c>
      <c r="D109" s="5">
        <v>0</v>
      </c>
      <c r="E109" s="5">
        <v>0</v>
      </c>
    </row>
    <row r="110" spans="1:5" x14ac:dyDescent="0.35">
      <c r="A110" s="4">
        <v>51</v>
      </c>
      <c r="B110" s="4" t="s">
        <v>59</v>
      </c>
      <c r="C110" s="5">
        <v>1</v>
      </c>
      <c r="D110" s="5">
        <v>0</v>
      </c>
      <c r="E110" s="5">
        <v>1</v>
      </c>
    </row>
    <row r="111" spans="1:5" x14ac:dyDescent="0.35">
      <c r="A111" s="4">
        <v>51</v>
      </c>
      <c r="B111" s="4" t="s">
        <v>60</v>
      </c>
      <c r="C111" s="5">
        <v>0.77500000000000002</v>
      </c>
      <c r="D111" s="5">
        <v>0</v>
      </c>
      <c r="E111" s="5">
        <v>0.80730000000000002</v>
      </c>
    </row>
    <row r="112" spans="1:5" x14ac:dyDescent="0.35">
      <c r="A112" s="4">
        <v>51</v>
      </c>
      <c r="B112" s="4" t="s">
        <v>61</v>
      </c>
      <c r="C112" s="5">
        <v>0.6</v>
      </c>
      <c r="D112" s="5">
        <v>0</v>
      </c>
      <c r="E112" s="5">
        <v>0.64859999999999995</v>
      </c>
    </row>
    <row r="113" spans="1:5" x14ac:dyDescent="0.35">
      <c r="A113" s="4">
        <v>51</v>
      </c>
      <c r="B113" s="4" t="s">
        <v>62</v>
      </c>
      <c r="C113" s="5">
        <v>0</v>
      </c>
      <c r="D113" s="5">
        <v>0</v>
      </c>
      <c r="E113" s="5">
        <v>0</v>
      </c>
    </row>
    <row r="114" spans="1:5" x14ac:dyDescent="0.35">
      <c r="A114" s="4">
        <v>51.5</v>
      </c>
      <c r="B114" s="4" t="s">
        <v>59</v>
      </c>
      <c r="C114" s="5">
        <v>1</v>
      </c>
      <c r="D114" s="5">
        <v>0</v>
      </c>
      <c r="E114" s="5">
        <v>1</v>
      </c>
    </row>
    <row r="115" spans="1:5" x14ac:dyDescent="0.35">
      <c r="A115" s="4">
        <v>51.5</v>
      </c>
      <c r="B115" s="4" t="s">
        <v>60</v>
      </c>
      <c r="C115" s="5">
        <v>0.6</v>
      </c>
      <c r="D115" s="5">
        <v>1</v>
      </c>
      <c r="E115" s="5">
        <v>0.98</v>
      </c>
    </row>
    <row r="116" spans="1:5" x14ac:dyDescent="0.35">
      <c r="A116" s="4">
        <v>51.5</v>
      </c>
      <c r="B116" s="4" t="s">
        <v>61</v>
      </c>
      <c r="C116" s="5">
        <v>0</v>
      </c>
      <c r="D116" s="5">
        <v>0</v>
      </c>
      <c r="E116" s="5">
        <v>0</v>
      </c>
    </row>
    <row r="117" spans="1:5" x14ac:dyDescent="0.35">
      <c r="A117" s="4">
        <v>51.5</v>
      </c>
      <c r="B117" s="4" t="s">
        <v>62</v>
      </c>
      <c r="C117" s="5">
        <v>0</v>
      </c>
      <c r="D117" s="5">
        <v>0</v>
      </c>
      <c r="E117" s="5">
        <v>0</v>
      </c>
    </row>
    <row r="118" spans="1:5" x14ac:dyDescent="0.35">
      <c r="A118" s="4">
        <v>52</v>
      </c>
      <c r="B118" s="4" t="s">
        <v>59</v>
      </c>
      <c r="C118" s="5">
        <v>1</v>
      </c>
      <c r="D118" s="5">
        <v>0</v>
      </c>
      <c r="E118" s="5">
        <v>1</v>
      </c>
    </row>
    <row r="119" spans="1:5" x14ac:dyDescent="0.35">
      <c r="A119" s="4">
        <v>52</v>
      </c>
      <c r="B119" s="4" t="s">
        <v>60</v>
      </c>
      <c r="C119" s="5">
        <v>0.85</v>
      </c>
      <c r="D119" s="5">
        <v>0</v>
      </c>
      <c r="E119" s="5">
        <v>0.88539999999999996</v>
      </c>
    </row>
    <row r="120" spans="1:5" x14ac:dyDescent="0.35">
      <c r="A120" s="4">
        <v>52</v>
      </c>
      <c r="B120" s="4" t="s">
        <v>61</v>
      </c>
      <c r="C120" s="5">
        <v>0.47499999999999998</v>
      </c>
      <c r="D120" s="5">
        <v>0</v>
      </c>
      <c r="E120" s="5">
        <v>0.51349999999999996</v>
      </c>
    </row>
    <row r="121" spans="1:5" x14ac:dyDescent="0.35">
      <c r="A121" s="4">
        <v>52</v>
      </c>
      <c r="B121" s="4" t="s">
        <v>62</v>
      </c>
      <c r="C121" s="5">
        <v>0</v>
      </c>
      <c r="D121" s="5">
        <v>0</v>
      </c>
      <c r="E121" s="5">
        <v>0</v>
      </c>
    </row>
    <row r="122" spans="1:5" x14ac:dyDescent="0.35">
      <c r="A122" s="4">
        <v>52.5</v>
      </c>
      <c r="B122" s="4" t="s">
        <v>59</v>
      </c>
      <c r="C122" s="5">
        <v>1</v>
      </c>
      <c r="D122" s="5">
        <v>0</v>
      </c>
      <c r="E122" s="5">
        <v>1</v>
      </c>
    </row>
    <row r="123" spans="1:5" x14ac:dyDescent="0.35">
      <c r="A123" s="4">
        <v>52.5</v>
      </c>
      <c r="B123" s="4" t="s">
        <v>60</v>
      </c>
      <c r="C123" s="5">
        <v>0.85</v>
      </c>
      <c r="D123" s="5">
        <v>0.57499999999999996</v>
      </c>
      <c r="E123" s="5">
        <v>0.98</v>
      </c>
    </row>
    <row r="124" spans="1:5" x14ac:dyDescent="0.35">
      <c r="A124" s="4">
        <v>52.5</v>
      </c>
      <c r="B124" s="4" t="s">
        <v>61</v>
      </c>
      <c r="C124" s="5">
        <v>0</v>
      </c>
      <c r="D124" s="5">
        <v>0.28600000000000081</v>
      </c>
      <c r="E124" s="5">
        <f>ROUND(D124/0.85,2)</f>
        <v>0.34</v>
      </c>
    </row>
    <row r="125" spans="1:5" x14ac:dyDescent="0.35">
      <c r="A125" s="4">
        <v>52.5</v>
      </c>
      <c r="B125" s="4" t="s">
        <v>62</v>
      </c>
      <c r="C125" s="5">
        <v>0</v>
      </c>
      <c r="D125" s="5">
        <v>0</v>
      </c>
      <c r="E125" s="5">
        <v>0</v>
      </c>
    </row>
    <row r="126" spans="1:5" x14ac:dyDescent="0.35">
      <c r="A126" s="4">
        <v>70</v>
      </c>
      <c r="B126" s="4" t="s">
        <v>59</v>
      </c>
      <c r="C126" s="5">
        <v>1</v>
      </c>
      <c r="D126" s="5">
        <v>0</v>
      </c>
      <c r="E126" s="5">
        <v>1</v>
      </c>
    </row>
    <row r="127" spans="1:5" x14ac:dyDescent="0.35">
      <c r="A127" s="4">
        <v>70</v>
      </c>
      <c r="B127" s="4" t="s">
        <v>60</v>
      </c>
      <c r="C127" s="5">
        <v>0.82</v>
      </c>
      <c r="D127" s="5">
        <v>0</v>
      </c>
      <c r="E127" s="5">
        <v>0.85419999999999996</v>
      </c>
    </row>
    <row r="128" spans="1:5" x14ac:dyDescent="0.35">
      <c r="A128" s="4">
        <v>70</v>
      </c>
      <c r="B128" s="4" t="s">
        <v>61</v>
      </c>
      <c r="C128" s="5">
        <v>0.5</v>
      </c>
      <c r="D128" s="5">
        <v>0</v>
      </c>
      <c r="E128" s="5">
        <v>0.54049999999999998</v>
      </c>
    </row>
    <row r="129" spans="1:5" x14ac:dyDescent="0.35">
      <c r="A129" s="4">
        <v>70</v>
      </c>
      <c r="B129" s="4" t="s">
        <v>62</v>
      </c>
      <c r="C129" s="5">
        <v>0</v>
      </c>
      <c r="D129" s="5">
        <v>0</v>
      </c>
      <c r="E129" s="5">
        <v>0</v>
      </c>
    </row>
    <row r="130" spans="1:5" x14ac:dyDescent="0.35">
      <c r="A130" s="4">
        <v>70.5</v>
      </c>
      <c r="B130" s="4" t="s">
        <v>59</v>
      </c>
      <c r="C130" s="5">
        <v>1</v>
      </c>
      <c r="D130" s="5">
        <v>0</v>
      </c>
      <c r="E130" s="5">
        <v>1</v>
      </c>
    </row>
    <row r="131" spans="1:5" x14ac:dyDescent="0.35">
      <c r="A131" s="4">
        <v>70.5</v>
      </c>
      <c r="B131" s="4" t="s">
        <v>60</v>
      </c>
      <c r="C131" s="5">
        <v>0.77500000000000002</v>
      </c>
      <c r="D131" s="5">
        <v>0.65</v>
      </c>
      <c r="E131" s="5">
        <v>0.97499999999999998</v>
      </c>
    </row>
    <row r="132" spans="1:5" x14ac:dyDescent="0.35">
      <c r="A132" s="4">
        <v>70.5</v>
      </c>
      <c r="B132" s="4" t="s">
        <v>61</v>
      </c>
      <c r="C132" s="5">
        <v>0</v>
      </c>
      <c r="D132" s="5">
        <v>0.4</v>
      </c>
      <c r="E132" s="5">
        <f>ROUND(D132/0.85,2)</f>
        <v>0.47</v>
      </c>
    </row>
    <row r="133" spans="1:5" x14ac:dyDescent="0.35">
      <c r="A133" s="4">
        <v>70.5</v>
      </c>
      <c r="B133" s="4" t="s">
        <v>62</v>
      </c>
      <c r="C133" s="5">
        <v>0</v>
      </c>
      <c r="D133" s="5">
        <v>0</v>
      </c>
      <c r="E133" s="5">
        <v>0</v>
      </c>
    </row>
    <row r="134" spans="1:5" x14ac:dyDescent="0.35">
      <c r="A134" s="4">
        <v>100</v>
      </c>
      <c r="B134" s="4" t="s">
        <v>59</v>
      </c>
      <c r="C134" s="5">
        <v>0</v>
      </c>
      <c r="D134" s="5">
        <v>3</v>
      </c>
      <c r="E134" s="5">
        <v>1</v>
      </c>
    </row>
    <row r="135" spans="1:5" x14ac:dyDescent="0.3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5">
        <v>0.75</v>
      </c>
    </row>
    <row r="136" spans="1:5" x14ac:dyDescent="0.3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5">
        <v>0.25</v>
      </c>
    </row>
    <row r="137" spans="1:5" x14ac:dyDescent="0.35">
      <c r="A137" s="4">
        <v>100</v>
      </c>
      <c r="B137" s="4" t="s">
        <v>62</v>
      </c>
      <c r="C137" s="5">
        <v>0</v>
      </c>
      <c r="D137" s="5">
        <v>0</v>
      </c>
      <c r="E137" s="5">
        <v>0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3" sqref="C13"/>
    </sheetView>
  </sheetViews>
  <sheetFormatPr baseColWidth="10" defaultRowHeight="14.5" x14ac:dyDescent="0.35"/>
  <sheetData>
    <row r="1" spans="1:3" x14ac:dyDescent="0.35">
      <c r="B1" t="s">
        <v>1</v>
      </c>
      <c r="C1" t="s">
        <v>2</v>
      </c>
    </row>
    <row r="2" spans="1:3" x14ac:dyDescent="0.35">
      <c r="A2" t="s">
        <v>3</v>
      </c>
      <c r="B2" s="10" t="s">
        <v>136</v>
      </c>
      <c r="C2" t="s">
        <v>136</v>
      </c>
    </row>
    <row r="3" spans="1:3" x14ac:dyDescent="0.35">
      <c r="A3" t="s">
        <v>4</v>
      </c>
      <c r="B3" s="10">
        <v>0</v>
      </c>
      <c r="C3">
        <v>0</v>
      </c>
    </row>
    <row r="4" spans="1:3" x14ac:dyDescent="0.35">
      <c r="A4" t="s">
        <v>5</v>
      </c>
      <c r="B4" t="s">
        <v>136</v>
      </c>
      <c r="C4" t="s">
        <v>136</v>
      </c>
    </row>
    <row r="5" spans="1:3" x14ac:dyDescent="0.35">
      <c r="A5" t="s">
        <v>6</v>
      </c>
      <c r="B5">
        <v>0</v>
      </c>
      <c r="C5">
        <v>15</v>
      </c>
    </row>
    <row r="6" spans="1:3" x14ac:dyDescent="0.35">
      <c r="A6" t="s">
        <v>122</v>
      </c>
      <c r="B6">
        <v>0</v>
      </c>
      <c r="C6">
        <v>0</v>
      </c>
    </row>
    <row r="7" spans="1:3" x14ac:dyDescent="0.35">
      <c r="A7" t="s">
        <v>123</v>
      </c>
      <c r="B7">
        <v>0</v>
      </c>
      <c r="C7">
        <v>0</v>
      </c>
    </row>
    <row r="8" spans="1:3" x14ac:dyDescent="0.35">
      <c r="A8" t="s">
        <v>124</v>
      </c>
      <c r="B8">
        <v>0</v>
      </c>
      <c r="C8">
        <v>0</v>
      </c>
    </row>
    <row r="9" spans="1:3" x14ac:dyDescent="0.35">
      <c r="A9" t="s">
        <v>125</v>
      </c>
      <c r="B9">
        <v>0</v>
      </c>
      <c r="C9">
        <v>0</v>
      </c>
    </row>
    <row r="10" spans="1:3" x14ac:dyDescent="0.35">
      <c r="A10" t="s">
        <v>126</v>
      </c>
      <c r="B10">
        <v>0</v>
      </c>
      <c r="C10">
        <v>0</v>
      </c>
    </row>
    <row r="11" spans="1:3" x14ac:dyDescent="0.35">
      <c r="A11" t="s">
        <v>127</v>
      </c>
      <c r="B11">
        <v>0</v>
      </c>
      <c r="C11">
        <v>0</v>
      </c>
    </row>
    <row r="12" spans="1:3" x14ac:dyDescent="0.35">
      <c r="A12" t="s">
        <v>117</v>
      </c>
      <c r="B12" t="s">
        <v>136</v>
      </c>
      <c r="C12" t="s">
        <v>136</v>
      </c>
    </row>
    <row r="13" spans="1:3" x14ac:dyDescent="0.35">
      <c r="A13" t="s">
        <v>349</v>
      </c>
      <c r="B13" t="s">
        <v>136</v>
      </c>
      <c r="C13" t="s">
        <v>136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Z74"/>
  <sheetViews>
    <sheetView tabSelected="1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baseColWidth="10" defaultRowHeight="14.5" x14ac:dyDescent="0.35"/>
  <cols>
    <col min="1" max="1" width="22.81640625" customWidth="1"/>
    <col min="2" max="2" width="9.453125" customWidth="1"/>
  </cols>
  <sheetData>
    <row r="1" spans="1:26" x14ac:dyDescent="0.35">
      <c r="A1" s="15" t="s">
        <v>257</v>
      </c>
      <c r="B1" s="15"/>
    </row>
    <row r="2" spans="1:26" s="15" customFormat="1" ht="58" x14ac:dyDescent="0.35">
      <c r="A2" s="15" t="s">
        <v>258</v>
      </c>
      <c r="D2" s="32" t="s">
        <v>268</v>
      </c>
      <c r="E2" s="32" t="s">
        <v>269</v>
      </c>
      <c r="F2" s="32" t="s">
        <v>270</v>
      </c>
      <c r="G2" s="32" t="s">
        <v>271</v>
      </c>
      <c r="H2" s="32" t="s">
        <v>54</v>
      </c>
      <c r="I2" s="32" t="s">
        <v>55</v>
      </c>
      <c r="J2" s="32" t="s">
        <v>350</v>
      </c>
      <c r="K2" s="33" t="s">
        <v>208</v>
      </c>
      <c r="L2" s="33" t="s">
        <v>209</v>
      </c>
      <c r="M2" s="33" t="s">
        <v>211</v>
      </c>
      <c r="N2" s="34" t="s">
        <v>277</v>
      </c>
      <c r="O2" s="34" t="s">
        <v>343</v>
      </c>
      <c r="P2" s="34" t="s">
        <v>344</v>
      </c>
      <c r="Q2" s="34" t="s">
        <v>345</v>
      </c>
      <c r="R2" s="34" t="s">
        <v>346</v>
      </c>
      <c r="S2" s="34" t="s">
        <v>347</v>
      </c>
      <c r="T2" s="34" t="s">
        <v>348</v>
      </c>
      <c r="U2" s="30" t="s">
        <v>410</v>
      </c>
      <c r="V2" s="30" t="s">
        <v>380</v>
      </c>
      <c r="W2" s="30" t="s">
        <v>414</v>
      </c>
      <c r="X2" s="15" t="s">
        <v>423</v>
      </c>
      <c r="Y2" s="15" t="s">
        <v>424</v>
      </c>
      <c r="Z2" s="15" t="s">
        <v>405</v>
      </c>
    </row>
    <row r="3" spans="1:26" s="15" customFormat="1" x14ac:dyDescent="0.35">
      <c r="A3" s="15" t="s">
        <v>265</v>
      </c>
    </row>
    <row r="4" spans="1:26" x14ac:dyDescent="0.35">
      <c r="A4" s="15" t="s">
        <v>316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351</v>
      </c>
      <c r="K4" t="s">
        <v>116</v>
      </c>
      <c r="L4" t="s">
        <v>210</v>
      </c>
      <c r="M4" t="s">
        <v>212</v>
      </c>
      <c r="N4" t="s">
        <v>117</v>
      </c>
      <c r="O4" t="s">
        <v>303</v>
      </c>
      <c r="P4" t="s">
        <v>304</v>
      </c>
      <c r="Q4" t="s">
        <v>305</v>
      </c>
      <c r="R4" t="s">
        <v>306</v>
      </c>
      <c r="S4" t="s">
        <v>307</v>
      </c>
      <c r="T4" t="s">
        <v>308</v>
      </c>
      <c r="U4" t="s">
        <v>411</v>
      </c>
      <c r="V4" t="s">
        <v>371</v>
      </c>
      <c r="W4" t="s">
        <v>415</v>
      </c>
      <c r="X4" t="s">
        <v>420</v>
      </c>
      <c r="Y4" t="s">
        <v>422</v>
      </c>
      <c r="Z4" t="s">
        <v>402</v>
      </c>
    </row>
    <row r="5" spans="1:26" x14ac:dyDescent="0.35">
      <c r="A5" s="15" t="s">
        <v>355</v>
      </c>
      <c r="B5" s="15"/>
      <c r="D5" t="s">
        <v>137</v>
      </c>
      <c r="E5" t="s">
        <v>137</v>
      </c>
      <c r="F5" t="s">
        <v>137</v>
      </c>
      <c r="G5" t="s">
        <v>137</v>
      </c>
      <c r="H5" t="s">
        <v>137</v>
      </c>
      <c r="I5" t="s">
        <v>137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413</v>
      </c>
      <c r="V5" t="s">
        <v>413</v>
      </c>
      <c r="W5" t="s">
        <v>413</v>
      </c>
      <c r="X5" t="s">
        <v>137</v>
      </c>
      <c r="Y5" t="s">
        <v>137</v>
      </c>
      <c r="Z5" t="s">
        <v>138</v>
      </c>
    </row>
    <row r="6" spans="1:26" x14ac:dyDescent="0.35">
      <c r="A6" s="15" t="s">
        <v>285</v>
      </c>
      <c r="B6" t="s">
        <v>1</v>
      </c>
      <c r="C6">
        <v>2012</v>
      </c>
      <c r="D6">
        <v>0.36288500000000001</v>
      </c>
      <c r="E6">
        <v>5.5190000000000001</v>
      </c>
      <c r="F6">
        <v>1.373</v>
      </c>
      <c r="G6">
        <v>0</v>
      </c>
    </row>
    <row r="7" spans="1:26" x14ac:dyDescent="0.35">
      <c r="A7" s="15" t="s">
        <v>287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6" x14ac:dyDescent="0.35">
      <c r="A8" s="15" t="s">
        <v>286</v>
      </c>
      <c r="B8" t="s">
        <v>1</v>
      </c>
      <c r="C8">
        <v>2012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6" x14ac:dyDescent="0.35">
      <c r="A9" s="15" t="s">
        <v>285</v>
      </c>
      <c r="B9" t="s">
        <v>1</v>
      </c>
      <c r="C9">
        <v>2013</v>
      </c>
      <c r="D9">
        <v>0.62597400000000003</v>
      </c>
      <c r="E9">
        <v>5.5730000000000004</v>
      </c>
      <c r="F9">
        <v>1.6879999999999999</v>
      </c>
      <c r="G9">
        <v>0</v>
      </c>
    </row>
    <row r="10" spans="1:26" x14ac:dyDescent="0.35">
      <c r="A10" s="15" t="s">
        <v>287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6" x14ac:dyDescent="0.35">
      <c r="A11" s="15" t="s">
        <v>286</v>
      </c>
      <c r="B11" t="s">
        <v>1</v>
      </c>
      <c r="C11">
        <v>2013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6" x14ac:dyDescent="0.35">
      <c r="A12" s="15" t="s">
        <v>285</v>
      </c>
      <c r="B12" t="s">
        <v>1</v>
      </c>
      <c r="C12">
        <v>2014</v>
      </c>
      <c r="D12">
        <v>0.72399999999999998</v>
      </c>
      <c r="E12">
        <v>5.6150000000000002</v>
      </c>
      <c r="F12">
        <v>2.11</v>
      </c>
      <c r="G12">
        <v>0</v>
      </c>
    </row>
    <row r="13" spans="1:26" x14ac:dyDescent="0.35">
      <c r="A13" s="15" t="s">
        <v>287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6" x14ac:dyDescent="0.35">
      <c r="A14" s="15" t="s">
        <v>286</v>
      </c>
      <c r="B14" t="s">
        <v>1</v>
      </c>
      <c r="C14">
        <v>2014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6" x14ac:dyDescent="0.35">
      <c r="A15" s="15" t="s">
        <v>285</v>
      </c>
      <c r="B15" t="s">
        <v>1</v>
      </c>
      <c r="C15">
        <v>2015</v>
      </c>
      <c r="D15">
        <v>0.872</v>
      </c>
      <c r="E15">
        <v>5.6559999999999997</v>
      </c>
      <c r="F15">
        <v>2.4889999999999999</v>
      </c>
      <c r="G15">
        <v>0</v>
      </c>
    </row>
    <row r="16" spans="1:26" x14ac:dyDescent="0.35">
      <c r="A16" s="15" t="s">
        <v>287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26" x14ac:dyDescent="0.35">
      <c r="A17" s="15" t="s">
        <v>286</v>
      </c>
      <c r="B17" t="s">
        <v>1</v>
      </c>
      <c r="C17">
        <v>2015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26" x14ac:dyDescent="0.35">
      <c r="A18" s="15" t="s">
        <v>285</v>
      </c>
      <c r="B18" t="s">
        <v>1</v>
      </c>
      <c r="C18" s="31">
        <v>2016</v>
      </c>
      <c r="D18" s="31">
        <v>12.398</v>
      </c>
      <c r="E18" s="31">
        <v>6.7690000000000001</v>
      </c>
      <c r="F18" s="31">
        <v>7.141</v>
      </c>
      <c r="G18" s="31">
        <v>0</v>
      </c>
      <c r="H18" s="59">
        <v>0.7</v>
      </c>
      <c r="I18" s="31">
        <v>0.375</v>
      </c>
      <c r="J18" s="31">
        <v>0.8</v>
      </c>
      <c r="K18">
        <v>0</v>
      </c>
      <c r="L18">
        <v>0</v>
      </c>
      <c r="M18">
        <v>0</v>
      </c>
      <c r="N18">
        <v>0</v>
      </c>
      <c r="O18">
        <v>1.9890000000000001</v>
      </c>
      <c r="P18">
        <v>0.32800000000000001</v>
      </c>
      <c r="Q18">
        <v>1.2070000000000001</v>
      </c>
      <c r="R18">
        <v>2.464</v>
      </c>
      <c r="S18">
        <v>1.17</v>
      </c>
      <c r="T18">
        <v>1.6060000000000001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 s="15" t="s">
        <v>287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0.89</v>
      </c>
      <c r="S19">
        <v>1.01</v>
      </c>
      <c r="T19">
        <v>1.393</v>
      </c>
    </row>
    <row r="20" spans="1:26" x14ac:dyDescent="0.35">
      <c r="A20" s="15" t="s">
        <v>286</v>
      </c>
      <c r="B20" t="s">
        <v>1</v>
      </c>
      <c r="C20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34.6</v>
      </c>
      <c r="P20">
        <v>36.700000000000003</v>
      </c>
      <c r="Q20">
        <v>1342.3</v>
      </c>
      <c r="R20">
        <v>75.400000000000006</v>
      </c>
      <c r="S20">
        <v>308.5</v>
      </c>
      <c r="T20">
        <v>1481.5</v>
      </c>
    </row>
    <row r="21" spans="1:26" x14ac:dyDescent="0.35">
      <c r="A21" s="15" t="s">
        <v>285</v>
      </c>
      <c r="B21" t="s">
        <v>1</v>
      </c>
      <c r="C21">
        <v>2017</v>
      </c>
      <c r="D21">
        <v>1.1930000000000001</v>
      </c>
      <c r="E21">
        <v>5.7140000000000004</v>
      </c>
      <c r="F21">
        <v>2.887</v>
      </c>
      <c r="G21">
        <v>0</v>
      </c>
    </row>
    <row r="22" spans="1:26" x14ac:dyDescent="0.35">
      <c r="A22" s="15" t="s">
        <v>287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26" x14ac:dyDescent="0.35">
      <c r="A23" s="15" t="s">
        <v>286</v>
      </c>
      <c r="B23" t="s">
        <v>1</v>
      </c>
      <c r="C23">
        <v>2017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26" x14ac:dyDescent="0.35">
      <c r="A24" s="15" t="s">
        <v>285</v>
      </c>
      <c r="B24" t="s">
        <v>1</v>
      </c>
      <c r="C24">
        <v>2018</v>
      </c>
      <c r="D24">
        <v>1.371</v>
      </c>
      <c r="E24">
        <v>5.7229999999999999</v>
      </c>
      <c r="F24">
        <v>3.133</v>
      </c>
      <c r="G24">
        <v>0</v>
      </c>
      <c r="J24">
        <v>0.8</v>
      </c>
    </row>
    <row r="25" spans="1:26" x14ac:dyDescent="0.35">
      <c r="A25" s="15" t="s">
        <v>287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6" x14ac:dyDescent="0.35">
      <c r="A26" s="15" t="s">
        <v>286</v>
      </c>
      <c r="B26" t="s">
        <v>1</v>
      </c>
      <c r="C26">
        <v>2018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6" x14ac:dyDescent="0.35">
      <c r="A27" s="33" t="s">
        <v>285</v>
      </c>
      <c r="B27" s="31" t="s">
        <v>1</v>
      </c>
      <c r="C27" s="31">
        <v>2019</v>
      </c>
      <c r="D27">
        <v>30</v>
      </c>
      <c r="E27">
        <v>12</v>
      </c>
      <c r="F27">
        <v>15</v>
      </c>
      <c r="G27">
        <v>0</v>
      </c>
      <c r="H27">
        <v>0.6</v>
      </c>
      <c r="I27">
        <v>0.375</v>
      </c>
      <c r="J27">
        <v>0.8</v>
      </c>
      <c r="K27">
        <v>0</v>
      </c>
      <c r="L27">
        <v>0</v>
      </c>
      <c r="M27">
        <v>0</v>
      </c>
      <c r="N27">
        <v>5</v>
      </c>
      <c r="O27">
        <v>1.9890000000000001</v>
      </c>
      <c r="P27">
        <v>0.32800000000000001</v>
      </c>
      <c r="Q27">
        <v>1.2070000000000001</v>
      </c>
      <c r="R27">
        <v>2.464</v>
      </c>
      <c r="S27">
        <v>1.17</v>
      </c>
      <c r="T27">
        <v>1.6060000000000001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 s="33" t="s">
        <v>287</v>
      </c>
      <c r="B28" s="31" t="s">
        <v>1</v>
      </c>
      <c r="C28" s="31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</v>
      </c>
      <c r="O28">
        <v>0</v>
      </c>
      <c r="P28">
        <v>0</v>
      </c>
      <c r="Q28">
        <v>0</v>
      </c>
      <c r="R28">
        <v>0.89</v>
      </c>
      <c r="S28">
        <v>1.01</v>
      </c>
      <c r="T28">
        <v>1.393</v>
      </c>
    </row>
    <row r="29" spans="1:26" x14ac:dyDescent="0.35">
      <c r="A29" s="33" t="s">
        <v>286</v>
      </c>
      <c r="B29" s="31" t="s">
        <v>1</v>
      </c>
      <c r="C29" s="31">
        <v>2019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>5</f>
        <v>5</v>
      </c>
      <c r="O29">
        <v>34.6</v>
      </c>
      <c r="P29">
        <v>36.700000000000003</v>
      </c>
      <c r="Q29">
        <v>1342.3</v>
      </c>
      <c r="R29">
        <v>75.400000000000006</v>
      </c>
      <c r="S29">
        <v>308.5</v>
      </c>
      <c r="T29">
        <v>1481.5</v>
      </c>
    </row>
    <row r="30" spans="1:26" x14ac:dyDescent="0.35">
      <c r="A30" s="15" t="s">
        <v>285</v>
      </c>
      <c r="B30" t="s">
        <v>1</v>
      </c>
      <c r="C30">
        <v>2020</v>
      </c>
      <c r="D30">
        <v>1.976</v>
      </c>
      <c r="E30">
        <v>5.7960000000000003</v>
      </c>
      <c r="F30">
        <v>3.1640000000000001</v>
      </c>
      <c r="G30">
        <v>0</v>
      </c>
    </row>
    <row r="31" spans="1:26" x14ac:dyDescent="0.35">
      <c r="A31" s="15" t="s">
        <v>287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X31">
        <f>Y24</f>
        <v>0</v>
      </c>
    </row>
    <row r="32" spans="1:26" x14ac:dyDescent="0.35">
      <c r="A32" s="15" t="s">
        <v>286</v>
      </c>
      <c r="B32" t="s">
        <v>1</v>
      </c>
      <c r="C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26" x14ac:dyDescent="0.35">
      <c r="A33" s="15" t="s">
        <v>285</v>
      </c>
      <c r="B33" t="s">
        <v>2</v>
      </c>
      <c r="C33">
        <v>2012</v>
      </c>
      <c r="D33">
        <v>34.076999999999998</v>
      </c>
      <c r="E33">
        <v>4.5179999999999998</v>
      </c>
      <c r="F33">
        <v>30.710999999999999</v>
      </c>
      <c r="G33">
        <v>0.26800000000000002</v>
      </c>
    </row>
    <row r="34" spans="1:26" x14ac:dyDescent="0.35">
      <c r="A34" s="15" t="s">
        <v>287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26" x14ac:dyDescent="0.35">
      <c r="A35" s="15" t="s">
        <v>286</v>
      </c>
      <c r="B35" t="s">
        <v>2</v>
      </c>
      <c r="C35">
        <v>2012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26" x14ac:dyDescent="0.35">
      <c r="A36" s="15" t="s">
        <v>285</v>
      </c>
      <c r="B36" t="s">
        <v>2</v>
      </c>
      <c r="C36">
        <v>2013</v>
      </c>
      <c r="D36">
        <v>36.71</v>
      </c>
      <c r="E36">
        <v>4.5009999999999994</v>
      </c>
      <c r="F36">
        <v>32.969000000000001</v>
      </c>
      <c r="G36">
        <v>0.50800000000000001</v>
      </c>
    </row>
    <row r="37" spans="1:26" x14ac:dyDescent="0.35">
      <c r="A37" s="15" t="s">
        <v>287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26" x14ac:dyDescent="0.35">
      <c r="A38" s="15" t="s">
        <v>286</v>
      </c>
      <c r="B38" t="s">
        <v>2</v>
      </c>
      <c r="C38">
        <v>2013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26" x14ac:dyDescent="0.35">
      <c r="A39" s="15" t="s">
        <v>285</v>
      </c>
      <c r="B39" t="s">
        <v>2</v>
      </c>
      <c r="C39">
        <v>2014</v>
      </c>
      <c r="D39">
        <v>37.9</v>
      </c>
      <c r="E39">
        <v>4.4909999999999997</v>
      </c>
      <c r="F39">
        <v>37.619999999999997</v>
      </c>
      <c r="G39">
        <v>0.99399999999999999</v>
      </c>
    </row>
    <row r="40" spans="1:26" x14ac:dyDescent="0.35">
      <c r="A40" s="15" t="s">
        <v>287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26" x14ac:dyDescent="0.35">
      <c r="A41" s="15" t="s">
        <v>286</v>
      </c>
      <c r="B41" t="s">
        <v>2</v>
      </c>
      <c r="C41">
        <v>2014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26" x14ac:dyDescent="0.35">
      <c r="A42" s="15" t="s">
        <v>285</v>
      </c>
      <c r="B42" t="s">
        <v>2</v>
      </c>
      <c r="C42">
        <v>2015</v>
      </c>
      <c r="D42">
        <v>39.223999999999997</v>
      </c>
      <c r="E42">
        <v>4.5</v>
      </c>
      <c r="F42">
        <v>41.296999999999997</v>
      </c>
      <c r="G42">
        <v>3.2829999999999999</v>
      </c>
    </row>
    <row r="43" spans="1:26" x14ac:dyDescent="0.35">
      <c r="A43" s="15" t="s">
        <v>287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26" x14ac:dyDescent="0.35">
      <c r="A44" s="15" t="s">
        <v>286</v>
      </c>
      <c r="B44" t="s">
        <v>2</v>
      </c>
      <c r="C44">
        <v>2015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26" x14ac:dyDescent="0.35">
      <c r="A45" s="15" t="s">
        <v>285</v>
      </c>
      <c r="B45" t="s">
        <v>2</v>
      </c>
      <c r="C45">
        <v>2016</v>
      </c>
      <c r="D45">
        <v>400</v>
      </c>
      <c r="E45">
        <v>6.2</v>
      </c>
      <c r="F45">
        <v>160</v>
      </c>
      <c r="G45">
        <v>55</v>
      </c>
      <c r="H45">
        <v>4.2</v>
      </c>
      <c r="I45">
        <v>4.2</v>
      </c>
      <c r="J45">
        <v>2.6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0.185</v>
      </c>
      <c r="R45">
        <v>6.75</v>
      </c>
      <c r="S45">
        <v>0</v>
      </c>
      <c r="T45">
        <v>0.28899999999999998</v>
      </c>
      <c r="U45">
        <v>0</v>
      </c>
      <c r="V45">
        <v>10</v>
      </c>
      <c r="W45">
        <v>4.4000000000000004</v>
      </c>
      <c r="X45">
        <v>4.4000000000000004</v>
      </c>
      <c r="Y45">
        <v>0</v>
      </c>
      <c r="Z45">
        <v>0</v>
      </c>
    </row>
    <row r="46" spans="1:26" x14ac:dyDescent="0.35">
      <c r="A46" s="15" t="s">
        <v>287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5.835</v>
      </c>
      <c r="S46">
        <v>0</v>
      </c>
      <c r="T46">
        <v>0.17299999999999999</v>
      </c>
      <c r="Z46">
        <v>0</v>
      </c>
    </row>
    <row r="47" spans="1:26" x14ac:dyDescent="0.35">
      <c r="A47" s="15" t="s">
        <v>286</v>
      </c>
      <c r="B47" t="s">
        <v>2</v>
      </c>
      <c r="C47">
        <v>2016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101.44</v>
      </c>
      <c r="R47">
        <v>38.450000000000003</v>
      </c>
      <c r="S47">
        <v>0</v>
      </c>
      <c r="T47">
        <v>98.55</v>
      </c>
      <c r="W47">
        <v>4.4000000000000004</v>
      </c>
      <c r="Z47">
        <v>0</v>
      </c>
    </row>
    <row r="48" spans="1:26" x14ac:dyDescent="0.35">
      <c r="A48" s="15" t="s">
        <v>285</v>
      </c>
      <c r="B48" t="s">
        <v>2</v>
      </c>
      <c r="C48">
        <v>2017</v>
      </c>
      <c r="D48">
        <v>42.338999999999999</v>
      </c>
      <c r="E48">
        <v>4.5</v>
      </c>
      <c r="F48">
        <v>50.290999999999997</v>
      </c>
      <c r="G48">
        <v>5.4269999999999996</v>
      </c>
    </row>
    <row r="49" spans="1:26" x14ac:dyDescent="0.35">
      <c r="A49" s="15" t="s">
        <v>287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26" x14ac:dyDescent="0.35">
      <c r="A50" s="15" t="s">
        <v>286</v>
      </c>
      <c r="B50" t="s">
        <v>2</v>
      </c>
      <c r="C50">
        <v>2017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26" x14ac:dyDescent="0.35">
      <c r="A51" s="15" t="s">
        <v>285</v>
      </c>
      <c r="B51" t="s">
        <v>2</v>
      </c>
      <c r="C51">
        <v>2018</v>
      </c>
      <c r="D51">
        <v>45.277000000000001</v>
      </c>
      <c r="E51">
        <v>4.5069999999999997</v>
      </c>
      <c r="F51">
        <v>52.564999999999998</v>
      </c>
      <c r="G51">
        <v>6.4169999999999998</v>
      </c>
    </row>
    <row r="52" spans="1:26" x14ac:dyDescent="0.35">
      <c r="A52" s="15" t="s">
        <v>287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26" x14ac:dyDescent="0.35">
      <c r="A53" s="15" t="s">
        <v>286</v>
      </c>
      <c r="B53" t="s">
        <v>2</v>
      </c>
      <c r="C53">
        <v>2018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26" x14ac:dyDescent="0.35">
      <c r="A54" s="33" t="s">
        <v>285</v>
      </c>
      <c r="B54" s="31" t="s">
        <v>2</v>
      </c>
      <c r="C54" s="31">
        <v>2019</v>
      </c>
      <c r="D54">
        <v>400</v>
      </c>
      <c r="E54">
        <v>4.556</v>
      </c>
      <c r="F54">
        <v>160</v>
      </c>
      <c r="G54">
        <v>40</v>
      </c>
      <c r="H54">
        <v>4.6970000000000001</v>
      </c>
      <c r="I54">
        <v>4.6970000000000001</v>
      </c>
      <c r="J54">
        <v>5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0.185</v>
      </c>
      <c r="R54">
        <v>6.75</v>
      </c>
      <c r="S54">
        <v>0</v>
      </c>
      <c r="T54">
        <v>0.28899999999999998</v>
      </c>
      <c r="U54">
        <v>0</v>
      </c>
      <c r="V54">
        <v>2</v>
      </c>
      <c r="W54">
        <v>4.4000000000000004</v>
      </c>
      <c r="X54">
        <v>0</v>
      </c>
      <c r="Y54">
        <v>0</v>
      </c>
      <c r="Z54">
        <v>0</v>
      </c>
    </row>
    <row r="55" spans="1:26" x14ac:dyDescent="0.35">
      <c r="A55" s="33" t="s">
        <v>287</v>
      </c>
      <c r="B55" s="31" t="s">
        <v>2</v>
      </c>
      <c r="C55" s="31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>N54*4/24</f>
        <v>0.83333333333333337</v>
      </c>
      <c r="O55">
        <v>0</v>
      </c>
      <c r="P55">
        <v>0</v>
      </c>
      <c r="Q55">
        <v>0</v>
      </c>
      <c r="R55">
        <v>5.835</v>
      </c>
      <c r="S55">
        <v>0</v>
      </c>
      <c r="T55">
        <v>0.17299999999999999</v>
      </c>
      <c r="Z55">
        <v>0</v>
      </c>
    </row>
    <row r="56" spans="1:26" x14ac:dyDescent="0.35">
      <c r="A56" s="33" t="s">
        <v>286</v>
      </c>
      <c r="B56" s="31" t="s">
        <v>2</v>
      </c>
      <c r="C56" s="31">
        <v>2019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>5</f>
        <v>5</v>
      </c>
      <c r="O56">
        <v>0</v>
      </c>
      <c r="P56">
        <v>0</v>
      </c>
      <c r="Q56">
        <v>101.44</v>
      </c>
      <c r="R56">
        <v>38.450000000000003</v>
      </c>
      <c r="S56">
        <v>0</v>
      </c>
      <c r="T56">
        <v>98.55</v>
      </c>
      <c r="W56">
        <v>4.4000000000000004</v>
      </c>
      <c r="Z56">
        <v>0</v>
      </c>
    </row>
    <row r="57" spans="1:26" x14ac:dyDescent="0.35">
      <c r="A57" s="15" t="s">
        <v>285</v>
      </c>
      <c r="B57" t="s">
        <v>2</v>
      </c>
      <c r="C57">
        <v>2020</v>
      </c>
      <c r="D57" s="31">
        <v>53.847999999999999</v>
      </c>
      <c r="E57" s="31">
        <v>4.5</v>
      </c>
      <c r="F57" s="31">
        <v>54.42</v>
      </c>
      <c r="G57" s="31">
        <v>7.7469999999999999</v>
      </c>
      <c r="H57" s="31">
        <v>4.2</v>
      </c>
      <c r="I57" s="31">
        <v>4.2</v>
      </c>
      <c r="J57" s="31">
        <v>2</v>
      </c>
    </row>
    <row r="58" spans="1:26" x14ac:dyDescent="0.35">
      <c r="A58" s="15" t="s">
        <v>287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26" x14ac:dyDescent="0.35">
      <c r="A59" s="15" t="s">
        <v>286</v>
      </c>
      <c r="B59" t="s">
        <v>2</v>
      </c>
      <c r="C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26" x14ac:dyDescent="0.35">
      <c r="A60" s="15" t="s">
        <v>285</v>
      </c>
      <c r="B60" t="s">
        <v>8</v>
      </c>
      <c r="C60">
        <v>2030</v>
      </c>
      <c r="D60">
        <v>5.5</v>
      </c>
      <c r="E60">
        <v>4.1130000000000004</v>
      </c>
      <c r="F60">
        <v>0.255</v>
      </c>
      <c r="H60">
        <v>1.1970000000000001</v>
      </c>
      <c r="O60">
        <v>8.1519999999999992</v>
      </c>
      <c r="R60">
        <v>3.9889999999999999</v>
      </c>
    </row>
    <row r="61" spans="1:26" x14ac:dyDescent="0.35">
      <c r="A61" s="15" t="s">
        <v>287</v>
      </c>
      <c r="B61" t="s">
        <v>8</v>
      </c>
      <c r="C61">
        <v>2030</v>
      </c>
      <c r="D61">
        <v>0</v>
      </c>
      <c r="E61">
        <v>0</v>
      </c>
      <c r="F61">
        <v>0</v>
      </c>
      <c r="R61" s="45"/>
    </row>
    <row r="62" spans="1:26" x14ac:dyDescent="0.35">
      <c r="A62" s="15" t="s">
        <v>286</v>
      </c>
      <c r="B62" t="s">
        <v>8</v>
      </c>
      <c r="C62">
        <v>2030</v>
      </c>
      <c r="D62">
        <v>0</v>
      </c>
      <c r="E62">
        <v>0</v>
      </c>
      <c r="F62">
        <v>0</v>
      </c>
      <c r="R62" s="45"/>
    </row>
    <row r="63" spans="1:26" x14ac:dyDescent="0.35">
      <c r="A63" s="15" t="s">
        <v>285</v>
      </c>
      <c r="B63" t="s">
        <v>9</v>
      </c>
      <c r="C63">
        <v>2030</v>
      </c>
      <c r="D63">
        <v>4.9000000000000004</v>
      </c>
      <c r="E63">
        <v>0.39500000000000002</v>
      </c>
      <c r="F63">
        <v>0.96</v>
      </c>
      <c r="H63">
        <v>1.0629999999999999</v>
      </c>
      <c r="N63">
        <v>0.45300000000000001</v>
      </c>
      <c r="O63">
        <v>0.7</v>
      </c>
      <c r="R63">
        <v>1.1579999999999999</v>
      </c>
    </row>
    <row r="64" spans="1:26" x14ac:dyDescent="0.35">
      <c r="A64" s="15" t="s">
        <v>287</v>
      </c>
      <c r="B64" t="s">
        <v>9</v>
      </c>
      <c r="C64">
        <v>2030</v>
      </c>
      <c r="D64">
        <v>0</v>
      </c>
      <c r="E64">
        <v>0</v>
      </c>
      <c r="F64">
        <v>0</v>
      </c>
    </row>
    <row r="65" spans="1:18" x14ac:dyDescent="0.35">
      <c r="A65" s="15" t="s">
        <v>286</v>
      </c>
      <c r="B65" t="s">
        <v>9</v>
      </c>
      <c r="C65">
        <v>2030</v>
      </c>
      <c r="D65">
        <v>0</v>
      </c>
      <c r="E65">
        <v>0</v>
      </c>
      <c r="F65">
        <v>0</v>
      </c>
    </row>
    <row r="66" spans="1:18" x14ac:dyDescent="0.35">
      <c r="A66" s="15" t="s">
        <v>285</v>
      </c>
      <c r="B66" t="s">
        <v>12</v>
      </c>
      <c r="C66">
        <v>2030</v>
      </c>
      <c r="D66">
        <v>6.6449999999999996</v>
      </c>
      <c r="E66">
        <v>5.7000000000000002E-2</v>
      </c>
      <c r="F66">
        <v>0</v>
      </c>
      <c r="H66">
        <f>0.165+0.412</f>
        <v>0.57699999999999996</v>
      </c>
    </row>
    <row r="67" spans="1:18" x14ac:dyDescent="0.35">
      <c r="A67" s="15" t="s">
        <v>287</v>
      </c>
      <c r="B67" t="s">
        <v>12</v>
      </c>
      <c r="C67">
        <v>2030</v>
      </c>
      <c r="D67">
        <v>0</v>
      </c>
      <c r="E67">
        <v>0</v>
      </c>
      <c r="F67">
        <v>0</v>
      </c>
    </row>
    <row r="68" spans="1:18" x14ac:dyDescent="0.35">
      <c r="A68" s="15" t="s">
        <v>286</v>
      </c>
      <c r="B68" t="s">
        <v>12</v>
      </c>
      <c r="C68">
        <v>2030</v>
      </c>
      <c r="D68">
        <v>0</v>
      </c>
      <c r="E68">
        <v>0</v>
      </c>
      <c r="F68">
        <v>0</v>
      </c>
    </row>
    <row r="69" spans="1:18" x14ac:dyDescent="0.35">
      <c r="A69" s="15" t="s">
        <v>285</v>
      </c>
      <c r="B69" t="s">
        <v>13</v>
      </c>
      <c r="C69">
        <v>2030</v>
      </c>
      <c r="D69">
        <v>23.655999999999999</v>
      </c>
      <c r="E69">
        <v>4.68</v>
      </c>
      <c r="F69">
        <v>0.12</v>
      </c>
      <c r="H69">
        <v>2.266</v>
      </c>
      <c r="O69">
        <v>7.0149999999999997</v>
      </c>
      <c r="R69">
        <v>4.8719999999999999</v>
      </c>
    </row>
    <row r="70" spans="1:18" x14ac:dyDescent="0.35">
      <c r="A70" s="15" t="s">
        <v>287</v>
      </c>
      <c r="B70" t="s">
        <v>13</v>
      </c>
      <c r="C70">
        <v>2030</v>
      </c>
      <c r="D70">
        <v>0</v>
      </c>
      <c r="E70">
        <v>0</v>
      </c>
      <c r="F70">
        <v>0</v>
      </c>
    </row>
    <row r="71" spans="1:18" x14ac:dyDescent="0.35">
      <c r="A71" s="15" t="s">
        <v>286</v>
      </c>
      <c r="B71" t="s">
        <v>13</v>
      </c>
      <c r="C71">
        <v>2030</v>
      </c>
      <c r="D71">
        <v>0</v>
      </c>
      <c r="E71">
        <v>0</v>
      </c>
      <c r="F71">
        <v>0</v>
      </c>
    </row>
    <row r="72" spans="1:18" x14ac:dyDescent="0.35">
      <c r="A72" s="15" t="s">
        <v>285</v>
      </c>
      <c r="B72" t="s">
        <v>16</v>
      </c>
      <c r="C72">
        <v>2030</v>
      </c>
      <c r="D72">
        <v>1.81</v>
      </c>
      <c r="E72">
        <v>1.206</v>
      </c>
      <c r="F72">
        <v>0.15</v>
      </c>
      <c r="H72">
        <v>4.9000000000000002E-2</v>
      </c>
      <c r="N72">
        <v>0.01</v>
      </c>
      <c r="R72">
        <v>0.185</v>
      </c>
    </row>
    <row r="73" spans="1:18" x14ac:dyDescent="0.35">
      <c r="A73" s="15" t="s">
        <v>287</v>
      </c>
      <c r="B73" t="s">
        <v>16</v>
      </c>
      <c r="C73">
        <v>2030</v>
      </c>
      <c r="D73">
        <v>0</v>
      </c>
      <c r="E73">
        <v>0</v>
      </c>
      <c r="F73">
        <v>0</v>
      </c>
    </row>
    <row r="74" spans="1:18" x14ac:dyDescent="0.35">
      <c r="A74" s="15" t="s">
        <v>286</v>
      </c>
      <c r="B74" t="s">
        <v>16</v>
      </c>
      <c r="C74">
        <v>2030</v>
      </c>
      <c r="D74">
        <v>0</v>
      </c>
      <c r="E74">
        <v>0</v>
      </c>
      <c r="F74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BB06-69E2-49A4-BFAB-D2F690A858A3}">
  <dimension ref="A1:AD30"/>
  <sheetViews>
    <sheetView workbookViewId="0">
      <pane xSplit="2" ySplit="3" topLeftCell="H22" activePane="bottomRight" state="frozen"/>
      <selection pane="topRight" activeCell="C1" sqref="C1"/>
      <selection pane="bottomLeft" activeCell="A4" sqref="A4"/>
      <selection pane="bottomRight" activeCell="J26" sqref="J26"/>
    </sheetView>
  </sheetViews>
  <sheetFormatPr baseColWidth="10" defaultRowHeight="14.5" x14ac:dyDescent="0.35"/>
  <cols>
    <col min="1" max="1" width="35" bestFit="1" customWidth="1"/>
    <col min="2" max="2" width="29.7265625" bestFit="1" customWidth="1"/>
    <col min="3" max="3" width="13.26953125" bestFit="1" customWidth="1"/>
    <col min="9" max="9" width="26.54296875" bestFit="1" customWidth="1"/>
  </cols>
  <sheetData>
    <row r="1" spans="1:30" s="15" customFormat="1" ht="72.5" x14ac:dyDescent="0.35">
      <c r="A1" s="15" t="s">
        <v>257</v>
      </c>
      <c r="B1" s="15" t="s">
        <v>258</v>
      </c>
      <c r="C1" s="15" t="s">
        <v>259</v>
      </c>
      <c r="D1" s="15" t="s">
        <v>281</v>
      </c>
      <c r="E1" s="15" t="s">
        <v>341</v>
      </c>
      <c r="F1" s="15" t="s">
        <v>260</v>
      </c>
      <c r="G1" s="15" t="s">
        <v>375</v>
      </c>
      <c r="H1" s="15" t="s">
        <v>272</v>
      </c>
      <c r="I1" s="15" t="s">
        <v>273</v>
      </c>
      <c r="J1" s="15" t="s">
        <v>374</v>
      </c>
      <c r="K1" s="15" t="s">
        <v>263</v>
      </c>
      <c r="L1" s="15" t="s">
        <v>264</v>
      </c>
      <c r="M1" s="15" t="s">
        <v>266</v>
      </c>
      <c r="N1" s="15" t="s">
        <v>265</v>
      </c>
      <c r="O1" s="15" t="s">
        <v>282</v>
      </c>
      <c r="P1" s="15" t="s">
        <v>267</v>
      </c>
      <c r="Q1" s="15" t="s">
        <v>284</v>
      </c>
      <c r="R1" s="15" t="s">
        <v>335</v>
      </c>
      <c r="S1" s="15" t="s">
        <v>336</v>
      </c>
      <c r="T1" s="15" t="s">
        <v>174</v>
      </c>
      <c r="U1" s="15" t="s">
        <v>176</v>
      </c>
      <c r="V1" s="15" t="s">
        <v>177</v>
      </c>
      <c r="W1" s="15" t="s">
        <v>178</v>
      </c>
      <c r="X1" s="15" t="s">
        <v>179</v>
      </c>
      <c r="Y1" s="15" t="s">
        <v>180</v>
      </c>
      <c r="Z1" s="15" t="s">
        <v>181</v>
      </c>
      <c r="AA1" s="15" t="s">
        <v>182</v>
      </c>
      <c r="AB1" s="15" t="s">
        <v>183</v>
      </c>
      <c r="AC1" s="15" t="s">
        <v>184</v>
      </c>
      <c r="AD1" s="15" t="s">
        <v>265</v>
      </c>
    </row>
    <row r="2" spans="1:30" s="15" customFormat="1" x14ac:dyDescent="0.35">
      <c r="F2" s="15" t="s">
        <v>274</v>
      </c>
      <c r="G2" s="15" t="s">
        <v>318</v>
      </c>
      <c r="H2" s="15" t="s">
        <v>274</v>
      </c>
      <c r="I2" s="15" t="s">
        <v>318</v>
      </c>
      <c r="J2" s="15" t="s">
        <v>276</v>
      </c>
      <c r="K2" s="15" t="s">
        <v>275</v>
      </c>
      <c r="L2" s="15" t="s">
        <v>319</v>
      </c>
      <c r="M2" s="35" t="s">
        <v>320</v>
      </c>
      <c r="O2" s="15" t="s">
        <v>321</v>
      </c>
      <c r="P2" s="15" t="s">
        <v>321</v>
      </c>
      <c r="Q2" s="15" t="s">
        <v>321</v>
      </c>
      <c r="R2" s="15" t="s">
        <v>321</v>
      </c>
      <c r="S2" s="15" t="s">
        <v>321</v>
      </c>
    </row>
    <row r="3" spans="1:30" x14ac:dyDescent="0.35">
      <c r="A3" t="s">
        <v>288</v>
      </c>
      <c r="B3" t="s">
        <v>289</v>
      </c>
      <c r="C3" t="s">
        <v>316</v>
      </c>
      <c r="D3" t="s">
        <v>58</v>
      </c>
      <c r="E3" t="s">
        <v>342</v>
      </c>
      <c r="F3" t="s">
        <v>290</v>
      </c>
      <c r="G3" t="s">
        <v>291</v>
      </c>
      <c r="H3" t="s">
        <v>293</v>
      </c>
      <c r="I3" t="s">
        <v>292</v>
      </c>
      <c r="J3" t="s">
        <v>294</v>
      </c>
      <c r="K3" t="s">
        <v>295</v>
      </c>
      <c r="L3" t="s">
        <v>64</v>
      </c>
      <c r="M3" t="s">
        <v>315</v>
      </c>
      <c r="N3" t="s">
        <v>242</v>
      </c>
      <c r="O3" t="s">
        <v>296</v>
      </c>
      <c r="P3" t="s">
        <v>297</v>
      </c>
      <c r="Q3" t="s">
        <v>302</v>
      </c>
      <c r="R3" t="s">
        <v>327</v>
      </c>
      <c r="S3" t="s">
        <v>337</v>
      </c>
      <c r="T3" t="s">
        <v>191</v>
      </c>
      <c r="U3" t="s">
        <v>193</v>
      </c>
      <c r="V3" t="s">
        <v>194</v>
      </c>
      <c r="W3" t="s">
        <v>195</v>
      </c>
      <c r="X3" t="s">
        <v>196</v>
      </c>
      <c r="Y3" t="s">
        <v>197</v>
      </c>
      <c r="Z3" t="s">
        <v>198</v>
      </c>
      <c r="AA3" t="s">
        <v>299</v>
      </c>
      <c r="AB3" t="s">
        <v>300</v>
      </c>
      <c r="AC3" t="s">
        <v>301</v>
      </c>
      <c r="AD3" t="s">
        <v>298</v>
      </c>
    </row>
    <row r="4" spans="1:30" x14ac:dyDescent="0.35">
      <c r="A4">
        <v>0</v>
      </c>
      <c r="B4" s="28" t="s">
        <v>268</v>
      </c>
      <c r="C4" t="s">
        <v>3</v>
      </c>
      <c r="D4" t="s">
        <v>133</v>
      </c>
      <c r="E4" t="s">
        <v>137</v>
      </c>
      <c r="F4" s="48">
        <v>320</v>
      </c>
      <c r="H4" s="1">
        <f>ROUND((WACC!$B$2*(1+WACC!$B$2)^$L4)/((1+WACC!$B$2)^$L4-1)*$F4,0)</f>
        <v>14</v>
      </c>
      <c r="I4" t="s">
        <v>153</v>
      </c>
      <c r="J4" s="48">
        <v>8100</v>
      </c>
      <c r="K4">
        <v>0</v>
      </c>
      <c r="L4">
        <v>40</v>
      </c>
      <c r="M4">
        <v>1</v>
      </c>
      <c r="N4" s="31">
        <v>1</v>
      </c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35">
      <c r="A5">
        <v>1</v>
      </c>
      <c r="B5" s="28" t="s">
        <v>269</v>
      </c>
      <c r="C5" t="s">
        <v>4</v>
      </c>
      <c r="D5" t="s">
        <v>283</v>
      </c>
      <c r="E5" t="s">
        <v>137</v>
      </c>
      <c r="F5" s="48">
        <f>3000/0.931*1.0173</f>
        <v>3278.0880773361978</v>
      </c>
      <c r="H5" s="1">
        <f>ROUND((WACC!$B$2*(1+WACC!$B$2)^$L5)/((1+WACC!$B$2)^$L5-1)*$F5,0)</f>
        <v>118</v>
      </c>
      <c r="I5" t="s">
        <v>153</v>
      </c>
      <c r="J5" s="48">
        <f>60000/0.931*1.0173</f>
        <v>65561.761546723952</v>
      </c>
      <c r="K5">
        <v>0</v>
      </c>
      <c r="L5">
        <v>60</v>
      </c>
      <c r="M5">
        <v>1</v>
      </c>
      <c r="N5" s="31"/>
      <c r="O5">
        <v>0</v>
      </c>
      <c r="P5">
        <v>1</v>
      </c>
      <c r="Q5">
        <v>0</v>
      </c>
      <c r="R5">
        <v>0</v>
      </c>
      <c r="S5">
        <f t="shared" ref="S5:S27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35">
      <c r="A6">
        <v>2</v>
      </c>
      <c r="B6" s="28" t="s">
        <v>270</v>
      </c>
      <c r="C6" t="s">
        <v>5</v>
      </c>
      <c r="D6" t="s">
        <v>367</v>
      </c>
      <c r="E6" t="s">
        <v>137</v>
      </c>
      <c r="F6" s="48">
        <f>980*1.0173</f>
        <v>996.95400000000006</v>
      </c>
      <c r="H6" s="1">
        <f>ROUND((WACC!$B$2*(1+WACC!$B$2)^$L6)/((1+WACC!$B$2)^$L6-1)*$F6,0)</f>
        <v>51</v>
      </c>
      <c r="I6" t="s">
        <v>153</v>
      </c>
      <c r="J6" s="48">
        <f>11592*1.0173</f>
        <v>11792.5416</v>
      </c>
      <c r="K6" s="48">
        <f>1.24*1.0173</f>
        <v>1.261452</v>
      </c>
      <c r="L6">
        <v>30</v>
      </c>
      <c r="M6">
        <v>1</v>
      </c>
      <c r="N6" s="31">
        <v>1</v>
      </c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35">
      <c r="A7">
        <v>3</v>
      </c>
      <c r="B7" s="28" t="s">
        <v>271</v>
      </c>
      <c r="C7" t="s">
        <v>6</v>
      </c>
      <c r="D7" t="s">
        <v>368</v>
      </c>
      <c r="E7" t="s">
        <v>137</v>
      </c>
      <c r="F7" s="48">
        <v>1680</v>
      </c>
      <c r="H7" s="1">
        <f>ROUND((WACC!$B$2*(1+WACC!$B$2)^$L7)/((1+WACC!$B$2)^$L7-1)*$F7,0)</f>
        <v>86</v>
      </c>
      <c r="I7" t="s">
        <v>153</v>
      </c>
      <c r="J7" s="48">
        <v>34000</v>
      </c>
      <c r="K7" s="48">
        <v>3.42</v>
      </c>
      <c r="L7">
        <v>30</v>
      </c>
      <c r="M7">
        <v>1</v>
      </c>
      <c r="N7" s="31">
        <v>1.3</v>
      </c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35">
      <c r="A8" t="str">
        <f>tech_full!B34</f>
        <v>Biomass &amp; Waste</v>
      </c>
      <c r="B8" s="28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185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35">
      <c r="A9" t="str">
        <f>tech_full!B35</f>
        <v>Biomass &amp; Waste - CoGen</v>
      </c>
      <c r="B9" s="28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195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35">
      <c r="B10" s="28" t="s">
        <v>350</v>
      </c>
      <c r="C10" t="s">
        <v>351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24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35">
      <c r="A11" t="s">
        <v>407</v>
      </c>
      <c r="B11" s="31" t="s">
        <v>208</v>
      </c>
      <c r="C11" t="s">
        <v>116</v>
      </c>
      <c r="D11" t="s">
        <v>137</v>
      </c>
      <c r="E11" t="s">
        <v>138</v>
      </c>
      <c r="F11" s="49">
        <v>760</v>
      </c>
      <c r="H11" s="1">
        <f>ROUND((WACC!$B$2*(1+WACC!$B$2)^$L11)/((1+WACC!$B$2)^$L11-1)*$F11,0)</f>
        <v>44</v>
      </c>
      <c r="I11" t="s">
        <v>153</v>
      </c>
      <c r="J11" s="49">
        <v>2000</v>
      </c>
      <c r="K11" s="49">
        <v>1.69</v>
      </c>
      <c r="L11">
        <v>25</v>
      </c>
      <c r="M11">
        <v>3.9</v>
      </c>
      <c r="N11">
        <v>1</v>
      </c>
      <c r="O11">
        <v>1</v>
      </c>
      <c r="P11">
        <v>0</v>
      </c>
      <c r="Q11">
        <v>0</v>
      </c>
      <c r="R11">
        <v>0</v>
      </c>
      <c r="S11">
        <f t="shared" si="0"/>
        <v>1</v>
      </c>
      <c r="T11">
        <f>tech_full!E31</f>
        <v>1</v>
      </c>
      <c r="U11" t="str">
        <f>tech_full!F31</f>
        <v>na</v>
      </c>
      <c r="V11" t="str">
        <f>tech_full!G31</f>
        <v>na</v>
      </c>
      <c r="W11" t="str">
        <f>tech_full!H31</f>
        <v>na</v>
      </c>
      <c r="X11" t="str">
        <f>tech_full!I31</f>
        <v>na</v>
      </c>
      <c r="Y11" t="str">
        <f>tech_full!J31</f>
        <v>na</v>
      </c>
      <c r="Z11" t="str">
        <f>tech_full!K31</f>
        <v>na</v>
      </c>
      <c r="AA11" t="str">
        <f>tech_full!L31</f>
        <v>na</v>
      </c>
      <c r="AB11" t="str">
        <f>tech_full!M31</f>
        <v>na</v>
      </c>
      <c r="AC11" t="str">
        <f>tech_full!N31</f>
        <v>na</v>
      </c>
      <c r="AD11" s="7" t="s">
        <v>153</v>
      </c>
    </row>
    <row r="12" spans="1:30" x14ac:dyDescent="0.35">
      <c r="A12" t="s">
        <v>408</v>
      </c>
      <c r="B12" s="31" t="s">
        <v>209</v>
      </c>
      <c r="C12" t="s">
        <v>210</v>
      </c>
      <c r="D12" t="s">
        <v>137</v>
      </c>
      <c r="E12" t="s">
        <v>138</v>
      </c>
      <c r="F12" s="49">
        <v>485</v>
      </c>
      <c r="H12" s="1">
        <f>ROUND((WACC!$B$2*(1+WACC!$B$2)^$L12)/((1+WACC!$B$2)^$L12-1)*$F12,0)</f>
        <v>28</v>
      </c>
      <c r="I12" t="s">
        <v>153</v>
      </c>
      <c r="J12" s="49">
        <v>2000</v>
      </c>
      <c r="K12" s="49">
        <f>(1.25+1.43)/2</f>
        <v>1.3399999999999999</v>
      </c>
      <c r="L12">
        <v>25</v>
      </c>
      <c r="M12">
        <v>1.74</v>
      </c>
      <c r="N12">
        <v>1</v>
      </c>
      <c r="O12">
        <v>1</v>
      </c>
      <c r="P12">
        <v>0</v>
      </c>
      <c r="Q12">
        <v>0</v>
      </c>
      <c r="R12">
        <v>0</v>
      </c>
      <c r="S12">
        <f t="shared" si="0"/>
        <v>1</v>
      </c>
      <c r="T12">
        <f>tech_full!E32</f>
        <v>1</v>
      </c>
      <c r="U12" t="str">
        <f>tech_full!F32</f>
        <v>na</v>
      </c>
      <c r="V12" t="str">
        <f>tech_full!G32</f>
        <v>na</v>
      </c>
      <c r="W12" t="str">
        <f>tech_full!H32</f>
        <v>na</v>
      </c>
      <c r="X12" t="str">
        <f>tech_full!I32</f>
        <v>na</v>
      </c>
      <c r="Y12" t="str">
        <f>tech_full!J32</f>
        <v>na</v>
      </c>
      <c r="Z12" t="str">
        <f>tech_full!K32</f>
        <v>na</v>
      </c>
      <c r="AA12" t="str">
        <f>tech_full!L32</f>
        <v>na</v>
      </c>
      <c r="AB12" t="str">
        <f>tech_full!M32</f>
        <v>na</v>
      </c>
      <c r="AC12" t="str">
        <f>tech_full!N32</f>
        <v>na</v>
      </c>
      <c r="AD12" s="7" t="s">
        <v>153</v>
      </c>
    </row>
    <row r="13" spans="1:30" x14ac:dyDescent="0.35">
      <c r="A13" t="s">
        <v>409</v>
      </c>
      <c r="B13" s="31" t="s">
        <v>211</v>
      </c>
      <c r="C13" t="s">
        <v>212</v>
      </c>
      <c r="D13" t="s">
        <v>137</v>
      </c>
      <c r="E13" t="s">
        <v>138</v>
      </c>
      <c r="F13" s="49">
        <v>60</v>
      </c>
      <c r="H13" s="1">
        <f>ROUND((WACC!$B$2*(1+WACC!$B$2)^$L13)/((1+WACC!$B$2)^$L13-1)*$F13,0)</f>
        <v>4</v>
      </c>
      <c r="I13" t="s">
        <v>153</v>
      </c>
      <c r="J13" s="49">
        <v>970</v>
      </c>
      <c r="K13" s="49">
        <v>1</v>
      </c>
      <c r="L13">
        <v>20</v>
      </c>
      <c r="M13">
        <v>0.99</v>
      </c>
      <c r="N13">
        <v>1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tech_full!E33</f>
        <v>1</v>
      </c>
      <c r="U13" t="str">
        <f>tech_full!F33</f>
        <v>na</v>
      </c>
      <c r="V13" t="str">
        <f>tech_full!G33</f>
        <v>na</v>
      </c>
      <c r="W13" t="str">
        <f>tech_full!H33</f>
        <v>na</v>
      </c>
      <c r="X13" t="str">
        <f>tech_full!I33</f>
        <v>na</v>
      </c>
      <c r="Y13" t="str">
        <f>tech_full!J33</f>
        <v>na</v>
      </c>
      <c r="Z13" t="str">
        <f>tech_full!K33</f>
        <v>na</v>
      </c>
      <c r="AA13" t="str">
        <f>tech_full!L33</f>
        <v>na</v>
      </c>
      <c r="AB13" t="str">
        <f>tech_full!M33</f>
        <v>na</v>
      </c>
      <c r="AC13" t="str">
        <f>tech_full!N33</f>
        <v>na</v>
      </c>
      <c r="AD13" t="str">
        <f>tech_full!O33</f>
        <v>na</v>
      </c>
    </row>
    <row r="14" spans="1:30" x14ac:dyDescent="0.35">
      <c r="B14" s="30" t="s">
        <v>277</v>
      </c>
      <c r="C14" t="s">
        <v>117</v>
      </c>
      <c r="D14" t="s">
        <v>137</v>
      </c>
      <c r="E14" t="s">
        <v>137</v>
      </c>
      <c r="F14" s="49">
        <v>220</v>
      </c>
      <c r="G14" s="1">
        <v>94</v>
      </c>
      <c r="H14" s="50">
        <f>ROUND((WACC!$B$2*(1+WACC!$B$2)^$L14)/((1+WACC!$B$2)^$L14-1)*$F14,0)</f>
        <v>11</v>
      </c>
      <c r="I14" s="7">
        <f>ROUND((WACC!$B$2*(1+WACC!$B$2)^$L14)/((1+WACC!$B$2)^$L14-1)*$G14,2)</f>
        <v>4.8</v>
      </c>
      <c r="J14" s="50">
        <v>540</v>
      </c>
      <c r="K14" s="51">
        <v>1.7</v>
      </c>
      <c r="L14" s="1">
        <v>30</v>
      </c>
      <c r="M14" s="7">
        <f>SQRT(0.92)</f>
        <v>0.95916630466254393</v>
      </c>
      <c r="N14">
        <v>2</v>
      </c>
      <c r="O14">
        <v>0</v>
      </c>
      <c r="P14" s="1">
        <v>0</v>
      </c>
      <c r="Q14">
        <v>1</v>
      </c>
      <c r="R14">
        <v>0</v>
      </c>
      <c r="S14">
        <f t="shared" si="0"/>
        <v>0</v>
      </c>
      <c r="T14" s="1"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s="7" t="s">
        <v>153</v>
      </c>
    </row>
    <row r="15" spans="1:30" x14ac:dyDescent="0.35">
      <c r="A15" t="str">
        <f>tech_full!B31</f>
        <v>Hydro - Run-of-River</v>
      </c>
      <c r="B15" s="30" t="s">
        <v>312</v>
      </c>
      <c r="C15" t="s">
        <v>303</v>
      </c>
      <c r="D15" t="s">
        <v>137</v>
      </c>
      <c r="E15" t="s">
        <v>137</v>
      </c>
      <c r="F15">
        <v>2400</v>
      </c>
      <c r="G15">
        <v>6.5</v>
      </c>
      <c r="H15" s="1">
        <f>ROUND((WACC!$B$2*(1+WACC!$B$2)^$L15)/((1+WACC!$B$2)^$L15-1)*$F15,0)</f>
        <v>93</v>
      </c>
      <c r="I15" t="s">
        <v>153</v>
      </c>
      <c r="J15">
        <v>20000</v>
      </c>
      <c r="K15">
        <v>0</v>
      </c>
      <c r="L15">
        <v>50</v>
      </c>
      <c r="M15">
        <v>0.9</v>
      </c>
      <c r="N15" t="s">
        <v>279</v>
      </c>
      <c r="O15">
        <v>0</v>
      </c>
      <c r="P15">
        <v>0</v>
      </c>
      <c r="Q15">
        <v>1</v>
      </c>
      <c r="R15">
        <v>0</v>
      </c>
      <c r="S15">
        <f t="shared" si="0"/>
        <v>0</v>
      </c>
      <c r="T15">
        <f>tech_full!E31</f>
        <v>1</v>
      </c>
      <c r="U15" t="str">
        <f>tech_full!F31</f>
        <v>na</v>
      </c>
      <c r="V15" t="str">
        <f>tech_full!G31</f>
        <v>na</v>
      </c>
      <c r="W15" t="str">
        <f>tech_full!H31</f>
        <v>na</v>
      </c>
      <c r="X15" t="str">
        <f>tech_full!I31</f>
        <v>na</v>
      </c>
      <c r="Y15" t="str">
        <f>tech_full!J31</f>
        <v>na</v>
      </c>
      <c r="Z15" t="str">
        <f>tech_full!K31</f>
        <v>na</v>
      </c>
      <c r="AA15" t="str">
        <f>tech_full!L31</f>
        <v>na</v>
      </c>
      <c r="AB15" t="str">
        <f>tech_full!M31</f>
        <v>na</v>
      </c>
      <c r="AC15" t="str">
        <f>tech_full!N31</f>
        <v>na</v>
      </c>
      <c r="AD15" t="str">
        <f>tech_full!O31</f>
        <v>na</v>
      </c>
    </row>
    <row r="16" spans="1:30" x14ac:dyDescent="0.35">
      <c r="A16" t="str">
        <f>tech_full!B32</f>
        <v>Hydro - Reservoir</v>
      </c>
      <c r="B16" s="30" t="s">
        <v>313</v>
      </c>
      <c r="C16" t="s">
        <v>304</v>
      </c>
      <c r="D16" t="s">
        <v>137</v>
      </c>
      <c r="E16" t="s">
        <v>137</v>
      </c>
      <c r="F16">
        <v>2400</v>
      </c>
      <c r="G16">
        <v>6.5</v>
      </c>
      <c r="H16" s="1">
        <f>ROUND((WACC!$B$2*(1+WACC!$B$2)^$L16)/((1+WACC!$B$2)^$L16-1)*$F16,0)</f>
        <v>93</v>
      </c>
      <c r="I16" t="s">
        <v>153</v>
      </c>
      <c r="J16">
        <v>20000</v>
      </c>
      <c r="K16">
        <v>0</v>
      </c>
      <c r="L16">
        <v>50</v>
      </c>
      <c r="M16">
        <v>0.9</v>
      </c>
      <c r="N16" t="s">
        <v>279</v>
      </c>
      <c r="O16">
        <v>0</v>
      </c>
      <c r="P16">
        <v>0</v>
      </c>
      <c r="Q16">
        <v>1</v>
      </c>
      <c r="R16">
        <v>0</v>
      </c>
      <c r="S16">
        <f t="shared" si="0"/>
        <v>0</v>
      </c>
      <c r="T16">
        <f>tech_full!E32</f>
        <v>1</v>
      </c>
      <c r="U16" t="str">
        <f>tech_full!F32</f>
        <v>na</v>
      </c>
      <c r="V16" t="str">
        <f>tech_full!G32</f>
        <v>na</v>
      </c>
      <c r="W16" t="str">
        <f>tech_full!H32</f>
        <v>na</v>
      </c>
      <c r="X16" t="str">
        <f>tech_full!I32</f>
        <v>na</v>
      </c>
      <c r="Y16" t="str">
        <f>tech_full!J32</f>
        <v>na</v>
      </c>
      <c r="Z16" t="str">
        <f>tech_full!K32</f>
        <v>na</v>
      </c>
      <c r="AA16" t="str">
        <f>tech_full!L32</f>
        <v>na</v>
      </c>
      <c r="AB16" t="str">
        <f>tech_full!M32</f>
        <v>na</v>
      </c>
      <c r="AC16" t="str">
        <f>tech_full!N32</f>
        <v>na</v>
      </c>
      <c r="AD16" t="str">
        <f>tech_full!O32</f>
        <v>na</v>
      </c>
    </row>
    <row r="17" spans="1:30" x14ac:dyDescent="0.35">
      <c r="A17" t="str">
        <f>tech_full!B33</f>
        <v>Hydro - Pumped Storage</v>
      </c>
      <c r="B17" s="30" t="s">
        <v>314</v>
      </c>
      <c r="C17" t="s">
        <v>305</v>
      </c>
      <c r="D17" t="s">
        <v>137</v>
      </c>
      <c r="E17" t="s">
        <v>137</v>
      </c>
      <c r="F17">
        <v>2400</v>
      </c>
      <c r="G17">
        <v>6.5</v>
      </c>
      <c r="H17" s="1">
        <f>ROUND((WACC!$B$2*(1+WACC!$B$2)^$L17)/((1+WACC!$B$2)^$L17-1)*$F17,0)</f>
        <v>93</v>
      </c>
      <c r="I17" t="s">
        <v>153</v>
      </c>
      <c r="J17">
        <v>20000</v>
      </c>
      <c r="K17">
        <v>0</v>
      </c>
      <c r="L17">
        <v>50</v>
      </c>
      <c r="M17">
        <v>0.9</v>
      </c>
      <c r="N17" t="s">
        <v>279</v>
      </c>
      <c r="O17">
        <v>0</v>
      </c>
      <c r="P17">
        <v>0</v>
      </c>
      <c r="Q17">
        <v>1</v>
      </c>
      <c r="R17">
        <v>0</v>
      </c>
      <c r="S17">
        <f t="shared" si="0"/>
        <v>0</v>
      </c>
      <c r="T17">
        <f>tech_full!E33</f>
        <v>1</v>
      </c>
      <c r="U17" t="str">
        <f>tech_full!F33</f>
        <v>na</v>
      </c>
      <c r="V17" t="str">
        <f>tech_full!G33</f>
        <v>na</v>
      </c>
      <c r="W17" t="str">
        <f>tech_full!H33</f>
        <v>na</v>
      </c>
      <c r="X17" t="str">
        <f>tech_full!I33</f>
        <v>na</v>
      </c>
      <c r="Y17" t="str">
        <f>tech_full!J33</f>
        <v>na</v>
      </c>
      <c r="Z17" t="str">
        <f>tech_full!K33</f>
        <v>na</v>
      </c>
      <c r="AA17" t="str">
        <f>tech_full!L33</f>
        <v>na</v>
      </c>
      <c r="AB17" t="str">
        <f>tech_full!M33</f>
        <v>na</v>
      </c>
      <c r="AC17" t="str">
        <f>tech_full!N33</f>
        <v>na</v>
      </c>
      <c r="AD17" t="str">
        <f>tech_full!O33</f>
        <v>na</v>
      </c>
    </row>
    <row r="18" spans="1:30" x14ac:dyDescent="0.35">
      <c r="B18" s="30" t="s">
        <v>309</v>
      </c>
      <c r="C18" t="s">
        <v>306</v>
      </c>
      <c r="D18" t="s">
        <v>137</v>
      </c>
      <c r="E18" t="s">
        <v>137</v>
      </c>
      <c r="F18">
        <v>3000</v>
      </c>
      <c r="G18">
        <v>6.5</v>
      </c>
      <c r="H18" s="1">
        <f>ROUND((WACC!$B$2*(1+WACC!$B$2)^$L18)/((1+WACC!$B$2)^$L18-1)*$F18,0)</f>
        <v>117</v>
      </c>
      <c r="I18" t="s">
        <v>153</v>
      </c>
      <c r="J18">
        <v>20000</v>
      </c>
      <c r="K18">
        <v>0</v>
      </c>
      <c r="L18">
        <v>50</v>
      </c>
      <c r="M18">
        <v>0.9</v>
      </c>
      <c r="N18" t="s">
        <v>219</v>
      </c>
      <c r="O18">
        <v>0</v>
      </c>
      <c r="P18">
        <v>0</v>
      </c>
      <c r="Q18">
        <v>1</v>
      </c>
      <c r="R18">
        <v>0</v>
      </c>
      <c r="S18">
        <f t="shared" si="0"/>
        <v>0</v>
      </c>
      <c r="T18"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s="7" t="s">
        <v>153</v>
      </c>
    </row>
    <row r="19" spans="1:30" x14ac:dyDescent="0.35">
      <c r="B19" s="30" t="s">
        <v>310</v>
      </c>
      <c r="C19" t="s">
        <v>307</v>
      </c>
      <c r="D19" t="s">
        <v>137</v>
      </c>
      <c r="E19" t="s">
        <v>137</v>
      </c>
      <c r="F19">
        <v>3000</v>
      </c>
      <c r="G19">
        <v>6.5</v>
      </c>
      <c r="H19" s="1">
        <f>ROUND((WACC!$B$2*(1+WACC!$B$2)^$L19)/((1+WACC!$B$2)^$L19-1)*$F19,0)</f>
        <v>117</v>
      </c>
      <c r="I19" t="s">
        <v>153</v>
      </c>
      <c r="J19">
        <v>20000</v>
      </c>
      <c r="K19">
        <v>0</v>
      </c>
      <c r="L19">
        <v>50</v>
      </c>
      <c r="M19">
        <v>0.9</v>
      </c>
      <c r="N19" t="s">
        <v>219</v>
      </c>
      <c r="O19">
        <v>0</v>
      </c>
      <c r="P19">
        <v>0</v>
      </c>
      <c r="Q19">
        <v>1</v>
      </c>
      <c r="R19">
        <v>0</v>
      </c>
      <c r="S19">
        <f t="shared" si="0"/>
        <v>0</v>
      </c>
      <c r="T19">
        <v>1</v>
      </c>
      <c r="U19" s="7" t="s">
        <v>153</v>
      </c>
      <c r="V19" s="7" t="s">
        <v>153</v>
      </c>
      <c r="W19" s="7" t="s">
        <v>153</v>
      </c>
      <c r="X19" s="7" t="s">
        <v>153</v>
      </c>
      <c r="Y19" s="7" t="s">
        <v>153</v>
      </c>
      <c r="Z19" s="7" t="s">
        <v>153</v>
      </c>
      <c r="AA19" s="7" t="s">
        <v>153</v>
      </c>
      <c r="AB19" s="7" t="s">
        <v>153</v>
      </c>
      <c r="AC19" s="7" t="s">
        <v>153</v>
      </c>
      <c r="AD19" s="7" t="s">
        <v>153</v>
      </c>
    </row>
    <row r="20" spans="1:30" x14ac:dyDescent="0.35">
      <c r="B20" s="30" t="s">
        <v>311</v>
      </c>
      <c r="C20" t="s">
        <v>308</v>
      </c>
      <c r="D20" t="s">
        <v>137</v>
      </c>
      <c r="E20" t="s">
        <v>137</v>
      </c>
      <c r="F20">
        <v>3000</v>
      </c>
      <c r="G20">
        <v>6.5</v>
      </c>
      <c r="H20" s="1">
        <f>ROUND((WACC!$B$2*(1+WACC!$B$2)^$L20)/((1+WACC!$B$2)^$L20-1)*$F20,0)</f>
        <v>117</v>
      </c>
      <c r="I20" t="s">
        <v>153</v>
      </c>
      <c r="J20">
        <v>20000</v>
      </c>
      <c r="K20">
        <v>0</v>
      </c>
      <c r="L20">
        <v>50</v>
      </c>
      <c r="M20">
        <v>0.9</v>
      </c>
      <c r="N20" t="s">
        <v>219</v>
      </c>
      <c r="O20">
        <v>0</v>
      </c>
      <c r="P20">
        <v>0</v>
      </c>
      <c r="Q20">
        <v>1</v>
      </c>
      <c r="R20">
        <v>0</v>
      </c>
      <c r="S20">
        <f t="shared" si="0"/>
        <v>0</v>
      </c>
      <c r="T20"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s="7" t="s">
        <v>153</v>
      </c>
    </row>
    <row r="21" spans="1:30" x14ac:dyDescent="0.35">
      <c r="B21" s="30" t="s">
        <v>278</v>
      </c>
      <c r="C21" t="s">
        <v>256</v>
      </c>
      <c r="D21" t="s">
        <v>137</v>
      </c>
      <c r="E21" t="s">
        <v>137</v>
      </c>
      <c r="F21">
        <v>2575</v>
      </c>
      <c r="G21" s="1">
        <v>2</v>
      </c>
      <c r="H21" s="1">
        <f>ROUND((WACC!$B$2*(1+WACC!$B$2)^$L21)/((1+WACC!$B$2)^$L21-1)*$F21,0)</f>
        <v>148</v>
      </c>
      <c r="I21" s="7">
        <f>ROUND((WACC!$B$2*(1+WACC!$B$2)^$L21)/((1+WACC!$B$2)^$L21-1)*$G21,2)</f>
        <v>0.11</v>
      </c>
      <c r="J21">
        <v>82500</v>
      </c>
      <c r="K21" s="1">
        <v>0</v>
      </c>
      <c r="L21" s="1">
        <v>25</v>
      </c>
      <c r="M21" s="6">
        <v>0.33300000000000002</v>
      </c>
      <c r="N21" t="s">
        <v>280</v>
      </c>
      <c r="O21">
        <v>0</v>
      </c>
      <c r="P21">
        <v>0</v>
      </c>
      <c r="Q21">
        <v>1</v>
      </c>
      <c r="R21">
        <v>0</v>
      </c>
      <c r="S21">
        <f t="shared" si="0"/>
        <v>0</v>
      </c>
      <c r="T21">
        <v>1</v>
      </c>
      <c r="U21" s="7" t="s">
        <v>153</v>
      </c>
      <c r="V21" s="7" t="s">
        <v>153</v>
      </c>
      <c r="W21" s="7" t="s">
        <v>153</v>
      </c>
      <c r="X21" s="7" t="s">
        <v>153</v>
      </c>
      <c r="Y21" s="7" t="s">
        <v>153</v>
      </c>
      <c r="Z21" s="7" t="s">
        <v>153</v>
      </c>
      <c r="AA21" s="7" t="s">
        <v>153</v>
      </c>
      <c r="AB21" s="7" t="s">
        <v>153</v>
      </c>
      <c r="AC21" s="7" t="s">
        <v>153</v>
      </c>
      <c r="AD21" s="7" t="s">
        <v>153</v>
      </c>
    </row>
    <row r="22" spans="1:30" x14ac:dyDescent="0.35">
      <c r="B22" s="37" t="s">
        <v>326</v>
      </c>
      <c r="C22" t="s">
        <v>327</v>
      </c>
      <c r="D22" t="s">
        <v>137</v>
      </c>
      <c r="E22" t="s">
        <v>137</v>
      </c>
      <c r="F22" s="36">
        <f>ROUND(455/0.9,0)</f>
        <v>506</v>
      </c>
      <c r="G22" s="1"/>
      <c r="H22" s="1">
        <f>ROUND((WACC!$B$2*(1+WACC!$B$2)^$L22)/((1+WACC!$B$2)^$L22-1)*$F22,0)</f>
        <v>22</v>
      </c>
      <c r="I22" s="1" t="s">
        <v>153</v>
      </c>
      <c r="J22" s="1">
        <v>9</v>
      </c>
      <c r="K22" s="1">
        <v>0</v>
      </c>
      <c r="L22" s="1">
        <v>40</v>
      </c>
      <c r="M22" s="1">
        <v>1</v>
      </c>
      <c r="N22" t="s">
        <v>334</v>
      </c>
      <c r="O22" s="1">
        <v>0</v>
      </c>
      <c r="P22" s="1">
        <v>0</v>
      </c>
      <c r="Q22" s="1">
        <v>0</v>
      </c>
      <c r="R22">
        <v>1</v>
      </c>
      <c r="S22">
        <f t="shared" si="0"/>
        <v>0</v>
      </c>
      <c r="T22" s="1">
        <v>0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s="7" t="s">
        <v>153</v>
      </c>
    </row>
    <row r="23" spans="1:30" x14ac:dyDescent="0.35">
      <c r="A23" t="s">
        <v>384</v>
      </c>
      <c r="B23" s="47" t="s">
        <v>410</v>
      </c>
      <c r="C23" t="s">
        <v>411</v>
      </c>
      <c r="D23" t="s">
        <v>137</v>
      </c>
      <c r="E23" t="s">
        <v>356</v>
      </c>
      <c r="F23" s="48">
        <v>1342</v>
      </c>
      <c r="H23" s="1">
        <f>ROUND((WACC!$B$2*(1+WACC!$B$2)^$L23)/((1+WACC!$B$2)^$L23-1)*$F23,0)</f>
        <v>90</v>
      </c>
      <c r="J23" s="48">
        <f>F23*0.12*1000</f>
        <v>161040</v>
      </c>
      <c r="K23">
        <v>0</v>
      </c>
      <c r="L23">
        <v>20</v>
      </c>
      <c r="M23">
        <v>0.82</v>
      </c>
      <c r="N23">
        <v>18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v>1</v>
      </c>
    </row>
    <row r="24" spans="1:30" x14ac:dyDescent="0.35">
      <c r="A24" t="s">
        <v>385</v>
      </c>
      <c r="B24" s="47" t="s">
        <v>380</v>
      </c>
      <c r="C24" t="s">
        <v>371</v>
      </c>
      <c r="D24" t="s">
        <v>137</v>
      </c>
      <c r="E24" t="s">
        <v>356</v>
      </c>
      <c r="F24" s="48">
        <v>300</v>
      </c>
      <c r="H24" s="1">
        <f>ROUND((WACC!$B$2*(1+WACC!$B$2)^$L24)/((1+WACC!$B$2)^$L24-1)*$F24,0)</f>
        <v>15</v>
      </c>
      <c r="J24" s="48">
        <f>F24*0.02*1000</f>
        <v>6000</v>
      </c>
      <c r="K24">
        <v>0</v>
      </c>
      <c r="L24">
        <v>32</v>
      </c>
      <c r="M24">
        <v>0.71499999999999997</v>
      </c>
      <c r="N24">
        <v>18</v>
      </c>
      <c r="O24">
        <v>0</v>
      </c>
      <c r="P24">
        <v>0</v>
      </c>
      <c r="Q24">
        <v>0</v>
      </c>
      <c r="R24">
        <v>0</v>
      </c>
      <c r="S24">
        <f t="shared" si="0"/>
        <v>1</v>
      </c>
      <c r="T24">
        <v>1</v>
      </c>
    </row>
    <row r="25" spans="1:30" x14ac:dyDescent="0.35">
      <c r="A25" t="s">
        <v>386</v>
      </c>
      <c r="B25" s="47" t="s">
        <v>382</v>
      </c>
      <c r="C25" t="s">
        <v>383</v>
      </c>
      <c r="D25" t="s">
        <v>356</v>
      </c>
      <c r="E25" t="s">
        <v>356</v>
      </c>
      <c r="F25" s="49">
        <v>49.5</v>
      </c>
      <c r="G25" s="49">
        <v>1.5</v>
      </c>
      <c r="H25" s="8">
        <f>ROUND((WACC!$B$2*(1+WACC!$B$2)^$L25)/((1+WACC!$B$2)^$L25-1)*$F25,2)</f>
        <v>1.57</v>
      </c>
      <c r="I25" s="7">
        <f>ROUND((WACC!$B$2*(1+WACC!$B$2)^$L25)/((1+WACC!$B$2)^$L25-1)*$G25,2)</f>
        <v>0.05</v>
      </c>
      <c r="J25" s="49">
        <v>3.0000000000000001E-5</v>
      </c>
      <c r="K25" s="49">
        <v>1.5E-5</v>
      </c>
      <c r="L25">
        <v>100</v>
      </c>
      <c r="M25">
        <v>0.99</v>
      </c>
      <c r="N25">
        <v>18</v>
      </c>
      <c r="O25">
        <v>0</v>
      </c>
      <c r="P25">
        <v>0</v>
      </c>
      <c r="Q25">
        <v>1</v>
      </c>
      <c r="R25">
        <v>0</v>
      </c>
      <c r="S25">
        <f t="shared" si="0"/>
        <v>0</v>
      </c>
      <c r="T25">
        <v>1</v>
      </c>
    </row>
    <row r="26" spans="1:30" x14ac:dyDescent="0.35">
      <c r="A26" t="s">
        <v>412</v>
      </c>
      <c r="B26" s="47" t="s">
        <v>369</v>
      </c>
      <c r="C26" t="s">
        <v>370</v>
      </c>
      <c r="D26" t="s">
        <v>356</v>
      </c>
      <c r="E26" t="s">
        <v>137</v>
      </c>
      <c r="F26" s="49">
        <v>950</v>
      </c>
      <c r="H26" s="1">
        <f>ROUND((WACC!$B$2*(1+WACC!$B$2)^$L26)/((1+WACC!$B$2)^$L26-1)*$F26,0)</f>
        <v>111</v>
      </c>
      <c r="J26" s="49">
        <v>47500</v>
      </c>
      <c r="K26">
        <v>0</v>
      </c>
      <c r="L26">
        <v>10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f t="shared" si="0"/>
        <v>1</v>
      </c>
      <c r="T26">
        <v>1</v>
      </c>
    </row>
    <row r="27" spans="1:30" x14ac:dyDescent="0.35">
      <c r="A27" t="s">
        <v>381</v>
      </c>
      <c r="B27" s="47" t="s">
        <v>376</v>
      </c>
      <c r="C27" t="s">
        <v>377</v>
      </c>
      <c r="D27" t="s">
        <v>356</v>
      </c>
      <c r="E27" t="s">
        <v>137</v>
      </c>
      <c r="F27">
        <v>927</v>
      </c>
      <c r="H27" s="1">
        <f>ROUND((WACC!$B$2*(1+WACC!$B$2)^$L27)/((1+WACC!$B$2)^$L27-1)*$F27,0)</f>
        <v>47</v>
      </c>
      <c r="J27">
        <v>20000</v>
      </c>
      <c r="K27">
        <v>4</v>
      </c>
      <c r="L27">
        <v>30</v>
      </c>
      <c r="M27">
        <v>0.64</v>
      </c>
      <c r="N27" t="s">
        <v>390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v>1</v>
      </c>
    </row>
    <row r="28" spans="1:30" x14ac:dyDescent="0.35">
      <c r="A28" t="s">
        <v>396</v>
      </c>
      <c r="B28" s="47" t="s">
        <v>397</v>
      </c>
      <c r="C28" t="s">
        <v>394</v>
      </c>
      <c r="D28" t="s">
        <v>356</v>
      </c>
      <c r="E28" t="s">
        <v>137</v>
      </c>
      <c r="F28" s="52">
        <f>815*1.15</f>
        <v>937.24999999999989</v>
      </c>
      <c r="H28" s="1">
        <f>ROUND((WACC!$B$2*(1+WACC!$B$2)^$L28)/((1+WACC!$B$2)^$L28-1)*$F28,0)</f>
        <v>54</v>
      </c>
      <c r="J28" s="49">
        <v>26900</v>
      </c>
      <c r="K28" s="49">
        <v>4.0999999999999996</v>
      </c>
      <c r="L28">
        <v>25</v>
      </c>
      <c r="M28">
        <v>0.62</v>
      </c>
      <c r="N28" t="s">
        <v>399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0.61</v>
      </c>
      <c r="V28" t="s">
        <v>153</v>
      </c>
      <c r="W28" t="s">
        <v>153</v>
      </c>
      <c r="X28" t="s">
        <v>153</v>
      </c>
      <c r="Y28" t="s">
        <v>153</v>
      </c>
      <c r="Z28" t="s">
        <v>153</v>
      </c>
      <c r="AA28" t="s">
        <v>153</v>
      </c>
      <c r="AB28" t="s">
        <v>153</v>
      </c>
      <c r="AC28" t="s">
        <v>153</v>
      </c>
      <c r="AD28" t="s">
        <v>153</v>
      </c>
    </row>
    <row r="29" spans="1:30" x14ac:dyDescent="0.35">
      <c r="A29" t="s">
        <v>396</v>
      </c>
      <c r="B29" s="47" t="s">
        <v>398</v>
      </c>
      <c r="C29" t="s">
        <v>395</v>
      </c>
      <c r="D29" t="s">
        <v>356</v>
      </c>
      <c r="E29" t="s">
        <v>137</v>
      </c>
      <c r="F29" s="52">
        <f>F28*1.05</f>
        <v>984.11249999999995</v>
      </c>
      <c r="H29" s="1">
        <f>ROUND((WACC!$B$2*(1+WACC!$B$2)^$L29)/((1+WACC!$B$2)^$L29-1)*$F29,0)</f>
        <v>57</v>
      </c>
      <c r="J29" s="49">
        <f>J28*1.05</f>
        <v>28245</v>
      </c>
      <c r="K29" s="49">
        <v>4.0999999999999996</v>
      </c>
      <c r="L29">
        <v>25</v>
      </c>
      <c r="M29">
        <v>0.62</v>
      </c>
      <c r="N29" t="s">
        <v>399</v>
      </c>
      <c r="O29">
        <v>1</v>
      </c>
      <c r="P29">
        <v>0</v>
      </c>
      <c r="Q29">
        <v>0</v>
      </c>
      <c r="R29">
        <v>0</v>
      </c>
      <c r="S29">
        <v>1</v>
      </c>
      <c r="T29">
        <v>1</v>
      </c>
      <c r="U29">
        <v>0.61</v>
      </c>
      <c r="V29">
        <v>0.15</v>
      </c>
      <c r="W29">
        <v>1.2785714285714287</v>
      </c>
      <c r="X29">
        <v>0.63</v>
      </c>
      <c r="Y29">
        <v>0.7</v>
      </c>
      <c r="Z29">
        <v>0.90549999999999997</v>
      </c>
      <c r="AA29">
        <v>0.89500000000000002</v>
      </c>
      <c r="AB29">
        <v>1.7942622950819673</v>
      </c>
      <c r="AC29">
        <v>0.9366549999999999</v>
      </c>
      <c r="AD29">
        <v>1</v>
      </c>
    </row>
    <row r="30" spans="1:30" x14ac:dyDescent="0.35">
      <c r="A30" t="s">
        <v>404</v>
      </c>
      <c r="B30" s="31" t="s">
        <v>403</v>
      </c>
      <c r="C30" t="s">
        <v>402</v>
      </c>
      <c r="D30" t="s">
        <v>138</v>
      </c>
      <c r="E30" t="s">
        <v>138</v>
      </c>
      <c r="F30">
        <v>0</v>
      </c>
      <c r="G30" s="49">
        <v>3</v>
      </c>
      <c r="H30" s="1">
        <f>ROUND((WACC!$B$2*(1+WACC!$B$2)^$L30)/((1+WACC!$B$2)^$L30-1)*$F30,0)</f>
        <v>0</v>
      </c>
      <c r="I30" s="7">
        <f>ROUND((WACC!$B$2*(1+WACC!$B$2)^$L30)/((1+WACC!$B$2)^$L30-1)*$G30,2)</f>
        <v>0.12</v>
      </c>
      <c r="J30" s="52">
        <f>8.6*175/2.9</f>
        <v>518.9655172413793</v>
      </c>
      <c r="K30">
        <v>0</v>
      </c>
      <c r="L30">
        <v>50</v>
      </c>
      <c r="M30">
        <v>0.98</v>
      </c>
      <c r="N30">
        <v>2</v>
      </c>
      <c r="O30">
        <v>1</v>
      </c>
      <c r="P30">
        <v>0</v>
      </c>
      <c r="Q30">
        <v>1</v>
      </c>
      <c r="R30">
        <v>0</v>
      </c>
      <c r="S30">
        <v>0</v>
      </c>
      <c r="T30">
        <v>1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8" sqref="A18"/>
    </sheetView>
  </sheetViews>
  <sheetFormatPr baseColWidth="10" defaultRowHeight="14.5" x14ac:dyDescent="0.35"/>
  <cols>
    <col min="1" max="1" width="35" bestFit="1" customWidth="1"/>
    <col min="2" max="2" width="29.7265625" bestFit="1" customWidth="1"/>
    <col min="3" max="3" width="13.26953125" bestFit="1" customWidth="1"/>
    <col min="9" max="9" width="26.54296875" bestFit="1" customWidth="1"/>
    <col min="10" max="11" width="11.26953125" bestFit="1" customWidth="1"/>
  </cols>
  <sheetData>
    <row r="1" spans="1:30" s="15" customFormat="1" ht="72.5" x14ac:dyDescent="0.35">
      <c r="A1" s="15" t="s">
        <v>257</v>
      </c>
      <c r="B1" s="15" t="s">
        <v>258</v>
      </c>
      <c r="C1" s="15" t="s">
        <v>259</v>
      </c>
      <c r="D1" s="15" t="s">
        <v>281</v>
      </c>
      <c r="E1" s="15" t="s">
        <v>341</v>
      </c>
      <c r="F1" s="15" t="s">
        <v>260</v>
      </c>
      <c r="G1" s="15" t="s">
        <v>375</v>
      </c>
      <c r="H1" s="15" t="s">
        <v>272</v>
      </c>
      <c r="I1" s="15" t="s">
        <v>273</v>
      </c>
      <c r="J1" s="15" t="s">
        <v>374</v>
      </c>
      <c r="K1" s="15" t="s">
        <v>263</v>
      </c>
      <c r="L1" s="15" t="s">
        <v>264</v>
      </c>
      <c r="M1" s="15" t="s">
        <v>266</v>
      </c>
      <c r="N1" s="15" t="s">
        <v>265</v>
      </c>
      <c r="O1" s="15" t="s">
        <v>282</v>
      </c>
      <c r="P1" s="15" t="s">
        <v>267</v>
      </c>
      <c r="Q1" s="15" t="s">
        <v>284</v>
      </c>
      <c r="R1" s="15" t="s">
        <v>335</v>
      </c>
      <c r="S1" s="15" t="s">
        <v>336</v>
      </c>
      <c r="T1" s="15" t="s">
        <v>174</v>
      </c>
      <c r="U1" s="15" t="s">
        <v>176</v>
      </c>
      <c r="V1" s="15" t="s">
        <v>177</v>
      </c>
      <c r="W1" s="15" t="s">
        <v>178</v>
      </c>
      <c r="X1" s="15" t="s">
        <v>179</v>
      </c>
      <c r="Y1" s="15" t="s">
        <v>180</v>
      </c>
      <c r="Z1" s="15" t="s">
        <v>181</v>
      </c>
      <c r="AA1" s="15" t="s">
        <v>182</v>
      </c>
      <c r="AB1" s="15" t="s">
        <v>183</v>
      </c>
      <c r="AC1" s="15" t="s">
        <v>184</v>
      </c>
      <c r="AD1" s="15" t="s">
        <v>265</v>
      </c>
    </row>
    <row r="2" spans="1:30" s="15" customFormat="1" x14ac:dyDescent="0.35">
      <c r="F2" s="15" t="s">
        <v>274</v>
      </c>
      <c r="G2" s="15" t="s">
        <v>318</v>
      </c>
      <c r="H2" s="15" t="s">
        <v>274</v>
      </c>
      <c r="I2" s="15" t="s">
        <v>318</v>
      </c>
      <c r="J2" s="15" t="s">
        <v>276</v>
      </c>
      <c r="K2" s="15" t="s">
        <v>275</v>
      </c>
      <c r="L2" s="15" t="s">
        <v>319</v>
      </c>
      <c r="M2" s="35" t="s">
        <v>320</v>
      </c>
      <c r="O2" s="15" t="s">
        <v>321</v>
      </c>
      <c r="P2" s="15" t="s">
        <v>321</v>
      </c>
      <c r="Q2" s="15" t="s">
        <v>321</v>
      </c>
      <c r="R2" s="15" t="s">
        <v>321</v>
      </c>
      <c r="S2" s="15" t="s">
        <v>321</v>
      </c>
    </row>
    <row r="3" spans="1:30" x14ac:dyDescent="0.35">
      <c r="A3" t="s">
        <v>288</v>
      </c>
      <c r="B3" t="s">
        <v>289</v>
      </c>
      <c r="C3" t="s">
        <v>316</v>
      </c>
      <c r="D3" t="s">
        <v>58</v>
      </c>
      <c r="E3" t="s">
        <v>342</v>
      </c>
      <c r="F3" t="s">
        <v>290</v>
      </c>
      <c r="G3" t="s">
        <v>291</v>
      </c>
      <c r="H3" t="s">
        <v>293</v>
      </c>
      <c r="I3" t="s">
        <v>292</v>
      </c>
      <c r="J3" t="s">
        <v>294</v>
      </c>
      <c r="K3" t="s">
        <v>295</v>
      </c>
      <c r="L3" t="s">
        <v>64</v>
      </c>
      <c r="M3" t="s">
        <v>315</v>
      </c>
      <c r="N3" t="s">
        <v>242</v>
      </c>
      <c r="O3" t="s">
        <v>296</v>
      </c>
      <c r="P3" t="s">
        <v>297</v>
      </c>
      <c r="Q3" t="s">
        <v>302</v>
      </c>
      <c r="R3" t="s">
        <v>327</v>
      </c>
      <c r="S3" t="s">
        <v>337</v>
      </c>
      <c r="T3" t="s">
        <v>191</v>
      </c>
      <c r="U3" t="s">
        <v>193</v>
      </c>
      <c r="V3" t="s">
        <v>194</v>
      </c>
      <c r="W3" t="s">
        <v>195</v>
      </c>
      <c r="X3" t="s">
        <v>196</v>
      </c>
      <c r="Y3" t="s">
        <v>197</v>
      </c>
      <c r="Z3" t="s">
        <v>198</v>
      </c>
      <c r="AA3" t="s">
        <v>299</v>
      </c>
      <c r="AB3" t="s">
        <v>300</v>
      </c>
      <c r="AC3" t="s">
        <v>301</v>
      </c>
      <c r="AD3" t="s">
        <v>298</v>
      </c>
    </row>
    <row r="4" spans="1:30" x14ac:dyDescent="0.35">
      <c r="A4">
        <v>0</v>
      </c>
      <c r="B4" s="28" t="s">
        <v>268</v>
      </c>
      <c r="C4" t="s">
        <v>3</v>
      </c>
      <c r="D4" t="s">
        <v>133</v>
      </c>
      <c r="E4" t="s">
        <v>137</v>
      </c>
      <c r="F4" s="48">
        <f>(320+700)/2</f>
        <v>510</v>
      </c>
      <c r="H4" s="1">
        <f>ROUND((WACC!$B$2*(1+WACC!$B$2)^$L4)/((1+WACC!$B$2)^$L4-1)*$F4,0)</f>
        <v>22</v>
      </c>
      <c r="I4" t="s">
        <v>153</v>
      </c>
      <c r="J4" s="48">
        <f>(8100+9600)/2</f>
        <v>8850</v>
      </c>
      <c r="K4" s="24">
        <v>0</v>
      </c>
      <c r="L4">
        <v>40</v>
      </c>
      <c r="M4">
        <v>1</v>
      </c>
      <c r="N4" s="31">
        <v>1</v>
      </c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35">
      <c r="A5">
        <v>1</v>
      </c>
      <c r="B5" s="28" t="s">
        <v>269</v>
      </c>
      <c r="C5" t="s">
        <v>4</v>
      </c>
      <c r="D5" t="s">
        <v>283</v>
      </c>
      <c r="E5" t="s">
        <v>137</v>
      </c>
      <c r="F5" s="55">
        <f>3000/0.931*1.0173</f>
        <v>3278.0880773361978</v>
      </c>
      <c r="H5" s="1">
        <f>ROUND((WACC!$B$2*(1+WACC!$B$2)^$L5)/((1+WACC!$B$2)^$L5-1)*$F5,0)</f>
        <v>118</v>
      </c>
      <c r="I5" t="s">
        <v>153</v>
      </c>
      <c r="J5" s="55">
        <f>60000/0.931*1.0173</f>
        <v>65561.761546723952</v>
      </c>
      <c r="K5" s="57">
        <v>0</v>
      </c>
      <c r="L5">
        <v>60</v>
      </c>
      <c r="M5">
        <v>1</v>
      </c>
      <c r="N5" s="31"/>
      <c r="O5">
        <v>0</v>
      </c>
      <c r="P5">
        <v>1</v>
      </c>
      <c r="Q5">
        <v>0</v>
      </c>
      <c r="R5">
        <v>0</v>
      </c>
      <c r="S5">
        <f t="shared" ref="S5:S25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35">
      <c r="A6">
        <v>2</v>
      </c>
      <c r="B6" s="28" t="s">
        <v>270</v>
      </c>
      <c r="C6" t="s">
        <v>5</v>
      </c>
      <c r="D6" t="s">
        <v>367</v>
      </c>
      <c r="E6" t="s">
        <v>137</v>
      </c>
      <c r="F6" s="55">
        <f>980*1.0173</f>
        <v>996.95400000000006</v>
      </c>
      <c r="H6" s="1">
        <f>ROUND((WACC!$B$2*(1+WACC!$B$2)^$L6)/((1+WACC!$B$2)^$L6-1)*$F6,0)</f>
        <v>51</v>
      </c>
      <c r="I6" t="s">
        <v>153</v>
      </c>
      <c r="J6" s="55">
        <f>11592*1.0173</f>
        <v>11792.5416</v>
      </c>
      <c r="K6" s="57">
        <f>1.24*1.0173</f>
        <v>1.261452</v>
      </c>
      <c r="L6">
        <v>30</v>
      </c>
      <c r="M6">
        <v>1</v>
      </c>
      <c r="N6" s="31">
        <v>1</v>
      </c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35">
      <c r="A7">
        <v>3</v>
      </c>
      <c r="B7" s="28" t="s">
        <v>271</v>
      </c>
      <c r="C7" t="s">
        <v>6</v>
      </c>
      <c r="D7" t="s">
        <v>368</v>
      </c>
      <c r="E7" t="s">
        <v>137</v>
      </c>
      <c r="F7" s="48">
        <v>1680</v>
      </c>
      <c r="H7" s="1">
        <f>ROUND((WACC!$B$2*(1+WACC!$B$2)^$L7)/((1+WACC!$B$2)^$L7-1)*$F7,0)</f>
        <v>86</v>
      </c>
      <c r="I7" t="s">
        <v>153</v>
      </c>
      <c r="J7" s="48">
        <v>34000</v>
      </c>
      <c r="K7" s="54">
        <v>3.42</v>
      </c>
      <c r="L7">
        <v>30</v>
      </c>
      <c r="M7">
        <v>1</v>
      </c>
      <c r="N7" s="31">
        <v>1.3</v>
      </c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35">
      <c r="A8" t="str">
        <f>tech_full!B34</f>
        <v>Biomass &amp; Waste</v>
      </c>
      <c r="B8" s="28" t="s">
        <v>54</v>
      </c>
      <c r="C8" t="s">
        <v>114</v>
      </c>
      <c r="D8" t="s">
        <v>132</v>
      </c>
      <c r="E8" t="s">
        <v>137</v>
      </c>
      <c r="F8" s="55">
        <f>'Technologies (3)'!F8*1.0173</f>
        <v>3285.8790000000004</v>
      </c>
      <c r="H8" s="1">
        <f>ROUND((WACC!$B$2*(1+WACC!$B$2)^$L8)/((1+WACC!$B$2)^$L8-1)*$F8,0)</f>
        <v>189</v>
      </c>
      <c r="I8" t="s">
        <v>153</v>
      </c>
      <c r="J8" s="55">
        <f>'Technologies (3)'!J8*1.0173</f>
        <v>94324.056000000011</v>
      </c>
      <c r="K8" s="57">
        <f>'Technologies (3)'!K8*1.0173</f>
        <v>3.8657400000000002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35">
      <c r="A9" t="str">
        <f>tech_full!B35</f>
        <v>Biomass &amp; Waste - CoGen</v>
      </c>
      <c r="B9" s="28" t="s">
        <v>55</v>
      </c>
      <c r="C9" t="s">
        <v>115</v>
      </c>
      <c r="D9" t="s">
        <v>132</v>
      </c>
      <c r="E9" t="s">
        <v>137</v>
      </c>
      <c r="F9" s="55">
        <f>'Technologies (3)'!F9*1.0173</f>
        <v>3458.82</v>
      </c>
      <c r="H9" s="1">
        <f>ROUND((WACC!$B$2*(1+WACC!$B$2)^$L9)/((1+WACC!$B$2)^$L9-1)*$F9,0)</f>
        <v>199</v>
      </c>
      <c r="I9" t="s">
        <v>153</v>
      </c>
      <c r="J9" s="55">
        <f>'Technologies (3)'!J9*1.0173</f>
        <v>99288.48000000001</v>
      </c>
      <c r="K9" s="57">
        <f>'Technologies (3)'!K9*1.0173</f>
        <v>3.8657400000000002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35">
      <c r="B10" s="28" t="s">
        <v>350</v>
      </c>
      <c r="C10" t="s">
        <v>351</v>
      </c>
      <c r="D10" t="s">
        <v>132</v>
      </c>
      <c r="E10" t="s">
        <v>138</v>
      </c>
      <c r="F10" s="55">
        <f>'Technologies (3)'!F10*1.0173</f>
        <v>427.26600000000002</v>
      </c>
      <c r="H10" s="1">
        <f>ROUND((WACC!$B$2*(1+WACC!$B$2)^$L10)/((1+WACC!$B$2)^$L10-1)*$F10,0)</f>
        <v>25</v>
      </c>
      <c r="I10" t="s">
        <v>153</v>
      </c>
      <c r="J10" s="55">
        <f>'Technologies (3)'!J10*1.0173</f>
        <v>33876.090000000004</v>
      </c>
      <c r="K10" s="57">
        <f>'Technologies (3)'!K10*1.0173</f>
        <v>3.4588200000000002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35">
      <c r="A11" t="s">
        <v>407</v>
      </c>
      <c r="B11" s="31" t="s">
        <v>208</v>
      </c>
      <c r="C11" t="s">
        <v>116</v>
      </c>
      <c r="D11" t="s">
        <v>137</v>
      </c>
      <c r="E11" t="s">
        <v>138</v>
      </c>
      <c r="F11" s="55">
        <f>'Technologies (3)'!F11*1.0173</f>
        <v>773.14800000000002</v>
      </c>
      <c r="H11" s="1">
        <f>ROUND((WACC!$B$2*(1+WACC!$B$2)^$L11)/((1+WACC!$B$2)^$L11-1)*$F11,0)</f>
        <v>44</v>
      </c>
      <c r="I11" t="s">
        <v>153</v>
      </c>
      <c r="J11" s="55">
        <f>'Technologies (3)'!J11*1.0173</f>
        <v>2034.6000000000001</v>
      </c>
      <c r="K11" s="57">
        <f>'Technologies (3)'!K11*1.0173</f>
        <v>1.7192370000000001</v>
      </c>
      <c r="L11">
        <v>25</v>
      </c>
      <c r="M11">
        <v>3.9</v>
      </c>
      <c r="N11">
        <v>1</v>
      </c>
      <c r="O11">
        <v>1</v>
      </c>
      <c r="P11">
        <v>0</v>
      </c>
      <c r="Q11">
        <v>0</v>
      </c>
      <c r="R11">
        <v>0</v>
      </c>
      <c r="S11">
        <f t="shared" si="0"/>
        <v>1</v>
      </c>
      <c r="T11">
        <f>tech_full!E31</f>
        <v>1</v>
      </c>
      <c r="U11" t="str">
        <f>tech_full!F31</f>
        <v>na</v>
      </c>
      <c r="V11" t="str">
        <f>tech_full!G31</f>
        <v>na</v>
      </c>
      <c r="W11" t="str">
        <f>tech_full!H31</f>
        <v>na</v>
      </c>
      <c r="X11" t="str">
        <f>tech_full!I31</f>
        <v>na</v>
      </c>
      <c r="Y11" t="str">
        <f>tech_full!J31</f>
        <v>na</v>
      </c>
      <c r="Z11" t="str">
        <f>tech_full!K31</f>
        <v>na</v>
      </c>
      <c r="AA11" t="str">
        <f>tech_full!L31</f>
        <v>na</v>
      </c>
      <c r="AB11" t="str">
        <f>tech_full!M31</f>
        <v>na</v>
      </c>
      <c r="AC11" t="str">
        <f>tech_full!N31</f>
        <v>na</v>
      </c>
      <c r="AD11" s="7" t="s">
        <v>153</v>
      </c>
    </row>
    <row r="12" spans="1:30" x14ac:dyDescent="0.35">
      <c r="A12" t="s">
        <v>408</v>
      </c>
      <c r="B12" s="31" t="s">
        <v>209</v>
      </c>
      <c r="C12" t="s">
        <v>210</v>
      </c>
      <c r="D12" t="s">
        <v>137</v>
      </c>
      <c r="E12" t="s">
        <v>138</v>
      </c>
      <c r="F12" s="55">
        <f>'Technologies (3)'!F12*1.0173</f>
        <v>493.39050000000003</v>
      </c>
      <c r="H12" s="1">
        <f>ROUND((WACC!$B$2*(1+WACC!$B$2)^$L12)/((1+WACC!$B$2)^$L12-1)*$F12,0)</f>
        <v>28</v>
      </c>
      <c r="I12" t="s">
        <v>153</v>
      </c>
      <c r="J12" s="55">
        <f>'Technologies (3)'!J12*1.0173</f>
        <v>2034.6000000000001</v>
      </c>
      <c r="K12" s="57">
        <f>'Technologies (3)'!K12*1.0173</f>
        <v>1.3631819999999999</v>
      </c>
      <c r="L12">
        <v>25</v>
      </c>
      <c r="M12">
        <v>1.74</v>
      </c>
      <c r="N12">
        <v>1</v>
      </c>
      <c r="O12">
        <v>1</v>
      </c>
      <c r="P12">
        <v>0</v>
      </c>
      <c r="Q12">
        <v>0</v>
      </c>
      <c r="R12">
        <v>0</v>
      </c>
      <c r="S12">
        <f t="shared" si="0"/>
        <v>1</v>
      </c>
      <c r="T12">
        <f>tech_full!E32</f>
        <v>1</v>
      </c>
      <c r="U12" t="str">
        <f>tech_full!F32</f>
        <v>na</v>
      </c>
      <c r="V12" t="str">
        <f>tech_full!G32</f>
        <v>na</v>
      </c>
      <c r="W12" t="str">
        <f>tech_full!H32</f>
        <v>na</v>
      </c>
      <c r="X12" t="str">
        <f>tech_full!I32</f>
        <v>na</v>
      </c>
      <c r="Y12" t="str">
        <f>tech_full!J32</f>
        <v>na</v>
      </c>
      <c r="Z12" t="str">
        <f>tech_full!K32</f>
        <v>na</v>
      </c>
      <c r="AA12" t="str">
        <f>tech_full!L32</f>
        <v>na</v>
      </c>
      <c r="AB12" t="str">
        <f>tech_full!M32</f>
        <v>na</v>
      </c>
      <c r="AC12" t="str">
        <f>tech_full!N32</f>
        <v>na</v>
      </c>
      <c r="AD12" s="7" t="s">
        <v>153</v>
      </c>
    </row>
    <row r="13" spans="1:30" x14ac:dyDescent="0.35">
      <c r="A13" t="s">
        <v>409</v>
      </c>
      <c r="B13" s="31" t="s">
        <v>211</v>
      </c>
      <c r="C13" t="s">
        <v>212</v>
      </c>
      <c r="D13" t="s">
        <v>137</v>
      </c>
      <c r="E13" t="s">
        <v>138</v>
      </c>
      <c r="F13" s="55">
        <f>'Technologies (3)'!F13*1.0173</f>
        <v>61.038000000000004</v>
      </c>
      <c r="H13" s="1">
        <f>ROUND((WACC!$B$2*(1+WACC!$B$2)^$L13)/((1+WACC!$B$2)^$L13-1)*$F13,0)</f>
        <v>4</v>
      </c>
      <c r="I13" t="s">
        <v>153</v>
      </c>
      <c r="J13" s="55">
        <f>'Technologies (3)'!J13*1.0173</f>
        <v>986.78100000000006</v>
      </c>
      <c r="K13" s="57">
        <f>'Technologies (3)'!K13*1.0173</f>
        <v>1.0173000000000001</v>
      </c>
      <c r="L13">
        <v>20</v>
      </c>
      <c r="M13">
        <v>0.99</v>
      </c>
      <c r="N13">
        <v>1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tech_full!E33</f>
        <v>1</v>
      </c>
      <c r="U13" t="str">
        <f>tech_full!F33</f>
        <v>na</v>
      </c>
      <c r="V13" t="str">
        <f>tech_full!G33</f>
        <v>na</v>
      </c>
      <c r="W13" t="str">
        <f>tech_full!H33</f>
        <v>na</v>
      </c>
      <c r="X13" t="str">
        <f>tech_full!I33</f>
        <v>na</v>
      </c>
      <c r="Y13" t="str">
        <f>tech_full!J33</f>
        <v>na</v>
      </c>
      <c r="Z13" t="str">
        <f>tech_full!K33</f>
        <v>na</v>
      </c>
      <c r="AA13" t="str">
        <f>tech_full!L33</f>
        <v>na</v>
      </c>
      <c r="AB13" t="str">
        <f>tech_full!M33</f>
        <v>na</v>
      </c>
      <c r="AC13" t="str">
        <f>tech_full!N33</f>
        <v>na</v>
      </c>
      <c r="AD13" t="str">
        <f>tech_full!O33</f>
        <v>na</v>
      </c>
    </row>
    <row r="14" spans="1:30" x14ac:dyDescent="0.35">
      <c r="B14" s="30" t="s">
        <v>277</v>
      </c>
      <c r="C14" t="s">
        <v>117</v>
      </c>
      <c r="D14" t="s">
        <v>137</v>
      </c>
      <c r="E14" t="s">
        <v>137</v>
      </c>
      <c r="F14" s="55">
        <f>'Technologies (3)'!F14*1.0173</f>
        <v>223.80600000000001</v>
      </c>
      <c r="G14" s="55">
        <f>'Technologies (3)'!G14*1.0173</f>
        <v>95.626200000000011</v>
      </c>
      <c r="H14" s="56">
        <f>ROUND((WACC!$B$2*(1+WACC!$B$2)^$L14)/((1+WACC!$B$2)^$L14-1)*$F14,0)</f>
        <v>11</v>
      </c>
      <c r="I14" s="7">
        <f>ROUND((WACC!$B$2*(1+WACC!$B$2)^$L14)/((1+WACC!$B$2)^$L14-1)*$G14,2)</f>
        <v>4.88</v>
      </c>
      <c r="J14" s="55">
        <f>'Technologies (3)'!J14*1.0173</f>
        <v>549.3420000000001</v>
      </c>
      <c r="K14" s="57">
        <f>'Technologies (3)'!K14*1.0173</f>
        <v>1.7294100000000001</v>
      </c>
      <c r="L14" s="1">
        <v>30</v>
      </c>
      <c r="M14" s="7">
        <f>SQRT(0.92)</f>
        <v>0.95916630466254393</v>
      </c>
      <c r="N14">
        <v>2</v>
      </c>
      <c r="O14">
        <v>0</v>
      </c>
      <c r="P14" s="1">
        <v>0</v>
      </c>
      <c r="Q14">
        <v>1</v>
      </c>
      <c r="R14">
        <v>0</v>
      </c>
      <c r="S14">
        <f t="shared" si="0"/>
        <v>0</v>
      </c>
      <c r="T14" s="1"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s="7" t="s">
        <v>153</v>
      </c>
    </row>
    <row r="15" spans="1:30" x14ac:dyDescent="0.35">
      <c r="A15" t="str">
        <f>tech_full!B31</f>
        <v>Hydro - Run-of-River</v>
      </c>
      <c r="B15" s="30" t="s">
        <v>312</v>
      </c>
      <c r="C15" t="s">
        <v>303</v>
      </c>
      <c r="D15" t="s">
        <v>137</v>
      </c>
      <c r="E15" t="s">
        <v>137</v>
      </c>
      <c r="F15" s="55">
        <f>'Technologies (3)'!F15*1.0173</f>
        <v>2441.5200000000004</v>
      </c>
      <c r="G15" s="55">
        <f>'Technologies (3)'!G15*1.0173</f>
        <v>6.6124500000000008</v>
      </c>
      <c r="H15" s="56">
        <f>ROUND((WACC!$B$2*(1+WACC!$B$2)^$L15)/((1+WACC!$B$2)^$L15-1)*$F15,0)</f>
        <v>88</v>
      </c>
      <c r="I15" s="7">
        <f>ROUND((WACC!$B$2*(1+WACC!$B$2)^$L15)/((1+WACC!$B$2)^$L15-1)*$G15,2)</f>
        <v>0.24</v>
      </c>
      <c r="J15" s="55">
        <f>22000*1.0173</f>
        <v>22380.600000000002</v>
      </c>
      <c r="K15" s="57">
        <f>3*1.0173</f>
        <v>3.0519000000000003</v>
      </c>
      <c r="L15">
        <v>60</v>
      </c>
      <c r="M15">
        <v>0.9</v>
      </c>
      <c r="N15">
        <v>22</v>
      </c>
      <c r="O15">
        <v>0</v>
      </c>
      <c r="P15">
        <v>0</v>
      </c>
      <c r="Q15">
        <v>1</v>
      </c>
      <c r="R15">
        <v>0</v>
      </c>
      <c r="S15">
        <f t="shared" si="0"/>
        <v>0</v>
      </c>
      <c r="T15">
        <f>tech_full!E31</f>
        <v>1</v>
      </c>
      <c r="U15" t="str">
        <f>tech_full!F31</f>
        <v>na</v>
      </c>
      <c r="V15" t="str">
        <f>tech_full!G31</f>
        <v>na</v>
      </c>
      <c r="W15" t="str">
        <f>tech_full!H31</f>
        <v>na</v>
      </c>
      <c r="X15" t="str">
        <f>tech_full!I31</f>
        <v>na</v>
      </c>
      <c r="Y15" t="str">
        <f>tech_full!J31</f>
        <v>na</v>
      </c>
      <c r="Z15" t="str">
        <f>tech_full!K31</f>
        <v>na</v>
      </c>
      <c r="AA15" t="str">
        <f>tech_full!L31</f>
        <v>na</v>
      </c>
      <c r="AB15" t="str">
        <f>tech_full!M31</f>
        <v>na</v>
      </c>
      <c r="AC15" t="str">
        <f>tech_full!N31</f>
        <v>na</v>
      </c>
      <c r="AD15" t="str">
        <f>tech_full!O31</f>
        <v>na</v>
      </c>
    </row>
    <row r="16" spans="1:30" x14ac:dyDescent="0.35">
      <c r="A16" t="str">
        <f>tech_full!B32</f>
        <v>Hydro - Reservoir</v>
      </c>
      <c r="B16" s="30" t="s">
        <v>313</v>
      </c>
      <c r="C16" t="s">
        <v>304</v>
      </c>
      <c r="D16" t="s">
        <v>137</v>
      </c>
      <c r="E16" t="s">
        <v>137</v>
      </c>
      <c r="F16" s="55">
        <f>'Technologies (3)'!F16*1.0173</f>
        <v>2441.5200000000004</v>
      </c>
      <c r="G16" s="55">
        <f>'Technologies (3)'!G16*1.0173</f>
        <v>6.6124500000000008</v>
      </c>
      <c r="H16" s="56">
        <f>ROUND((WACC!$B$2*(1+WACC!$B$2)^$L16)/((1+WACC!$B$2)^$L16-1)*$F16,0)</f>
        <v>88</v>
      </c>
      <c r="I16" s="7">
        <f>ROUND((WACC!$B$2*(1+WACC!$B$2)^$L16)/((1+WACC!$B$2)^$L16-1)*$G16,2)</f>
        <v>0.24</v>
      </c>
      <c r="J16" s="55">
        <f t="shared" ref="J16:J20" si="1">22000*1.0173</f>
        <v>22380.600000000002</v>
      </c>
      <c r="K16" s="57">
        <f t="shared" ref="K16:K20" si="2">3*1.0173</f>
        <v>3.0519000000000003</v>
      </c>
      <c r="L16">
        <v>60</v>
      </c>
      <c r="M16">
        <v>0.9</v>
      </c>
      <c r="N16">
        <v>22</v>
      </c>
      <c r="O16">
        <v>0</v>
      </c>
      <c r="P16">
        <v>0</v>
      </c>
      <c r="Q16">
        <v>1</v>
      </c>
      <c r="R16">
        <v>0</v>
      </c>
      <c r="S16">
        <f t="shared" si="0"/>
        <v>0</v>
      </c>
      <c r="T16">
        <f>tech_full!E32</f>
        <v>1</v>
      </c>
      <c r="U16" t="str">
        <f>tech_full!F32</f>
        <v>na</v>
      </c>
      <c r="V16" t="str">
        <f>tech_full!G32</f>
        <v>na</v>
      </c>
      <c r="W16" t="str">
        <f>tech_full!H32</f>
        <v>na</v>
      </c>
      <c r="X16" t="str">
        <f>tech_full!I32</f>
        <v>na</v>
      </c>
      <c r="Y16" t="str">
        <f>tech_full!J32</f>
        <v>na</v>
      </c>
      <c r="Z16" t="str">
        <f>tech_full!K32</f>
        <v>na</v>
      </c>
      <c r="AA16" t="str">
        <f>tech_full!L32</f>
        <v>na</v>
      </c>
      <c r="AB16" t="str">
        <f>tech_full!M32</f>
        <v>na</v>
      </c>
      <c r="AC16" t="str">
        <f>tech_full!N32</f>
        <v>na</v>
      </c>
      <c r="AD16" t="str">
        <f>tech_full!O32</f>
        <v>na</v>
      </c>
    </row>
    <row r="17" spans="1:30" x14ac:dyDescent="0.35">
      <c r="A17" t="str">
        <f>tech_full!B33</f>
        <v>Hydro - Pumped Storage</v>
      </c>
      <c r="B17" s="30" t="s">
        <v>314</v>
      </c>
      <c r="C17" t="s">
        <v>305</v>
      </c>
      <c r="D17" t="s">
        <v>137</v>
      </c>
      <c r="E17" t="s">
        <v>137</v>
      </c>
      <c r="F17" s="55">
        <f>'Technologies (3)'!F17*1.0173</f>
        <v>2441.5200000000004</v>
      </c>
      <c r="G17" s="55">
        <f>'Technologies (3)'!G17*1.0173</f>
        <v>6.6124500000000008</v>
      </c>
      <c r="H17" s="56">
        <f>ROUND((WACC!$B$2*(1+WACC!$B$2)^$L17)/((1+WACC!$B$2)^$L17-1)*$F17,0)</f>
        <v>88</v>
      </c>
      <c r="I17" s="7">
        <f>ROUND((WACC!$B$2*(1+WACC!$B$2)^$L17)/((1+WACC!$B$2)^$L17-1)*$G17,2)</f>
        <v>0.24</v>
      </c>
      <c r="J17" s="55">
        <f t="shared" si="1"/>
        <v>22380.600000000002</v>
      </c>
      <c r="K17" s="57">
        <f t="shared" si="2"/>
        <v>3.0519000000000003</v>
      </c>
      <c r="L17">
        <v>60</v>
      </c>
      <c r="M17">
        <v>0.9</v>
      </c>
      <c r="N17">
        <v>22</v>
      </c>
      <c r="O17">
        <v>0</v>
      </c>
      <c r="P17">
        <v>0</v>
      </c>
      <c r="Q17">
        <v>1</v>
      </c>
      <c r="R17">
        <v>0</v>
      </c>
      <c r="S17">
        <f t="shared" si="0"/>
        <v>0</v>
      </c>
      <c r="T17">
        <f>tech_full!E33</f>
        <v>1</v>
      </c>
      <c r="U17" t="str">
        <f>tech_full!F33</f>
        <v>na</v>
      </c>
      <c r="V17" t="str">
        <f>tech_full!G33</f>
        <v>na</v>
      </c>
      <c r="W17" t="str">
        <f>tech_full!H33</f>
        <v>na</v>
      </c>
      <c r="X17" t="str">
        <f>tech_full!I33</f>
        <v>na</v>
      </c>
      <c r="Y17" t="str">
        <f>tech_full!J33</f>
        <v>na</v>
      </c>
      <c r="Z17" t="str">
        <f>tech_full!K33</f>
        <v>na</v>
      </c>
      <c r="AA17" t="str">
        <f>tech_full!L33</f>
        <v>na</v>
      </c>
      <c r="AB17" t="str">
        <f>tech_full!M33</f>
        <v>na</v>
      </c>
      <c r="AC17" t="str">
        <f>tech_full!N33</f>
        <v>na</v>
      </c>
      <c r="AD17" t="str">
        <f>tech_full!O33</f>
        <v>na</v>
      </c>
    </row>
    <row r="18" spans="1:30" x14ac:dyDescent="0.35">
      <c r="B18" s="30" t="s">
        <v>309</v>
      </c>
      <c r="C18" t="s">
        <v>306</v>
      </c>
      <c r="D18" t="s">
        <v>137</v>
      </c>
      <c r="E18" t="s">
        <v>137</v>
      </c>
      <c r="F18" s="55">
        <f>'Technologies (3)'!F18*1.0173</f>
        <v>3051.9</v>
      </c>
      <c r="G18" s="55">
        <f>'Technologies (3)'!G18*1.0173</f>
        <v>6.6124500000000008</v>
      </c>
      <c r="H18" s="56">
        <f>ROUND((WACC!$B$2*(1+WACC!$B$2)^$L18)/((1+WACC!$B$2)^$L18-1)*$F18,0)</f>
        <v>110</v>
      </c>
      <c r="I18" s="7">
        <f>ROUND((WACC!$B$2*(1+WACC!$B$2)^$L18)/((1+WACC!$B$2)^$L18-1)*$G18,2)</f>
        <v>0.24</v>
      </c>
      <c r="J18" s="55">
        <f t="shared" si="1"/>
        <v>22380.600000000002</v>
      </c>
      <c r="K18" s="57">
        <f t="shared" si="2"/>
        <v>3.0519000000000003</v>
      </c>
      <c r="L18">
        <v>60</v>
      </c>
      <c r="M18">
        <v>0.9</v>
      </c>
      <c r="N18">
        <v>22</v>
      </c>
      <c r="O18">
        <v>0</v>
      </c>
      <c r="P18">
        <v>0</v>
      </c>
      <c r="Q18">
        <v>1</v>
      </c>
      <c r="R18">
        <v>0</v>
      </c>
      <c r="S18">
        <f t="shared" si="0"/>
        <v>0</v>
      </c>
      <c r="T18"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s="7" t="s">
        <v>153</v>
      </c>
    </row>
    <row r="19" spans="1:30" x14ac:dyDescent="0.35">
      <c r="B19" s="30" t="s">
        <v>310</v>
      </c>
      <c r="C19" t="s">
        <v>307</v>
      </c>
      <c r="D19" t="s">
        <v>137</v>
      </c>
      <c r="E19" t="s">
        <v>137</v>
      </c>
      <c r="F19" s="55">
        <f>'Technologies (3)'!F19*1.0173</f>
        <v>3051.9</v>
      </c>
      <c r="G19" s="55">
        <f>'Technologies (3)'!G19*1.0173</f>
        <v>6.6124500000000008</v>
      </c>
      <c r="H19" s="56">
        <f>ROUND((WACC!$B$2*(1+WACC!$B$2)^$L19)/((1+WACC!$B$2)^$L19-1)*$F19,0)</f>
        <v>110</v>
      </c>
      <c r="I19" s="7">
        <f>ROUND((WACC!$B$2*(1+WACC!$B$2)^$L19)/((1+WACC!$B$2)^$L19-1)*$G19,2)</f>
        <v>0.24</v>
      </c>
      <c r="J19" s="55">
        <f t="shared" si="1"/>
        <v>22380.600000000002</v>
      </c>
      <c r="K19" s="57">
        <f t="shared" si="2"/>
        <v>3.0519000000000003</v>
      </c>
      <c r="L19">
        <v>60</v>
      </c>
      <c r="M19">
        <v>0.9</v>
      </c>
      <c r="N19">
        <v>22</v>
      </c>
      <c r="O19">
        <v>0</v>
      </c>
      <c r="P19">
        <v>0</v>
      </c>
      <c r="Q19">
        <v>1</v>
      </c>
      <c r="R19">
        <v>0</v>
      </c>
      <c r="S19">
        <f t="shared" si="0"/>
        <v>0</v>
      </c>
      <c r="T19">
        <v>1</v>
      </c>
      <c r="U19" s="7" t="s">
        <v>153</v>
      </c>
      <c r="V19" s="7" t="s">
        <v>153</v>
      </c>
      <c r="W19" s="7" t="s">
        <v>153</v>
      </c>
      <c r="X19" s="7" t="s">
        <v>153</v>
      </c>
      <c r="Y19" s="7" t="s">
        <v>153</v>
      </c>
      <c r="Z19" s="7" t="s">
        <v>153</v>
      </c>
      <c r="AA19" s="7" t="s">
        <v>153</v>
      </c>
      <c r="AB19" s="7" t="s">
        <v>153</v>
      </c>
      <c r="AC19" s="7" t="s">
        <v>153</v>
      </c>
      <c r="AD19" s="7" t="s">
        <v>153</v>
      </c>
    </row>
    <row r="20" spans="1:30" x14ac:dyDescent="0.35">
      <c r="B20" s="30" t="s">
        <v>311</v>
      </c>
      <c r="C20" t="s">
        <v>308</v>
      </c>
      <c r="D20" t="s">
        <v>137</v>
      </c>
      <c r="E20" t="s">
        <v>137</v>
      </c>
      <c r="F20" s="55">
        <f>'Technologies (3)'!F20*1.0173</f>
        <v>3051.9</v>
      </c>
      <c r="G20" s="55">
        <f>'Technologies (3)'!G20*1.0173</f>
        <v>6.6124500000000008</v>
      </c>
      <c r="H20" s="56">
        <f>ROUND((WACC!$B$2*(1+WACC!$B$2)^$L20)/((1+WACC!$B$2)^$L20-1)*$F20,0)</f>
        <v>110</v>
      </c>
      <c r="I20" s="7">
        <f>ROUND((WACC!$B$2*(1+WACC!$B$2)^$L20)/((1+WACC!$B$2)^$L20-1)*$G20,2)</f>
        <v>0.24</v>
      </c>
      <c r="J20" s="55">
        <f t="shared" si="1"/>
        <v>22380.600000000002</v>
      </c>
      <c r="K20" s="57">
        <f t="shared" si="2"/>
        <v>3.0519000000000003</v>
      </c>
      <c r="L20">
        <v>60</v>
      </c>
      <c r="M20">
        <v>0.9</v>
      </c>
      <c r="N20">
        <v>22</v>
      </c>
      <c r="O20">
        <v>0</v>
      </c>
      <c r="P20">
        <v>0</v>
      </c>
      <c r="Q20">
        <v>1</v>
      </c>
      <c r="R20">
        <v>0</v>
      </c>
      <c r="S20">
        <f t="shared" si="0"/>
        <v>0</v>
      </c>
      <c r="T20"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s="7" t="s">
        <v>153</v>
      </c>
    </row>
    <row r="21" spans="1:30" x14ac:dyDescent="0.35">
      <c r="B21" s="37" t="s">
        <v>326</v>
      </c>
      <c r="C21" t="s">
        <v>327</v>
      </c>
      <c r="D21" t="s">
        <v>137</v>
      </c>
      <c r="E21" t="s">
        <v>137</v>
      </c>
      <c r="F21" s="55">
        <f>'Technologies (3)'!F22*1.0173</f>
        <v>514.75380000000007</v>
      </c>
      <c r="G21" s="56"/>
      <c r="H21" s="56">
        <f>ROUND((WACC!$B$2*(1+WACC!$B$2)^$L21)/((1+WACC!$B$2)^$L21-1)*$F21,0)</f>
        <v>22</v>
      </c>
      <c r="I21" s="1" t="s">
        <v>153</v>
      </c>
      <c r="J21" s="55">
        <f>'Technologies (3)'!J22*1.0173</f>
        <v>9.1557000000000013</v>
      </c>
      <c r="K21" s="57">
        <f>'Technologies (3)'!K22*1.0173</f>
        <v>0</v>
      </c>
      <c r="L21" s="1">
        <v>40</v>
      </c>
      <c r="M21" s="1">
        <v>1</v>
      </c>
      <c r="N21" t="s">
        <v>334</v>
      </c>
      <c r="O21" s="1">
        <v>0</v>
      </c>
      <c r="P21" s="1">
        <v>0</v>
      </c>
      <c r="Q21" s="1">
        <v>0</v>
      </c>
      <c r="R21">
        <v>1</v>
      </c>
      <c r="S21">
        <f t="shared" si="0"/>
        <v>0</v>
      </c>
      <c r="T21" s="1">
        <v>0</v>
      </c>
      <c r="U21" s="7" t="s">
        <v>153</v>
      </c>
      <c r="V21" s="7" t="s">
        <v>153</v>
      </c>
      <c r="W21" s="7" t="s">
        <v>153</v>
      </c>
      <c r="X21" s="7" t="s">
        <v>153</v>
      </c>
      <c r="Y21" s="7" t="s">
        <v>153</v>
      </c>
      <c r="Z21" s="7" t="s">
        <v>153</v>
      </c>
      <c r="AA21" s="7" t="s">
        <v>153</v>
      </c>
      <c r="AB21" s="7" t="s">
        <v>153</v>
      </c>
      <c r="AC21" s="7" t="s">
        <v>153</v>
      </c>
      <c r="AD21" s="7" t="s">
        <v>153</v>
      </c>
    </row>
    <row r="22" spans="1:30" x14ac:dyDescent="0.35">
      <c r="A22" t="s">
        <v>384</v>
      </c>
      <c r="B22" s="47" t="s">
        <v>410</v>
      </c>
      <c r="C22" t="s">
        <v>411</v>
      </c>
      <c r="D22" t="s">
        <v>137</v>
      </c>
      <c r="E22" t="s">
        <v>413</v>
      </c>
      <c r="F22" s="48">
        <v>1342</v>
      </c>
      <c r="H22" s="1">
        <f>ROUND((WACC!$B$2*(1+WACC!$B$2)^$L22)/((1+WACC!$B$2)^$L22-1)*$F22,0)</f>
        <v>90</v>
      </c>
      <c r="J22" s="53">
        <f>F22*0.12*1000</f>
        <v>161040</v>
      </c>
      <c r="K22" s="23">
        <v>0</v>
      </c>
      <c r="L22">
        <v>20</v>
      </c>
      <c r="M22">
        <v>0.82</v>
      </c>
      <c r="N22">
        <v>18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v>1</v>
      </c>
    </row>
    <row r="23" spans="1:30" x14ac:dyDescent="0.35">
      <c r="A23" t="s">
        <v>385</v>
      </c>
      <c r="B23" s="47" t="s">
        <v>380</v>
      </c>
      <c r="C23" t="s">
        <v>371</v>
      </c>
      <c r="D23" t="s">
        <v>137</v>
      </c>
      <c r="E23" t="s">
        <v>413</v>
      </c>
      <c r="F23" s="48">
        <v>300</v>
      </c>
      <c r="H23" s="1">
        <f>ROUND((WACC!$B$2*(1+WACC!$B$2)^$L23)/((1+WACC!$B$2)^$L23-1)*$F23,0)</f>
        <v>15</v>
      </c>
      <c r="J23" s="53">
        <f>F23*0.02*1000</f>
        <v>6000</v>
      </c>
      <c r="K23" s="23">
        <v>0</v>
      </c>
      <c r="L23">
        <v>32</v>
      </c>
      <c r="M23">
        <v>0.71499999999999997</v>
      </c>
      <c r="N23">
        <v>18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v>1</v>
      </c>
    </row>
    <row r="24" spans="1:30" x14ac:dyDescent="0.35">
      <c r="A24" t="s">
        <v>386</v>
      </c>
      <c r="B24" s="47" t="s">
        <v>414</v>
      </c>
      <c r="C24" t="s">
        <v>415</v>
      </c>
      <c r="D24" t="s">
        <v>413</v>
      </c>
      <c r="E24" t="s">
        <v>413</v>
      </c>
      <c r="F24" s="55">
        <f>'Technologies (3)'!F25*1.0173</f>
        <v>50.356350000000006</v>
      </c>
      <c r="G24" s="57">
        <f xml:space="preserve"> 1.5*1.0173</f>
        <v>1.5259500000000001</v>
      </c>
      <c r="H24" s="8">
        <f>ROUND((WACC!$B$2*(1+WACC!$B$2)^$L24)/((1+WACC!$B$2)^$L24-1)*$F24,2)</f>
        <v>1.59</v>
      </c>
      <c r="I24" s="58">
        <f>ROUND((WACC!$B$2*(1+WACC!$B$2)^$L24)/((1+WACC!$B$2)^$L24-1)*$G24,2)</f>
        <v>0.05</v>
      </c>
      <c r="J24" s="55">
        <f>'Technologies (3)'!J25*1.0173</f>
        <v>3.0519000000000004E-5</v>
      </c>
      <c r="K24" s="55">
        <f>'Technologies (3)'!K25*1.0173</f>
        <v>1.5259500000000002E-5</v>
      </c>
      <c r="L24">
        <v>100</v>
      </c>
      <c r="M24">
        <v>0.99</v>
      </c>
      <c r="N24">
        <v>2</v>
      </c>
      <c r="O24">
        <v>0</v>
      </c>
      <c r="P24">
        <v>0</v>
      </c>
      <c r="Q24">
        <v>1</v>
      </c>
      <c r="R24">
        <v>0</v>
      </c>
      <c r="S24">
        <f t="shared" si="0"/>
        <v>0</v>
      </c>
      <c r="T24">
        <v>1</v>
      </c>
    </row>
    <row r="25" spans="1:30" x14ac:dyDescent="0.35">
      <c r="A25" t="s">
        <v>416</v>
      </c>
      <c r="B25" s="47" t="s">
        <v>369</v>
      </c>
      <c r="C25" t="s">
        <v>417</v>
      </c>
      <c r="D25" t="s">
        <v>413</v>
      </c>
      <c r="E25" t="s">
        <v>137</v>
      </c>
      <c r="F25" s="55">
        <f>'Technologies (3)'!F26*1.0173</f>
        <v>966.43500000000006</v>
      </c>
      <c r="H25" s="1">
        <f>ROUND((WACC!$B$2*(1+WACC!$B$2)^$L25)/((1+WACC!$B$2)^$L25-1)*$F25,0)</f>
        <v>113</v>
      </c>
      <c r="J25" s="55">
        <f>'Technologies (3)'!J26*1.0173</f>
        <v>48321.750000000007</v>
      </c>
      <c r="K25" s="55">
        <f>'Technologies (3)'!K26*1.0173</f>
        <v>0</v>
      </c>
      <c r="L25">
        <v>10</v>
      </c>
      <c r="M25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v>1</v>
      </c>
    </row>
    <row r="26" spans="1:30" x14ac:dyDescent="0.35">
      <c r="A26" t="s">
        <v>418</v>
      </c>
      <c r="B26" s="47" t="s">
        <v>419</v>
      </c>
      <c r="C26" t="s">
        <v>420</v>
      </c>
      <c r="D26" t="s">
        <v>413</v>
      </c>
      <c r="E26" t="s">
        <v>137</v>
      </c>
      <c r="F26" s="55">
        <f>'Technologies (3)'!F28*1.0173</f>
        <v>953.46442500000001</v>
      </c>
      <c r="H26" s="1">
        <f>ROUND((WACC!$B$2*(1+WACC!$B$2)^$L26)/((1+WACC!$B$2)^$L26-1)*$F26,0)</f>
        <v>55</v>
      </c>
      <c r="J26" s="55">
        <f>'Technologies (3)'!J28*1.0173</f>
        <v>27365.370000000003</v>
      </c>
      <c r="K26" s="55">
        <f>'Technologies (3)'!K28*1.0173</f>
        <v>4.1709300000000002</v>
      </c>
      <c r="L26">
        <v>25</v>
      </c>
      <c r="M26">
        <v>0.62</v>
      </c>
      <c r="N26" t="s">
        <v>399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0.61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</row>
    <row r="27" spans="1:30" x14ac:dyDescent="0.35">
      <c r="A27" t="s">
        <v>418</v>
      </c>
      <c r="B27" s="47" t="s">
        <v>421</v>
      </c>
      <c r="C27" t="s">
        <v>422</v>
      </c>
      <c r="D27" t="s">
        <v>413</v>
      </c>
      <c r="E27" t="s">
        <v>137</v>
      </c>
      <c r="F27" s="55">
        <f>'Technologies (3)'!F29*1.0173</f>
        <v>1001.13764625</v>
      </c>
      <c r="H27" s="1">
        <f>ROUND((WACC!$B$2*(1+WACC!$B$2)^$L27)/((1+WACC!$B$2)^$L27-1)*$F27,0)</f>
        <v>57</v>
      </c>
      <c r="J27" s="55">
        <f>'Technologies (3)'!J29*1.0173</f>
        <v>28733.638500000001</v>
      </c>
      <c r="K27" s="55">
        <f>'Technologies (3)'!K29*1.0173</f>
        <v>4.1709300000000002</v>
      </c>
      <c r="L27">
        <v>25</v>
      </c>
      <c r="M27">
        <v>0.62</v>
      </c>
      <c r="N27" t="s">
        <v>399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0.61</v>
      </c>
      <c r="V27">
        <v>0.15</v>
      </c>
      <c r="W27">
        <v>1.2785714285714287</v>
      </c>
      <c r="X27">
        <v>0.63</v>
      </c>
      <c r="Y27">
        <v>0.7</v>
      </c>
      <c r="Z27">
        <v>0.90549999999999997</v>
      </c>
      <c r="AA27">
        <v>0.89500000000000002</v>
      </c>
      <c r="AB27">
        <v>1.7942622950819673</v>
      </c>
      <c r="AC27">
        <v>0.9366549999999999</v>
      </c>
      <c r="AD27">
        <v>1</v>
      </c>
    </row>
    <row r="28" spans="1:30" x14ac:dyDescent="0.35">
      <c r="A28" t="s">
        <v>404</v>
      </c>
      <c r="B28" s="31" t="s">
        <v>403</v>
      </c>
      <c r="C28" t="s">
        <v>402</v>
      </c>
      <c r="D28" t="s">
        <v>138</v>
      </c>
      <c r="E28" t="s">
        <v>138</v>
      </c>
      <c r="F28">
        <f>'Technologies (3)'!F30*1.0173</f>
        <v>0</v>
      </c>
      <c r="G28" s="57">
        <f>3*1.0173</f>
        <v>3.0519000000000003</v>
      </c>
      <c r="H28" s="1">
        <f>ROUND((WACC!$B$2*(1+WACC!$B$2)^$L28)/((1+WACC!$B$2)^$L28-1)*$F28,0)</f>
        <v>0</v>
      </c>
      <c r="I28" s="58">
        <f>ROUND((WACC!$B$2*(1+WACC!$B$2)^$L28)/((1+WACC!$B$2)^$L28-1)*$G28,2)</f>
        <v>0.12</v>
      </c>
      <c r="J28" s="55">
        <f>'Technologies (3)'!J30*1.0173</f>
        <v>527.94362068965518</v>
      </c>
      <c r="K28" s="55">
        <f>'Technologies (3)'!K30*1.0173</f>
        <v>0</v>
      </c>
      <c r="L28">
        <v>50</v>
      </c>
      <c r="M28">
        <v>0.98</v>
      </c>
      <c r="N28">
        <v>2</v>
      </c>
      <c r="O28">
        <v>1</v>
      </c>
      <c r="P28">
        <v>0</v>
      </c>
      <c r="Q28">
        <v>1</v>
      </c>
      <c r="R28">
        <v>0</v>
      </c>
      <c r="S28">
        <v>0</v>
      </c>
      <c r="T28">
        <v>1</v>
      </c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4A-B732-4781-969B-D949701AC8DD}">
  <dimension ref="A1:AD57"/>
  <sheetViews>
    <sheetView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T39" sqref="T39"/>
    </sheetView>
  </sheetViews>
  <sheetFormatPr baseColWidth="10" defaultRowHeight="14.5" x14ac:dyDescent="0.35"/>
  <cols>
    <col min="1" max="1" width="35" bestFit="1" customWidth="1"/>
    <col min="2" max="2" width="29.7265625" bestFit="1" customWidth="1"/>
    <col min="3" max="3" width="13.26953125" bestFit="1" customWidth="1"/>
  </cols>
  <sheetData>
    <row r="1" spans="1:30" s="15" customFormat="1" ht="72.5" x14ac:dyDescent="0.35">
      <c r="A1" s="15" t="s">
        <v>257</v>
      </c>
      <c r="B1" s="15" t="s">
        <v>258</v>
      </c>
      <c r="C1" s="15" t="s">
        <v>259</v>
      </c>
      <c r="D1" s="15" t="s">
        <v>281</v>
      </c>
      <c r="E1" s="15" t="s">
        <v>341</v>
      </c>
      <c r="F1" s="15" t="s">
        <v>260</v>
      </c>
      <c r="G1" s="15" t="s">
        <v>261</v>
      </c>
      <c r="H1" s="15" t="s">
        <v>272</v>
      </c>
      <c r="I1" s="15" t="s">
        <v>273</v>
      </c>
      <c r="J1" s="15" t="s">
        <v>262</v>
      </c>
      <c r="K1" s="15" t="s">
        <v>263</v>
      </c>
      <c r="L1" s="15" t="s">
        <v>264</v>
      </c>
      <c r="M1" s="15" t="s">
        <v>266</v>
      </c>
      <c r="N1" s="15" t="s">
        <v>265</v>
      </c>
      <c r="O1" s="15" t="s">
        <v>282</v>
      </c>
      <c r="P1" s="15" t="s">
        <v>267</v>
      </c>
      <c r="Q1" s="15" t="s">
        <v>284</v>
      </c>
      <c r="R1" s="15" t="s">
        <v>335</v>
      </c>
      <c r="S1" s="15" t="s">
        <v>336</v>
      </c>
      <c r="T1" s="15" t="s">
        <v>174</v>
      </c>
      <c r="U1" s="15" t="s">
        <v>176</v>
      </c>
      <c r="V1" s="15" t="s">
        <v>177</v>
      </c>
      <c r="W1" s="15" t="s">
        <v>178</v>
      </c>
      <c r="X1" s="15" t="s">
        <v>179</v>
      </c>
      <c r="Y1" s="15" t="s">
        <v>180</v>
      </c>
      <c r="Z1" s="15" t="s">
        <v>181</v>
      </c>
      <c r="AA1" s="15" t="s">
        <v>182</v>
      </c>
      <c r="AB1" s="15" t="s">
        <v>183</v>
      </c>
      <c r="AC1" s="15" t="s">
        <v>184</v>
      </c>
      <c r="AD1" s="15" t="s">
        <v>265</v>
      </c>
    </row>
    <row r="2" spans="1:30" s="15" customFormat="1" x14ac:dyDescent="0.35">
      <c r="F2" s="15" t="s">
        <v>274</v>
      </c>
      <c r="G2" s="15" t="s">
        <v>318</v>
      </c>
      <c r="H2" s="15" t="s">
        <v>274</v>
      </c>
      <c r="I2" s="15" t="s">
        <v>318</v>
      </c>
      <c r="J2" s="15" t="s">
        <v>276</v>
      </c>
      <c r="K2" s="15" t="s">
        <v>275</v>
      </c>
      <c r="L2" s="15" t="s">
        <v>319</v>
      </c>
      <c r="M2" s="35" t="s">
        <v>320</v>
      </c>
      <c r="O2" s="15" t="s">
        <v>321</v>
      </c>
      <c r="P2" s="15" t="s">
        <v>321</v>
      </c>
      <c r="Q2" s="15" t="s">
        <v>321</v>
      </c>
      <c r="R2" s="15" t="s">
        <v>321</v>
      </c>
      <c r="S2" s="15" t="s">
        <v>321</v>
      </c>
    </row>
    <row r="3" spans="1:30" x14ac:dyDescent="0.35">
      <c r="A3" t="s">
        <v>288</v>
      </c>
      <c r="B3" t="s">
        <v>289</v>
      </c>
      <c r="C3" t="s">
        <v>316</v>
      </c>
      <c r="D3" t="s">
        <v>58</v>
      </c>
      <c r="E3" t="s">
        <v>342</v>
      </c>
      <c r="F3" t="s">
        <v>290</v>
      </c>
      <c r="G3" t="s">
        <v>291</v>
      </c>
      <c r="H3" t="s">
        <v>293</v>
      </c>
      <c r="I3" t="s">
        <v>292</v>
      </c>
      <c r="J3" t="s">
        <v>294</v>
      </c>
      <c r="K3" t="s">
        <v>295</v>
      </c>
      <c r="L3" t="s">
        <v>64</v>
      </c>
      <c r="M3" t="s">
        <v>315</v>
      </c>
      <c r="N3" t="s">
        <v>242</v>
      </c>
      <c r="O3" t="s">
        <v>296</v>
      </c>
      <c r="P3" t="s">
        <v>297</v>
      </c>
      <c r="Q3" t="s">
        <v>302</v>
      </c>
      <c r="R3" t="s">
        <v>327</v>
      </c>
      <c r="S3" t="s">
        <v>337</v>
      </c>
      <c r="T3" t="s">
        <v>191</v>
      </c>
      <c r="U3" t="s">
        <v>193</v>
      </c>
      <c r="V3" t="s">
        <v>194</v>
      </c>
      <c r="W3" t="s">
        <v>195</v>
      </c>
      <c r="X3" t="s">
        <v>196</v>
      </c>
      <c r="Y3" t="s">
        <v>197</v>
      </c>
      <c r="Z3" t="s">
        <v>198</v>
      </c>
      <c r="AA3" t="s">
        <v>299</v>
      </c>
      <c r="AB3" t="s">
        <v>300</v>
      </c>
      <c r="AC3" t="s">
        <v>301</v>
      </c>
      <c r="AD3" t="s">
        <v>298</v>
      </c>
    </row>
    <row r="4" spans="1:30" x14ac:dyDescent="0.35">
      <c r="A4">
        <v>0</v>
      </c>
      <c r="B4" s="28" t="s">
        <v>268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27</v>
      </c>
      <c r="I4" t="s">
        <v>153</v>
      </c>
      <c r="J4">
        <v>9032</v>
      </c>
      <c r="K4">
        <v>0</v>
      </c>
      <c r="L4">
        <v>40</v>
      </c>
      <c r="M4">
        <v>1</v>
      </c>
      <c r="N4" s="31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35">
      <c r="A5">
        <v>1</v>
      </c>
      <c r="B5" s="28" t="s">
        <v>269</v>
      </c>
      <c r="C5" t="s">
        <v>4</v>
      </c>
      <c r="D5" t="s">
        <v>283</v>
      </c>
      <c r="E5" t="s">
        <v>137</v>
      </c>
      <c r="F5">
        <v>2800</v>
      </c>
      <c r="H5" s="1">
        <f>ROUND((WACC!$B$2*(1+WACC!$B$2)^$L5)/((1+WACC!$B$2)^$L5-1)*$F5,0)</f>
        <v>101</v>
      </c>
      <c r="I5" t="s">
        <v>153</v>
      </c>
      <c r="J5">
        <v>60000</v>
      </c>
      <c r="K5">
        <v>0</v>
      </c>
      <c r="L5">
        <v>60</v>
      </c>
      <c r="M5">
        <v>1</v>
      </c>
      <c r="N5" s="31"/>
      <c r="O5">
        <v>0</v>
      </c>
      <c r="P5">
        <v>1</v>
      </c>
      <c r="Q5">
        <v>0</v>
      </c>
      <c r="R5">
        <v>0</v>
      </c>
      <c r="S5">
        <f t="shared" ref="S5:S57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35">
      <c r="A6">
        <v>2</v>
      </c>
      <c r="B6" s="28" t="s">
        <v>270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53</v>
      </c>
      <c r="I6" t="s">
        <v>153</v>
      </c>
      <c r="J6">
        <v>12600</v>
      </c>
      <c r="K6">
        <v>1.35</v>
      </c>
      <c r="L6">
        <v>30</v>
      </c>
      <c r="M6">
        <v>1</v>
      </c>
      <c r="N6" s="31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35">
      <c r="A7">
        <v>3</v>
      </c>
      <c r="B7" s="28" t="s">
        <v>271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98</v>
      </c>
      <c r="I7" t="s">
        <v>153</v>
      </c>
      <c r="J7">
        <v>36053</v>
      </c>
      <c r="K7">
        <v>2.7</v>
      </c>
      <c r="L7">
        <v>30</v>
      </c>
      <c r="M7">
        <v>1</v>
      </c>
      <c r="N7" s="31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35">
      <c r="A8" t="str">
        <f>tech_full!B34</f>
        <v>Biomass &amp; Waste</v>
      </c>
      <c r="B8" s="28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185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35">
      <c r="A9" t="str">
        <f>tech_full!B35</f>
        <v>Biomass &amp; Waste - CoGen</v>
      </c>
      <c r="B9" s="28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195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35">
      <c r="B10" s="28" t="s">
        <v>350</v>
      </c>
      <c r="C10" t="s">
        <v>351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24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35">
      <c r="A11" t="str">
        <f>tech_full!B3</f>
        <v>Nuclear</v>
      </c>
      <c r="B11" s="29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251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35">
      <c r="A12" t="str">
        <f>tech_full!B4</f>
        <v>Lignite - Old</v>
      </c>
      <c r="B12" s="29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74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35">
      <c r="A13" t="str">
        <f>tech_full!B5</f>
        <v>Lignite - Old CoGen</v>
      </c>
      <c r="B13" s="29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74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199</v>
      </c>
    </row>
    <row r="14" spans="1:30" x14ac:dyDescent="0.35">
      <c r="A14" t="str">
        <f>tech_full!B6</f>
        <v>Lignite - New (BoA)</v>
      </c>
      <c r="B14" s="29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87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35">
      <c r="A15" t="str">
        <f>tech_full!B7</f>
        <v>Lignite - New (BoA) CoGen</v>
      </c>
      <c r="B15" s="29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91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201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200</v>
      </c>
    </row>
    <row r="16" spans="1:30" x14ac:dyDescent="0.35">
      <c r="A16" t="str">
        <f>tech_full!B8</f>
        <v>Coal - Subcritical</v>
      </c>
      <c r="B16" s="29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52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217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35">
      <c r="A17" t="str">
        <f>tech_full!B9</f>
        <v>Coal - Subcritical CoGen</v>
      </c>
      <c r="B17" s="29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55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217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199</v>
      </c>
    </row>
    <row r="18" spans="1:30" x14ac:dyDescent="0.35">
      <c r="A18" t="str">
        <f>tech_full!B10</f>
        <v>Coal - Supercritical</v>
      </c>
      <c r="B18" s="29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56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217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35">
      <c r="A19" t="str">
        <f>tech_full!B11</f>
        <v>Coal - Supercritical CoGen</v>
      </c>
      <c r="B19" s="29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59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217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199</v>
      </c>
    </row>
    <row r="20" spans="1:30" x14ac:dyDescent="0.35">
      <c r="A20" t="str">
        <f>tech_full!B12</f>
        <v>Coal - Ultra-Supercritical</v>
      </c>
      <c r="B20" s="29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82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217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35">
      <c r="A21" t="str">
        <f>tech_full!B13</f>
        <v>Coal - Ultra-Supercritical CoGen</v>
      </c>
      <c r="B21" s="29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87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35">
      <c r="A22" t="str">
        <f>tech_full!B14</f>
        <v>Coal - IGCC</v>
      </c>
      <c r="B22" s="29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107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35">
      <c r="A23" t="str">
        <f>tech_full!B15</f>
        <v>Nat Gas - Steam Turbine</v>
      </c>
      <c r="B23" s="29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20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35">
      <c r="A24" t="str">
        <f>tech_full!B16</f>
        <v>Nat Gas - Steam Turbine CoGen</v>
      </c>
      <c r="B24" s="29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20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202</v>
      </c>
    </row>
    <row r="25" spans="1:30" x14ac:dyDescent="0.35">
      <c r="A25" t="str">
        <f>tech_full!B17</f>
        <v>Nat Gas - Old OCGT</v>
      </c>
      <c r="B25" s="29" t="s">
        <v>203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26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35">
      <c r="B26" s="29" t="s">
        <v>338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35">
      <c r="A27" s="44" t="str">
        <f>tech_full!B18</f>
        <v>Nat Gas - New OCGT</v>
      </c>
      <c r="B27" s="29" t="s">
        <v>204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34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35">
      <c r="B28" s="29" t="s">
        <v>339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35">
      <c r="A29" t="str">
        <f>tech_full!B19</f>
        <v>Nat Gas - Old Combined Cycle</v>
      </c>
      <c r="B29" s="29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41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219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35">
      <c r="A30" t="str">
        <f>tech_full!B20</f>
        <v>Nat Gas - Old Combined Cycle CoGen</v>
      </c>
      <c r="B30" s="29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43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218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35">
      <c r="A31" t="str">
        <f>tech_full!B21</f>
        <v>Nat Gas - New Combined Cycle</v>
      </c>
      <c r="B31" s="29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48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35">
      <c r="A32" t="str">
        <f>tech_full!B22</f>
        <v>Nat Gas - New Combined Cycle CoGen</v>
      </c>
      <c r="B32" s="29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51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35">
      <c r="A33" t="str">
        <f>tech_full!B23</f>
        <v>Nat Gas - Motor</v>
      </c>
      <c r="B33" s="29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52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35">
      <c r="A34" t="str">
        <f>tech_full!B24</f>
        <v>Nat Gas - Motor CoGen</v>
      </c>
      <c r="B34" s="29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55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35">
      <c r="A35" t="str">
        <f>tech_full!B25</f>
        <v>District heating boiler, gas fired</v>
      </c>
      <c r="B35" s="29" t="s">
        <v>205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3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35">
      <c r="A36" t="str">
        <f>tech_full!B26</f>
        <v>Oil - Steam Turbine</v>
      </c>
      <c r="B36" s="29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20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35">
      <c r="A37" t="str">
        <f>tech_full!B27</f>
        <v>Oil - Steam Turbine CoGen</v>
      </c>
      <c r="B37" s="29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20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202</v>
      </c>
    </row>
    <row r="38" spans="1:30" x14ac:dyDescent="0.35">
      <c r="A38" t="str">
        <f>tech_full!B28</f>
        <v>Oil - OCGT</v>
      </c>
      <c r="B38" s="29" t="s">
        <v>206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22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35">
      <c r="B39" s="29" t="s">
        <v>340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35">
      <c r="A40" t="str">
        <f>tech_full!B29</f>
        <v>Oil - Combined Cycle</v>
      </c>
      <c r="B40" s="29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46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35">
      <c r="A41" t="str">
        <f>tech_full!B30</f>
        <v>Oil - Combined Cycle CoGen</v>
      </c>
      <c r="B41" s="29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48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220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202</v>
      </c>
    </row>
    <row r="42" spans="1:30" x14ac:dyDescent="0.35">
      <c r="A42" t="str">
        <f>tech_full!B36</f>
        <v>Power - Heatpump Compression</v>
      </c>
      <c r="B42" s="31" t="s">
        <v>208</v>
      </c>
      <c r="C42" t="s">
        <v>116</v>
      </c>
      <c r="D42" t="s">
        <v>137</v>
      </c>
      <c r="E42" t="s">
        <v>138</v>
      </c>
      <c r="F42">
        <v>660</v>
      </c>
      <c r="H42" s="1">
        <f>ROUND((WACC!$B$2*(1+WACC!$B$2)^$L42)/((1+WACC!$B$2)^$L42-1)*$F42,0)</f>
        <v>38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35">
      <c r="A43" t="str">
        <f>tech_full!B37</f>
        <v>Power - Heatpump Absorption</v>
      </c>
      <c r="B43" s="31" t="s">
        <v>209</v>
      </c>
      <c r="C43" t="s">
        <v>210</v>
      </c>
      <c r="D43" t="s">
        <v>137</v>
      </c>
      <c r="E43" t="s">
        <v>138</v>
      </c>
      <c r="F43">
        <v>560</v>
      </c>
      <c r="H43" s="1">
        <f>ROUND((WACC!$B$2*(1+WACC!$B$2)^$L43)/((1+WACC!$B$2)^$L43-1)*$F43,0)</f>
        <v>32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35">
      <c r="A44" t="str">
        <f>tech_full!B38</f>
        <v>Power - Electric Boiler</v>
      </c>
      <c r="B44" s="31" t="s">
        <v>211</v>
      </c>
      <c r="C44" t="s">
        <v>212</v>
      </c>
      <c r="D44" t="s">
        <v>137</v>
      </c>
      <c r="E44" t="s">
        <v>138</v>
      </c>
      <c r="F44">
        <v>150</v>
      </c>
      <c r="H44" s="1">
        <f>ROUND((WACC!$B$2*(1+WACC!$B$2)^$L44)/((1+WACC!$B$2)^$L44-1)*$F44,0)</f>
        <v>10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35">
      <c r="B45" s="30" t="s">
        <v>277</v>
      </c>
      <c r="C45" t="s">
        <v>117</v>
      </c>
      <c r="D45" t="s">
        <v>137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18</v>
      </c>
      <c r="I45" s="1">
        <f>ROUND((WACC!$B$2*(1+WACC!$B$2)^$L45)/((1+WACC!$B$2)^$L45-1)*$G45,0)</f>
        <v>17</v>
      </c>
      <c r="J45" s="1">
        <v>540</v>
      </c>
      <c r="K45" s="8">
        <v>1.8</v>
      </c>
      <c r="L45" s="1">
        <v>25</v>
      </c>
      <c r="M45" s="1">
        <v>1</v>
      </c>
      <c r="N45" s="31"/>
      <c r="O45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35">
      <c r="A46" t="str">
        <f>tech_full!B31</f>
        <v>Hydro - Run-of-River</v>
      </c>
      <c r="B46" s="30" t="s">
        <v>312</v>
      </c>
      <c r="C46" t="s">
        <v>303</v>
      </c>
      <c r="D46" t="s">
        <v>283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93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279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35">
      <c r="A47" t="str">
        <f>tech_full!B32</f>
        <v>Hydro - Reservoir</v>
      </c>
      <c r="B47" s="30" t="s">
        <v>313</v>
      </c>
      <c r="C47" t="s">
        <v>304</v>
      </c>
      <c r="D47" t="s">
        <v>283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93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279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35">
      <c r="A48" t="str">
        <f>tech_full!B33</f>
        <v>Hydro - Pumped Storage</v>
      </c>
      <c r="B48" s="30" t="s">
        <v>314</v>
      </c>
      <c r="C48" t="s">
        <v>305</v>
      </c>
      <c r="D48" t="s">
        <v>283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93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279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35">
      <c r="B49" s="30" t="s">
        <v>309</v>
      </c>
      <c r="C49" t="s">
        <v>306</v>
      </c>
      <c r="D49" t="s">
        <v>283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117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219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35">
      <c r="B50" s="30" t="s">
        <v>310</v>
      </c>
      <c r="C50" t="s">
        <v>307</v>
      </c>
      <c r="D50" t="s">
        <v>283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117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219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35">
      <c r="B51" s="30" t="s">
        <v>311</v>
      </c>
      <c r="C51" t="s">
        <v>308</v>
      </c>
      <c r="D51" t="s">
        <v>283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117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219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35">
      <c r="B52" s="30" t="s">
        <v>278</v>
      </c>
      <c r="C52" t="s">
        <v>256</v>
      </c>
      <c r="D52" t="s">
        <v>137</v>
      </c>
      <c r="E52" t="s">
        <v>356</v>
      </c>
      <c r="F52">
        <v>2575</v>
      </c>
      <c r="G52" s="1"/>
      <c r="H52" s="1">
        <f>ROUND((WACC!$B$2*(1+WACC!$B$2)^$L52)/((1+WACC!$B$2)^$L52-1)*$F52,0)</f>
        <v>148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f>0.5*0.79</f>
        <v>0.39500000000000002</v>
      </c>
      <c r="N52" t="s">
        <v>280</v>
      </c>
      <c r="O52">
        <v>0</v>
      </c>
      <c r="P52">
        <v>0</v>
      </c>
      <c r="Q52">
        <v>0</v>
      </c>
      <c r="R52">
        <v>0</v>
      </c>
      <c r="S52">
        <f t="shared" si="0"/>
        <v>1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35">
      <c r="B53" s="37" t="s">
        <v>326</v>
      </c>
      <c r="C53" t="s">
        <v>327</v>
      </c>
      <c r="D53" t="s">
        <v>137</v>
      </c>
      <c r="E53" t="s">
        <v>137</v>
      </c>
      <c r="F53" s="36">
        <f>ROUND(455/0.9,0)</f>
        <v>506</v>
      </c>
      <c r="G53" s="1"/>
      <c r="H53" s="1">
        <f>ROUND((WACC!$B$2*(1+WACC!$B$2)^$L53)/((1+WACC!$B$2)^$L53-1)*$F53,0)</f>
        <v>22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334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  <row r="54" spans="2:30" x14ac:dyDescent="0.35">
      <c r="B54" s="30" t="s">
        <v>357</v>
      </c>
      <c r="C54" t="s">
        <v>358</v>
      </c>
      <c r="D54" t="s">
        <v>356</v>
      </c>
      <c r="E54" t="s">
        <v>359</v>
      </c>
      <c r="F54">
        <v>1000</v>
      </c>
      <c r="H54" s="1">
        <f>ROUND((WACC!$B$2*(1+WACC!$B$2)^$L54)/((1+WACC!$B$2)^$L54-1)*$F54,0)</f>
        <v>57</v>
      </c>
      <c r="I54" t="s">
        <v>153</v>
      </c>
      <c r="J54">
        <v>20000</v>
      </c>
      <c r="K54">
        <v>1</v>
      </c>
      <c r="L54">
        <v>25</v>
      </c>
      <c r="M54">
        <v>0.7</v>
      </c>
      <c r="O54">
        <v>0</v>
      </c>
      <c r="P54">
        <v>0</v>
      </c>
      <c r="Q54">
        <v>0</v>
      </c>
      <c r="R54">
        <v>0</v>
      </c>
      <c r="S54">
        <f t="shared" si="0"/>
        <v>1</v>
      </c>
      <c r="T54">
        <v>1</v>
      </c>
      <c r="U54" s="7" t="s">
        <v>153</v>
      </c>
      <c r="V54" s="7" t="s">
        <v>153</v>
      </c>
      <c r="W54" s="7" t="s">
        <v>153</v>
      </c>
      <c r="X54" s="7" t="s">
        <v>153</v>
      </c>
      <c r="Y54" s="7" t="s">
        <v>153</v>
      </c>
      <c r="Z54" s="7" t="s">
        <v>153</v>
      </c>
      <c r="AA54" s="7" t="s">
        <v>153</v>
      </c>
      <c r="AB54" s="7" t="s">
        <v>153</v>
      </c>
      <c r="AC54" s="7" t="s">
        <v>153</v>
      </c>
      <c r="AD54" s="7" t="s">
        <v>153</v>
      </c>
    </row>
    <row r="55" spans="2:30" x14ac:dyDescent="0.35">
      <c r="B55" s="30" t="s">
        <v>360</v>
      </c>
      <c r="C55" t="s">
        <v>362</v>
      </c>
      <c r="D55" t="s">
        <v>356</v>
      </c>
      <c r="E55" t="s">
        <v>356</v>
      </c>
      <c r="F55">
        <v>800</v>
      </c>
      <c r="G55">
        <v>2</v>
      </c>
      <c r="H55" s="1">
        <f>ROUND((WACC!$B$2*(1+WACC!$B$2)^$L55)/((1+WACC!$B$2)^$L55-1)*$F55,0)</f>
        <v>46</v>
      </c>
      <c r="I55" s="1">
        <f>ROUND((WACC!$B$2*(1+WACC!$B$2)^$L55)/((1+WACC!$B$2)^$L55-1)*$G55,0)</f>
        <v>0</v>
      </c>
      <c r="J55">
        <v>10000</v>
      </c>
      <c r="K55">
        <v>0</v>
      </c>
      <c r="L55">
        <v>25</v>
      </c>
      <c r="M55">
        <v>0.95</v>
      </c>
      <c r="O55">
        <v>0</v>
      </c>
      <c r="P55">
        <v>0</v>
      </c>
      <c r="Q55">
        <v>1</v>
      </c>
      <c r="R55">
        <v>0</v>
      </c>
      <c r="S55">
        <f t="shared" si="0"/>
        <v>0</v>
      </c>
      <c r="T55">
        <v>1</v>
      </c>
      <c r="U55" s="7" t="s">
        <v>153</v>
      </c>
      <c r="V55" s="7" t="s">
        <v>153</v>
      </c>
      <c r="W55" s="7" t="s">
        <v>153</v>
      </c>
      <c r="X55" s="7" t="s">
        <v>153</v>
      </c>
      <c r="Y55" s="7" t="s">
        <v>153</v>
      </c>
      <c r="Z55" s="7" t="s">
        <v>153</v>
      </c>
      <c r="AA55" s="7" t="s">
        <v>153</v>
      </c>
      <c r="AB55" s="7" t="s">
        <v>153</v>
      </c>
      <c r="AC55" s="7" t="s">
        <v>153</v>
      </c>
      <c r="AD55" s="7" t="s">
        <v>153</v>
      </c>
    </row>
    <row r="56" spans="2:30" x14ac:dyDescent="0.35">
      <c r="B56" s="30" t="s">
        <v>361</v>
      </c>
      <c r="C56" t="s">
        <v>363</v>
      </c>
      <c r="D56" t="s">
        <v>359</v>
      </c>
      <c r="E56" t="s">
        <v>359</v>
      </c>
      <c r="F56">
        <v>800</v>
      </c>
      <c r="G56">
        <v>1.5</v>
      </c>
      <c r="H56" s="1">
        <f>ROUND((WACC!$B$2*(1+WACC!$B$2)^$L56)/((1+WACC!$B$2)^$L56-1)*$F56,0)</f>
        <v>46</v>
      </c>
      <c r="I56" s="1">
        <f>ROUND((WACC!$B$2*(1+WACC!$B$2)^$L56)/((1+WACC!$B$2)^$L56-1)*$G56,0)</f>
        <v>0</v>
      </c>
      <c r="J56">
        <v>10000</v>
      </c>
      <c r="K56">
        <v>0</v>
      </c>
      <c r="L56">
        <v>25</v>
      </c>
      <c r="M56">
        <v>0.95</v>
      </c>
      <c r="O56">
        <v>0</v>
      </c>
      <c r="P56">
        <v>0</v>
      </c>
      <c r="Q56">
        <v>1</v>
      </c>
      <c r="R56">
        <v>0</v>
      </c>
      <c r="S56">
        <f t="shared" si="0"/>
        <v>0</v>
      </c>
      <c r="T56">
        <v>1</v>
      </c>
      <c r="U56" s="7" t="s">
        <v>153</v>
      </c>
      <c r="V56" s="7" t="s">
        <v>153</v>
      </c>
      <c r="W56" s="7" t="s">
        <v>153</v>
      </c>
      <c r="X56" s="7" t="s">
        <v>153</v>
      </c>
      <c r="Y56" s="7" t="s">
        <v>153</v>
      </c>
      <c r="Z56" s="7" t="s">
        <v>153</v>
      </c>
      <c r="AA56" s="7" t="s">
        <v>153</v>
      </c>
      <c r="AB56" s="7" t="s">
        <v>153</v>
      </c>
      <c r="AC56" s="7" t="s">
        <v>153</v>
      </c>
      <c r="AD56" s="7" t="s">
        <v>153</v>
      </c>
    </row>
    <row r="57" spans="2:30" x14ac:dyDescent="0.35">
      <c r="B57" s="30" t="s">
        <v>364</v>
      </c>
      <c r="C57" t="s">
        <v>365</v>
      </c>
      <c r="D57" t="s">
        <v>138</v>
      </c>
      <c r="E57" t="s">
        <v>138</v>
      </c>
      <c r="F57">
        <v>500</v>
      </c>
      <c r="G57">
        <v>0.5</v>
      </c>
      <c r="H57" s="1">
        <f>ROUND((WACC!$B$2*(1+WACC!$B$2)^$L57)/((1+WACC!$B$2)^$L57-1)*$F57,0)</f>
        <v>26</v>
      </c>
      <c r="I57" s="1">
        <f>ROUND((WACC!$B$2*(1+WACC!$B$2)^$L57)/((1+WACC!$B$2)^$L57-1)*$G57,0)</f>
        <v>0</v>
      </c>
      <c r="J57">
        <v>5000</v>
      </c>
      <c r="K57">
        <v>0</v>
      </c>
      <c r="L57">
        <v>30</v>
      </c>
      <c r="M57">
        <v>0.85</v>
      </c>
      <c r="O57">
        <v>0</v>
      </c>
      <c r="P57">
        <v>0</v>
      </c>
      <c r="Q57">
        <v>1</v>
      </c>
      <c r="R57">
        <v>0</v>
      </c>
      <c r="S57">
        <f t="shared" si="0"/>
        <v>0</v>
      </c>
      <c r="U57" s="7" t="s">
        <v>153</v>
      </c>
      <c r="V57" s="7" t="s">
        <v>153</v>
      </c>
      <c r="W57" s="7" t="s">
        <v>153</v>
      </c>
      <c r="X57" s="7" t="s">
        <v>153</v>
      </c>
      <c r="Y57" s="7" t="s">
        <v>153</v>
      </c>
      <c r="Z57" s="7" t="s">
        <v>153</v>
      </c>
      <c r="AA57" s="7" t="s">
        <v>153</v>
      </c>
      <c r="AB57" s="7" t="s">
        <v>153</v>
      </c>
      <c r="AC57" s="7" t="s">
        <v>153</v>
      </c>
      <c r="AD57" s="7" t="s">
        <v>153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9"/>
  <sheetViews>
    <sheetView workbookViewId="0">
      <pane xSplit="4" ySplit="2" topLeftCell="E28" activePane="bottomRight" state="frozen"/>
      <selection pane="topRight" activeCell="E1" sqref="E1"/>
      <selection pane="bottomLeft" activeCell="A3" sqref="A3"/>
      <selection pane="bottomRight" activeCell="E39" sqref="E39"/>
    </sheetView>
  </sheetViews>
  <sheetFormatPr baseColWidth="10" defaultRowHeight="14.5" x14ac:dyDescent="0.35"/>
  <cols>
    <col min="2" max="2" width="38.81640625" bestFit="1" customWidth="1"/>
    <col min="3" max="3" width="15.453125" bestFit="1" customWidth="1"/>
    <col min="19" max="24" width="11.453125" customWidth="1"/>
  </cols>
  <sheetData>
    <row r="1" spans="1:33" ht="72.5" x14ac:dyDescent="0.35">
      <c r="A1" s="13" t="s">
        <v>18</v>
      </c>
      <c r="B1" s="14" t="s">
        <v>19</v>
      </c>
      <c r="C1" s="14" t="s">
        <v>65</v>
      </c>
      <c r="D1" s="14" t="s">
        <v>173</v>
      </c>
      <c r="E1" s="14" t="s">
        <v>174</v>
      </c>
      <c r="F1" s="14" t="s">
        <v>175</v>
      </c>
      <c r="G1" s="43" t="s">
        <v>176</v>
      </c>
      <c r="H1" s="14" t="s">
        <v>177</v>
      </c>
      <c r="I1" s="14" t="s">
        <v>178</v>
      </c>
      <c r="J1" s="43" t="s">
        <v>179</v>
      </c>
      <c r="K1" s="14" t="s">
        <v>180</v>
      </c>
      <c r="L1" s="14" t="s">
        <v>181</v>
      </c>
      <c r="M1" s="14" t="s">
        <v>182</v>
      </c>
      <c r="N1" s="14" t="s">
        <v>183</v>
      </c>
      <c r="O1" s="43" t="s">
        <v>184</v>
      </c>
      <c r="P1" s="14" t="s">
        <v>185</v>
      </c>
      <c r="Q1" s="14" t="s">
        <v>186</v>
      </c>
      <c r="R1" s="14" t="s">
        <v>213</v>
      </c>
      <c r="S1" s="14" t="s">
        <v>187</v>
      </c>
      <c r="T1" s="14" t="s">
        <v>188</v>
      </c>
      <c r="U1" s="14" t="s">
        <v>189</v>
      </c>
      <c r="V1" s="14" t="s">
        <v>190</v>
      </c>
      <c r="W1" s="14" t="s">
        <v>186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35">
      <c r="E2" t="s">
        <v>191</v>
      </c>
      <c r="F2" t="s">
        <v>192</v>
      </c>
      <c r="G2" s="41" t="s">
        <v>193</v>
      </c>
      <c r="H2" t="s">
        <v>194</v>
      </c>
      <c r="I2" t="s">
        <v>195</v>
      </c>
      <c r="J2" s="41" t="s">
        <v>196</v>
      </c>
      <c r="K2" t="s">
        <v>197</v>
      </c>
      <c r="L2" t="s">
        <v>198</v>
      </c>
      <c r="O2" s="41"/>
    </row>
    <row r="3" spans="1:33" x14ac:dyDescent="0.3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3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35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 s="41">
        <v>0.15</v>
      </c>
      <c r="H5">
        <f>L5/J5</f>
        <v>0.52500000000000002</v>
      </c>
      <c r="I5" s="23">
        <f>J5*O5</f>
        <v>1.3333333333333333</v>
      </c>
      <c r="J5" s="39">
        <v>1.4814814814814814</v>
      </c>
      <c r="K5" s="23">
        <f>E5-G5*I5</f>
        <v>0.8</v>
      </c>
      <c r="L5" s="23">
        <f>E5-G5*J5</f>
        <v>0.77777777777777779</v>
      </c>
      <c r="M5" s="24">
        <f>(E5+G5*I5)/F5</f>
        <v>3.4090909090909092</v>
      </c>
      <c r="N5" s="9">
        <f>$F5*(1+((1-$G5)/($H5+$G5))*($I5/$J5))</f>
        <v>0.75093333333333323</v>
      </c>
      <c r="O5" s="42">
        <v>0.9</v>
      </c>
      <c r="P5">
        <v>0</v>
      </c>
      <c r="Q5" t="s">
        <v>199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 s="41">
        <v>0.15</v>
      </c>
      <c r="H7">
        <f>L7/J7</f>
        <v>0.66000000000000014</v>
      </c>
      <c r="I7" s="23">
        <f>J7*O7</f>
        <v>1.1111111111111112</v>
      </c>
      <c r="J7" s="39">
        <v>1.2345679012345678</v>
      </c>
      <c r="K7" s="23">
        <f>E7-G7*I7</f>
        <v>0.83333333333333337</v>
      </c>
      <c r="L7" s="23">
        <f>E7-G7*J7</f>
        <v>0.81481481481481488</v>
      </c>
      <c r="M7" s="24">
        <f>(E7+G7*I7)/F7</f>
        <v>2.6575550493545941</v>
      </c>
      <c r="N7" s="9">
        <f>$F7*(1+((1-$G7)/($H7+$G7))*($I7/$J7))</f>
        <v>0.8536111111111111</v>
      </c>
      <c r="O7" s="42">
        <v>0.9</v>
      </c>
      <c r="P7" s="15">
        <v>1</v>
      </c>
      <c r="Q7" s="15" t="s">
        <v>200</v>
      </c>
      <c r="S7">
        <f>ROUND(S6/0.95,0)</f>
        <v>2105</v>
      </c>
      <c r="T7">
        <v>4.5</v>
      </c>
      <c r="U7">
        <f>2.5%*S7*1000</f>
        <v>52625</v>
      </c>
      <c r="V7">
        <v>40</v>
      </c>
      <c r="W7" t="s">
        <v>201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>
        <v>0</v>
      </c>
      <c r="Q8">
        <v>4</v>
      </c>
      <c r="S8">
        <v>1200</v>
      </c>
      <c r="T8">
        <v>6</v>
      </c>
      <c r="U8">
        <v>30000</v>
      </c>
      <c r="V8">
        <v>40</v>
      </c>
      <c r="W8" t="s">
        <v>217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3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 s="41">
        <v>0.15</v>
      </c>
      <c r="H9">
        <f>L9/J9</f>
        <v>0.37631578947368427</v>
      </c>
      <c r="I9" s="23">
        <f>J9*O9</f>
        <v>1.71</v>
      </c>
      <c r="J9" s="39">
        <v>1.9</v>
      </c>
      <c r="K9" s="23">
        <f>E9-G9*I9</f>
        <v>0.74350000000000005</v>
      </c>
      <c r="L9" s="23">
        <f>E9-G9*J9</f>
        <v>0.71500000000000008</v>
      </c>
      <c r="M9" s="24">
        <f>(E9+G9*I9)/F9</f>
        <v>3.3506666666666667</v>
      </c>
      <c r="N9" s="9">
        <f>$F9*(1+((1-$G9)/($H9+$G9))*($I9/$J9))</f>
        <v>0.92006250000000001</v>
      </c>
      <c r="O9" s="42">
        <v>0.9</v>
      </c>
      <c r="P9">
        <v>0</v>
      </c>
      <c r="Q9" t="s">
        <v>199</v>
      </c>
      <c r="S9">
        <f>ROUND(S8/0.95,0)</f>
        <v>1263</v>
      </c>
      <c r="T9">
        <v>6</v>
      </c>
      <c r="U9">
        <v>30000</v>
      </c>
      <c r="V9">
        <v>40</v>
      </c>
      <c r="W9" t="s">
        <v>217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3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>
        <v>1</v>
      </c>
      <c r="Q10">
        <v>4</v>
      </c>
      <c r="S10">
        <v>1300</v>
      </c>
      <c r="T10">
        <v>6</v>
      </c>
      <c r="U10">
        <v>25000</v>
      </c>
      <c r="V10">
        <v>40</v>
      </c>
      <c r="W10" t="s">
        <v>217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3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 s="41">
        <v>0.15</v>
      </c>
      <c r="H11">
        <f>L11/J11</f>
        <v>0.43823529411764706</v>
      </c>
      <c r="I11" s="24">
        <f>J11*O11</f>
        <v>1.53</v>
      </c>
      <c r="J11" s="40">
        <v>1.7</v>
      </c>
      <c r="K11" s="24">
        <f>E11-G11*I11</f>
        <v>0.77049999999999996</v>
      </c>
      <c r="L11" s="24">
        <f>E11-G11*J11</f>
        <v>0.745</v>
      </c>
      <c r="M11" s="24">
        <f>(E11+G11*I11)/F11</f>
        <v>2.8929411764705883</v>
      </c>
      <c r="N11" s="9">
        <f>$F11*(1+((1-$G11)/($H11+$G11))*($I11/$J11))</f>
        <v>0.97771249999999998</v>
      </c>
      <c r="O11" s="42">
        <v>0.9</v>
      </c>
      <c r="P11" s="15">
        <v>1</v>
      </c>
      <c r="Q11" t="s">
        <v>199</v>
      </c>
      <c r="S11">
        <f>ROUND(S10/0.95,0)</f>
        <v>1368</v>
      </c>
      <c r="T11">
        <v>6</v>
      </c>
      <c r="U11">
        <v>25000</v>
      </c>
      <c r="V11">
        <v>40</v>
      </c>
      <c r="W11" t="s">
        <v>217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3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>
        <v>1</v>
      </c>
      <c r="Q12">
        <v>1</v>
      </c>
      <c r="S12">
        <v>1900</v>
      </c>
      <c r="T12">
        <v>2.9</v>
      </c>
      <c r="U12">
        <v>31000</v>
      </c>
      <c r="V12">
        <v>40</v>
      </c>
      <c r="W12" t="s">
        <v>217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3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 s="41">
        <v>0.15</v>
      </c>
      <c r="H13">
        <f>L13/J13</f>
        <v>0.68333333333333346</v>
      </c>
      <c r="I13" s="24">
        <f>J13*O13</f>
        <v>1.08</v>
      </c>
      <c r="J13" s="40">
        <v>1.2</v>
      </c>
      <c r="K13" s="24">
        <f>E13-G13*I13</f>
        <v>0.83799999999999997</v>
      </c>
      <c r="L13" s="24">
        <f>E13-G13*J13</f>
        <v>0.82000000000000006</v>
      </c>
      <c r="M13" s="24">
        <f>(E13+G13*I13)/F13</f>
        <v>2.3958762886597937</v>
      </c>
      <c r="N13" s="9">
        <f>$F13*(1+((1-$G13)/($H13+$G13))*($I13/$J13))</f>
        <v>0.93022999999999989</v>
      </c>
      <c r="O13" s="42">
        <v>0.9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3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3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Q15">
        <v>4</v>
      </c>
      <c r="S15">
        <v>400</v>
      </c>
      <c r="T15">
        <v>3</v>
      </c>
      <c r="U15">
        <v>15000</v>
      </c>
      <c r="V15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3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 s="41">
        <v>0.15</v>
      </c>
      <c r="H16">
        <f>L16/J16</f>
        <v>0.55000000000000016</v>
      </c>
      <c r="I16" s="23">
        <f>J16*O16</f>
        <v>1.2857142857142856</v>
      </c>
      <c r="J16" s="39">
        <v>1.4285714285714284</v>
      </c>
      <c r="K16" s="23">
        <f>E16-G16*I16</f>
        <v>0.80714285714285716</v>
      </c>
      <c r="L16" s="23">
        <f>E16-G16*J16</f>
        <v>0.78571428571428581</v>
      </c>
      <c r="M16" s="24">
        <f>(E16+G16*I16)/F16</f>
        <v>2.930852930852931</v>
      </c>
      <c r="N16" s="9">
        <f>$F16*(1+((1-$G16)/($H16+$G16))*($I16/$J16))</f>
        <v>0.85179285714285691</v>
      </c>
      <c r="O16" s="42">
        <v>0.9</v>
      </c>
      <c r="Q16" t="s">
        <v>202</v>
      </c>
      <c r="S16">
        <v>400</v>
      </c>
      <c r="T16">
        <v>3</v>
      </c>
      <c r="U16">
        <v>15000</v>
      </c>
      <c r="V16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35">
      <c r="A17">
        <v>41</v>
      </c>
      <c r="B17" t="s">
        <v>203</v>
      </c>
      <c r="C17" t="s">
        <v>94</v>
      </c>
      <c r="D17">
        <v>1980</v>
      </c>
      <c r="E17">
        <v>1</v>
      </c>
      <c r="F17">
        <v>0.32800000000000001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>
        <v>0</v>
      </c>
      <c r="Q17">
        <v>4</v>
      </c>
      <c r="S17">
        <v>454</v>
      </c>
      <c r="T17">
        <v>4.5</v>
      </c>
      <c r="U17">
        <v>8068</v>
      </c>
      <c r="V17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35">
      <c r="A18">
        <v>42</v>
      </c>
      <c r="B18" t="s">
        <v>204</v>
      </c>
      <c r="C18" t="s">
        <v>96</v>
      </c>
      <c r="D18">
        <v>2020</v>
      </c>
      <c r="E18">
        <v>1</v>
      </c>
      <c r="F18">
        <v>0.42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3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>
        <v>0</v>
      </c>
      <c r="Q19">
        <v>1</v>
      </c>
      <c r="S19">
        <v>800</v>
      </c>
      <c r="T19">
        <v>4</v>
      </c>
      <c r="U19">
        <v>20000</v>
      </c>
      <c r="V19">
        <v>30</v>
      </c>
      <c r="W19" t="s">
        <v>219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3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 s="41">
        <v>0.15</v>
      </c>
      <c r="H20">
        <f>L20/J20</f>
        <v>0.96111111111111103</v>
      </c>
      <c r="I20" s="24">
        <f>J20*O20</f>
        <v>0.81</v>
      </c>
      <c r="J20" s="40">
        <v>0.9</v>
      </c>
      <c r="K20" s="24">
        <f>E20-G20*I20</f>
        <v>0.87850000000000006</v>
      </c>
      <c r="L20" s="24">
        <f>E20-G20*J20</f>
        <v>0.86499999999999999</v>
      </c>
      <c r="M20" s="24">
        <f>(E20+G20*I20)/F20</f>
        <v>2.0026785714285711</v>
      </c>
      <c r="N20" s="9">
        <f>$F20*(1+((1-$G20)/($H20+$G20))*($I20/$J20))</f>
        <v>0.94556000000000018</v>
      </c>
      <c r="O20" s="42">
        <v>0.9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>
        <v>30</v>
      </c>
      <c r="W20" t="s">
        <v>218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3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3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 s="41">
        <v>0.15</v>
      </c>
      <c r="H22">
        <f>L22/J22</f>
        <v>1.2785714285714287</v>
      </c>
      <c r="I22" s="24">
        <f t="shared" ref="I22" si="0">J22*O22</f>
        <v>0.63</v>
      </c>
      <c r="J22" s="40">
        <v>0.7</v>
      </c>
      <c r="K22" s="24">
        <f t="shared" ref="K22" si="1">E22-G22*I22</f>
        <v>0.90549999999999997</v>
      </c>
      <c r="L22" s="24">
        <f t="shared" ref="L22" si="2">E22-G22*J22</f>
        <v>0.89500000000000002</v>
      </c>
      <c r="M22" s="24">
        <f t="shared" ref="M22" si="3">(E22+G22*I22)/F22</f>
        <v>1.7942622950819673</v>
      </c>
      <c r="N22" s="9">
        <f>$F22*(1+((1-$G22)/($H22+$G22))*($I22/$J22))</f>
        <v>0.9366549999999999</v>
      </c>
      <c r="O22" s="42">
        <v>0.9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3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 s="41">
        <v>0</v>
      </c>
      <c r="H24">
        <f>L24/J24</f>
        <v>0.95000000000000007</v>
      </c>
      <c r="I24" s="24">
        <f>J24*O24</f>
        <v>0.94736842105263153</v>
      </c>
      <c r="J24" s="40">
        <v>1.0526315789473684</v>
      </c>
      <c r="K24" s="24">
        <f>E24-G24*I24</f>
        <v>1</v>
      </c>
      <c r="L24" s="24">
        <f>E24-G24*J24</f>
        <v>1</v>
      </c>
      <c r="M24" s="24">
        <f>(E24+G24*I24)/F24</f>
        <v>2.1276595744680851</v>
      </c>
      <c r="N24" s="9">
        <f>$F24*(1+((1-$G24)/($H24+$G24))*($I24/$J24))</f>
        <v>0.91526315789473667</v>
      </c>
      <c r="O24" s="42">
        <v>0.9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35">
      <c r="A25">
        <v>49.5</v>
      </c>
      <c r="B25" t="s">
        <v>205</v>
      </c>
      <c r="C25" t="s">
        <v>104</v>
      </c>
      <c r="D25">
        <v>2020</v>
      </c>
      <c r="E25">
        <v>1</v>
      </c>
      <c r="F25">
        <v>0.95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>
        <v>1</v>
      </c>
      <c r="Q25">
        <v>1</v>
      </c>
      <c r="S25">
        <v>60</v>
      </c>
      <c r="T25">
        <v>1</v>
      </c>
      <c r="U25">
        <v>1950</v>
      </c>
      <c r="V25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3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Q26">
        <v>4</v>
      </c>
      <c r="S26">
        <v>400</v>
      </c>
      <c r="T26">
        <v>3</v>
      </c>
      <c r="U26">
        <v>6000</v>
      </c>
      <c r="V26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3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 s="41">
        <v>0.17499999999999999</v>
      </c>
      <c r="H27">
        <f>L27/J27</f>
        <v>0.50067567567567572</v>
      </c>
      <c r="I27" s="23">
        <f>J27*O27</f>
        <v>1.3320000000000001</v>
      </c>
      <c r="J27" s="39">
        <v>1.48</v>
      </c>
      <c r="K27" s="23">
        <f>E27-G27*I27</f>
        <v>0.76690000000000003</v>
      </c>
      <c r="L27" s="23">
        <f>E27-G27*J27</f>
        <v>0.74099999999999999</v>
      </c>
      <c r="M27" s="24">
        <f>(E27+G27*I27)/F27</f>
        <v>3.1138888888888889</v>
      </c>
      <c r="N27" s="9">
        <f>$F27*(1+((1-$G27)/($H27+$G27))*($I27/$J27))</f>
        <v>0.83116440000000003</v>
      </c>
      <c r="O27" s="42">
        <v>0.9</v>
      </c>
      <c r="Q27" t="s">
        <v>202</v>
      </c>
      <c r="S27">
        <v>400</v>
      </c>
      <c r="T27">
        <v>3</v>
      </c>
      <c r="U27">
        <v>6000</v>
      </c>
      <c r="V27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35">
      <c r="A28">
        <v>51</v>
      </c>
      <c r="B28" t="s">
        <v>206</v>
      </c>
      <c r="C28" t="s">
        <v>107</v>
      </c>
      <c r="D28">
        <v>2020</v>
      </c>
      <c r="E28">
        <v>1</v>
      </c>
      <c r="F28">
        <v>0.41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3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35">
      <c r="A30">
        <v>52.5</v>
      </c>
      <c r="B30" t="s">
        <v>139</v>
      </c>
      <c r="C30" t="s">
        <v>110</v>
      </c>
      <c r="D30">
        <v>2020</v>
      </c>
      <c r="E30">
        <v>1</v>
      </c>
      <c r="F30">
        <v>0.47</v>
      </c>
      <c r="G30" s="41">
        <v>0.187</v>
      </c>
      <c r="H30">
        <f>L30/J30</f>
        <v>0.5324244604316547</v>
      </c>
      <c r="I30" s="23">
        <f>J30*O30</f>
        <v>1.2509999999999999</v>
      </c>
      <c r="J30" s="39">
        <v>1.39</v>
      </c>
      <c r="K30" s="23">
        <f>E30-G30*I30</f>
        <v>0.76606300000000005</v>
      </c>
      <c r="L30" s="23">
        <f>E30-G30*J30</f>
        <v>0.74007000000000001</v>
      </c>
      <c r="M30" s="24">
        <f>(E30+G30*I30)/F30</f>
        <v>2.6253978723404257</v>
      </c>
      <c r="N30" s="9">
        <f>$F30*(1+((1-$G30)/($H30+$G30))*($I30/$J30))</f>
        <v>0.94801961000000012</v>
      </c>
      <c r="O30" s="42">
        <v>0.9</v>
      </c>
      <c r="Q30" t="s">
        <v>202</v>
      </c>
      <c r="S30">
        <f>ROUND(S29/0.95,0)</f>
        <v>842</v>
      </c>
      <c r="T30">
        <v>4</v>
      </c>
      <c r="U30">
        <v>25000</v>
      </c>
      <c r="V30">
        <v>25</v>
      </c>
      <c r="W30" t="s">
        <v>220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35">
      <c r="A31">
        <v>60</v>
      </c>
      <c r="B31" t="s">
        <v>50</v>
      </c>
      <c r="C31" t="s">
        <v>111</v>
      </c>
      <c r="E31">
        <v>1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S31">
        <v>3000</v>
      </c>
      <c r="T31">
        <v>0</v>
      </c>
      <c r="U31">
        <v>60000</v>
      </c>
      <c r="V31">
        <v>60</v>
      </c>
      <c r="W31" t="s">
        <v>219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35">
      <c r="A32">
        <v>61</v>
      </c>
      <c r="B32" t="s">
        <v>207</v>
      </c>
      <c r="C32" t="s">
        <v>112</v>
      </c>
      <c r="E32">
        <v>1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S32">
        <v>2000</v>
      </c>
      <c r="T32">
        <v>0</v>
      </c>
      <c r="U32">
        <v>20000</v>
      </c>
      <c r="V32">
        <v>60</v>
      </c>
      <c r="W32" t="s">
        <v>219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35">
      <c r="A33">
        <v>63</v>
      </c>
      <c r="B33" t="s">
        <v>53</v>
      </c>
      <c r="C33" t="s">
        <v>113</v>
      </c>
      <c r="E33">
        <v>1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S33">
        <v>2000</v>
      </c>
      <c r="T33">
        <v>0</v>
      </c>
      <c r="U33">
        <v>20000</v>
      </c>
      <c r="V33">
        <v>60</v>
      </c>
      <c r="W33" t="s">
        <v>219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3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35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 s="41">
        <v>0.35</v>
      </c>
      <c r="H35">
        <f>L35/J35</f>
        <v>0.29516129032258065</v>
      </c>
      <c r="I35" s="23">
        <f t="shared" ref="I35" si="4">J35*O35</f>
        <v>1.395</v>
      </c>
      <c r="J35" s="39">
        <v>1.55</v>
      </c>
      <c r="K35" s="23">
        <f t="shared" ref="K35" si="5">E35-G35*I35</f>
        <v>0.51175000000000004</v>
      </c>
      <c r="L35" s="23">
        <f t="shared" ref="L35" si="6">E35-G35*J35</f>
        <v>0.45750000000000002</v>
      </c>
      <c r="M35" s="23">
        <f t="shared" ref="M35" si="7">(E35+G35*I35)/F35</f>
        <v>5.027871621621621</v>
      </c>
      <c r="N35" s="9">
        <f>$F35*(1+((1-$G35)/($H35+$G35))*($I35/$J35))</f>
        <v>0.56439800000000007</v>
      </c>
      <c r="O35" s="42">
        <v>0.9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35">
      <c r="A36">
        <v>100</v>
      </c>
      <c r="B36" t="s">
        <v>208</v>
      </c>
      <c r="C36" t="s">
        <v>116</v>
      </c>
      <c r="D36">
        <v>2020</v>
      </c>
      <c r="E36">
        <v>1</v>
      </c>
      <c r="F36">
        <v>3.6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35">
      <c r="A37">
        <v>101</v>
      </c>
      <c r="B37" t="s">
        <v>209</v>
      </c>
      <c r="C37" t="s">
        <v>210</v>
      </c>
      <c r="D37">
        <v>2020</v>
      </c>
      <c r="E37">
        <v>1</v>
      </c>
      <c r="F37">
        <v>1.71</v>
      </c>
      <c r="G37" t="s">
        <v>153</v>
      </c>
      <c r="H37" t="s">
        <v>153</v>
      </c>
      <c r="I37" s="24" t="s">
        <v>153</v>
      </c>
      <c r="J37" s="24" t="s">
        <v>153</v>
      </c>
      <c r="K37" s="24" t="s">
        <v>153</v>
      </c>
      <c r="L37" s="24" t="s">
        <v>153</v>
      </c>
      <c r="M37" s="24" t="s">
        <v>153</v>
      </c>
      <c r="N37" s="9" t="s">
        <v>153</v>
      </c>
      <c r="O37" t="s">
        <v>153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35">
      <c r="A38">
        <v>102</v>
      </c>
      <c r="B38" t="s">
        <v>211</v>
      </c>
      <c r="C38" t="s">
        <v>212</v>
      </c>
      <c r="D38">
        <v>2020</v>
      </c>
      <c r="E38">
        <v>1</v>
      </c>
      <c r="F38">
        <v>0.99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35">
      <c r="A39">
        <v>44.5</v>
      </c>
      <c r="B39" t="s">
        <v>398</v>
      </c>
      <c r="C39" t="s">
        <v>101</v>
      </c>
      <c r="D39">
        <v>2040</v>
      </c>
      <c r="E39">
        <v>1</v>
      </c>
      <c r="F39">
        <v>0.61</v>
      </c>
      <c r="G39" s="41">
        <v>0.15</v>
      </c>
      <c r="H39">
        <f>L39/J39</f>
        <v>1.2785714285714287</v>
      </c>
      <c r="I39" s="24">
        <f t="shared" ref="I39" si="8">J39*O39</f>
        <v>0.63</v>
      </c>
      <c r="J39" s="40">
        <v>0.7</v>
      </c>
      <c r="K39" s="24">
        <f t="shared" ref="K39" si="9">E39-G39*I39</f>
        <v>0.90549999999999997</v>
      </c>
      <c r="L39" s="24">
        <f t="shared" ref="L39" si="10">E39-G39*J39</f>
        <v>0.89500000000000002</v>
      </c>
      <c r="M39" s="24">
        <f t="shared" ref="M39" si="11">(E39+G39*I39)/F39</f>
        <v>1.7942622950819673</v>
      </c>
      <c r="N39" s="9">
        <f>$F39*(1+((1-$G39)/($H39+$G39))*($I39/$J39))</f>
        <v>0.9366549999999999</v>
      </c>
      <c r="O39" s="42">
        <v>0.9</v>
      </c>
      <c r="P39">
        <v>1</v>
      </c>
      <c r="Q39">
        <v>1</v>
      </c>
      <c r="S39">
        <f>880*1.15</f>
        <v>1011.9999999999999</v>
      </c>
      <c r="T39">
        <v>4.4000000000000004</v>
      </c>
      <c r="U39">
        <v>29300</v>
      </c>
      <c r="V39">
        <v>25</v>
      </c>
      <c r="W39" t="s">
        <v>401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13"/>
  <sheetViews>
    <sheetView workbookViewId="0">
      <selection activeCell="A14" sqref="A14"/>
    </sheetView>
  </sheetViews>
  <sheetFormatPr baseColWidth="10" defaultRowHeight="14.5" x14ac:dyDescent="0.35"/>
  <cols>
    <col min="1" max="1" width="12.453125" style="3" customWidth="1"/>
    <col min="2" max="3" width="11.453125" style="3" customWidth="1"/>
  </cols>
  <sheetData>
    <row r="1" spans="1:6" s="3" customFormat="1" x14ac:dyDescent="0.35">
      <c r="A1" s="13" t="s">
        <v>316</v>
      </c>
      <c r="B1" s="13" t="s">
        <v>57</v>
      </c>
      <c r="C1" s="13" t="s">
        <v>317</v>
      </c>
      <c r="D1" s="13" t="s">
        <v>137</v>
      </c>
      <c r="E1" s="13" t="s">
        <v>138</v>
      </c>
      <c r="F1" s="13" t="s">
        <v>58</v>
      </c>
    </row>
    <row r="2" spans="1:6" x14ac:dyDescent="0.35">
      <c r="A2" t="s">
        <v>115</v>
      </c>
      <c r="B2" s="3" t="s">
        <v>59</v>
      </c>
      <c r="C2" s="3" t="s">
        <v>132</v>
      </c>
      <c r="D2">
        <f>tech_full!E35</f>
        <v>1</v>
      </c>
      <c r="E2">
        <v>0</v>
      </c>
      <c r="F2">
        <f>D2+tech_full!$G35*E2</f>
        <v>1</v>
      </c>
    </row>
    <row r="3" spans="1:6" x14ac:dyDescent="0.35">
      <c r="A3" t="s">
        <v>115</v>
      </c>
      <c r="B3" s="3" t="s">
        <v>60</v>
      </c>
      <c r="C3" s="3" t="s">
        <v>132</v>
      </c>
      <c r="D3" s="23">
        <f>tech_full!K35</f>
        <v>0.51175000000000004</v>
      </c>
      <c r="E3" s="23">
        <f>tech_full!I35</f>
        <v>1.395</v>
      </c>
      <c r="F3">
        <f>D3+tech_full!$G35*E3</f>
        <v>1</v>
      </c>
    </row>
    <row r="4" spans="1:6" x14ac:dyDescent="0.35">
      <c r="A4" t="s">
        <v>115</v>
      </c>
      <c r="B4" s="3" t="s">
        <v>61</v>
      </c>
      <c r="C4" s="3" t="s">
        <v>132</v>
      </c>
      <c r="D4">
        <f>tech_full!H35*tech_full!I35</f>
        <v>0.41175</v>
      </c>
      <c r="E4" s="23">
        <f>tech_full!I35</f>
        <v>1.395</v>
      </c>
      <c r="F4">
        <f>D4+tech_full!$G35*E4</f>
        <v>0.89999999999999991</v>
      </c>
    </row>
    <row r="5" spans="1:6" x14ac:dyDescent="0.35">
      <c r="A5" t="s">
        <v>115</v>
      </c>
      <c r="B5" s="3" t="s">
        <v>62</v>
      </c>
      <c r="C5" s="3" t="s">
        <v>132</v>
      </c>
      <c r="D5">
        <v>0</v>
      </c>
      <c r="E5">
        <v>0</v>
      </c>
      <c r="F5">
        <v>0</v>
      </c>
    </row>
    <row r="6" spans="1:6" x14ac:dyDescent="0.35">
      <c r="A6" s="38" t="s">
        <v>351</v>
      </c>
      <c r="B6" s="3" t="s">
        <v>59</v>
      </c>
      <c r="C6" s="3" t="s">
        <v>132</v>
      </c>
      <c r="D6">
        <v>0</v>
      </c>
      <c r="E6">
        <v>1</v>
      </c>
      <c r="F6">
        <v>1</v>
      </c>
    </row>
    <row r="7" spans="1:6" x14ac:dyDescent="0.35">
      <c r="A7" s="38" t="s">
        <v>351</v>
      </c>
      <c r="B7" s="3" t="s">
        <v>60</v>
      </c>
      <c r="C7" s="3" t="s">
        <v>132</v>
      </c>
      <c r="D7">
        <v>0</v>
      </c>
      <c r="E7">
        <v>0.66</v>
      </c>
      <c r="F7">
        <v>0.66</v>
      </c>
    </row>
    <row r="8" spans="1:6" x14ac:dyDescent="0.35">
      <c r="A8" s="38" t="s">
        <v>351</v>
      </c>
      <c r="B8" s="3" t="s">
        <v>61</v>
      </c>
      <c r="C8" s="3" t="s">
        <v>132</v>
      </c>
      <c r="D8">
        <v>0</v>
      </c>
      <c r="E8">
        <v>0.33</v>
      </c>
      <c r="F8">
        <v>0.33</v>
      </c>
    </row>
    <row r="9" spans="1:6" x14ac:dyDescent="0.35">
      <c r="A9" s="38" t="s">
        <v>351</v>
      </c>
      <c r="B9" s="3" t="s">
        <v>62</v>
      </c>
      <c r="C9" s="3" t="s">
        <v>132</v>
      </c>
      <c r="D9">
        <v>0</v>
      </c>
      <c r="E9">
        <v>0</v>
      </c>
      <c r="F9">
        <v>0</v>
      </c>
    </row>
    <row r="10" spans="1:6" x14ac:dyDescent="0.35">
      <c r="A10" t="s">
        <v>422</v>
      </c>
      <c r="B10" s="3" t="s">
        <v>59</v>
      </c>
      <c r="C10" s="3" t="s">
        <v>400</v>
      </c>
      <c r="D10">
        <f>tech_full!E39</f>
        <v>1</v>
      </c>
      <c r="E10">
        <v>0</v>
      </c>
      <c r="F10">
        <v>1</v>
      </c>
    </row>
    <row r="11" spans="1:6" x14ac:dyDescent="0.35">
      <c r="A11" t="s">
        <v>422</v>
      </c>
      <c r="B11" s="3" t="s">
        <v>60</v>
      </c>
      <c r="C11" s="3" t="s">
        <v>400</v>
      </c>
      <c r="D11" s="23">
        <f>tech_full!K39</f>
        <v>0.90549999999999997</v>
      </c>
      <c r="E11">
        <v>0.63</v>
      </c>
      <c r="F11">
        <v>1</v>
      </c>
    </row>
    <row r="12" spans="1:6" x14ac:dyDescent="0.35">
      <c r="A12" t="s">
        <v>422</v>
      </c>
      <c r="B12" s="3" t="s">
        <v>61</v>
      </c>
      <c r="C12" s="3" t="s">
        <v>400</v>
      </c>
      <c r="D12">
        <f>tech_full!H39*tech_full!I39</f>
        <v>0.8055000000000001</v>
      </c>
      <c r="E12">
        <v>0.63</v>
      </c>
      <c r="F12">
        <v>0.90000000000000013</v>
      </c>
    </row>
    <row r="13" spans="1:6" x14ac:dyDescent="0.35">
      <c r="A13" t="s">
        <v>422</v>
      </c>
      <c r="B13" s="3" t="s">
        <v>62</v>
      </c>
      <c r="C13" s="3" t="s">
        <v>400</v>
      </c>
      <c r="D13">
        <v>0</v>
      </c>
      <c r="E13">
        <v>0</v>
      </c>
      <c r="F13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2" sqref="A12"/>
    </sheetView>
  </sheetViews>
  <sheetFormatPr baseColWidth="10" defaultRowHeight="14.5" x14ac:dyDescent="0.35"/>
  <cols>
    <col min="4" max="4" width="40.1796875" bestFit="1" customWidth="1"/>
  </cols>
  <sheetData>
    <row r="1" spans="1:5" x14ac:dyDescent="0.35">
      <c r="A1" s="2" t="s">
        <v>58</v>
      </c>
      <c r="B1" s="2" t="s">
        <v>254</v>
      </c>
      <c r="C1" s="2" t="s">
        <v>244</v>
      </c>
      <c r="D1" s="2" t="s">
        <v>243</v>
      </c>
      <c r="E1" s="2" t="s">
        <v>242</v>
      </c>
    </row>
    <row r="2" spans="1:5" x14ac:dyDescent="0.35">
      <c r="A2" t="s">
        <v>20</v>
      </c>
      <c r="B2">
        <v>0.27</v>
      </c>
      <c r="C2">
        <v>0</v>
      </c>
      <c r="D2" t="s">
        <v>253</v>
      </c>
      <c r="E2" t="s">
        <v>241</v>
      </c>
    </row>
    <row r="3" spans="1:5" x14ac:dyDescent="0.35">
      <c r="A3" t="s">
        <v>128</v>
      </c>
      <c r="B3">
        <v>4.0599999999999996</v>
      </c>
      <c r="C3">
        <v>0</v>
      </c>
      <c r="D3" t="s">
        <v>249</v>
      </c>
      <c r="E3" t="s">
        <v>240</v>
      </c>
    </row>
    <row r="4" spans="1:5" x14ac:dyDescent="0.35">
      <c r="A4" t="s">
        <v>129</v>
      </c>
      <c r="B4">
        <v>6.12</v>
      </c>
      <c r="C4">
        <v>0</v>
      </c>
      <c r="D4" t="s">
        <v>250</v>
      </c>
      <c r="E4" t="s">
        <v>240</v>
      </c>
    </row>
    <row r="5" spans="1:5" x14ac:dyDescent="0.35">
      <c r="A5" t="s">
        <v>130</v>
      </c>
      <c r="B5">
        <v>2.36</v>
      </c>
      <c r="C5">
        <v>0</v>
      </c>
      <c r="D5" t="s">
        <v>251</v>
      </c>
      <c r="E5" t="s">
        <v>240</v>
      </c>
    </row>
    <row r="6" spans="1:5" x14ac:dyDescent="0.35">
      <c r="A6" t="s">
        <v>131</v>
      </c>
      <c r="B6">
        <f>(B5+B3)/2</f>
        <v>3.21</v>
      </c>
      <c r="C6">
        <v>0</v>
      </c>
      <c r="D6" t="s">
        <v>247</v>
      </c>
      <c r="E6">
        <v>8</v>
      </c>
    </row>
    <row r="7" spans="1:5" x14ac:dyDescent="0.35">
      <c r="A7" t="s">
        <v>283</v>
      </c>
      <c r="B7">
        <v>0</v>
      </c>
      <c r="C7">
        <v>0</v>
      </c>
      <c r="D7" t="s">
        <v>248</v>
      </c>
      <c r="E7">
        <v>8</v>
      </c>
    </row>
    <row r="8" spans="1:5" x14ac:dyDescent="0.35">
      <c r="A8" t="s">
        <v>132</v>
      </c>
      <c r="B8">
        <v>4.04</v>
      </c>
      <c r="C8">
        <v>0</v>
      </c>
      <c r="D8" t="s">
        <v>252</v>
      </c>
      <c r="E8" t="s">
        <v>239</v>
      </c>
    </row>
    <row r="9" spans="1:5" x14ac:dyDescent="0.35">
      <c r="A9" t="s">
        <v>133</v>
      </c>
      <c r="B9">
        <v>0</v>
      </c>
      <c r="C9">
        <v>5028</v>
      </c>
      <c r="D9" t="s">
        <v>246</v>
      </c>
      <c r="E9" t="s">
        <v>237</v>
      </c>
    </row>
    <row r="10" spans="1:5" x14ac:dyDescent="0.35">
      <c r="A10" t="s">
        <v>134</v>
      </c>
      <c r="B10">
        <v>0</v>
      </c>
      <c r="C10">
        <v>2831</v>
      </c>
      <c r="D10" t="s">
        <v>245</v>
      </c>
      <c r="E10" t="s">
        <v>238</v>
      </c>
    </row>
    <row r="11" spans="1:5" x14ac:dyDescent="0.35">
      <c r="A11" t="s">
        <v>366</v>
      </c>
      <c r="B11">
        <v>0</v>
      </c>
      <c r="C11">
        <v>0</v>
      </c>
      <c r="D11" t="s">
        <v>248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Sources</vt:lpstr>
      <vt:lpstr>legend</vt:lpstr>
      <vt:lpstr>Capacities</vt:lpstr>
      <vt:lpstr>Technologies (3)</vt:lpstr>
      <vt:lpstr>Technologies</vt:lpstr>
      <vt:lpstr>Technologies (2)</vt:lpstr>
      <vt:lpstr>tech_full</vt:lpstr>
      <vt:lpstr>FEASIBLE_INPUT-OUTPUT</vt:lpstr>
      <vt:lpstr>AIR_POLLUTION</vt:lpstr>
      <vt:lpstr>ATC</vt:lpstr>
      <vt:lpstr>ATC_el</vt:lpstr>
      <vt:lpstr>KM</vt:lpstr>
      <vt:lpstr>COST_TRANSPORT</vt:lpstr>
      <vt:lpstr>VALUE_NSE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Simon B</cp:lastModifiedBy>
  <dcterms:created xsi:type="dcterms:W3CDTF">2019-06-03T11:56:14Z</dcterms:created>
  <dcterms:modified xsi:type="dcterms:W3CDTF">2022-12-16T11:43:08Z</dcterms:modified>
</cp:coreProperties>
</file>