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Internet - Software Services\"/>
    </mc:Choice>
  </mc:AlternateContent>
  <xr:revisionPtr revIDLastSave="0" documentId="13_ncr:1_{ED3F1178-D8D4-4D4C-AFDF-D0245AB00D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Model!$B$15</definedName>
    <definedName name="_xlchart.v1.1" hidden="1">Model!$B$16</definedName>
    <definedName name="_xlchart.v1.2" hidden="1">Model!$K$15:$W$15</definedName>
    <definedName name="_xlchart.v1.3" hidden="1">Model!$K$16:$W$16</definedName>
    <definedName name="_xlchart.v1.4" hidden="1">Model!$K$2:$W$2</definedName>
    <definedName name="_xlchart.v1.5" hidden="1">Model!$B$3</definedName>
    <definedName name="_xlchart.v1.6" hidden="1">Model!$B$4</definedName>
    <definedName name="_xlchart.v1.7" hidden="1">Model!$K$2:$W$2</definedName>
    <definedName name="_xlchart.v1.8" hidden="1">Model!$K$3:$W$3</definedName>
    <definedName name="_xlchart.v1.9" hidden="1">Model!$K$4:$W$4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3" i="1"/>
  <c r="C32" i="1"/>
  <c r="C31" i="1"/>
  <c r="C30" i="1"/>
  <c r="C29" i="1"/>
  <c r="C27" i="1"/>
  <c r="C25" i="1"/>
  <c r="C24" i="1"/>
  <c r="C23" i="1"/>
  <c r="C22" i="1"/>
  <c r="C21" i="1"/>
  <c r="C20" i="1"/>
  <c r="C17" i="1"/>
  <c r="C16" i="1"/>
  <c r="C15" i="1"/>
  <c r="C14" i="1"/>
  <c r="C13" i="1"/>
  <c r="C10" i="1"/>
  <c r="C9" i="1"/>
  <c r="C7" i="1"/>
  <c r="C28" i="2"/>
  <c r="D28" i="2"/>
  <c r="F28" i="2"/>
  <c r="E28" i="2"/>
  <c r="C21" i="2"/>
  <c r="C22" i="2"/>
  <c r="D22" i="2"/>
  <c r="E22" i="2"/>
  <c r="E21" i="2"/>
  <c r="D21" i="2"/>
  <c r="E20" i="2"/>
  <c r="D20" i="2"/>
  <c r="C20" i="2"/>
  <c r="F22" i="2"/>
  <c r="F21" i="2"/>
  <c r="F20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25" i="2"/>
  <c r="P9" i="2"/>
  <c r="P11" i="2" s="1"/>
  <c r="P13" i="2" s="1"/>
  <c r="Q9" i="2"/>
  <c r="Q11" i="2" s="1"/>
  <c r="Q13" i="2" s="1"/>
  <c r="L9" i="2"/>
  <c r="L11" i="2" s="1"/>
  <c r="L13" i="2" s="1"/>
  <c r="M9" i="2"/>
  <c r="M11" i="2" s="1"/>
  <c r="M13" i="2" s="1"/>
  <c r="N9" i="2"/>
  <c r="N11" i="2" s="1"/>
  <c r="N13" i="2" s="1"/>
  <c r="O9" i="2"/>
  <c r="O11" i="2" s="1"/>
  <c r="O13" i="2" s="1"/>
  <c r="R9" i="2"/>
  <c r="R11" i="2" s="1"/>
  <c r="R13" i="2" s="1"/>
  <c r="S9" i="2"/>
  <c r="S11" i="2" s="1"/>
  <c r="S13" i="2" s="1"/>
  <c r="T9" i="2"/>
  <c r="T11" i="2" s="1"/>
  <c r="T13" i="2" s="1"/>
  <c r="U9" i="2"/>
  <c r="U11" i="2" s="1"/>
  <c r="U13" i="2" s="1"/>
  <c r="V9" i="2"/>
  <c r="V11" i="2" s="1"/>
  <c r="V13" i="2" s="1"/>
  <c r="W9" i="2"/>
  <c r="W11" i="2" s="1"/>
  <c r="W13" i="2" s="1"/>
  <c r="X9" i="2"/>
  <c r="X11" i="2" s="1"/>
  <c r="X13" i="2" s="1"/>
  <c r="K9" i="2"/>
  <c r="K11" i="2" s="1"/>
  <c r="K13" i="2" s="1"/>
  <c r="G9" i="2"/>
  <c r="G11" i="2" s="1"/>
  <c r="H9" i="2"/>
  <c r="H11" i="2" s="1"/>
  <c r="L28" i="2"/>
  <c r="M28" i="2"/>
  <c r="N28" i="2"/>
  <c r="O28" i="2"/>
  <c r="P28" i="2"/>
  <c r="Q28" i="2"/>
  <c r="R28" i="2"/>
  <c r="S28" i="2"/>
  <c r="T28" i="2"/>
  <c r="U28" i="2"/>
  <c r="V28" i="2"/>
  <c r="K28" i="2"/>
  <c r="V22" i="2"/>
  <c r="U22" i="2"/>
  <c r="T22" i="2"/>
  <c r="S22" i="2"/>
  <c r="R22" i="2"/>
  <c r="Q22" i="2"/>
  <c r="P22" i="2"/>
  <c r="O22" i="2"/>
  <c r="N22" i="2"/>
  <c r="M22" i="2"/>
  <c r="L22" i="2"/>
  <c r="K22" i="2"/>
  <c r="V21" i="2"/>
  <c r="U21" i="2"/>
  <c r="T21" i="2"/>
  <c r="S21" i="2"/>
  <c r="R21" i="2"/>
  <c r="Q21" i="2"/>
  <c r="P21" i="2"/>
  <c r="O21" i="2"/>
  <c r="N21" i="2"/>
  <c r="M21" i="2"/>
  <c r="L21" i="2"/>
  <c r="K21" i="2"/>
  <c r="C8" i="1" l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1" i="2" s="1"/>
  <c r="C13" i="2" s="1"/>
  <c r="D9" i="2"/>
  <c r="D11" i="2" s="1"/>
  <c r="D13" i="2" s="1"/>
  <c r="E9" i="2"/>
  <c r="E11" i="2" s="1"/>
  <c r="E13" i="2" s="1"/>
  <c r="F9" i="2"/>
  <c r="F11" i="2" s="1"/>
  <c r="F13" i="2" s="1"/>
  <c r="L18" i="2"/>
  <c r="M18" i="2"/>
  <c r="N18" i="2"/>
  <c r="K17" i="2"/>
  <c r="L17" i="2"/>
  <c r="M17" i="2"/>
  <c r="N17" i="2"/>
  <c r="O17" i="2"/>
  <c r="P17" i="2"/>
  <c r="Q17" i="2"/>
  <c r="R17" i="2"/>
  <c r="S17" i="2"/>
  <c r="T17" i="2"/>
  <c r="U17" i="2"/>
  <c r="V17" i="2"/>
  <c r="O19" i="2"/>
  <c r="P19" i="2"/>
  <c r="Q19" i="2"/>
  <c r="R19" i="2"/>
  <c r="S19" i="2"/>
  <c r="T19" i="2"/>
  <c r="U19" i="2"/>
  <c r="V19" i="2"/>
  <c r="W19" i="2"/>
  <c r="X19" i="2"/>
  <c r="K20" i="2"/>
  <c r="L20" i="2"/>
  <c r="M20" i="2"/>
  <c r="N20" i="2"/>
  <c r="O20" i="2"/>
  <c r="P20" i="2"/>
  <c r="Q20" i="2"/>
  <c r="R20" i="2"/>
  <c r="S20" i="2"/>
  <c r="T20" i="2"/>
  <c r="U20" i="2"/>
  <c r="V20" i="2"/>
  <c r="K36" i="2"/>
  <c r="K44" i="2" s="1"/>
  <c r="L36" i="2"/>
  <c r="L44" i="2" s="1"/>
  <c r="M36" i="2"/>
  <c r="M44" i="2" s="1"/>
  <c r="N36" i="2"/>
  <c r="N44" i="2" s="1"/>
  <c r="O36" i="2"/>
  <c r="O44" i="2" s="1"/>
  <c r="P36" i="2"/>
  <c r="P44" i="2" s="1"/>
  <c r="Q36" i="2"/>
  <c r="Q44" i="2" s="1"/>
  <c r="R36" i="2"/>
  <c r="R44" i="2" s="1"/>
  <c r="S36" i="2"/>
  <c r="S44" i="2" s="1"/>
  <c r="T36" i="2"/>
  <c r="T44" i="2" s="1"/>
  <c r="U36" i="2"/>
  <c r="U44" i="2" s="1"/>
  <c r="V36" i="2"/>
  <c r="V44" i="2" s="1"/>
  <c r="K51" i="2"/>
  <c r="K56" i="2" s="1"/>
  <c r="L51" i="2"/>
  <c r="L56" i="2" s="1"/>
  <c r="M51" i="2"/>
  <c r="M56" i="2" s="1"/>
  <c r="N51" i="2"/>
  <c r="N56" i="2" s="1"/>
  <c r="O51" i="2"/>
  <c r="O56" i="2" s="1"/>
  <c r="P51" i="2"/>
  <c r="P56" i="2" s="1"/>
  <c r="Q51" i="2"/>
  <c r="Q56" i="2" s="1"/>
  <c r="R51" i="2"/>
  <c r="R56" i="2" s="1"/>
  <c r="S51" i="2"/>
  <c r="S56" i="2" s="1"/>
  <c r="T51" i="2"/>
  <c r="T56" i="2" s="1"/>
  <c r="U51" i="2"/>
  <c r="U56" i="2" s="1"/>
  <c r="V51" i="2"/>
  <c r="V56" i="2" s="1"/>
  <c r="C36" i="2"/>
  <c r="C44" i="2" s="1"/>
  <c r="D36" i="2"/>
  <c r="D44" i="2" s="1"/>
  <c r="H18" i="2"/>
  <c r="G18" i="2"/>
  <c r="H19" i="2"/>
  <c r="R57" i="2" l="1"/>
  <c r="V57" i="2"/>
  <c r="N57" i="2"/>
  <c r="U57" i="2"/>
  <c r="M57" i="2"/>
  <c r="T57" i="2"/>
  <c r="L57" i="2"/>
  <c r="S57" i="2"/>
  <c r="K57" i="2"/>
  <c r="P57" i="2"/>
  <c r="Q57" i="2"/>
  <c r="O57" i="2"/>
  <c r="K11" i="5"/>
  <c r="K18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S18" i="2"/>
  <c r="W25" i="2"/>
  <c r="S25" i="2"/>
  <c r="O18" i="2"/>
  <c r="R18" i="2"/>
  <c r="R25" i="2"/>
  <c r="V25" i="2"/>
  <c r="V18" i="2"/>
  <c r="U25" i="2"/>
  <c r="U18" i="2"/>
  <c r="T18" i="2"/>
  <c r="T25" i="2"/>
  <c r="Q25" i="2"/>
  <c r="Q18" i="2"/>
  <c r="P25" i="2"/>
  <c r="P18" i="2"/>
  <c r="G19" i="2"/>
  <c r="E17" i="2"/>
  <c r="D17" i="2"/>
  <c r="C17" i="2"/>
  <c r="F17" i="2"/>
  <c r="F19" i="2"/>
  <c r="F51" i="2"/>
  <c r="F56" i="2" s="1"/>
  <c r="F36" i="2"/>
  <c r="F44" i="2" s="1"/>
  <c r="D19" i="2"/>
  <c r="E19" i="2"/>
  <c r="C51" i="2"/>
  <c r="C56" i="2" s="1"/>
  <c r="C57" i="2" s="1"/>
  <c r="D51" i="2"/>
  <c r="E36" i="2"/>
  <c r="E44" i="2" s="1"/>
  <c r="F57" i="2" l="1"/>
  <c r="O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E51" i="2"/>
  <c r="E56" i="2" s="1"/>
  <c r="E57" i="2" s="1"/>
  <c r="D56" i="2"/>
  <c r="D57" i="2" s="1"/>
  <c r="C18" i="1" l="1"/>
  <c r="D15" i="2"/>
  <c r="C18" i="2"/>
  <c r="F25" i="2"/>
  <c r="F15" i="2"/>
  <c r="G25" i="2" s="1"/>
  <c r="F18" i="2"/>
  <c r="D18" i="2" l="1"/>
  <c r="E25" i="2"/>
  <c r="E15" i="2"/>
  <c r="D25" i="2"/>
  <c r="C15" i="2"/>
  <c r="E18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<sst xmlns="http://schemas.openxmlformats.org/spreadsheetml/2006/main" count="242" uniqueCount="202">
  <si>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</si>
  <si>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</si>
  <si>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</si>
  <si>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</si>
  <si>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</si>
  <si>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</si>
  <si>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</si>
  <si>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</si>
  <si>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</si>
  <si>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</si>
  <si>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</si>
  <si>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</si>
  <si>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</si>
  <si>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</si>
  <si>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</si>
  <si>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</si>
  <si>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</si>
  <si>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</si>
  <si>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</si>
  <si>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</si>
  <si>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</si>
  <si>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</si>
  <si>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</si>
  <si>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</si>
  <si>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</si>
  <si>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</si>
  <si>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</si>
  <si>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</si>
  <si>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</si>
  <si>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</si>
  <si>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</si>
  <si>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</si>
  <si>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</si>
  <si>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</si>
  <si>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</si>
  <si>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</si>
  <si>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</si>
  <si>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</si>
  <si>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</si>
  <si>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</si>
  <si>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</si>
  <si>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</si>
  <si>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</si>
  <si>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</si>
  <si>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</si>
  <si>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</si>
  <si>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</si>
  <si>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</si>
  <si>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</si>
  <si>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</si>
  <si>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</si>
  <si>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</si>
  <si>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</si>
  <si>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</si>
  <si>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</si>
  <si>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</si>
  <si>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</si>
  <si>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</si>
  <si>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</si>
  <si>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</si>
  <si>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</si>
  <si>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</si>
  <si>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</si>
  <si>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</si>
  <si>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</si>
  <si>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</si>
  <si>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</si>
  <si>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</si>
  <si>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</si>
  <si>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</si>
  <si>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</si>
  <si>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</si>
  <si>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</si>
  <si>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</si>
  <si>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</si>
  <si>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</si>
  <si>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</si>
  <si>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</si>
  <si>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</si>
  <si>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Intangible Asset</t>
  </si>
  <si>
    <t>Long term debt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</si>
  <si>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</si>
  <si>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</si>
  <si>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</si>
  <si>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</si>
  <si>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</si>
  <si>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</si>
  <si>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</si>
  <si>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</si>
  <si>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</si>
  <si>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</si>
  <si>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</si>
  <si>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</si>
  <si>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</si>
  <si>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</si>
  <si>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</si>
  <si>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</si>
  <si>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</si>
  <si>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</si>
  <si>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</si>
  <si>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</si>
  <si>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</si>
  <si>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</si>
  <si>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</si>
  <si>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</si>
  <si>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</si>
  <si>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</si>
  <si>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</si>
  <si>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</si>
  <si>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</si>
  <si>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</si>
  <si>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</si>
  <si>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</si>
  <si>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</si>
  <si>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</si>
  <si>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</si>
  <si>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</si>
  <si>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</si>
  <si>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</si>
  <si>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</si>
  <si>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</si>
  <si>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</si>
  <si>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</si>
  <si>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</si>
  <si>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</si>
  <si>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</si>
  <si>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</si>
  <si>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</si>
  <si>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</si>
  <si>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</si>
  <si>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</si>
  <si>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</si>
  <si>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</si>
  <si>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</si>
  <si>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</si>
  <si>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</si>
  <si>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</si>
  <si>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</si>
  <si>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</si>
  <si>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</si>
  <si>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RDDT</t>
  </si>
  <si>
    <t>Mr. Steven Ladd Huffman</t>
  </si>
  <si>
    <t>Co-Founder, CEO, President &amp; Director</t>
  </si>
  <si>
    <t>Mr. Andrew Vollero</t>
  </si>
  <si>
    <t>Chief Financial Officer</t>
  </si>
  <si>
    <t>Ms. Jennifer L. Wong</t>
  </si>
  <si>
    <t>Chief Operating Officer</t>
  </si>
  <si>
    <t>Ms. Michelle Reynolds</t>
  </si>
  <si>
    <t>Chief Accounting Officer</t>
  </si>
  <si>
    <t>Dr. Christopher Slowe Ph.D.</t>
  </si>
  <si>
    <t>Chief Technology Officer</t>
  </si>
  <si>
    <t>Mr. Fredrick Lee</t>
  </si>
  <si>
    <t>Chief Information Security Officer</t>
  </si>
  <si>
    <t>Mr. Benjamin Lee</t>
  </si>
  <si>
    <t>Chief Legal Officer &amp; Corporate Secretary</t>
  </si>
  <si>
    <t>Ms. Roxy Young</t>
  </si>
  <si>
    <t>Chief Marketing &amp; Consumer Experience Officer</t>
  </si>
  <si>
    <t>Ms. Nellie Peshkov</t>
  </si>
  <si>
    <t>Chief People Officer</t>
  </si>
  <si>
    <t>Mr. Justin Bassett</t>
  </si>
  <si>
    <t>Head of Rounding-Up</t>
  </si>
  <si>
    <t>Holder</t>
  </si>
  <si>
    <t>Date Reported</t>
  </si>
  <si>
    <t>Value</t>
  </si>
  <si>
    <t>Congress Park Capital LLC</t>
  </si>
  <si>
    <t>5.66k</t>
  </si>
  <si>
    <t>Mar 31, 2024</t>
  </si>
  <si>
    <t>0.00%</t>
  </si>
  <si>
    <t>CenterStar Asset Management, LLC</t>
  </si>
  <si>
    <t>11.37k</t>
  </si>
  <si>
    <t>ARK Investment Management, LLC</t>
  </si>
  <si>
    <t>10.05k</t>
  </si>
  <si>
    <t>Raymond James Financial Services Advisors, Inc.</t>
  </si>
  <si>
    <t>41.71k</t>
  </si>
  <si>
    <t>1,945,911</t>
  </si>
  <si>
    <t>Raymond James &amp; Associates, Inc.</t>
  </si>
  <si>
    <t>5.29k</t>
  </si>
  <si>
    <t>Seven Grand Managers, LLC</t>
  </si>
  <si>
    <t>20k</t>
  </si>
  <si>
    <t>DekaBank Deutsche Girozentrale</t>
  </si>
  <si>
    <t>149.3k</t>
  </si>
  <si>
    <t>6,964,845</t>
  </si>
  <si>
    <t>Simplex Trading, LLC</t>
  </si>
  <si>
    <t>50.03k</t>
  </si>
  <si>
    <t>2,334,039</t>
  </si>
  <si>
    <t>Commonwealth Equity Services, LLC</t>
  </si>
  <si>
    <t>22.53k</t>
  </si>
  <si>
    <t>1,050,837</t>
  </si>
  <si>
    <t>Bank Of New York Mellon Corporation</t>
  </si>
  <si>
    <t>1.51M</t>
  </si>
  <si>
    <t>70,456,476</t>
  </si>
  <si>
    <t>Other Short-term Investments</t>
  </si>
  <si>
    <t>Accrued Receivables</t>
  </si>
  <si>
    <t>Other Receivables</t>
  </si>
  <si>
    <t>Investments</t>
  </si>
  <si>
    <t>Deferred assets non-current</t>
  </si>
  <si>
    <t>Accrued Expense</t>
  </si>
  <si>
    <t>Current Debt</t>
  </si>
  <si>
    <t>Deferred liabilities</t>
  </si>
  <si>
    <t>Trade</t>
  </si>
  <si>
    <t>Preferred Securities outside</t>
  </si>
  <si>
    <t>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</si>
</sst>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5" fillId="11" borderId="0" xfId="0" applyFont="1" applyFill="1" applyAlignment="1">
      <alignment horizontal="left" vertical="center"/>
    </xf>
    <xf numFmtId="0" fontId="15" fillId="11" borderId="0" xfId="0" applyFont="1" applyFill="1" applyAlignment="1">
      <alignment horizontal="right" vertical="center"/>
    </xf>
    <xf numFmtId="0" fontId="16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right" vertical="center"/>
    </xf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2" fillId="0" borderId="0" xfId="0" applyNumberFormat="1" applyFont="1" applyBorder="1"/>
    <xf numFmtId="9" fontId="0" fillId="0" borderId="0" xfId="0" applyNumberFormat="1" applyBorder="1"/>
    <xf numFmtId="3" fontId="0" fillId="6" borderId="0" xfId="0" applyNumberFormat="1" applyFill="1"/>
    <xf numFmtId="2" fontId="2" fillId="6" borderId="0" xfId="0" applyNumberFormat="1" applyFont="1" applyFill="1" applyAlignment="1">
      <alignment horizontal="right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Model!$K$19:$W$19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  <c:pt idx="0">
                  <c:v>228.90799999999999</c:v>
                </c:pt>
                <c:pt idx="1">
                  <c:v>484.916</c:v>
                </c:pt>
                <c:pt idx="2">
                  <c:v>666.70100000000002</c:v>
                </c:pt>
                <c:pt idx="3">
                  <c:v>804.029</c:v>
                </c:pt>
                <c:pt idx="4">
                  <c:v>985.98</c:v>
                </c:pt>
                <c:pt idx="5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Model!$C$19:$H$19</c:f>
              <c:numCache>
                <c:formatCode>0%</c:formatCode>
                <c:ptCount val="6"/>
                <c:pt idx="1">
                  <c:v>1.118388173414647</c:v>
                </c:pt>
                <c:pt idx="2">
                  <c:v>0.37487936054904369</c:v>
                </c:pt>
                <c:pt idx="3">
                  <c:v>0.205981391958314</c:v>
                </c:pt>
                <c:pt idx="4">
                  <c:v>0.22629905140237483</c:v>
                </c:pt>
                <c:pt idx="5">
                  <c:v>0.22720541998823496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Model!$K$13:$W$13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Model!$K$17:$W$17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Model!$C$13:$H$13</c:f>
              <c:numCache>
                <c:formatCode>#,##0</c:formatCode>
                <c:ptCount val="6"/>
                <c:pt idx="0">
                  <c:v>-59.172999999999988</c:v>
                </c:pt>
                <c:pt idx="1">
                  <c:v>-127.89600000000003</c:v>
                </c:pt>
                <c:pt idx="2">
                  <c:v>-158.55000000000004</c:v>
                </c:pt>
                <c:pt idx="3">
                  <c:v>-90.824000000000055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-1.1613911750291526</c:v>
                </c:pt>
                <c:pt idx="2">
                  <c:v>0.23967911428035271</c:v>
                </c:pt>
                <c:pt idx="3">
                  <c:v>-0.42715862503941959</c:v>
                </c:pt>
                <c:pt idx="4">
                  <c:v>-1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Model!$K$20:$U$20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Model!$K$21:$V$21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Model!$K$22:$V$22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Model!$C$20:$F$20</c:f>
              <c:numCache>
                <c:formatCode>0%</c:formatCode>
                <c:ptCount val="4"/>
                <c:pt idx="0">
                  <c:v>0.32937249899522952</c:v>
                </c:pt>
                <c:pt idx="1">
                  <c:v>0.2843110971797177</c:v>
                </c:pt>
                <c:pt idx="2">
                  <c:v>0.33759961361989854</c:v>
                </c:pt>
                <c:pt idx="3">
                  <c:v>0.28627698752159436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Model!$C$21:$F$21</c:f>
              <c:numCache>
                <c:formatCode>0%</c:formatCode>
                <c:ptCount val="4"/>
                <c:pt idx="0">
                  <c:v>0.19010694252712881</c:v>
                </c:pt>
                <c:pt idx="1">
                  <c:v>0.29844756617640994</c:v>
                </c:pt>
                <c:pt idx="2">
                  <c:v>0.21572189032264838</c:v>
                </c:pt>
                <c:pt idx="3">
                  <c:v>0.20479112071828254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Model!$C$22:$F$22</c:f>
              <c:numCache>
                <c:formatCode>0%</c:formatCode>
                <c:ptCount val="4"/>
                <c:pt idx="0">
                  <c:v>0.5134202386985165</c:v>
                </c:pt>
                <c:pt idx="1">
                  <c:v>0.52993714375273249</c:v>
                </c:pt>
                <c:pt idx="2">
                  <c:v>0.54771779253368447</c:v>
                </c:pt>
                <c:pt idx="3">
                  <c:v>0.54518680296357469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5"/>
  <sheetViews>
    <sheetView tabSelected="1" workbookViewId="0">
      <selection activeCell="E28" sqref="E2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140</v>
      </c>
      <c r="C2" s="19"/>
      <c r="E2" s="24" t="s">
        <v>50</v>
      </c>
      <c r="F2" s="62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45413</v>
      </c>
      <c r="E3" s="5"/>
      <c r="F3" s="28"/>
      <c r="I3" s="10"/>
      <c r="J3" s="39"/>
      <c r="L3" s="5" t="s">
        <v>141</v>
      </c>
      <c r="M3" t="s">
        <v>142</v>
      </c>
      <c r="N3" s="38"/>
    </row>
    <row r="4" spans="2:14" x14ac:dyDescent="0.25">
      <c r="B4" s="5"/>
      <c r="C4" s="21">
        <v>0.69166666666666665</v>
      </c>
      <c r="E4" s="5"/>
      <c r="F4" s="28"/>
      <c r="I4" s="10"/>
      <c r="J4" s="39"/>
      <c r="L4" s="5" t="s">
        <v>143</v>
      </c>
      <c r="M4" t="s">
        <v>144</v>
      </c>
      <c r="N4" s="13"/>
    </row>
    <row r="5" spans="2:14" x14ac:dyDescent="0.25">
      <c r="B5" s="5"/>
      <c r="C5" s="13"/>
      <c r="E5" s="5"/>
      <c r="F5" s="28"/>
      <c r="I5" s="10"/>
      <c r="J5" s="39"/>
      <c r="L5" s="5" t="s">
        <v>145</v>
      </c>
      <c r="M5" t="s">
        <v>146</v>
      </c>
      <c r="N5" s="13"/>
    </row>
    <row r="6" spans="2:14" x14ac:dyDescent="0.25">
      <c r="B6" s="5" t="s">
        <v>0</v>
      </c>
      <c r="C6" s="13">
        <v>46.49</v>
      </c>
      <c r="E6" s="5"/>
      <c r="F6" s="28"/>
      <c r="I6" s="10"/>
      <c r="J6" s="39"/>
      <c r="L6" s="5" t="s">
        <v>147</v>
      </c>
      <c r="M6" t="s">
        <v>148</v>
      </c>
      <c r="N6" s="13"/>
    </row>
    <row r="7" spans="2:14" x14ac:dyDescent="0.25">
      <c r="B7" s="5" t="s">
        <v>1</v>
      </c>
      <c r="C7" s="15">
        <f>Model!F14</f>
        <v>158.98356999999999</v>
      </c>
      <c r="E7" s="5"/>
      <c r="F7" s="28"/>
      <c r="I7" s="10"/>
      <c r="J7" s="39"/>
      <c r="L7" s="5" t="s">
        <v>149</v>
      </c>
      <c r="M7" t="s">
        <v>150</v>
      </c>
      <c r="N7" s="13"/>
    </row>
    <row r="8" spans="2:14" x14ac:dyDescent="0.25">
      <c r="B8" s="5" t="s">
        <v>2</v>
      </c>
      <c r="C8" s="15">
        <f>C6*C7</f>
        <v>7391.1461693000001</v>
      </c>
      <c r="E8" s="5"/>
      <c r="F8" s="28"/>
      <c r="I8" s="10"/>
      <c r="J8" s="39"/>
      <c r="L8" s="5" t="s">
        <v>151</v>
      </c>
      <c r="M8" t="s">
        <v>152</v>
      </c>
      <c r="N8" s="13"/>
    </row>
    <row r="9" spans="2:14" x14ac:dyDescent="0.25">
      <c r="B9" s="5" t="s">
        <v>3</v>
      </c>
      <c r="C9" s="15">
        <f>Model!F29+Model!F30</f>
        <v>1213.1220000000001</v>
      </c>
      <c r="E9" s="5"/>
      <c r="F9" s="28"/>
      <c r="I9" s="10"/>
      <c r="J9" s="39"/>
      <c r="L9" s="5" t="s">
        <v>153</v>
      </c>
      <c r="M9" t="s">
        <v>154</v>
      </c>
      <c r="N9" s="13"/>
    </row>
    <row r="10" spans="2:14" x14ac:dyDescent="0.25">
      <c r="B10" s="5" t="s">
        <v>4</v>
      </c>
      <c r="C10" s="15">
        <f>Model!F48+Model!F52+Model!F54</f>
        <v>1879.239</v>
      </c>
      <c r="E10" s="5"/>
      <c r="F10" s="28"/>
      <c r="I10" s="10"/>
      <c r="J10" s="39"/>
      <c r="L10" s="5" t="s">
        <v>155</v>
      </c>
      <c r="M10" t="s">
        <v>156</v>
      </c>
      <c r="N10" s="13"/>
    </row>
    <row r="11" spans="2:14" x14ac:dyDescent="0.25">
      <c r="B11" s="5" t="s">
        <v>38</v>
      </c>
      <c r="C11" s="15">
        <f>C9-C10</f>
        <v>-666.11699999999996</v>
      </c>
      <c r="E11" s="5"/>
      <c r="F11" s="28"/>
      <c r="I11" s="10"/>
      <c r="J11" s="39"/>
      <c r="L11" s="5" t="s">
        <v>157</v>
      </c>
      <c r="M11" t="s">
        <v>158</v>
      </c>
      <c r="N11" s="13"/>
    </row>
    <row r="12" spans="2:14" x14ac:dyDescent="0.25">
      <c r="B12" s="5" t="s">
        <v>5</v>
      </c>
      <c r="C12" s="15">
        <f>C8-C9+C10</f>
        <v>8057.2631693000003</v>
      </c>
      <c r="E12" s="5"/>
      <c r="F12" s="28"/>
      <c r="J12" s="13"/>
      <c r="L12" s="5" t="s">
        <v>159</v>
      </c>
      <c r="M12" t="s">
        <v>160</v>
      </c>
      <c r="N12" s="13"/>
    </row>
    <row r="13" spans="2:14" x14ac:dyDescent="0.25">
      <c r="B13" s="5" t="s">
        <v>49</v>
      </c>
      <c r="C13" s="36">
        <f>C6/Model!F15</f>
        <v>-81.378778398881295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C6/Model!G16</f>
        <v>-7.0761035007610351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C6/Model!H16</f>
        <v>-39.398305084745765</v>
      </c>
    </row>
    <row r="16" spans="2:14" x14ac:dyDescent="0.25">
      <c r="B16" s="5" t="s">
        <v>45</v>
      </c>
      <c r="C16" s="6">
        <f>Model!G16/Model!F15-1</f>
        <v>10.500507078525493</v>
      </c>
    </row>
    <row r="17" spans="2:14" x14ac:dyDescent="0.25">
      <c r="B17" s="5" t="s">
        <v>46</v>
      </c>
      <c r="C17" s="6">
        <f>Model!H16/Model!G16-1</f>
        <v>-0.82039573820395739</v>
      </c>
      <c r="E17" s="33" t="s">
        <v>56</v>
      </c>
      <c r="L17" s="126"/>
      <c r="M17" s="127"/>
      <c r="N17" s="128"/>
    </row>
    <row r="18" spans="2:14" x14ac:dyDescent="0.25">
      <c r="B18" s="5" t="s">
        <v>71</v>
      </c>
      <c r="C18" s="52">
        <f>C14/(C16*100)</f>
        <v>-6.7388207520304617E-3</v>
      </c>
      <c r="L18" s="129"/>
      <c r="M18" s="130"/>
      <c r="N18" s="131"/>
    </row>
    <row r="19" spans="2:14" x14ac:dyDescent="0.25">
      <c r="B19" s="5" t="s">
        <v>72</v>
      </c>
      <c r="C19" s="52">
        <f>C15/(C17*100)</f>
        <v>0.48023536995691957</v>
      </c>
      <c r="L19" s="129"/>
      <c r="M19" s="130"/>
      <c r="N19" s="131"/>
    </row>
    <row r="20" spans="2:14" x14ac:dyDescent="0.25">
      <c r="B20" s="5" t="s">
        <v>83</v>
      </c>
      <c r="C20" s="6">
        <f>Model!G4/Model!F3-1</f>
        <v>0.22629905140237483</v>
      </c>
      <c r="L20" s="129"/>
      <c r="M20" s="130"/>
      <c r="N20" s="131"/>
    </row>
    <row r="21" spans="2:14" x14ac:dyDescent="0.25">
      <c r="B21" s="5" t="s">
        <v>84</v>
      </c>
      <c r="C21" s="6">
        <f>Model!H4/Model!G4-1</f>
        <v>0.22720541998823496</v>
      </c>
      <c r="L21" s="129"/>
      <c r="M21" s="130"/>
      <c r="N21" s="131"/>
    </row>
    <row r="22" spans="2:14" x14ac:dyDescent="0.25">
      <c r="B22" s="5" t="s">
        <v>73</v>
      </c>
      <c r="C22" s="15">
        <f>Model!F11</f>
        <v>-87.023000000000053</v>
      </c>
      <c r="L22" s="129"/>
      <c r="M22" s="130"/>
      <c r="N22" s="131"/>
    </row>
    <row r="23" spans="2:14" x14ac:dyDescent="0.25">
      <c r="B23" s="5" t="s">
        <v>19</v>
      </c>
      <c r="C23" s="15">
        <f>Model!F11</f>
        <v>-87.023000000000053</v>
      </c>
      <c r="L23" s="129"/>
      <c r="M23" s="130"/>
      <c r="N23" s="131"/>
    </row>
    <row r="24" spans="2:14" x14ac:dyDescent="0.25">
      <c r="B24" s="5" t="s">
        <v>31</v>
      </c>
      <c r="C24" s="7">
        <f>Model!F17</f>
        <v>0.86193159699463573</v>
      </c>
      <c r="L24" s="129"/>
      <c r="M24" s="130"/>
      <c r="N24" s="131"/>
    </row>
    <row r="25" spans="2:14" x14ac:dyDescent="0.25">
      <c r="B25" s="5" t="s">
        <v>32</v>
      </c>
      <c r="C25" s="7">
        <f>Model!F18</f>
        <v>-0.11296109966182818</v>
      </c>
      <c r="L25" s="129"/>
      <c r="M25" s="130"/>
      <c r="N25" s="131"/>
    </row>
    <row r="26" spans="2:14" x14ac:dyDescent="0.25">
      <c r="B26" s="5" t="s">
        <v>74</v>
      </c>
      <c r="C26" s="36">
        <f>C12/C23</f>
        <v>-92.587743117336743</v>
      </c>
      <c r="L26" s="129"/>
      <c r="M26" s="130"/>
      <c r="N26" s="131"/>
    </row>
    <row r="27" spans="2:14" x14ac:dyDescent="0.25">
      <c r="B27" s="5" t="s">
        <v>85</v>
      </c>
      <c r="C27" s="122">
        <f>Main!C10/Model!F57</f>
        <v>-4.5510750214326166</v>
      </c>
      <c r="E27" t="s">
        <v>76</v>
      </c>
      <c r="L27" s="129"/>
      <c r="M27" s="130"/>
      <c r="N27" s="131"/>
    </row>
    <row r="28" spans="2:14" x14ac:dyDescent="0.25">
      <c r="B28" s="5" t="s">
        <v>86</v>
      </c>
      <c r="C28" s="36"/>
      <c r="L28" s="132"/>
      <c r="M28" s="133"/>
      <c r="N28" s="134"/>
    </row>
    <row r="29" spans="2:14" x14ac:dyDescent="0.25">
      <c r="B29" s="5" t="s">
        <v>87</v>
      </c>
      <c r="C29" s="36">
        <f>Model!F36/Model!F51</f>
        <v>11.077989069401811</v>
      </c>
    </row>
    <row r="30" spans="2:14" x14ac:dyDescent="0.25">
      <c r="B30" s="5" t="s">
        <v>88</v>
      </c>
      <c r="C30" s="36">
        <f>(Model!F29+Model!F30+Model!F31)/Model!F51</f>
        <v>10.918626937186495</v>
      </c>
    </row>
    <row r="31" spans="2:14" x14ac:dyDescent="0.25">
      <c r="B31" s="5" t="s">
        <v>89</v>
      </c>
      <c r="C31" s="6">
        <f>(Model!F36-Model!F51)/Model!F44</f>
        <v>0.84318498284023424</v>
      </c>
    </row>
    <row r="32" spans="2:14" x14ac:dyDescent="0.25">
      <c r="B32" s="5" t="s">
        <v>90</v>
      </c>
      <c r="C32" s="36">
        <f>(Model!F36-Model!F56)/Main!C7</f>
        <v>-3.3318034058487935</v>
      </c>
    </row>
    <row r="33" spans="2:9" x14ac:dyDescent="0.25">
      <c r="B33" s="5" t="s">
        <v>91</v>
      </c>
      <c r="C33" s="36">
        <f>Model!F3/Model!F44</f>
        <v>0.5036302034429776</v>
      </c>
    </row>
    <row r="34" spans="2:9" x14ac:dyDescent="0.25">
      <c r="B34" s="5" t="s">
        <v>92</v>
      </c>
      <c r="C34" s="39">
        <f>Model!F13/Model!F44</f>
        <v>-5.6890621603829003E-2</v>
      </c>
    </row>
    <row r="35" spans="2:9" x14ac:dyDescent="0.25">
      <c r="B35" s="5" t="s">
        <v>93</v>
      </c>
      <c r="C35" s="39">
        <f>Model!F13/Model!F57</f>
        <v>0.21995437394955947</v>
      </c>
    </row>
    <row r="36" spans="2:9" x14ac:dyDescent="0.25">
      <c r="B36" s="22" t="s">
        <v>94</v>
      </c>
      <c r="C36" s="23"/>
    </row>
    <row r="41" spans="2:9" x14ac:dyDescent="0.25">
      <c r="E41" s="60"/>
      <c r="F41" s="60"/>
      <c r="G41" s="61"/>
      <c r="H41" s="61"/>
      <c r="I41" s="61"/>
    </row>
    <row r="42" spans="2:9" x14ac:dyDescent="0.25">
      <c r="E42" s="60"/>
      <c r="F42" s="60"/>
      <c r="G42" s="61"/>
      <c r="H42" s="61"/>
      <c r="I42" s="61"/>
    </row>
    <row r="43" spans="2:9" x14ac:dyDescent="0.25">
      <c r="E43" s="60"/>
      <c r="F43" s="60"/>
      <c r="G43" s="61"/>
      <c r="H43" s="61"/>
      <c r="I43" s="61"/>
    </row>
    <row r="44" spans="2:9" x14ac:dyDescent="0.25">
      <c r="E44" s="60"/>
      <c r="F44" s="60"/>
      <c r="G44" s="61"/>
      <c r="H44" s="61"/>
      <c r="I44" s="61"/>
    </row>
    <row r="45" spans="2:9" x14ac:dyDescent="0.25">
      <c r="E45" s="145" t="s">
        <v>161</v>
      </c>
      <c r="F45" s="146" t="s">
        <v>1</v>
      </c>
      <c r="G45" s="146" t="s">
        <v>162</v>
      </c>
      <c r="H45" s="146" t="s">
        <v>51</v>
      </c>
      <c r="I45" s="146" t="s">
        <v>163</v>
      </c>
    </row>
    <row r="46" spans="2:9" x14ac:dyDescent="0.25">
      <c r="E46" s="147" t="s">
        <v>164</v>
      </c>
      <c r="F46" s="148" t="s">
        <v>165</v>
      </c>
      <c r="G46" s="148" t="s">
        <v>166</v>
      </c>
      <c r="H46" s="148" t="s">
        <v>167</v>
      </c>
      <c r="I46" s="148">
        <v>264.22500000000002</v>
      </c>
    </row>
    <row r="47" spans="2:9" x14ac:dyDescent="0.25">
      <c r="E47" s="147" t="s">
        <v>168</v>
      </c>
      <c r="F47" s="148" t="s">
        <v>169</v>
      </c>
      <c r="G47" s="148" t="s">
        <v>166</v>
      </c>
      <c r="H47" s="148" t="s">
        <v>167</v>
      </c>
      <c r="I47" s="148">
        <v>530.45699999999999</v>
      </c>
    </row>
    <row r="48" spans="2:9" x14ac:dyDescent="0.25">
      <c r="E48" s="147" t="s">
        <v>170</v>
      </c>
      <c r="F48" s="148" t="s">
        <v>171</v>
      </c>
      <c r="G48" s="148" t="s">
        <v>166</v>
      </c>
      <c r="H48" s="148" t="s">
        <v>167</v>
      </c>
      <c r="I48" s="148">
        <v>468.87900000000002</v>
      </c>
    </row>
    <row r="49" spans="5:9" x14ac:dyDescent="0.25">
      <c r="E49" s="147" t="s">
        <v>172</v>
      </c>
      <c r="F49" s="148" t="s">
        <v>173</v>
      </c>
      <c r="G49" s="148" t="s">
        <v>166</v>
      </c>
      <c r="H49" s="148" t="s">
        <v>167</v>
      </c>
      <c r="I49" s="148" t="s">
        <v>174</v>
      </c>
    </row>
    <row r="50" spans="5:9" x14ac:dyDescent="0.25">
      <c r="E50" s="147" t="s">
        <v>175</v>
      </c>
      <c r="F50" s="148" t="s">
        <v>176</v>
      </c>
      <c r="G50" s="148" t="s">
        <v>166</v>
      </c>
      <c r="H50" s="148" t="s">
        <v>167</v>
      </c>
      <c r="I50" s="148">
        <v>246.77799999999999</v>
      </c>
    </row>
    <row r="51" spans="5:9" x14ac:dyDescent="0.25">
      <c r="E51" s="147" t="s">
        <v>177</v>
      </c>
      <c r="F51" s="148" t="s">
        <v>178</v>
      </c>
      <c r="G51" s="148" t="s">
        <v>166</v>
      </c>
      <c r="H51" s="148" t="s">
        <v>167</v>
      </c>
      <c r="I51" s="148">
        <v>933</v>
      </c>
    </row>
    <row r="52" spans="5:9" x14ac:dyDescent="0.25">
      <c r="E52" s="147" t="s">
        <v>179</v>
      </c>
      <c r="F52" s="148" t="s">
        <v>180</v>
      </c>
      <c r="G52" s="148" t="s">
        <v>166</v>
      </c>
      <c r="H52" s="148" t="s">
        <v>167</v>
      </c>
      <c r="I52" s="148" t="s">
        <v>181</v>
      </c>
    </row>
    <row r="53" spans="5:9" x14ac:dyDescent="0.25">
      <c r="E53" s="147" t="s">
        <v>182</v>
      </c>
      <c r="F53" s="148" t="s">
        <v>183</v>
      </c>
      <c r="G53" s="148" t="s">
        <v>166</v>
      </c>
      <c r="H53" s="148" t="s">
        <v>167</v>
      </c>
      <c r="I53" s="148" t="s">
        <v>184</v>
      </c>
    </row>
    <row r="54" spans="5:9" x14ac:dyDescent="0.25">
      <c r="E54" s="147" t="s">
        <v>185</v>
      </c>
      <c r="F54" s="148" t="s">
        <v>186</v>
      </c>
      <c r="G54" s="148" t="s">
        <v>166</v>
      </c>
      <c r="H54" s="148" t="s">
        <v>167</v>
      </c>
      <c r="I54" s="148" t="s">
        <v>187</v>
      </c>
    </row>
    <row r="55" spans="5:9" x14ac:dyDescent="0.25">
      <c r="E55" s="147" t="s">
        <v>188</v>
      </c>
      <c r="F55" s="148" t="s">
        <v>189</v>
      </c>
      <c r="G55" s="148" t="s">
        <v>166</v>
      </c>
      <c r="H55" s="148" t="s">
        <v>167</v>
      </c>
      <c r="I55" s="148" t="s">
        <v>190</v>
      </c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8"/>
  <sheetViews>
    <sheetView zoomScaleNormal="100" workbookViewId="0">
      <pane xSplit="2" ySplit="2" topLeftCell="C27" activePane="bottomRight" state="frozen"/>
      <selection pane="topRight" activeCell="B1" sqref="B1"/>
      <selection pane="bottomLeft" activeCell="A3" sqref="A3"/>
      <selection pane="bottomRight" activeCell="W5" sqref="W5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2" max="22" width="11.42578125" style="13"/>
  </cols>
  <sheetData>
    <row r="1" spans="1:24" x14ac:dyDescent="0.25">
      <c r="A1" s="8" t="s">
        <v>39</v>
      </c>
    </row>
    <row r="2" spans="1:24" x14ac:dyDescent="0.25">
      <c r="C2" t="s">
        <v>18</v>
      </c>
      <c r="D2" t="s">
        <v>14</v>
      </c>
      <c r="E2" t="s">
        <v>15</v>
      </c>
      <c r="F2" s="13" t="s">
        <v>16</v>
      </c>
      <c r="G2" t="s">
        <v>34</v>
      </c>
      <c r="H2" t="s">
        <v>70</v>
      </c>
      <c r="K2" t="s">
        <v>35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37</v>
      </c>
      <c r="U2" t="s">
        <v>41</v>
      </c>
      <c r="V2" s="13" t="s">
        <v>42</v>
      </c>
      <c r="W2" t="s">
        <v>65</v>
      </c>
      <c r="X2" t="s">
        <v>69</v>
      </c>
    </row>
    <row r="3" spans="1:24" s="149" customFormat="1" x14ac:dyDescent="0.25">
      <c r="B3" s="149" t="s">
        <v>17</v>
      </c>
      <c r="C3" s="150">
        <v>228.90799999999999</v>
      </c>
      <c r="D3" s="150">
        <v>484.916</v>
      </c>
      <c r="E3" s="150">
        <v>666.70100000000002</v>
      </c>
      <c r="F3" s="151">
        <v>804.029</v>
      </c>
      <c r="G3" s="41">
        <v>985.98</v>
      </c>
      <c r="H3" s="41">
        <v>1210</v>
      </c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  <c r="W3" s="150"/>
    </row>
    <row r="4" spans="1:24" x14ac:dyDescent="0.25">
      <c r="B4" s="9" t="s">
        <v>67</v>
      </c>
      <c r="C4" s="10"/>
      <c r="D4" s="10"/>
      <c r="E4" s="10"/>
      <c r="F4" s="15"/>
      <c r="G4" s="43">
        <v>985.98</v>
      </c>
      <c r="H4" s="43">
        <v>1210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15"/>
      <c r="W4" s="154">
        <v>212.83</v>
      </c>
      <c r="X4" s="43">
        <v>223.3</v>
      </c>
    </row>
    <row r="5" spans="1:24" s="149" customFormat="1" x14ac:dyDescent="0.25">
      <c r="B5" s="149" t="s">
        <v>61</v>
      </c>
      <c r="C5" s="150">
        <v>55.026000000000003</v>
      </c>
      <c r="D5" s="150">
        <v>72.564999999999998</v>
      </c>
      <c r="E5" s="150">
        <v>104.79900000000001</v>
      </c>
      <c r="F5" s="151">
        <v>111.011</v>
      </c>
      <c r="G5" s="150"/>
      <c r="H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1"/>
      <c r="W5" s="150"/>
      <c r="X5" s="150"/>
    </row>
    <row r="6" spans="1:24" x14ac:dyDescent="0.25">
      <c r="B6" t="s">
        <v>62</v>
      </c>
      <c r="C6" s="10">
        <v>75.396000000000001</v>
      </c>
      <c r="D6" s="10">
        <v>137.86699999999999</v>
      </c>
      <c r="E6" s="10">
        <v>225.078</v>
      </c>
      <c r="F6" s="15">
        <v>230.17500000000001</v>
      </c>
      <c r="G6" s="41"/>
      <c r="H6" s="4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5"/>
    </row>
    <row r="7" spans="1:24" x14ac:dyDescent="0.25">
      <c r="B7" t="s">
        <v>139</v>
      </c>
      <c r="C7" s="10">
        <v>43.517000000000003</v>
      </c>
      <c r="D7" s="10">
        <v>144.72200000000001</v>
      </c>
      <c r="E7" s="10">
        <v>143.822</v>
      </c>
      <c r="F7" s="15">
        <v>164.65799999999999</v>
      </c>
      <c r="G7" s="41"/>
      <c r="H7" s="41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5"/>
    </row>
    <row r="8" spans="1:24" x14ac:dyDescent="0.25">
      <c r="B8" t="s">
        <v>75</v>
      </c>
      <c r="C8" s="10">
        <v>117.526</v>
      </c>
      <c r="D8" s="10">
        <v>256.97500000000002</v>
      </c>
      <c r="E8" s="10">
        <v>365.16399999999999</v>
      </c>
      <c r="F8" s="15">
        <v>438.346</v>
      </c>
      <c r="G8" s="10"/>
      <c r="H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5"/>
    </row>
    <row r="9" spans="1:24" s="1" customFormat="1" x14ac:dyDescent="0.25">
      <c r="B9" s="1" t="s">
        <v>23</v>
      </c>
      <c r="C9" s="11">
        <f>C3-SUM(C5:C8)</f>
        <v>-62.556999999999988</v>
      </c>
      <c r="D9" s="11">
        <f>D3-SUM(D5:D8)</f>
        <v>-127.21300000000002</v>
      </c>
      <c r="E9" s="11">
        <f>E3-SUM(E5:E8)</f>
        <v>-172.16200000000003</v>
      </c>
      <c r="F9" s="14">
        <f>F3-SUM(F5:F8)</f>
        <v>-140.16100000000006</v>
      </c>
      <c r="G9" s="11">
        <f>G3-SUM(G5:G8)</f>
        <v>985.98</v>
      </c>
      <c r="H9" s="11">
        <f>H3-SUM(H5:H8)</f>
        <v>1210</v>
      </c>
      <c r="I9" s="11"/>
      <c r="J9" s="11"/>
      <c r="K9" s="11">
        <f>K3-SUM(K5:K8)</f>
        <v>0</v>
      </c>
      <c r="L9" s="11">
        <f>L3-SUM(L5:L8)</f>
        <v>0</v>
      </c>
      <c r="M9" s="11">
        <f>M3-SUM(M5:M8)</f>
        <v>0</v>
      </c>
      <c r="N9" s="11">
        <f>N3-SUM(N5:N8)</f>
        <v>0</v>
      </c>
      <c r="O9" s="11">
        <f>O3-SUM(O5:O8)</f>
        <v>0</v>
      </c>
      <c r="P9" s="11">
        <f>P3-SUM(P5:P8)</f>
        <v>0</v>
      </c>
      <c r="Q9" s="11">
        <f>Q3-SUM(Q5:Q8)</f>
        <v>0</v>
      </c>
      <c r="R9" s="11">
        <f>R3-SUM(R5:R8)</f>
        <v>0</v>
      </c>
      <c r="S9" s="11">
        <f>S3-SUM(S5:S8)</f>
        <v>0</v>
      </c>
      <c r="T9" s="11">
        <f>T3-SUM(T5:T8)</f>
        <v>0</v>
      </c>
      <c r="U9" s="11">
        <f>U3-SUM(U5:U8)</f>
        <v>0</v>
      </c>
      <c r="V9" s="14">
        <f>V3-SUM(V5:V8)</f>
        <v>0</v>
      </c>
      <c r="W9" s="11">
        <f>W3-SUM(W5:W8)</f>
        <v>0</v>
      </c>
      <c r="X9" s="11">
        <f>X3-SUM(X5:X8)</f>
        <v>0</v>
      </c>
    </row>
    <row r="10" spans="1:24" x14ac:dyDescent="0.25">
      <c r="B10" t="s">
        <v>26</v>
      </c>
      <c r="C10" s="10">
        <v>3.4860000000000002</v>
      </c>
      <c r="D10" s="10">
        <v>-0.34300000000000003</v>
      </c>
      <c r="E10" s="10">
        <v>14.234</v>
      </c>
      <c r="F10" s="15">
        <v>53.137999999999998</v>
      </c>
      <c r="G10" s="41"/>
      <c r="H10" s="4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5"/>
    </row>
    <row r="11" spans="1:24" s="1" customFormat="1" x14ac:dyDescent="0.25">
      <c r="B11" s="1" t="s">
        <v>19</v>
      </c>
      <c r="C11" s="11">
        <f>C9+SUM(C10:C10)</f>
        <v>-59.070999999999991</v>
      </c>
      <c r="D11" s="11">
        <f>D9+SUM(D10:D10)</f>
        <v>-127.55600000000003</v>
      </c>
      <c r="E11" s="11">
        <f>E9+SUM(E10:E10)</f>
        <v>-157.92800000000003</v>
      </c>
      <c r="F11" s="14">
        <f>F9+SUM(F10:F10)</f>
        <v>-87.023000000000053</v>
      </c>
      <c r="G11" s="11">
        <f>G9+SUM(G10:G10)</f>
        <v>985.98</v>
      </c>
      <c r="H11" s="11">
        <f>H9+SUM(H10:H10)</f>
        <v>1210</v>
      </c>
      <c r="K11" s="11">
        <f>K9+SUM(K10:K10)</f>
        <v>0</v>
      </c>
      <c r="L11" s="11">
        <f>L9+SUM(L10:L10)</f>
        <v>0</v>
      </c>
      <c r="M11" s="11">
        <f>M9+SUM(M10:M10)</f>
        <v>0</v>
      </c>
      <c r="N11" s="11">
        <f>N9+SUM(N10:N10)</f>
        <v>0</v>
      </c>
      <c r="O11" s="11">
        <f>O9+SUM(O10:O10)</f>
        <v>0</v>
      </c>
      <c r="P11" s="11">
        <f>P9+SUM(P10:P10)</f>
        <v>0</v>
      </c>
      <c r="Q11" s="11">
        <f>Q9+SUM(Q10:Q10)</f>
        <v>0</v>
      </c>
      <c r="R11" s="11">
        <f>R9+SUM(R10:R10)</f>
        <v>0</v>
      </c>
      <c r="S11" s="11">
        <f>S9+SUM(S10:S10)</f>
        <v>0</v>
      </c>
      <c r="T11" s="11">
        <f>T9+SUM(T10:T10)</f>
        <v>0</v>
      </c>
      <c r="U11" s="11">
        <f>U9+SUM(U10:U10)</f>
        <v>0</v>
      </c>
      <c r="V11" s="14">
        <f>V9+SUM(V10:V10)</f>
        <v>0</v>
      </c>
      <c r="W11" s="11">
        <f>W9+SUM(W10:W10)</f>
        <v>0</v>
      </c>
      <c r="X11" s="11">
        <f>X9+SUM(X10:X10)</f>
        <v>0</v>
      </c>
    </row>
    <row r="12" spans="1:24" x14ac:dyDescent="0.25">
      <c r="B12" t="s">
        <v>20</v>
      </c>
      <c r="C12" s="10">
        <v>0.10199999999999999</v>
      </c>
      <c r="D12" s="10">
        <v>0.34</v>
      </c>
      <c r="E12" s="10">
        <v>0.622</v>
      </c>
      <c r="F12" s="15">
        <v>3.8010000000000002</v>
      </c>
      <c r="G12" s="41"/>
      <c r="H12" s="4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4" s="1" customFormat="1" x14ac:dyDescent="0.25">
      <c r="B13" s="1" t="s">
        <v>21</v>
      </c>
      <c r="C13" s="11">
        <f>C11-SUM(C12:C12)</f>
        <v>-59.172999999999988</v>
      </c>
      <c r="D13" s="11">
        <f>D11-SUM(D12:D12)</f>
        <v>-127.89600000000003</v>
      </c>
      <c r="E13" s="11">
        <f>E11-SUM(E12:E12)</f>
        <v>-158.55000000000004</v>
      </c>
      <c r="F13" s="14">
        <f>F11-SUM(F12:F12)</f>
        <v>-90.824000000000055</v>
      </c>
      <c r="G13" s="59"/>
      <c r="H13" s="59"/>
      <c r="K13" s="11">
        <f>K11-SUM(K12:K12)</f>
        <v>0</v>
      </c>
      <c r="L13" s="11">
        <f>L11-SUM(L12:L12)</f>
        <v>0</v>
      </c>
      <c r="M13" s="11">
        <f>M11-SUM(M12:M12)</f>
        <v>0</v>
      </c>
      <c r="N13" s="11">
        <f>N11-SUM(N12:N12)</f>
        <v>0</v>
      </c>
      <c r="O13" s="11">
        <f>O11-SUM(O12:O12)</f>
        <v>0</v>
      </c>
      <c r="P13" s="11">
        <f>P11-SUM(P12:P12)</f>
        <v>0</v>
      </c>
      <c r="Q13" s="11">
        <f>Q11-SUM(Q12:Q12)</f>
        <v>0</v>
      </c>
      <c r="R13" s="11">
        <f>R11-SUM(R12:R12)</f>
        <v>0</v>
      </c>
      <c r="S13" s="11">
        <f>S11-SUM(S12:S12)</f>
        <v>0</v>
      </c>
      <c r="T13" s="11">
        <f>T11-SUM(T12:T12)</f>
        <v>0</v>
      </c>
      <c r="U13" s="11">
        <f>U11-SUM(U12:U12)</f>
        <v>0</v>
      </c>
      <c r="V13" s="14">
        <f>V11-SUM(V12:V12)</f>
        <v>0</v>
      </c>
      <c r="W13" s="11">
        <f>W11-SUM(W12:W12)</f>
        <v>0</v>
      </c>
      <c r="X13" s="11">
        <f>X11-SUM(X12:X12)</f>
        <v>0</v>
      </c>
    </row>
    <row r="14" spans="1:24" x14ac:dyDescent="0.25">
      <c r="B14" t="s">
        <v>1</v>
      </c>
      <c r="C14" s="10">
        <v>158.98356999999999</v>
      </c>
      <c r="D14" s="10">
        <v>158.98356999999999</v>
      </c>
      <c r="E14" s="10">
        <v>158.98356999999999</v>
      </c>
      <c r="F14" s="15">
        <v>158.98356999999999</v>
      </c>
      <c r="G14" s="41"/>
      <c r="H14" s="4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  <c r="W14" s="10"/>
      <c r="X14" s="10"/>
    </row>
    <row r="15" spans="1:24" s="1" customFormat="1" x14ac:dyDescent="0.25">
      <c r="B15" s="1" t="s">
        <v>22</v>
      </c>
      <c r="C15" s="2">
        <f>C13/C14</f>
        <v>-0.37219569292600485</v>
      </c>
      <c r="D15" s="2">
        <f>D13/D14</f>
        <v>-0.80446048607412723</v>
      </c>
      <c r="E15" s="2">
        <f>E13/E14</f>
        <v>-0.99727286284991623</v>
      </c>
      <c r="F15" s="55">
        <f>F13/F14</f>
        <v>-0.57127915796582041</v>
      </c>
      <c r="G15" s="56"/>
      <c r="H15" s="5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49"/>
      <c r="W15" s="50"/>
      <c r="X15" s="50"/>
    </row>
    <row r="16" spans="1:24" s="1" customFormat="1" x14ac:dyDescent="0.25">
      <c r="B16" s="9" t="s">
        <v>66</v>
      </c>
      <c r="C16" s="2"/>
      <c r="D16" s="2"/>
      <c r="E16" s="2"/>
      <c r="F16" s="35"/>
      <c r="G16" s="44">
        <v>-6.57</v>
      </c>
      <c r="H16" s="45">
        <v>-1.18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49"/>
      <c r="W16" s="155">
        <v>-8.7100000000000009</v>
      </c>
      <c r="X16" s="155">
        <v>-0.51</v>
      </c>
    </row>
    <row r="17" spans="2:24" s="1" customFormat="1" x14ac:dyDescent="0.25">
      <c r="B17" t="s">
        <v>31</v>
      </c>
      <c r="C17" s="3">
        <f>1-C5/C3</f>
        <v>0.7596152165935659</v>
      </c>
      <c r="D17" s="3">
        <f>1-D5/D3</f>
        <v>0.85035552549307503</v>
      </c>
      <c r="E17" s="3">
        <f>1-E5/E3</f>
        <v>0.84280959530584176</v>
      </c>
      <c r="F17" s="6">
        <f>1-F5/F3</f>
        <v>0.86193159699463573</v>
      </c>
      <c r="G17" s="46"/>
      <c r="H17" s="46"/>
      <c r="K17" s="3" t="e">
        <f>1-K5/K3</f>
        <v>#DIV/0!</v>
      </c>
      <c r="L17" s="3" t="e">
        <f>1-L5/L3</f>
        <v>#DIV/0!</v>
      </c>
      <c r="M17" s="3" t="e">
        <f>1-M5/M3</f>
        <v>#DIV/0!</v>
      </c>
      <c r="N17" s="3" t="e">
        <f>1-N5/N3</f>
        <v>#DIV/0!</v>
      </c>
      <c r="O17" s="3" t="e">
        <f>1-O5/O3</f>
        <v>#DIV/0!</v>
      </c>
      <c r="P17" s="3" t="e">
        <f>1-P5/P3</f>
        <v>#DIV/0!</v>
      </c>
      <c r="Q17" s="3" t="e">
        <f>1-Q5/Q3</f>
        <v>#DIV/0!</v>
      </c>
      <c r="R17" s="3" t="e">
        <f>1-R5/R3</f>
        <v>#DIV/0!</v>
      </c>
      <c r="S17" s="3" t="e">
        <f>1-S5/S3</f>
        <v>#DIV/0!</v>
      </c>
      <c r="T17" s="3" t="e">
        <f>1-T5/T3</f>
        <v>#DIV/0!</v>
      </c>
      <c r="U17" s="3" t="e">
        <f>1-U5/U3</f>
        <v>#DIV/0!</v>
      </c>
      <c r="V17" s="6" t="e">
        <f>1-V5/V3</f>
        <v>#DIV/0!</v>
      </c>
    </row>
    <row r="18" spans="2:24" x14ac:dyDescent="0.25">
      <c r="B18" t="s">
        <v>32</v>
      </c>
      <c r="C18" s="4">
        <f>C13/C3</f>
        <v>-0.25850123193597424</v>
      </c>
      <c r="D18" s="4">
        <f>D13/D3</f>
        <v>-0.26374877298336213</v>
      </c>
      <c r="E18" s="4">
        <f>E13/E3</f>
        <v>-0.23781275264323892</v>
      </c>
      <c r="F18" s="7">
        <f>F13/F3</f>
        <v>-0.11296109966182818</v>
      </c>
      <c r="G18" s="47">
        <f>G13/G4</f>
        <v>0</v>
      </c>
      <c r="H18" s="47">
        <f>H13/H4</f>
        <v>0</v>
      </c>
      <c r="K18" s="4" t="e">
        <f>K13/K3</f>
        <v>#DIV/0!</v>
      </c>
      <c r="L18" s="4" t="e">
        <f>L13/L3</f>
        <v>#DIV/0!</v>
      </c>
      <c r="M18" s="4" t="e">
        <f>M13/M3</f>
        <v>#DIV/0!</v>
      </c>
      <c r="N18" s="4" t="e">
        <f>N13/N3</f>
        <v>#DIV/0!</v>
      </c>
      <c r="O18" s="4" t="e">
        <f>O13/O3</f>
        <v>#DIV/0!</v>
      </c>
      <c r="P18" s="4" t="e">
        <f>P13/P3</f>
        <v>#DIV/0!</v>
      </c>
      <c r="Q18" s="4" t="e">
        <f>Q13/Q3</f>
        <v>#DIV/0!</v>
      </c>
      <c r="R18" s="4" t="e">
        <f>R13/R3</f>
        <v>#DIV/0!</v>
      </c>
      <c r="S18" s="4" t="e">
        <f>S13/S3</f>
        <v>#DIV/0!</v>
      </c>
      <c r="T18" s="4" t="e">
        <f>T13/T3</f>
        <v>#DIV/0!</v>
      </c>
      <c r="U18" s="4" t="e">
        <f>U13/U3</f>
        <v>#DIV/0!</v>
      </c>
      <c r="V18" s="7" t="e">
        <f>V13/V3</f>
        <v>#DIV/0!</v>
      </c>
    </row>
    <row r="19" spans="2:24" x14ac:dyDescent="0.25">
      <c r="B19" t="s">
        <v>33</v>
      </c>
      <c r="C19" s="3"/>
      <c r="D19" s="3">
        <f>D3/C3-1</f>
        <v>1.118388173414647</v>
      </c>
      <c r="E19" s="40">
        <f>E3/D3-1</f>
        <v>0.37487936054904369</v>
      </c>
      <c r="F19" s="6">
        <f>F3/E3-1</f>
        <v>0.205981391958314</v>
      </c>
      <c r="G19" s="48">
        <f>G4/F3-1</f>
        <v>0.22629905140237483</v>
      </c>
      <c r="H19" s="48">
        <f>H4/G4-1</f>
        <v>0.22720541998823496</v>
      </c>
      <c r="K19" s="4"/>
      <c r="L19" s="4"/>
      <c r="M19" s="4"/>
      <c r="N19" s="4"/>
      <c r="O19" s="4" t="e">
        <f>O3/K3-1</f>
        <v>#DIV/0!</v>
      </c>
      <c r="P19" s="4" t="e">
        <f>P3/L3-1</f>
        <v>#DIV/0!</v>
      </c>
      <c r="Q19" s="4" t="e">
        <f>Q3/M3-1</f>
        <v>#DIV/0!</v>
      </c>
      <c r="R19" s="4" t="e">
        <f>R3/N3-1</f>
        <v>#DIV/0!</v>
      </c>
      <c r="S19" s="4" t="e">
        <f>S3/O3-1</f>
        <v>#DIV/0!</v>
      </c>
      <c r="T19" s="4" t="e">
        <f>T3/P3-1</f>
        <v>#DIV/0!</v>
      </c>
      <c r="U19" s="4" t="e">
        <f>U3/Q3-1</f>
        <v>#DIV/0!</v>
      </c>
      <c r="V19" s="7" t="e">
        <f>V3/R3-1</f>
        <v>#DIV/0!</v>
      </c>
      <c r="W19" s="37" t="e">
        <f>W4/S3-1</f>
        <v>#DIV/0!</v>
      </c>
      <c r="X19" s="37" t="e">
        <f>X4/T3-1</f>
        <v>#DIV/0!</v>
      </c>
    </row>
    <row r="20" spans="2:24" x14ac:dyDescent="0.25">
      <c r="B20" t="s">
        <v>68</v>
      </c>
      <c r="C20" s="153">
        <f t="shared" ref="C20:E20" si="0">C6/C$3</f>
        <v>0.32937249899522952</v>
      </c>
      <c r="D20" s="153">
        <f t="shared" si="0"/>
        <v>0.2843110971797177</v>
      </c>
      <c r="E20" s="153">
        <f t="shared" si="0"/>
        <v>0.33759961361989854</v>
      </c>
      <c r="F20" s="7">
        <f>F6/F$3</f>
        <v>0.28627698752159436</v>
      </c>
      <c r="G20" s="123"/>
      <c r="H20" s="123"/>
      <c r="K20" s="4" t="e">
        <f>K6/K3</f>
        <v>#DIV/0!</v>
      </c>
      <c r="L20" s="4" t="e">
        <f>L6/L3</f>
        <v>#DIV/0!</v>
      </c>
      <c r="M20" s="4" t="e">
        <f>M6/M3</f>
        <v>#DIV/0!</v>
      </c>
      <c r="N20" s="4" t="e">
        <f>N6/N3</f>
        <v>#DIV/0!</v>
      </c>
      <c r="O20" s="4" t="e">
        <f>O6/O3</f>
        <v>#DIV/0!</v>
      </c>
      <c r="P20" s="4" t="e">
        <f>P6/P3</f>
        <v>#DIV/0!</v>
      </c>
      <c r="Q20" s="4" t="e">
        <f>Q6/Q3</f>
        <v>#DIV/0!</v>
      </c>
      <c r="R20" s="4" t="e">
        <f>R6/R3</f>
        <v>#DIV/0!</v>
      </c>
      <c r="S20" s="4" t="e">
        <f>S6/S3</f>
        <v>#DIV/0!</v>
      </c>
      <c r="T20" s="4" t="e">
        <f>T6/T3</f>
        <v>#DIV/0!</v>
      </c>
      <c r="U20" s="4" t="e">
        <f>U6/U3</f>
        <v>#DIV/0!</v>
      </c>
      <c r="V20" s="7" t="e">
        <f>V6/V3</f>
        <v>#DIV/0!</v>
      </c>
      <c r="W20" s="4"/>
    </row>
    <row r="21" spans="2:24" x14ac:dyDescent="0.25">
      <c r="B21" t="s">
        <v>138</v>
      </c>
      <c r="C21" s="153">
        <f>C7/C$3</f>
        <v>0.19010694252712881</v>
      </c>
      <c r="D21" s="153">
        <f t="shared" ref="D21:E21" si="1">D7/D$3</f>
        <v>0.29844756617640994</v>
      </c>
      <c r="E21" s="153">
        <f t="shared" si="1"/>
        <v>0.21572189032264838</v>
      </c>
      <c r="F21" s="7">
        <f>F7/F$3</f>
        <v>0.20479112071828254</v>
      </c>
      <c r="G21" s="123"/>
      <c r="H21" s="123"/>
      <c r="K21" s="4" t="e">
        <f>K7/K3</f>
        <v>#DIV/0!</v>
      </c>
      <c r="L21" s="4" t="e">
        <f>L7/L3</f>
        <v>#DIV/0!</v>
      </c>
      <c r="M21" s="4" t="e">
        <f>M7/M3</f>
        <v>#DIV/0!</v>
      </c>
      <c r="N21" s="4" t="e">
        <f>N7/N3</f>
        <v>#DIV/0!</v>
      </c>
      <c r="O21" s="4" t="e">
        <f>O7/O3</f>
        <v>#DIV/0!</v>
      </c>
      <c r="P21" s="4" t="e">
        <f>P7/P3</f>
        <v>#DIV/0!</v>
      </c>
      <c r="Q21" s="4" t="e">
        <f>Q7/Q3</f>
        <v>#DIV/0!</v>
      </c>
      <c r="R21" s="4" t="e">
        <f>R7/R3</f>
        <v>#DIV/0!</v>
      </c>
      <c r="S21" s="4" t="e">
        <f>S7/S3</f>
        <v>#DIV/0!</v>
      </c>
      <c r="T21" s="4" t="e">
        <f>T7/T3</f>
        <v>#DIV/0!</v>
      </c>
      <c r="U21" s="4" t="e">
        <f>U7/U3</f>
        <v>#DIV/0!</v>
      </c>
      <c r="V21" s="7" t="e">
        <f>V7/V3</f>
        <v>#DIV/0!</v>
      </c>
      <c r="W21" s="4"/>
    </row>
    <row r="22" spans="2:24" x14ac:dyDescent="0.25">
      <c r="B22" t="s">
        <v>137</v>
      </c>
      <c r="C22" s="153">
        <f>C8/C$3</f>
        <v>0.5134202386985165</v>
      </c>
      <c r="D22" s="153">
        <f>D8/D$3</f>
        <v>0.52993714375273249</v>
      </c>
      <c r="E22" s="153">
        <f>E8/E$3</f>
        <v>0.54771779253368447</v>
      </c>
      <c r="F22" s="7">
        <f>F8/F$3</f>
        <v>0.54518680296357469</v>
      </c>
      <c r="G22" s="123"/>
      <c r="H22" s="123"/>
      <c r="K22" s="4" t="e">
        <f>#REF!/K3</f>
        <v>#REF!</v>
      </c>
      <c r="L22" s="4" t="e">
        <f>#REF!/L3</f>
        <v>#REF!</v>
      </c>
      <c r="M22" s="4" t="e">
        <f>#REF!/M3</f>
        <v>#REF!</v>
      </c>
      <c r="N22" s="4" t="e">
        <f>#REF!/N3</f>
        <v>#REF!</v>
      </c>
      <c r="O22" s="4" t="e">
        <f>#REF!/O3</f>
        <v>#REF!</v>
      </c>
      <c r="P22" s="4" t="e">
        <f>#REF!/P3</f>
        <v>#REF!</v>
      </c>
      <c r="Q22" s="4" t="e">
        <f>#REF!/Q3</f>
        <v>#REF!</v>
      </c>
      <c r="R22" s="4" t="e">
        <f>#REF!/R3</f>
        <v>#REF!</v>
      </c>
      <c r="S22" s="4" t="e">
        <f>#REF!/S3</f>
        <v>#REF!</v>
      </c>
      <c r="T22" s="4" t="e">
        <f>#REF!/T3</f>
        <v>#REF!</v>
      </c>
      <c r="U22" s="4" t="e">
        <f>#REF!/U3</f>
        <v>#REF!</v>
      </c>
      <c r="V22" s="7" t="e">
        <f>#REF!/V3</f>
        <v>#REF!</v>
      </c>
      <c r="W22" s="4"/>
    </row>
    <row r="23" spans="2:24" x14ac:dyDescent="0.25">
      <c r="B23" t="s">
        <v>135</v>
      </c>
      <c r="C23" s="153"/>
      <c r="D23" s="153"/>
      <c r="E23" s="153"/>
      <c r="F23" s="7"/>
      <c r="G23" s="123"/>
      <c r="H23" s="1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"/>
      <c r="W23" s="4"/>
    </row>
    <row r="24" spans="2:24" x14ac:dyDescent="0.25">
      <c r="B24" t="s">
        <v>136</v>
      </c>
      <c r="C24" s="153"/>
      <c r="D24" s="153"/>
      <c r="E24" s="153"/>
      <c r="F24" s="7"/>
      <c r="G24" s="123"/>
      <c r="H24" s="12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"/>
      <c r="W24" s="4"/>
    </row>
    <row r="25" spans="2:24" x14ac:dyDescent="0.25">
      <c r="B25" t="s">
        <v>36</v>
      </c>
      <c r="C25" s="3"/>
      <c r="D25" s="3">
        <f>-(D13/C13-1)</f>
        <v>-1.1613911750291526</v>
      </c>
      <c r="E25" s="40">
        <f>E13/D13-1</f>
        <v>0.23967911428035271</v>
      </c>
      <c r="F25" s="6">
        <f>F13/E13-1</f>
        <v>-0.42715862503941959</v>
      </c>
      <c r="G25" s="58">
        <f>G15/F15-1</f>
        <v>-1</v>
      </c>
      <c r="H25" s="58" t="e">
        <f>H15/G15-1</f>
        <v>#DIV/0!</v>
      </c>
      <c r="K25" s="4"/>
      <c r="L25" s="4"/>
      <c r="M25" s="4"/>
      <c r="N25" s="4"/>
      <c r="O25" s="4" t="e">
        <f t="shared" ref="O25:W25" si="2">O13/K13-1</f>
        <v>#DIV/0!</v>
      </c>
      <c r="P25" s="4" t="e">
        <f t="shared" si="2"/>
        <v>#DIV/0!</v>
      </c>
      <c r="Q25" s="4" t="e">
        <f t="shared" si="2"/>
        <v>#DIV/0!</v>
      </c>
      <c r="R25" s="4" t="e">
        <f t="shared" si="2"/>
        <v>#DIV/0!</v>
      </c>
      <c r="S25" s="4" t="e">
        <f t="shared" si="2"/>
        <v>#DIV/0!</v>
      </c>
      <c r="T25" s="4" t="e">
        <f>T13/P13-1</f>
        <v>#DIV/0!</v>
      </c>
      <c r="U25" s="4" t="e">
        <f t="shared" si="2"/>
        <v>#DIV/0!</v>
      </c>
      <c r="V25" s="7" t="e">
        <f t="shared" si="2"/>
        <v>#DIV/0!</v>
      </c>
      <c r="W25" s="4" t="e">
        <f t="shared" si="2"/>
        <v>#DIV/0!</v>
      </c>
    </row>
    <row r="28" spans="2:24" s="1" customFormat="1" x14ac:dyDescent="0.25">
      <c r="B28" s="1" t="s">
        <v>40</v>
      </c>
      <c r="C28" s="152">
        <f>C29+C30-C48-C52-C54</f>
        <v>0</v>
      </c>
      <c r="D28" s="152">
        <f>D29+D30-D48-D52-D54</f>
        <v>-453.81999999999994</v>
      </c>
      <c r="E28" s="152">
        <f>E29+E30-E48-E52-E54</f>
        <v>-606.43999999999983</v>
      </c>
      <c r="F28" s="14">
        <f>F29+F30-F48-F52-F54</f>
        <v>-666.11699999999996</v>
      </c>
      <c r="K28" s="11">
        <f t="shared" ref="K28" si="3">K29+K31-K45-K46-K54</f>
        <v>0</v>
      </c>
      <c r="L28" s="11">
        <f t="shared" ref="L28" si="4">L29+L31-L45-L46-L54</f>
        <v>0</v>
      </c>
      <c r="M28" s="11">
        <f t="shared" ref="M28" si="5">M29+M31-M45-M46-M54</f>
        <v>0</v>
      </c>
      <c r="N28" s="11">
        <f t="shared" ref="N28" si="6">N29+N31-N45-N46-N54</f>
        <v>0</v>
      </c>
      <c r="O28" s="11">
        <f t="shared" ref="O28" si="7">O29+O31-O45-O46-O54</f>
        <v>0</v>
      </c>
      <c r="P28" s="11">
        <f t="shared" ref="P28" si="8">P29+P31-P45-P46-P54</f>
        <v>0</v>
      </c>
      <c r="Q28" s="11">
        <f t="shared" ref="Q28" si="9">Q29+Q31-Q45-Q46-Q54</f>
        <v>0</v>
      </c>
      <c r="R28" s="11">
        <f t="shared" ref="R28" si="10">R29+R31-R45-R46-R54</f>
        <v>0</v>
      </c>
      <c r="S28" s="11">
        <f t="shared" ref="S28" si="11">S29+S31-S45-S46-S54</f>
        <v>0</v>
      </c>
      <c r="T28" s="11">
        <f t="shared" ref="T28" si="12">T29+T31-T45-T46-T54</f>
        <v>0</v>
      </c>
      <c r="U28" s="11">
        <f t="shared" ref="U28" si="13">U29+U31-U45-U46-U54</f>
        <v>0</v>
      </c>
      <c r="V28" s="14">
        <f t="shared" ref="V28" si="14">V29+V31-V45-V46-V54</f>
        <v>0</v>
      </c>
    </row>
    <row r="29" spans="2:24" x14ac:dyDescent="0.25">
      <c r="B29" t="s">
        <v>24</v>
      </c>
      <c r="C29" s="10"/>
      <c r="D29" s="10">
        <v>1337.798</v>
      </c>
      <c r="E29" s="10">
        <v>435.81</v>
      </c>
      <c r="F29" s="15">
        <v>401.17599999999999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</row>
    <row r="30" spans="2:24" x14ac:dyDescent="0.25">
      <c r="B30" t="s">
        <v>191</v>
      </c>
      <c r="C30" s="10"/>
      <c r="D30" s="10">
        <v>75.334000000000003</v>
      </c>
      <c r="E30" s="10">
        <v>830.73400000000004</v>
      </c>
      <c r="F30" s="15">
        <v>811.94600000000003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5"/>
    </row>
    <row r="31" spans="2:24" x14ac:dyDescent="0.25">
      <c r="B31" t="s">
        <v>25</v>
      </c>
      <c r="C31" s="10"/>
      <c r="D31" s="10">
        <v>161.67500000000001</v>
      </c>
      <c r="E31" s="10">
        <v>191.98699999999999</v>
      </c>
      <c r="F31" s="15">
        <v>245.279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5"/>
    </row>
    <row r="32" spans="2:24" x14ac:dyDescent="0.25">
      <c r="B32" t="s">
        <v>192</v>
      </c>
      <c r="C32" s="10"/>
      <c r="D32" s="10">
        <v>0.308</v>
      </c>
      <c r="E32" s="10">
        <v>2.819</v>
      </c>
      <c r="F32" s="15">
        <v>3.0710000000000002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5"/>
    </row>
    <row r="33" spans="2:22" x14ac:dyDescent="0.25">
      <c r="B33" t="s">
        <v>193</v>
      </c>
      <c r="C33" s="10"/>
      <c r="D33" s="10">
        <v>0.46400000000000002</v>
      </c>
      <c r="E33" s="10">
        <v>4.2750000000000004</v>
      </c>
      <c r="F33" s="15">
        <v>4.6950000000000003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5"/>
    </row>
    <row r="34" spans="2:22" x14ac:dyDescent="0.25">
      <c r="B34" t="s">
        <v>77</v>
      </c>
      <c r="C34" s="10"/>
      <c r="D34" s="10">
        <v>24.658000000000001</v>
      </c>
      <c r="E34" s="10">
        <v>17.053000000000001</v>
      </c>
      <c r="F34" s="15">
        <v>11.93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5"/>
    </row>
    <row r="35" spans="2:22" x14ac:dyDescent="0.25">
      <c r="B35" t="s">
        <v>26</v>
      </c>
      <c r="C35" s="10"/>
      <c r="D35" s="10">
        <v>0.63500000000000001</v>
      </c>
      <c r="E35" s="10">
        <v>1.2490000000000001</v>
      </c>
      <c r="F35" s="15">
        <v>1.59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5"/>
    </row>
    <row r="36" spans="2:22" s="1" customFormat="1" x14ac:dyDescent="0.25">
      <c r="B36" s="1" t="s">
        <v>63</v>
      </c>
      <c r="C36" s="11">
        <f>SUM(C29:C35)</f>
        <v>0</v>
      </c>
      <c r="D36" s="11">
        <f>SUM(D29:D35)</f>
        <v>1600.8719999999998</v>
      </c>
      <c r="E36" s="11">
        <f t="shared" ref="E36:F36" si="15">SUM(E29:E35)</f>
        <v>1483.9270000000004</v>
      </c>
      <c r="F36" s="14">
        <f t="shared" si="15"/>
        <v>1479.6869999999999</v>
      </c>
      <c r="K36" s="11">
        <f t="shared" ref="K36:V36" si="16">SUM(K29:K35)</f>
        <v>0</v>
      </c>
      <c r="L36" s="11">
        <f t="shared" si="16"/>
        <v>0</v>
      </c>
      <c r="M36" s="11">
        <f t="shared" si="16"/>
        <v>0</v>
      </c>
      <c r="N36" s="11">
        <f t="shared" si="16"/>
        <v>0</v>
      </c>
      <c r="O36" s="11">
        <f t="shared" si="16"/>
        <v>0</v>
      </c>
      <c r="P36" s="11">
        <f t="shared" si="16"/>
        <v>0</v>
      </c>
      <c r="Q36" s="11">
        <f t="shared" si="16"/>
        <v>0</v>
      </c>
      <c r="R36" s="11">
        <f t="shared" si="16"/>
        <v>0</v>
      </c>
      <c r="S36" s="11">
        <f t="shared" si="16"/>
        <v>0</v>
      </c>
      <c r="T36" s="11">
        <f t="shared" si="16"/>
        <v>0</v>
      </c>
      <c r="U36" s="11">
        <f t="shared" si="16"/>
        <v>0</v>
      </c>
      <c r="V36" s="14">
        <f t="shared" si="16"/>
        <v>0</v>
      </c>
    </row>
    <row r="37" spans="2:22" x14ac:dyDescent="0.25">
      <c r="B37" t="s">
        <v>78</v>
      </c>
      <c r="C37" s="10"/>
      <c r="D37" s="10">
        <v>22.832000000000001</v>
      </c>
      <c r="E37" s="10">
        <v>30.544</v>
      </c>
      <c r="F37" s="15">
        <v>38.954000000000001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5"/>
    </row>
    <row r="38" spans="2:22" x14ac:dyDescent="0.25">
      <c r="B38" t="s">
        <v>27</v>
      </c>
      <c r="C38" s="10"/>
      <c r="D38" s="10">
        <v>6.4710000000000001</v>
      </c>
      <c r="E38" s="10">
        <v>26.298999999999999</v>
      </c>
      <c r="F38" s="15">
        <v>26.298999999999999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5"/>
    </row>
    <row r="39" spans="2:22" x14ac:dyDescent="0.25">
      <c r="B39" t="s">
        <v>79</v>
      </c>
      <c r="C39" s="10"/>
      <c r="D39" s="10">
        <v>5.6619999999999999</v>
      </c>
      <c r="E39" s="10">
        <v>41.237000000000002</v>
      </c>
      <c r="F39" s="15">
        <v>32.146999999999998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5"/>
    </row>
    <row r="40" spans="2:22" x14ac:dyDescent="0.25">
      <c r="B40" t="s">
        <v>194</v>
      </c>
      <c r="C40" s="10"/>
      <c r="D40" s="10"/>
      <c r="E40" s="10">
        <v>0</v>
      </c>
      <c r="F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5"/>
    </row>
    <row r="41" spans="2:22" s="1" customFormat="1" x14ac:dyDescent="0.25">
      <c r="B41" t="s">
        <v>195</v>
      </c>
      <c r="C41" s="10"/>
      <c r="D41" s="10">
        <v>6.2519999999999998</v>
      </c>
      <c r="E41" s="10">
        <v>16.847999999999999</v>
      </c>
      <c r="F41" s="15">
        <v>16.484000000000002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2:22" s="1" customFormat="1" x14ac:dyDescent="0.25">
      <c r="B42" t="s">
        <v>77</v>
      </c>
      <c r="C42" s="10"/>
      <c r="D42" s="10">
        <v>0.65900000000000003</v>
      </c>
      <c r="E42" s="10">
        <v>0.96199999999999997</v>
      </c>
      <c r="F42" s="15">
        <v>0.96199999999999997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2:22" s="1" customFormat="1" x14ac:dyDescent="0.25">
      <c r="B43" t="s">
        <v>26</v>
      </c>
      <c r="C43" s="10"/>
      <c r="D43" s="10">
        <v>2.3610000000000002</v>
      </c>
      <c r="E43" s="10">
        <v>1.9339999999999999</v>
      </c>
      <c r="F43" s="15">
        <v>1.9339999999999999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2:22" x14ac:dyDescent="0.25">
      <c r="B44" s="1" t="s">
        <v>28</v>
      </c>
      <c r="C44" s="11">
        <f>SUM(C36:C43)</f>
        <v>0</v>
      </c>
      <c r="D44" s="11">
        <f>SUM(D36:D43)</f>
        <v>1645.1090000000002</v>
      </c>
      <c r="E44" s="11">
        <f>SUM(E36:E43)</f>
        <v>1601.7510000000004</v>
      </c>
      <c r="F44" s="14">
        <f>SUM(F36:F43)</f>
        <v>1596.4669999999996</v>
      </c>
      <c r="K44" s="11">
        <f t="shared" ref="K44:V44" si="17">SUM(K36:K43)</f>
        <v>0</v>
      </c>
      <c r="L44" s="11">
        <f t="shared" si="17"/>
        <v>0</v>
      </c>
      <c r="M44" s="11">
        <f t="shared" si="17"/>
        <v>0</v>
      </c>
      <c r="N44" s="11">
        <f t="shared" si="17"/>
        <v>0</v>
      </c>
      <c r="O44" s="11">
        <f t="shared" si="17"/>
        <v>0</v>
      </c>
      <c r="P44" s="11">
        <f t="shared" si="17"/>
        <v>0</v>
      </c>
      <c r="Q44" s="11">
        <f t="shared" si="17"/>
        <v>0</v>
      </c>
      <c r="R44" s="11">
        <f t="shared" si="17"/>
        <v>0</v>
      </c>
      <c r="S44" s="11">
        <f t="shared" si="17"/>
        <v>0</v>
      </c>
      <c r="T44" s="11">
        <f t="shared" si="17"/>
        <v>0</v>
      </c>
      <c r="U44" s="11">
        <f t="shared" si="17"/>
        <v>0</v>
      </c>
      <c r="V44" s="14">
        <f t="shared" si="17"/>
        <v>0</v>
      </c>
    </row>
    <row r="45" spans="2:22" x14ac:dyDescent="0.25">
      <c r="B45" t="s">
        <v>30</v>
      </c>
      <c r="C45" s="10"/>
      <c r="D45" s="10">
        <v>22.891999999999999</v>
      </c>
      <c r="E45" s="10">
        <v>32.944000000000003</v>
      </c>
      <c r="F45" s="15">
        <v>46.514000000000003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2:22" x14ac:dyDescent="0.25">
      <c r="B46" t="s">
        <v>196</v>
      </c>
      <c r="C46" s="10"/>
      <c r="D46" s="10">
        <v>8.01</v>
      </c>
      <c r="E46" s="10">
        <v>21.013000000000002</v>
      </c>
      <c r="F46" s="15">
        <v>26.74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5"/>
    </row>
    <row r="47" spans="2:22" x14ac:dyDescent="0.25">
      <c r="B47" t="s">
        <v>201</v>
      </c>
      <c r="C47" s="10"/>
      <c r="D47" s="10">
        <v>21.161000000000001</v>
      </c>
      <c r="E47" s="10">
        <v>31.417999999999999</v>
      </c>
      <c r="F47" s="10">
        <v>37.963999999999999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2:22" x14ac:dyDescent="0.25">
      <c r="B48" t="s">
        <v>197</v>
      </c>
      <c r="C48" s="10"/>
      <c r="D48" s="10">
        <v>6.8540000000000001</v>
      </c>
      <c r="E48" s="10">
        <v>7.8019999999999996</v>
      </c>
      <c r="F48" s="15">
        <v>3.7069999999999999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2:24" x14ac:dyDescent="0.25">
      <c r="B49" t="s">
        <v>198</v>
      </c>
      <c r="C49" s="10"/>
      <c r="D49" s="10">
        <v>7.5330000000000004</v>
      </c>
      <c r="E49" s="10">
        <v>8.02</v>
      </c>
      <c r="F49" s="15">
        <v>7.25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2:24" x14ac:dyDescent="0.25">
      <c r="B50" t="s">
        <v>26</v>
      </c>
      <c r="C50" s="10"/>
      <c r="D50" s="10">
        <v>4.0060000000000002</v>
      </c>
      <c r="E50" s="10">
        <v>5.26</v>
      </c>
      <c r="F50" s="15">
        <v>11.395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2:24" s="1" customFormat="1" x14ac:dyDescent="0.25">
      <c r="B51" s="1" t="s">
        <v>64</v>
      </c>
      <c r="C51" s="11">
        <f>SUM(C45:C50)</f>
        <v>0</v>
      </c>
      <c r="D51" s="11">
        <f>SUM(D45:D50)</f>
        <v>70.456000000000003</v>
      </c>
      <c r="E51" s="11">
        <f>SUM(E45:E50)</f>
        <v>106.45699999999999</v>
      </c>
      <c r="F51" s="14">
        <f>SUM(F45:F50)</f>
        <v>133.57</v>
      </c>
      <c r="K51" s="11">
        <f t="shared" ref="K51:V51" si="18">SUM(K45:K50)</f>
        <v>0</v>
      </c>
      <c r="L51" s="11">
        <f t="shared" si="18"/>
        <v>0</v>
      </c>
      <c r="M51" s="11">
        <f t="shared" si="18"/>
        <v>0</v>
      </c>
      <c r="N51" s="11">
        <f t="shared" si="18"/>
        <v>0</v>
      </c>
      <c r="O51" s="11">
        <f t="shared" si="18"/>
        <v>0</v>
      </c>
      <c r="P51" s="11">
        <f t="shared" si="18"/>
        <v>0</v>
      </c>
      <c r="Q51" s="11">
        <f t="shared" si="18"/>
        <v>0</v>
      </c>
      <c r="R51" s="11">
        <f t="shared" si="18"/>
        <v>0</v>
      </c>
      <c r="S51" s="11">
        <f t="shared" si="18"/>
        <v>0</v>
      </c>
      <c r="T51" s="11">
        <f t="shared" si="18"/>
        <v>0</v>
      </c>
      <c r="U51" s="11">
        <f t="shared" si="18"/>
        <v>0</v>
      </c>
      <c r="V51" s="14">
        <f t="shared" si="18"/>
        <v>0</v>
      </c>
      <c r="W51" s="11"/>
      <c r="X51" s="11"/>
    </row>
    <row r="52" spans="2:24" x14ac:dyDescent="0.25">
      <c r="B52" t="s">
        <v>80</v>
      </c>
      <c r="C52" s="10"/>
      <c r="D52" s="10">
        <v>6.6059999999999999</v>
      </c>
      <c r="E52" s="10">
        <v>11.69</v>
      </c>
      <c r="F52" s="15">
        <v>22.04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2:24" x14ac:dyDescent="0.25">
      <c r="B53" t="s">
        <v>199</v>
      </c>
      <c r="C53" s="10"/>
      <c r="D53" s="10"/>
      <c r="E53" s="10">
        <v>0</v>
      </c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2:24" x14ac:dyDescent="0.25">
      <c r="B54" t="s">
        <v>200</v>
      </c>
      <c r="C54" s="10"/>
      <c r="D54" s="10">
        <v>1853.492</v>
      </c>
      <c r="E54" s="10">
        <v>1853.492</v>
      </c>
      <c r="F54" s="15">
        <v>1853.492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2:24" x14ac:dyDescent="0.25">
      <c r="B55" t="s">
        <v>26</v>
      </c>
      <c r="C55" s="10"/>
      <c r="D55" s="10">
        <v>0.56799999999999995</v>
      </c>
      <c r="E55" s="10">
        <v>7.1360000000000001</v>
      </c>
      <c r="F55" s="15">
        <v>0.28699999999999998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2:24" x14ac:dyDescent="0.25">
      <c r="B56" s="1" t="s">
        <v>29</v>
      </c>
      <c r="C56" s="11">
        <f>SUM(C51:C55)</f>
        <v>0</v>
      </c>
      <c r="D56" s="11">
        <f>SUM(D51:D55)</f>
        <v>1931.1219999999998</v>
      </c>
      <c r="E56" s="11">
        <f>SUM(E51:E55)</f>
        <v>1978.7749999999999</v>
      </c>
      <c r="F56" s="14">
        <f>SUM(F51:F55)</f>
        <v>2009.3889999999999</v>
      </c>
      <c r="K56" s="11">
        <f t="shared" ref="K56:V56" si="19">SUM(K51:K55)</f>
        <v>0</v>
      </c>
      <c r="L56" s="11">
        <f t="shared" si="19"/>
        <v>0</v>
      </c>
      <c r="M56" s="11">
        <f t="shared" si="19"/>
        <v>0</v>
      </c>
      <c r="N56" s="11">
        <f t="shared" si="19"/>
        <v>0</v>
      </c>
      <c r="O56" s="11">
        <f t="shared" si="19"/>
        <v>0</v>
      </c>
      <c r="P56" s="11">
        <f t="shared" si="19"/>
        <v>0</v>
      </c>
      <c r="Q56" s="11">
        <f t="shared" si="19"/>
        <v>0</v>
      </c>
      <c r="R56" s="11">
        <f t="shared" si="19"/>
        <v>0</v>
      </c>
      <c r="S56" s="11">
        <f t="shared" si="19"/>
        <v>0</v>
      </c>
      <c r="T56" s="11">
        <f t="shared" si="19"/>
        <v>0</v>
      </c>
      <c r="U56" s="11">
        <f t="shared" si="19"/>
        <v>0</v>
      </c>
      <c r="V56" s="14">
        <f t="shared" si="19"/>
        <v>0</v>
      </c>
    </row>
    <row r="57" spans="2:24" x14ac:dyDescent="0.25">
      <c r="B57" t="s">
        <v>81</v>
      </c>
      <c r="C57" s="10">
        <f t="shared" ref="C57:D57" si="20">C44-C56</f>
        <v>0</v>
      </c>
      <c r="D57" s="10">
        <f t="shared" si="20"/>
        <v>-286.01299999999969</v>
      </c>
      <c r="E57" s="10">
        <f>E44-E56</f>
        <v>-377.02399999999943</v>
      </c>
      <c r="F57" s="15">
        <f>F44-F56</f>
        <v>-412.92200000000025</v>
      </c>
      <c r="K57" s="10">
        <f t="shared" ref="K57:V57" si="21">K44-K56</f>
        <v>0</v>
      </c>
      <c r="L57" s="10">
        <f t="shared" si="21"/>
        <v>0</v>
      </c>
      <c r="M57" s="10">
        <f t="shared" si="21"/>
        <v>0</v>
      </c>
      <c r="N57" s="10">
        <f t="shared" si="21"/>
        <v>0</v>
      </c>
      <c r="O57" s="10">
        <f t="shared" si="21"/>
        <v>0</v>
      </c>
      <c r="P57" s="10">
        <f t="shared" si="21"/>
        <v>0</v>
      </c>
      <c r="Q57" s="10">
        <f t="shared" si="21"/>
        <v>0</v>
      </c>
      <c r="R57" s="10">
        <f t="shared" si="21"/>
        <v>0</v>
      </c>
      <c r="S57" s="10">
        <f t="shared" si="21"/>
        <v>0</v>
      </c>
      <c r="T57" s="10">
        <f t="shared" si="21"/>
        <v>0</v>
      </c>
      <c r="U57" s="10">
        <f t="shared" si="21"/>
        <v>0</v>
      </c>
      <c r="V57" s="15">
        <f t="shared" si="21"/>
        <v>0</v>
      </c>
    </row>
    <row r="59" spans="2:24" s="1" customFormat="1" x14ac:dyDescent="0.25">
      <c r="B59" s="1" t="s">
        <v>82</v>
      </c>
      <c r="C59" s="53"/>
      <c r="D59" s="53"/>
      <c r="E59" s="53"/>
      <c r="F59" s="54"/>
      <c r="V59" s="16"/>
    </row>
    <row r="77" spans="6:22" s="9" customFormat="1" x14ac:dyDescent="0.25">
      <c r="F77" s="42"/>
      <c r="V77" s="42"/>
    </row>
    <row r="78" spans="6:22" s="1" customFormat="1" x14ac:dyDescent="0.25">
      <c r="F78" s="16"/>
      <c r="V7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/>
      <c r="C2" s="18"/>
      <c r="E2" t="s">
        <v>52</v>
      </c>
      <c r="F2" t="s">
        <v>54</v>
      </c>
      <c r="M2" t="s">
        <v>55</v>
      </c>
    </row>
    <row r="3" spans="1:13" x14ac:dyDescent="0.25">
      <c r="B3" s="12"/>
      <c r="C3" s="18"/>
      <c r="E3" s="12">
        <v>45328</v>
      </c>
      <c r="F3" t="s">
        <v>57</v>
      </c>
      <c r="M3" s="12"/>
    </row>
    <row r="4" spans="1:13" x14ac:dyDescent="0.25">
      <c r="B4" s="12"/>
      <c r="C4" s="18"/>
      <c r="E4" s="12">
        <v>45302</v>
      </c>
      <c r="F4" t="s">
        <v>57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95</v>
      </c>
      <c r="H1" s="135" t="s">
        <v>96</v>
      </c>
      <c r="I1" s="136"/>
      <c r="J1" s="136"/>
      <c r="K1" s="136"/>
      <c r="L1" s="136"/>
      <c r="M1" s="137"/>
    </row>
    <row r="2" spans="1:13" ht="15.75" thickBot="1" x14ac:dyDescent="0.3">
      <c r="D2" t="e">
        <f>C2/C3-1</f>
        <v>#DIV/0!</v>
      </c>
      <c r="H2" s="63"/>
      <c r="I2" s="64"/>
      <c r="J2" s="64"/>
      <c r="K2" s="64"/>
      <c r="L2" s="64"/>
      <c r="M2" s="65"/>
    </row>
    <row r="3" spans="1:13" ht="15.75" thickBot="1" x14ac:dyDescent="0.3">
      <c r="D3" t="e">
        <f t="shared" ref="D3:D66" si="0">C3/C4-1</f>
        <v>#DIV/0!</v>
      </c>
      <c r="H3" s="66" t="s">
        <v>97</v>
      </c>
      <c r="I3" s="67" t="s">
        <v>98</v>
      </c>
      <c r="J3" s="68" t="s">
        <v>99</v>
      </c>
      <c r="K3" s="69" t="s">
        <v>100</v>
      </c>
      <c r="L3" s="69" t="s">
        <v>101</v>
      </c>
      <c r="M3" s="70" t="s">
        <v>102</v>
      </c>
    </row>
    <row r="4" spans="1:13" x14ac:dyDescent="0.25">
      <c r="D4" t="e">
        <f t="shared" si="0"/>
        <v>#DIV/0!</v>
      </c>
      <c r="H4" s="71" t="e">
        <f>$I$19-3*$I$23</f>
        <v>#DIV/0!</v>
      </c>
      <c r="I4" s="72" t="e">
        <f>H4</f>
        <v>#DIV/0!</v>
      </c>
      <c r="J4" s="73">
        <f>COUNTIF(D:D,"&lt;="&amp;H4)</f>
        <v>67</v>
      </c>
      <c r="K4" s="73" t="e">
        <f>"Less than "&amp;TEXT(H4,"0,00%")</f>
        <v>#DIV/0!</v>
      </c>
      <c r="L4" s="74" t="e">
        <f>J4/$I$31</f>
        <v>#DIV/0!</v>
      </c>
      <c r="M4" s="75" t="e">
        <f>L4</f>
        <v>#DIV/0!</v>
      </c>
    </row>
    <row r="5" spans="1:13" x14ac:dyDescent="0.25">
      <c r="D5" t="e">
        <f t="shared" si="0"/>
        <v>#DIV/0!</v>
      </c>
      <c r="H5" s="76" t="e">
        <f>$I$19-2.4*$I$23</f>
        <v>#DIV/0!</v>
      </c>
      <c r="I5" s="77" t="e">
        <f>H5</f>
        <v>#DIV/0!</v>
      </c>
      <c r="J5" s="78">
        <f>COUNTIFS(D:D,"&lt;="&amp;H5,D:D,"&gt;"&amp;H4)</f>
        <v>67</v>
      </c>
      <c r="K5" s="79" t="e">
        <f t="shared" ref="K5:K14" si="1">TEXT(H4,"0,00%")&amp;" to "&amp;TEXT(H5,"0,00%")</f>
        <v>#DIV/0!</v>
      </c>
      <c r="L5" s="80" t="e">
        <f>J5/$I$31</f>
        <v>#DIV/0!</v>
      </c>
      <c r="M5" s="81" t="e">
        <f>M4+L5</f>
        <v>#DIV/0!</v>
      </c>
    </row>
    <row r="6" spans="1:13" x14ac:dyDescent="0.25">
      <c r="D6" t="e">
        <f t="shared" si="0"/>
        <v>#DIV/0!</v>
      </c>
      <c r="H6" s="76" t="e">
        <f>$I$19-1.8*$I$23</f>
        <v>#DIV/0!</v>
      </c>
      <c r="I6" s="77" t="e">
        <f t="shared" ref="I6:I14" si="2">H6</f>
        <v>#DIV/0!</v>
      </c>
      <c r="J6" s="78">
        <f t="shared" ref="J6:J14" si="3">COUNTIFS(D:D,"&lt;="&amp;H6,D:D,"&gt;"&amp;H5)</f>
        <v>67</v>
      </c>
      <c r="K6" s="79" t="e">
        <f t="shared" si="1"/>
        <v>#DIV/0!</v>
      </c>
      <c r="L6" s="80" t="e">
        <f t="shared" ref="L6:L15" si="4">J6/$I$31</f>
        <v>#DIV/0!</v>
      </c>
      <c r="M6" s="81" t="e">
        <f t="shared" ref="M6:M15" si="5">M5+L6</f>
        <v>#DIV/0!</v>
      </c>
    </row>
    <row r="7" spans="1:13" x14ac:dyDescent="0.25">
      <c r="D7" t="e">
        <f t="shared" si="0"/>
        <v>#DIV/0!</v>
      </c>
      <c r="H7" s="76" t="e">
        <f>$I$19-1.2*$I$23</f>
        <v>#DIV/0!</v>
      </c>
      <c r="I7" s="77" t="e">
        <f t="shared" si="2"/>
        <v>#DIV/0!</v>
      </c>
      <c r="J7" s="78">
        <f t="shared" si="3"/>
        <v>67</v>
      </c>
      <c r="K7" s="79" t="e">
        <f t="shared" si="1"/>
        <v>#DIV/0!</v>
      </c>
      <c r="L7" s="80" t="e">
        <f t="shared" si="4"/>
        <v>#DIV/0!</v>
      </c>
      <c r="M7" s="81" t="e">
        <f t="shared" si="5"/>
        <v>#DIV/0!</v>
      </c>
    </row>
    <row r="8" spans="1:13" x14ac:dyDescent="0.25">
      <c r="D8" t="e">
        <f t="shared" si="0"/>
        <v>#DIV/0!</v>
      </c>
      <c r="H8" s="76" t="e">
        <f>$I$19-0.6*$I$23</f>
        <v>#DIV/0!</v>
      </c>
      <c r="I8" s="77" t="e">
        <f t="shared" si="2"/>
        <v>#DIV/0!</v>
      </c>
      <c r="J8" s="78">
        <f t="shared" si="3"/>
        <v>67</v>
      </c>
      <c r="K8" s="79" t="e">
        <f t="shared" si="1"/>
        <v>#DIV/0!</v>
      </c>
      <c r="L8" s="80" t="e">
        <f t="shared" si="4"/>
        <v>#DIV/0!</v>
      </c>
      <c r="M8" s="81" t="e">
        <f t="shared" si="5"/>
        <v>#DIV/0!</v>
      </c>
    </row>
    <row r="9" spans="1:13" x14ac:dyDescent="0.25">
      <c r="D9" t="e">
        <f t="shared" si="0"/>
        <v>#DIV/0!</v>
      </c>
      <c r="H9" s="76" t="e">
        <f>$I$19</f>
        <v>#DIV/0!</v>
      </c>
      <c r="I9" s="77" t="e">
        <f t="shared" si="2"/>
        <v>#DIV/0!</v>
      </c>
      <c r="J9" s="78">
        <f t="shared" si="3"/>
        <v>67</v>
      </c>
      <c r="K9" s="79" t="e">
        <f t="shared" si="1"/>
        <v>#DIV/0!</v>
      </c>
      <c r="L9" s="80" t="e">
        <f t="shared" si="4"/>
        <v>#DIV/0!</v>
      </c>
      <c r="M9" s="81" t="e">
        <f t="shared" si="5"/>
        <v>#DIV/0!</v>
      </c>
    </row>
    <row r="10" spans="1:13" x14ac:dyDescent="0.25">
      <c r="D10" t="e">
        <f t="shared" si="0"/>
        <v>#DIV/0!</v>
      </c>
      <c r="H10" s="76" t="e">
        <f>$I$19+0.6*$I$23</f>
        <v>#DIV/0!</v>
      </c>
      <c r="I10" s="77" t="e">
        <f t="shared" si="2"/>
        <v>#DIV/0!</v>
      </c>
      <c r="J10" s="78">
        <f t="shared" si="3"/>
        <v>67</v>
      </c>
      <c r="K10" s="79" t="e">
        <f t="shared" si="1"/>
        <v>#DIV/0!</v>
      </c>
      <c r="L10" s="80" t="e">
        <f t="shared" si="4"/>
        <v>#DIV/0!</v>
      </c>
      <c r="M10" s="81" t="e">
        <f t="shared" si="5"/>
        <v>#DIV/0!</v>
      </c>
    </row>
    <row r="11" spans="1:13" x14ac:dyDescent="0.25">
      <c r="D11" t="e">
        <f t="shared" si="0"/>
        <v>#DIV/0!</v>
      </c>
      <c r="H11" s="76" t="e">
        <f>$I$19+1.2*$I$23</f>
        <v>#DIV/0!</v>
      </c>
      <c r="I11" s="77" t="e">
        <f t="shared" si="2"/>
        <v>#DIV/0!</v>
      </c>
      <c r="J11" s="78">
        <f t="shared" si="3"/>
        <v>67</v>
      </c>
      <c r="K11" s="79" t="e">
        <f t="shared" si="1"/>
        <v>#DIV/0!</v>
      </c>
      <c r="L11" s="80" t="e">
        <f t="shared" si="4"/>
        <v>#DIV/0!</v>
      </c>
      <c r="M11" s="81" t="e">
        <f t="shared" si="5"/>
        <v>#DIV/0!</v>
      </c>
    </row>
    <row r="12" spans="1:13" x14ac:dyDescent="0.25">
      <c r="D12" t="e">
        <f t="shared" si="0"/>
        <v>#DIV/0!</v>
      </c>
      <c r="H12" s="76" t="e">
        <f>$I$19+1.8*$I$23</f>
        <v>#DIV/0!</v>
      </c>
      <c r="I12" s="77" t="e">
        <f t="shared" si="2"/>
        <v>#DIV/0!</v>
      </c>
      <c r="J12" s="78">
        <f t="shared" si="3"/>
        <v>67</v>
      </c>
      <c r="K12" s="79" t="e">
        <f t="shared" si="1"/>
        <v>#DIV/0!</v>
      </c>
      <c r="L12" s="80" t="e">
        <f t="shared" si="4"/>
        <v>#DIV/0!</v>
      </c>
      <c r="M12" s="81" t="e">
        <f t="shared" si="5"/>
        <v>#DIV/0!</v>
      </c>
    </row>
    <row r="13" spans="1:13" x14ac:dyDescent="0.25">
      <c r="D13" t="e">
        <f t="shared" si="0"/>
        <v>#DIV/0!</v>
      </c>
      <c r="H13" s="76" t="e">
        <f>$I$19+2.4*$I$23</f>
        <v>#DIV/0!</v>
      </c>
      <c r="I13" s="77" t="e">
        <f t="shared" si="2"/>
        <v>#DIV/0!</v>
      </c>
      <c r="J13" s="78">
        <f t="shared" si="3"/>
        <v>67</v>
      </c>
      <c r="K13" s="79" t="e">
        <f t="shared" si="1"/>
        <v>#DIV/0!</v>
      </c>
      <c r="L13" s="80" t="e">
        <f t="shared" si="4"/>
        <v>#DIV/0!</v>
      </c>
      <c r="M13" s="81" t="e">
        <f t="shared" si="5"/>
        <v>#DIV/0!</v>
      </c>
    </row>
    <row r="14" spans="1:13" x14ac:dyDescent="0.25">
      <c r="D14" t="e">
        <f t="shared" si="0"/>
        <v>#DIV/0!</v>
      </c>
      <c r="H14" s="76" t="e">
        <f>$I$19+3*$I$23</f>
        <v>#DIV/0!</v>
      </c>
      <c r="I14" s="77" t="e">
        <f t="shared" si="2"/>
        <v>#DIV/0!</v>
      </c>
      <c r="J14" s="78">
        <f t="shared" si="3"/>
        <v>67</v>
      </c>
      <c r="K14" s="79" t="e">
        <f t="shared" si="1"/>
        <v>#DIV/0!</v>
      </c>
      <c r="L14" s="80" t="e">
        <f t="shared" si="4"/>
        <v>#DIV/0!</v>
      </c>
      <c r="M14" s="81" t="e">
        <f t="shared" si="5"/>
        <v>#DIV/0!</v>
      </c>
    </row>
    <row r="15" spans="1:13" ht="15.75" thickBot="1" x14ac:dyDescent="0.3">
      <c r="D15" t="e">
        <f t="shared" si="0"/>
        <v>#DIV/0!</v>
      </c>
      <c r="H15" s="82"/>
      <c r="I15" s="83" t="s">
        <v>103</v>
      </c>
      <c r="J15" s="83">
        <f>COUNTIF(D:D,"&gt;"&amp;H14)</f>
        <v>67</v>
      </c>
      <c r="K15" s="83" t="e">
        <f>"Greater than "&amp;TEXT(H14,"0,00%")</f>
        <v>#DIV/0!</v>
      </c>
      <c r="L15" s="84" t="e">
        <f t="shared" si="4"/>
        <v>#DIV/0!</v>
      </c>
      <c r="M15" s="84" t="e">
        <f t="shared" si="5"/>
        <v>#DIV/0!</v>
      </c>
    </row>
    <row r="16" spans="1:13" ht="15.75" thickBot="1" x14ac:dyDescent="0.3">
      <c r="D16" t="e">
        <f t="shared" si="0"/>
        <v>#DIV/0!</v>
      </c>
      <c r="H16" s="85"/>
      <c r="M16" s="86"/>
    </row>
    <row r="17" spans="4:13" x14ac:dyDescent="0.25">
      <c r="D17" t="e">
        <f t="shared" si="0"/>
        <v>#DIV/0!</v>
      </c>
      <c r="H17" s="138" t="s">
        <v>134</v>
      </c>
      <c r="I17" s="139"/>
      <c r="M17" s="86"/>
    </row>
    <row r="18" spans="4:13" x14ac:dyDescent="0.25">
      <c r="D18" t="e">
        <f t="shared" si="0"/>
        <v>#DIV/0!</v>
      </c>
      <c r="H18" s="140"/>
      <c r="I18" s="141"/>
      <c r="M18" s="86"/>
    </row>
    <row r="19" spans="4:13" x14ac:dyDescent="0.25">
      <c r="D19" t="e">
        <f t="shared" si="0"/>
        <v>#DIV/0!</v>
      </c>
      <c r="H19" s="87" t="s">
        <v>104</v>
      </c>
      <c r="I19" s="124" t="e">
        <f>AVERAGE(D:D)</f>
        <v>#DIV/0!</v>
      </c>
      <c r="M19" s="86"/>
    </row>
    <row r="20" spans="4:13" x14ac:dyDescent="0.25">
      <c r="D20" t="e">
        <f t="shared" si="0"/>
        <v>#DIV/0!</v>
      </c>
      <c r="H20" s="87" t="s">
        <v>105</v>
      </c>
      <c r="I20" s="124" t="e">
        <f>_xlfn.STDEV.S(D:D)/SQRT(COUNT(D:D))</f>
        <v>#DIV/0!</v>
      </c>
      <c r="M20" s="86"/>
    </row>
    <row r="21" spans="4:13" x14ac:dyDescent="0.25">
      <c r="D21" t="e">
        <f t="shared" si="0"/>
        <v>#DIV/0!</v>
      </c>
      <c r="H21" s="87" t="s">
        <v>106</v>
      </c>
      <c r="I21" s="124" t="e">
        <f>MEDIAN(D:D)</f>
        <v>#DIV/0!</v>
      </c>
      <c r="M21" s="86"/>
    </row>
    <row r="22" spans="4:13" x14ac:dyDescent="0.25">
      <c r="D22" t="e">
        <f t="shared" si="0"/>
        <v>#DIV/0!</v>
      </c>
      <c r="H22" s="87" t="s">
        <v>107</v>
      </c>
      <c r="I22" s="124" t="e">
        <f>MODE(D:D)</f>
        <v>#DIV/0!</v>
      </c>
      <c r="M22" s="86"/>
    </row>
    <row r="23" spans="4:13" x14ac:dyDescent="0.25">
      <c r="D23" t="e">
        <f t="shared" si="0"/>
        <v>#DIV/0!</v>
      </c>
      <c r="H23" s="87" t="s">
        <v>108</v>
      </c>
      <c r="I23" s="124" t="e">
        <f>_xlfn.STDEV.S(D:D)</f>
        <v>#DIV/0!</v>
      </c>
      <c r="M23" s="86"/>
    </row>
    <row r="24" spans="4:13" x14ac:dyDescent="0.25">
      <c r="D24" t="e">
        <f t="shared" si="0"/>
        <v>#DIV/0!</v>
      </c>
      <c r="H24" s="87" t="s">
        <v>109</v>
      </c>
      <c r="I24" s="124" t="e">
        <f>_xlfn.VAR.S(D:D)</f>
        <v>#DIV/0!</v>
      </c>
      <c r="M24" s="86"/>
    </row>
    <row r="25" spans="4:13" x14ac:dyDescent="0.25">
      <c r="D25" t="e">
        <f t="shared" si="0"/>
        <v>#DIV/0!</v>
      </c>
      <c r="H25" s="87" t="s">
        <v>110</v>
      </c>
      <c r="I25" s="125" t="e">
        <f>KURT(D:D)</f>
        <v>#DIV/0!</v>
      </c>
      <c r="M25" s="86"/>
    </row>
    <row r="26" spans="4:13" x14ac:dyDescent="0.25">
      <c r="D26" t="e">
        <f t="shared" si="0"/>
        <v>#DIV/0!</v>
      </c>
      <c r="H26" s="87" t="s">
        <v>111</v>
      </c>
      <c r="I26" s="125" t="e">
        <f>SKEW(D:D)</f>
        <v>#DIV/0!</v>
      </c>
      <c r="M26" s="86"/>
    </row>
    <row r="27" spans="4:13" x14ac:dyDescent="0.25">
      <c r="D27" t="e">
        <f t="shared" si="0"/>
        <v>#DIV/0!</v>
      </c>
      <c r="H27" s="87" t="s">
        <v>100</v>
      </c>
      <c r="I27" s="124" t="e">
        <f>I29-I28</f>
        <v>#DIV/0!</v>
      </c>
      <c r="M27" s="86"/>
    </row>
    <row r="28" spans="4:13" x14ac:dyDescent="0.25">
      <c r="D28" t="e">
        <f t="shared" si="0"/>
        <v>#DIV/0!</v>
      </c>
      <c r="H28" s="87" t="s">
        <v>112</v>
      </c>
      <c r="I28" s="124" t="e">
        <f>MIN(D:D)</f>
        <v>#DIV/0!</v>
      </c>
      <c r="M28" s="86"/>
    </row>
    <row r="29" spans="4:13" x14ac:dyDescent="0.25">
      <c r="D29" t="e">
        <f t="shared" si="0"/>
        <v>#DIV/0!</v>
      </c>
      <c r="H29" s="87" t="s">
        <v>113</v>
      </c>
      <c r="I29" s="124" t="e">
        <f>MAX(D:D)</f>
        <v>#DIV/0!</v>
      </c>
      <c r="M29" s="86"/>
    </row>
    <row r="30" spans="4:13" x14ac:dyDescent="0.25">
      <c r="D30" t="e">
        <f t="shared" si="0"/>
        <v>#DIV/0!</v>
      </c>
      <c r="H30" s="87" t="s">
        <v>114</v>
      </c>
      <c r="I30" s="125" t="e">
        <f>SUM(D:D)</f>
        <v>#DIV/0!</v>
      </c>
      <c r="M30" s="86"/>
    </row>
    <row r="31" spans="4:13" ht="15.75" thickBot="1" x14ac:dyDescent="0.3">
      <c r="D31" t="e">
        <f t="shared" si="0"/>
        <v>#DIV/0!</v>
      </c>
      <c r="H31" s="88" t="s">
        <v>115</v>
      </c>
      <c r="I31" s="65">
        <f>COUNT(D:D)</f>
        <v>0</v>
      </c>
      <c r="M31" s="86"/>
    </row>
    <row r="32" spans="4:13" ht="15.75" thickBot="1" x14ac:dyDescent="0.3">
      <c r="D32" t="e">
        <f t="shared" si="0"/>
        <v>#DIV/0!</v>
      </c>
      <c r="H32" s="90"/>
      <c r="M32" s="86"/>
    </row>
    <row r="33" spans="4:13" x14ac:dyDescent="0.25">
      <c r="D33" t="e">
        <f t="shared" si="0"/>
        <v>#DIV/0!</v>
      </c>
      <c r="H33" s="91"/>
      <c r="I33" s="92" t="s">
        <v>116</v>
      </c>
      <c r="J33" s="92" t="s">
        <v>115</v>
      </c>
      <c r="K33" s="92" t="s">
        <v>117</v>
      </c>
      <c r="L33" s="93" t="s">
        <v>118</v>
      </c>
      <c r="M33" s="86"/>
    </row>
    <row r="34" spans="4:13" x14ac:dyDescent="0.25">
      <c r="D34" t="e">
        <f t="shared" si="0"/>
        <v>#DIV/0!</v>
      </c>
      <c r="H34" s="94" t="s">
        <v>119</v>
      </c>
      <c r="I34" s="80" t="e">
        <f>AVERAGEIF(D:D,"&gt;0")</f>
        <v>#DIV/0!</v>
      </c>
      <c r="J34" s="78">
        <f>COUNTIF(D:D,"&gt;0")</f>
        <v>0</v>
      </c>
      <c r="K34" s="80" t="e">
        <f>J34/$I$31</f>
        <v>#DIV/0!</v>
      </c>
      <c r="L34" s="81" t="e">
        <f>K34*I34</f>
        <v>#DIV/0!</v>
      </c>
      <c r="M34" s="86"/>
    </row>
    <row r="35" spans="4:13" x14ac:dyDescent="0.25">
      <c r="D35" t="e">
        <f t="shared" si="0"/>
        <v>#DIV/0!</v>
      </c>
      <c r="H35" s="94" t="s">
        <v>120</v>
      </c>
      <c r="I35" s="80" t="e">
        <f>AVERAGEIF(D:D,"&lt;0")</f>
        <v>#DIV/0!</v>
      </c>
      <c r="J35" s="78">
        <f>COUNTIF(D:D,"&lt;0")</f>
        <v>0</v>
      </c>
      <c r="K35" s="80" t="e">
        <f>J35/$I$31</f>
        <v>#DIV/0!</v>
      </c>
      <c r="L35" s="81" t="e">
        <f t="shared" ref="L35:L36" si="6">K35*I35</f>
        <v>#DIV/0!</v>
      </c>
      <c r="M35" s="86"/>
    </row>
    <row r="36" spans="4:13" ht="15.75" thickBot="1" x14ac:dyDescent="0.3">
      <c r="D36" t="e">
        <f t="shared" si="0"/>
        <v>#DIV/0!</v>
      </c>
      <c r="H36" s="95" t="s">
        <v>121</v>
      </c>
      <c r="I36" s="83">
        <v>0</v>
      </c>
      <c r="J36" s="83">
        <f>COUNTIF(D:D,"0")</f>
        <v>0</v>
      </c>
      <c r="K36" s="96" t="e">
        <f>J36/$I$31</f>
        <v>#DIV/0!</v>
      </c>
      <c r="L36" s="84" t="e">
        <f t="shared" si="6"/>
        <v>#DIV/0!</v>
      </c>
      <c r="M36" s="86"/>
    </row>
    <row r="37" spans="4:13" ht="15.75" thickBot="1" x14ac:dyDescent="0.3">
      <c r="D37" t="e">
        <f t="shared" si="0"/>
        <v>#DIV/0!</v>
      </c>
      <c r="H37" s="90"/>
      <c r="I37" s="97"/>
      <c r="J37" s="97"/>
      <c r="K37" s="97"/>
      <c r="L37" s="97"/>
      <c r="M37" s="86"/>
    </row>
    <row r="38" spans="4:13" x14ac:dyDescent="0.25">
      <c r="D38" t="e">
        <f t="shared" si="0"/>
        <v>#DIV/0!</v>
      </c>
      <c r="H38" s="71" t="s">
        <v>122</v>
      </c>
      <c r="I38" s="92" t="s">
        <v>123</v>
      </c>
      <c r="J38" s="92" t="s">
        <v>124</v>
      </c>
      <c r="K38" s="92" t="s">
        <v>125</v>
      </c>
      <c r="L38" s="92" t="s">
        <v>126</v>
      </c>
      <c r="M38" s="93" t="s">
        <v>127</v>
      </c>
    </row>
    <row r="39" spans="4:13" x14ac:dyDescent="0.25">
      <c r="D39" t="e">
        <f t="shared" si="0"/>
        <v>#DIV/0!</v>
      </c>
      <c r="H39" s="98">
        <v>1</v>
      </c>
      <c r="I39" s="80" t="e">
        <f>$I$19+($H39*$I$23)</f>
        <v>#DIV/0!</v>
      </c>
      <c r="J39" s="80" t="e">
        <f>$I$19-($H39*$I$23)</f>
        <v>#DIV/0!</v>
      </c>
      <c r="K39" s="78">
        <f>COUNTIFS(D:D,"&lt;"&amp;I39,D:D,"&gt;"&amp;J39)</f>
        <v>67</v>
      </c>
      <c r="L39" s="80" t="e">
        <f>K39/$I$31</f>
        <v>#DIV/0!</v>
      </c>
      <c r="M39" s="81">
        <v>0.68269999999999997</v>
      </c>
    </row>
    <row r="40" spans="4:13" x14ac:dyDescent="0.25">
      <c r="D40" t="e">
        <f t="shared" si="0"/>
        <v>#DIV/0!</v>
      </c>
      <c r="H40" s="98">
        <v>2</v>
      </c>
      <c r="I40" s="80" t="e">
        <f>$I$19+($H40*$I$23)</f>
        <v>#DIV/0!</v>
      </c>
      <c r="J40" s="80" t="e">
        <f>$I$19-($H40*$I$23)</f>
        <v>#DIV/0!</v>
      </c>
      <c r="K40" s="78">
        <f>COUNTIFS(D:D,"&lt;"&amp;I40,D:D,"&gt;"&amp;J40)</f>
        <v>67</v>
      </c>
      <c r="L40" s="80" t="e">
        <f>K40/$I$31</f>
        <v>#DIV/0!</v>
      </c>
      <c r="M40" s="81">
        <v>0.95450000000000002</v>
      </c>
    </row>
    <row r="41" spans="4:13" x14ac:dyDescent="0.25">
      <c r="D41" t="e">
        <f t="shared" si="0"/>
        <v>#DIV/0!</v>
      </c>
      <c r="H41" s="98">
        <v>3</v>
      </c>
      <c r="I41" s="80" t="e">
        <f>$I$19+($H41*$I$23)</f>
        <v>#DIV/0!</v>
      </c>
      <c r="J41" s="80" t="e">
        <f>$I$19-($H41*$I$23)</f>
        <v>#DIV/0!</v>
      </c>
      <c r="K41" s="78">
        <f>COUNTIFS(D:D,"&lt;"&amp;I41,D:D,"&gt;"&amp;J41)</f>
        <v>67</v>
      </c>
      <c r="L41" s="80" t="e">
        <f>K41/$I$31</f>
        <v>#DIV/0!</v>
      </c>
      <c r="M41" s="99">
        <v>0.99729999999999996</v>
      </c>
    </row>
    <row r="42" spans="4:13" ht="15.75" thickBot="1" x14ac:dyDescent="0.3">
      <c r="D42" t="e">
        <f t="shared" si="0"/>
        <v>#DIV/0!</v>
      </c>
      <c r="H42" s="76"/>
      <c r="M42" s="99"/>
    </row>
    <row r="43" spans="4:13" ht="15.75" thickBot="1" x14ac:dyDescent="0.3">
      <c r="D43" t="e">
        <f t="shared" si="0"/>
        <v>#DIV/0!</v>
      </c>
      <c r="H43" s="142" t="s">
        <v>128</v>
      </c>
      <c r="I43" s="143"/>
      <c r="J43" s="143"/>
      <c r="K43" s="143"/>
      <c r="L43" s="143"/>
      <c r="M43" s="144"/>
    </row>
    <row r="44" spans="4:13" x14ac:dyDescent="0.25">
      <c r="D44" t="e">
        <f t="shared" si="0"/>
        <v>#DIV/0!</v>
      </c>
      <c r="H44" s="100">
        <v>0.01</v>
      </c>
      <c r="I44" s="101" t="e">
        <f t="shared" ref="I44:I58" si="7">_xlfn.PERCENTILE.INC(D:D,H44)</f>
        <v>#DIV/0!</v>
      </c>
      <c r="J44" s="102">
        <v>0.2</v>
      </c>
      <c r="K44" s="101" t="e">
        <f t="shared" ref="K44:K56" si="8">_xlfn.PERCENTILE.INC(D:D,J44)</f>
        <v>#DIV/0!</v>
      </c>
      <c r="L44" s="102">
        <v>0.85</v>
      </c>
      <c r="M44" s="103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4">
        <v>0.02</v>
      </c>
      <c r="I45" s="105" t="e">
        <f t="shared" si="7"/>
        <v>#DIV/0!</v>
      </c>
      <c r="J45" s="106">
        <v>0.25</v>
      </c>
      <c r="K45" s="105" t="e">
        <f t="shared" si="8"/>
        <v>#DIV/0!</v>
      </c>
      <c r="L45" s="106">
        <v>0.86</v>
      </c>
      <c r="M45" s="107" t="e">
        <f t="shared" si="9"/>
        <v>#DIV/0!</v>
      </c>
    </row>
    <row r="46" spans="4:13" x14ac:dyDescent="0.25">
      <c r="D46" t="e">
        <f t="shared" si="0"/>
        <v>#DIV/0!</v>
      </c>
      <c r="H46" s="104">
        <v>0.03</v>
      </c>
      <c r="I46" s="105" t="e">
        <f t="shared" si="7"/>
        <v>#DIV/0!</v>
      </c>
      <c r="J46" s="106">
        <v>0.3</v>
      </c>
      <c r="K46" s="105" t="e">
        <f t="shared" si="8"/>
        <v>#DIV/0!</v>
      </c>
      <c r="L46" s="106">
        <v>0.87</v>
      </c>
      <c r="M46" s="107" t="e">
        <f t="shared" si="9"/>
        <v>#DIV/0!</v>
      </c>
    </row>
    <row r="47" spans="4:13" x14ac:dyDescent="0.25">
      <c r="D47" t="e">
        <f t="shared" si="0"/>
        <v>#DIV/0!</v>
      </c>
      <c r="H47" s="104">
        <v>0.04</v>
      </c>
      <c r="I47" s="105" t="e">
        <f t="shared" si="7"/>
        <v>#DIV/0!</v>
      </c>
      <c r="J47" s="106">
        <v>0.35</v>
      </c>
      <c r="K47" s="105" t="e">
        <f t="shared" si="8"/>
        <v>#DIV/0!</v>
      </c>
      <c r="L47" s="106">
        <v>0.88</v>
      </c>
      <c r="M47" s="107" t="e">
        <f t="shared" si="9"/>
        <v>#DIV/0!</v>
      </c>
    </row>
    <row r="48" spans="4:13" x14ac:dyDescent="0.25">
      <c r="D48" t="e">
        <f t="shared" si="0"/>
        <v>#DIV/0!</v>
      </c>
      <c r="H48" s="104">
        <v>0.05</v>
      </c>
      <c r="I48" s="105" t="e">
        <f t="shared" si="7"/>
        <v>#DIV/0!</v>
      </c>
      <c r="J48" s="106">
        <v>0.4</v>
      </c>
      <c r="K48" s="105" t="e">
        <f t="shared" si="8"/>
        <v>#DIV/0!</v>
      </c>
      <c r="L48" s="106">
        <v>0.89</v>
      </c>
      <c r="M48" s="107" t="e">
        <f t="shared" si="9"/>
        <v>#DIV/0!</v>
      </c>
    </row>
    <row r="49" spans="4:13" x14ac:dyDescent="0.25">
      <c r="D49" t="e">
        <f t="shared" si="0"/>
        <v>#DIV/0!</v>
      </c>
      <c r="H49" s="104">
        <v>0.06</v>
      </c>
      <c r="I49" s="105" t="e">
        <f t="shared" si="7"/>
        <v>#DIV/0!</v>
      </c>
      <c r="J49" s="106">
        <v>0.45</v>
      </c>
      <c r="K49" s="105" t="e">
        <f t="shared" si="8"/>
        <v>#DIV/0!</v>
      </c>
      <c r="L49" s="106">
        <v>0.9</v>
      </c>
      <c r="M49" s="107" t="e">
        <f t="shared" si="9"/>
        <v>#DIV/0!</v>
      </c>
    </row>
    <row r="50" spans="4:13" x14ac:dyDescent="0.25">
      <c r="D50" t="e">
        <f t="shared" si="0"/>
        <v>#DIV/0!</v>
      </c>
      <c r="H50" s="104">
        <v>7.0000000000000007E-2</v>
      </c>
      <c r="I50" s="105" t="e">
        <f t="shared" si="7"/>
        <v>#DIV/0!</v>
      </c>
      <c r="J50" s="106">
        <v>0.5</v>
      </c>
      <c r="K50" s="105" t="e">
        <f t="shared" si="8"/>
        <v>#DIV/0!</v>
      </c>
      <c r="L50" s="106">
        <v>0.91</v>
      </c>
      <c r="M50" s="107" t="e">
        <f t="shared" si="9"/>
        <v>#DIV/0!</v>
      </c>
    </row>
    <row r="51" spans="4:13" x14ac:dyDescent="0.25">
      <c r="D51" t="e">
        <f t="shared" si="0"/>
        <v>#DIV/0!</v>
      </c>
      <c r="H51" s="104">
        <v>0.08</v>
      </c>
      <c r="I51" s="105" t="e">
        <f t="shared" si="7"/>
        <v>#DIV/0!</v>
      </c>
      <c r="J51" s="106">
        <v>0.55000000000000004</v>
      </c>
      <c r="K51" s="105" t="e">
        <f t="shared" si="8"/>
        <v>#DIV/0!</v>
      </c>
      <c r="L51" s="106">
        <v>0.92</v>
      </c>
      <c r="M51" s="107" t="e">
        <f t="shared" si="9"/>
        <v>#DIV/0!</v>
      </c>
    </row>
    <row r="52" spans="4:13" x14ac:dyDescent="0.25">
      <c r="D52" t="e">
        <f t="shared" si="0"/>
        <v>#DIV/0!</v>
      </c>
      <c r="H52" s="104">
        <v>0.09</v>
      </c>
      <c r="I52" s="105" t="e">
        <f t="shared" si="7"/>
        <v>#DIV/0!</v>
      </c>
      <c r="J52" s="106">
        <v>0.6</v>
      </c>
      <c r="K52" s="105" t="e">
        <f t="shared" si="8"/>
        <v>#DIV/0!</v>
      </c>
      <c r="L52" s="106">
        <v>0.93</v>
      </c>
      <c r="M52" s="107" t="e">
        <f t="shared" si="9"/>
        <v>#DIV/0!</v>
      </c>
    </row>
    <row r="53" spans="4:13" x14ac:dyDescent="0.25">
      <c r="D53" t="e">
        <f t="shared" si="0"/>
        <v>#DIV/0!</v>
      </c>
      <c r="H53" s="104">
        <v>0.1</v>
      </c>
      <c r="I53" s="105" t="e">
        <f t="shared" si="7"/>
        <v>#DIV/0!</v>
      </c>
      <c r="J53" s="106">
        <v>0.65</v>
      </c>
      <c r="K53" s="105" t="e">
        <f t="shared" si="8"/>
        <v>#DIV/0!</v>
      </c>
      <c r="L53" s="106">
        <v>0.94</v>
      </c>
      <c r="M53" s="107" t="e">
        <f t="shared" si="9"/>
        <v>#DIV/0!</v>
      </c>
    </row>
    <row r="54" spans="4:13" x14ac:dyDescent="0.25">
      <c r="D54" t="e">
        <f t="shared" si="0"/>
        <v>#DIV/0!</v>
      </c>
      <c r="H54" s="104">
        <v>0.11</v>
      </c>
      <c r="I54" s="105" t="e">
        <f t="shared" si="7"/>
        <v>#DIV/0!</v>
      </c>
      <c r="J54" s="106">
        <v>0.7</v>
      </c>
      <c r="K54" s="105" t="e">
        <f t="shared" si="8"/>
        <v>#DIV/0!</v>
      </c>
      <c r="L54" s="106">
        <v>0.95</v>
      </c>
      <c r="M54" s="107" t="e">
        <f t="shared" si="9"/>
        <v>#DIV/0!</v>
      </c>
    </row>
    <row r="55" spans="4:13" x14ac:dyDescent="0.25">
      <c r="D55" t="e">
        <f t="shared" si="0"/>
        <v>#DIV/0!</v>
      </c>
      <c r="H55" s="104">
        <v>0.12</v>
      </c>
      <c r="I55" s="105" t="e">
        <f t="shared" si="7"/>
        <v>#DIV/0!</v>
      </c>
      <c r="J55" s="106">
        <v>0.75</v>
      </c>
      <c r="K55" s="105" t="e">
        <f t="shared" si="8"/>
        <v>#DIV/0!</v>
      </c>
      <c r="L55" s="106">
        <v>0.96</v>
      </c>
      <c r="M55" s="107" t="e">
        <f t="shared" si="9"/>
        <v>#DIV/0!</v>
      </c>
    </row>
    <row r="56" spans="4:13" x14ac:dyDescent="0.25">
      <c r="D56" t="e">
        <f t="shared" si="0"/>
        <v>#DIV/0!</v>
      </c>
      <c r="H56" s="104">
        <v>0.13</v>
      </c>
      <c r="I56" s="105" t="e">
        <f t="shared" si="7"/>
        <v>#DIV/0!</v>
      </c>
      <c r="J56" s="106">
        <v>0.8</v>
      </c>
      <c r="K56" s="105" t="e">
        <f t="shared" si="8"/>
        <v>#DIV/0!</v>
      </c>
      <c r="L56" s="106">
        <v>0.97</v>
      </c>
      <c r="M56" s="107" t="e">
        <f t="shared" si="9"/>
        <v>#DIV/0!</v>
      </c>
    </row>
    <row r="57" spans="4:13" x14ac:dyDescent="0.25">
      <c r="D57" t="e">
        <f t="shared" si="0"/>
        <v>#DIV/0!</v>
      </c>
      <c r="H57" s="104">
        <v>0.14000000000000001</v>
      </c>
      <c r="I57" s="105" t="e">
        <f t="shared" si="7"/>
        <v>#DIV/0!</v>
      </c>
      <c r="J57" s="106"/>
      <c r="K57" s="105"/>
      <c r="L57" s="106">
        <v>0.98</v>
      </c>
      <c r="M57" s="107" t="e">
        <f t="shared" si="9"/>
        <v>#DIV/0!</v>
      </c>
    </row>
    <row r="58" spans="4:13" ht="15.75" thickBot="1" x14ac:dyDescent="0.3">
      <c r="D58" t="e">
        <f t="shared" si="0"/>
        <v>#DIV/0!</v>
      </c>
      <c r="H58" s="108">
        <v>0.15</v>
      </c>
      <c r="I58" s="109" t="e">
        <f t="shared" si="7"/>
        <v>#DIV/0!</v>
      </c>
      <c r="J58" s="110"/>
      <c r="K58" s="89"/>
      <c r="L58" s="111">
        <v>0.99</v>
      </c>
      <c r="M58" s="112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3" t="s">
        <v>129</v>
      </c>
      <c r="I60" s="114"/>
    </row>
    <row r="61" spans="4:13" ht="15.75" thickBot="1" x14ac:dyDescent="0.3">
      <c r="D61" t="e">
        <f t="shared" si="0"/>
        <v>#DIV/0!</v>
      </c>
      <c r="H61" s="115" t="s">
        <v>130</v>
      </c>
      <c r="I61" s="116"/>
    </row>
    <row r="62" spans="4:13" ht="15.75" thickBot="1" x14ac:dyDescent="0.3">
      <c r="D62" t="e">
        <f t="shared" si="0"/>
        <v>#DIV/0!</v>
      </c>
      <c r="H62" s="117"/>
    </row>
    <row r="63" spans="4:13" x14ac:dyDescent="0.25">
      <c r="D63" t="e">
        <f t="shared" si="0"/>
        <v>#DIV/0!</v>
      </c>
      <c r="H63" s="113" t="s">
        <v>131</v>
      </c>
      <c r="I63" s="118"/>
    </row>
    <row r="64" spans="4:13" x14ac:dyDescent="0.25">
      <c r="D64" t="e">
        <f t="shared" si="0"/>
        <v>#DIV/0!</v>
      </c>
      <c r="H64" s="119" t="s">
        <v>132</v>
      </c>
      <c r="I64" s="120">
        <f>I63*(1-I60)</f>
        <v>0</v>
      </c>
    </row>
    <row r="65" spans="4:9" ht="15.75" thickBot="1" x14ac:dyDescent="0.3">
      <c r="D65" t="e">
        <f t="shared" si="0"/>
        <v>#DIV/0!</v>
      </c>
      <c r="H65" s="115" t="s">
        <v>133</v>
      </c>
      <c r="I65" s="121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2024-05-01T15:09:27Z</dcterms:modified>
</cp:coreProperties>
</file>