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mon\Documents\models\E-Com\"/>
    </mc:Choice>
  </mc:AlternateContent>
  <xr:revisionPtr revIDLastSave="0" documentId="13_ncr:1_{91D8DF3E-9190-4812-95B0-11977BFAA3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Model" sheetId="2" r:id="rId2"/>
    <sheet name="Net 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8" i="1"/>
  <c r="L6" i="1"/>
  <c r="L5" i="1"/>
  <c r="M13" i="3"/>
  <c r="M3" i="3"/>
  <c r="M4" i="3"/>
  <c r="M5" i="3"/>
  <c r="M9" i="3" s="1"/>
  <c r="M6" i="3"/>
  <c r="M7" i="3"/>
  <c r="M8" i="3"/>
  <c r="M2" i="3"/>
  <c r="V12" i="3"/>
  <c r="V13" i="3"/>
  <c r="V14" i="3"/>
  <c r="V15" i="3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A35" i="2"/>
  <c r="AF35" i="2"/>
  <c r="AE35" i="2"/>
  <c r="AD35" i="2"/>
  <c r="AC35" i="2"/>
  <c r="AB35" i="2"/>
  <c r="AG35" i="2"/>
  <c r="V26" i="2"/>
  <c r="V25" i="2"/>
  <c r="V24" i="2"/>
  <c r="V6" i="2"/>
  <c r="V5" i="2"/>
  <c r="V4" i="2"/>
  <c r="AG40" i="2"/>
  <c r="L9" i="3"/>
  <c r="L12" i="3"/>
  <c r="L13" i="3"/>
  <c r="L14" i="3"/>
  <c r="L15" i="3"/>
  <c r="V28" i="2"/>
  <c r="V20" i="2"/>
  <c r="V19" i="2"/>
  <c r="V18" i="2"/>
  <c r="V16" i="2"/>
  <c r="V15" i="2"/>
  <c r="V14" i="2"/>
  <c r="V13" i="2"/>
  <c r="V12" i="2"/>
  <c r="V11" i="2"/>
  <c r="V9" i="2"/>
  <c r="V8" i="2"/>
  <c r="AG43" i="2"/>
  <c r="AG42" i="2"/>
  <c r="AG41" i="2"/>
  <c r="AG31" i="2"/>
  <c r="AG10" i="2"/>
  <c r="U22" i="2"/>
  <c r="AG38" i="2" l="1"/>
  <c r="AG39" i="2"/>
  <c r="AG17" i="2"/>
  <c r="AG21" i="2" s="1"/>
  <c r="AG23" i="2" s="1"/>
  <c r="U38" i="2"/>
  <c r="V38" i="2"/>
  <c r="W38" i="2"/>
  <c r="X38" i="2"/>
  <c r="U39" i="2"/>
  <c r="V39" i="2"/>
  <c r="W39" i="2"/>
  <c r="X39" i="2"/>
  <c r="U40" i="2"/>
  <c r="V40" i="2"/>
  <c r="W40" i="2"/>
  <c r="X40" i="2"/>
  <c r="U41" i="2"/>
  <c r="V41" i="2"/>
  <c r="W41" i="2"/>
  <c r="X41" i="2"/>
  <c r="U42" i="2"/>
  <c r="V42" i="2"/>
  <c r="W42" i="2"/>
  <c r="X42" i="2"/>
  <c r="U43" i="2"/>
  <c r="V43" i="2"/>
  <c r="W43" i="2"/>
  <c r="X43" i="2"/>
  <c r="T31" i="2"/>
  <c r="U31" i="2"/>
  <c r="W31" i="2"/>
  <c r="X31" i="2"/>
  <c r="U10" i="2"/>
  <c r="V10" i="2"/>
  <c r="V17" i="2" s="1"/>
  <c r="V21" i="2" s="1"/>
  <c r="W10" i="2"/>
  <c r="X10" i="2"/>
  <c r="X30" i="2" s="1"/>
  <c r="T10" i="2"/>
  <c r="AG63" i="2"/>
  <c r="AG62" i="2"/>
  <c r="AG61" i="2"/>
  <c r="AG59" i="2"/>
  <c r="AG58" i="2"/>
  <c r="AG57" i="2"/>
  <c r="AG55" i="2"/>
  <c r="AG54" i="2"/>
  <c r="AG53" i="2"/>
  <c r="AG52" i="2"/>
  <c r="AG50" i="2"/>
  <c r="AG49" i="2"/>
  <c r="AG48" i="2"/>
  <c r="AG47" i="2"/>
  <c r="AG51" i="2" s="1"/>
  <c r="W64" i="2"/>
  <c r="U60" i="2"/>
  <c r="U64" i="2" s="1"/>
  <c r="V60" i="2"/>
  <c r="V64" i="2" s="1"/>
  <c r="W60" i="2"/>
  <c r="X60" i="2"/>
  <c r="X64" i="2" s="1"/>
  <c r="W56" i="2"/>
  <c r="X56" i="2"/>
  <c r="U51" i="2"/>
  <c r="U56" i="2" s="1"/>
  <c r="U65" i="2" s="1"/>
  <c r="V51" i="2"/>
  <c r="V56" i="2" s="1"/>
  <c r="V65" i="2" s="1"/>
  <c r="W51" i="2"/>
  <c r="X51" i="2"/>
  <c r="U46" i="2"/>
  <c r="V46" i="2"/>
  <c r="W46" i="2"/>
  <c r="X46" i="2"/>
  <c r="S60" i="2"/>
  <c r="R60" i="2"/>
  <c r="Q60" i="2"/>
  <c r="P60" i="2"/>
  <c r="O60" i="2"/>
  <c r="O64" i="2" s="1"/>
  <c r="N60" i="2"/>
  <c r="N64" i="2" s="1"/>
  <c r="M60" i="2"/>
  <c r="M64" i="2" s="1"/>
  <c r="L60" i="2"/>
  <c r="L64" i="2" s="1"/>
  <c r="K60" i="2"/>
  <c r="K64" i="2" s="1"/>
  <c r="J60" i="2"/>
  <c r="J64" i="2" s="1"/>
  <c r="I60" i="2"/>
  <c r="I64" i="2" s="1"/>
  <c r="H60" i="2"/>
  <c r="G60" i="2"/>
  <c r="G64" i="2" s="1"/>
  <c r="F60" i="2"/>
  <c r="F64" i="2" s="1"/>
  <c r="E60" i="2"/>
  <c r="E64" i="2" s="1"/>
  <c r="D60" i="2"/>
  <c r="D64" i="2" s="1"/>
  <c r="C60" i="2"/>
  <c r="AF60" i="2"/>
  <c r="AF64" i="2" s="1"/>
  <c r="AE60" i="2"/>
  <c r="AE64" i="2" s="1"/>
  <c r="AD60" i="2"/>
  <c r="AC60" i="2"/>
  <c r="AB60" i="2"/>
  <c r="AB64" i="2" s="1"/>
  <c r="AD64" i="2"/>
  <c r="AC64" i="2"/>
  <c r="S64" i="2"/>
  <c r="R64" i="2"/>
  <c r="Q64" i="2"/>
  <c r="P64" i="2"/>
  <c r="H64" i="2"/>
  <c r="C64" i="2"/>
  <c r="T60" i="2"/>
  <c r="T64" i="2" s="1"/>
  <c r="AF51" i="2"/>
  <c r="AF56" i="2" s="1"/>
  <c r="AE51" i="2"/>
  <c r="AE56" i="2" s="1"/>
  <c r="AD51" i="2"/>
  <c r="AD56" i="2" s="1"/>
  <c r="AC51" i="2"/>
  <c r="AC56" i="2" s="1"/>
  <c r="AB51" i="2"/>
  <c r="AB56" i="2" s="1"/>
  <c r="S51" i="2"/>
  <c r="S56" i="2" s="1"/>
  <c r="R51" i="2"/>
  <c r="R56" i="2" s="1"/>
  <c r="Q51" i="2"/>
  <c r="Q56" i="2" s="1"/>
  <c r="P51" i="2"/>
  <c r="P56" i="2" s="1"/>
  <c r="O51" i="2"/>
  <c r="O56" i="2" s="1"/>
  <c r="N51" i="2"/>
  <c r="N56" i="2" s="1"/>
  <c r="M51" i="2"/>
  <c r="M56" i="2" s="1"/>
  <c r="L51" i="2"/>
  <c r="L56" i="2" s="1"/>
  <c r="K51" i="2"/>
  <c r="K56" i="2" s="1"/>
  <c r="J51" i="2"/>
  <c r="J56" i="2" s="1"/>
  <c r="I51" i="2"/>
  <c r="I56" i="2" s="1"/>
  <c r="H51" i="2"/>
  <c r="H56" i="2" s="1"/>
  <c r="G51" i="2"/>
  <c r="G56" i="2" s="1"/>
  <c r="F51" i="2"/>
  <c r="F56" i="2" s="1"/>
  <c r="E51" i="2"/>
  <c r="E56" i="2" s="1"/>
  <c r="D51" i="2"/>
  <c r="D56" i="2" s="1"/>
  <c r="C51" i="2"/>
  <c r="C56" i="2" s="1"/>
  <c r="T51" i="2"/>
  <c r="T56" i="2" s="1"/>
  <c r="S46" i="2"/>
  <c r="T43" i="2"/>
  <c r="T38" i="2"/>
  <c r="T46" i="2"/>
  <c r="P92" i="2"/>
  <c r="J46" i="2"/>
  <c r="N46" i="2"/>
  <c r="R46" i="2"/>
  <c r="AB46" i="2"/>
  <c r="AC46" i="2"/>
  <c r="AD46" i="2"/>
  <c r="AE46" i="2"/>
  <c r="AF46" i="2"/>
  <c r="U17" i="2" l="1"/>
  <c r="U21" i="2" s="1"/>
  <c r="X17" i="2"/>
  <c r="X21" i="2" s="1"/>
  <c r="W17" i="2"/>
  <c r="W21" i="2" s="1"/>
  <c r="AG32" i="2"/>
  <c r="AG27" i="2"/>
  <c r="AG34" i="2"/>
  <c r="AG60" i="2"/>
  <c r="AG64" i="2" s="1"/>
  <c r="AG46" i="2"/>
  <c r="AG56" i="2"/>
  <c r="L3" i="1"/>
  <c r="L4" i="1" s="1"/>
  <c r="T68" i="2"/>
  <c r="S68" i="2"/>
  <c r="R68" i="2"/>
  <c r="P93" i="2"/>
  <c r="Q68" i="2" s="1"/>
  <c r="T92" i="2"/>
  <c r="K9" i="3"/>
  <c r="K15" i="3"/>
  <c r="K14" i="3"/>
  <c r="K13" i="3"/>
  <c r="K12" i="3"/>
  <c r="T42" i="2"/>
  <c r="T41" i="2"/>
  <c r="T40" i="2"/>
  <c r="T39" i="2"/>
  <c r="T22" i="2"/>
  <c r="T17" i="2"/>
  <c r="T21" i="2" s="1"/>
  <c r="I39" i="2"/>
  <c r="J6" i="2"/>
  <c r="J5" i="2"/>
  <c r="J4" i="2"/>
  <c r="F6" i="2"/>
  <c r="F5" i="2"/>
  <c r="F4" i="2"/>
  <c r="F8" i="2"/>
  <c r="F9" i="2"/>
  <c r="F11" i="2"/>
  <c r="F12" i="2"/>
  <c r="F13" i="2"/>
  <c r="F14" i="2"/>
  <c r="F15" i="2"/>
  <c r="F16" i="2"/>
  <c r="F18" i="2"/>
  <c r="F19" i="2"/>
  <c r="F20" i="2"/>
  <c r="F26" i="2"/>
  <c r="F25" i="2"/>
  <c r="F24" i="2"/>
  <c r="J26" i="2"/>
  <c r="J25" i="2"/>
  <c r="J24" i="2"/>
  <c r="G31" i="2"/>
  <c r="H31" i="2"/>
  <c r="I31" i="2"/>
  <c r="E3" i="3"/>
  <c r="E4" i="3"/>
  <c r="E5" i="3"/>
  <c r="E6" i="3"/>
  <c r="E7" i="3"/>
  <c r="E8" i="3"/>
  <c r="E2" i="3"/>
  <c r="I3" i="3"/>
  <c r="I4" i="3"/>
  <c r="M15" i="3" s="1"/>
  <c r="I5" i="3"/>
  <c r="I6" i="3"/>
  <c r="I7" i="3"/>
  <c r="M14" i="3" s="1"/>
  <c r="I8" i="3"/>
  <c r="I2" i="3"/>
  <c r="M12" i="3" s="1"/>
  <c r="Q12" i="3"/>
  <c r="R12" i="3"/>
  <c r="S12" i="3"/>
  <c r="Q14" i="3"/>
  <c r="R14" i="3"/>
  <c r="S14" i="3"/>
  <c r="Q15" i="3"/>
  <c r="R15" i="3"/>
  <c r="S15" i="3"/>
  <c r="U12" i="3"/>
  <c r="U13" i="3"/>
  <c r="U14" i="3"/>
  <c r="U15" i="3"/>
  <c r="T15" i="3"/>
  <c r="T14" i="3"/>
  <c r="T13" i="3"/>
  <c r="T12" i="3"/>
  <c r="V9" i="3"/>
  <c r="U9" i="3"/>
  <c r="T9" i="3"/>
  <c r="S9" i="3"/>
  <c r="R9" i="3"/>
  <c r="Q9" i="3"/>
  <c r="P9" i="3"/>
  <c r="N26" i="2"/>
  <c r="N25" i="2"/>
  <c r="N24" i="2"/>
  <c r="R26" i="2"/>
  <c r="R25" i="2"/>
  <c r="R24" i="2"/>
  <c r="R6" i="2"/>
  <c r="V31" i="2" s="1"/>
  <c r="R5" i="2"/>
  <c r="R4" i="2"/>
  <c r="N5" i="2"/>
  <c r="N42" i="2" s="1"/>
  <c r="N6" i="2"/>
  <c r="N4" i="2"/>
  <c r="D9" i="3"/>
  <c r="H9" i="3"/>
  <c r="K31" i="2"/>
  <c r="L31" i="2"/>
  <c r="M31" i="2"/>
  <c r="C9" i="3"/>
  <c r="G9" i="3"/>
  <c r="G12" i="3"/>
  <c r="H12" i="3"/>
  <c r="J12" i="3"/>
  <c r="F12" i="3"/>
  <c r="G15" i="3"/>
  <c r="H15" i="3"/>
  <c r="J15" i="3"/>
  <c r="F15" i="3"/>
  <c r="G14" i="3"/>
  <c r="H14" i="3"/>
  <c r="J14" i="3"/>
  <c r="F14" i="3"/>
  <c r="J13" i="3"/>
  <c r="H13" i="3"/>
  <c r="G13" i="3"/>
  <c r="F13" i="3"/>
  <c r="J9" i="3"/>
  <c r="O31" i="2"/>
  <c r="B9" i="3"/>
  <c r="F9" i="3"/>
  <c r="S31" i="2"/>
  <c r="P31" i="2"/>
  <c r="Q31" i="2"/>
  <c r="AC31" i="2"/>
  <c r="AD31" i="2"/>
  <c r="AE31" i="2"/>
  <c r="AF31" i="2"/>
  <c r="AB31" i="2"/>
  <c r="AA22" i="2"/>
  <c r="AA10" i="2"/>
  <c r="AA17" i="2" s="1"/>
  <c r="AA21" i="2" s="1"/>
  <c r="AB22" i="2"/>
  <c r="AC22" i="2"/>
  <c r="AB10" i="2"/>
  <c r="AB17" i="2" s="1"/>
  <c r="AB21" i="2" s="1"/>
  <c r="AC10" i="2"/>
  <c r="AC17" i="2" s="1"/>
  <c r="AC21" i="2" s="1"/>
  <c r="C38" i="2"/>
  <c r="D38" i="2"/>
  <c r="E38" i="2"/>
  <c r="G38" i="2"/>
  <c r="H38" i="2"/>
  <c r="I38" i="2"/>
  <c r="K38" i="2"/>
  <c r="L38" i="2"/>
  <c r="M38" i="2"/>
  <c r="O38" i="2"/>
  <c r="P38" i="2"/>
  <c r="Q38" i="2"/>
  <c r="S38" i="2"/>
  <c r="C39" i="2"/>
  <c r="D39" i="2"/>
  <c r="E39" i="2"/>
  <c r="G39" i="2"/>
  <c r="H39" i="2"/>
  <c r="K39" i="2"/>
  <c r="L39" i="2"/>
  <c r="M39" i="2"/>
  <c r="O39" i="2"/>
  <c r="P39" i="2"/>
  <c r="Q39" i="2"/>
  <c r="S39" i="2"/>
  <c r="C40" i="2"/>
  <c r="D40" i="2"/>
  <c r="E40" i="2"/>
  <c r="G40" i="2"/>
  <c r="H40" i="2"/>
  <c r="I40" i="2"/>
  <c r="K40" i="2"/>
  <c r="L40" i="2"/>
  <c r="M40" i="2"/>
  <c r="O40" i="2"/>
  <c r="P40" i="2"/>
  <c r="Q40" i="2"/>
  <c r="S40" i="2"/>
  <c r="C41" i="2"/>
  <c r="D41" i="2"/>
  <c r="E41" i="2"/>
  <c r="G41" i="2"/>
  <c r="H41" i="2"/>
  <c r="I41" i="2"/>
  <c r="K41" i="2"/>
  <c r="L41" i="2"/>
  <c r="M41" i="2"/>
  <c r="O41" i="2"/>
  <c r="P41" i="2"/>
  <c r="Q41" i="2"/>
  <c r="S41" i="2"/>
  <c r="C42" i="2"/>
  <c r="D42" i="2"/>
  <c r="E42" i="2"/>
  <c r="G42" i="2"/>
  <c r="H42" i="2"/>
  <c r="I42" i="2"/>
  <c r="K42" i="2"/>
  <c r="L42" i="2"/>
  <c r="M42" i="2"/>
  <c r="O42" i="2"/>
  <c r="P42" i="2"/>
  <c r="Q42" i="2"/>
  <c r="S42" i="2"/>
  <c r="C43" i="2"/>
  <c r="D43" i="2"/>
  <c r="E43" i="2"/>
  <c r="G43" i="2"/>
  <c r="H43" i="2"/>
  <c r="I43" i="2"/>
  <c r="K43" i="2"/>
  <c r="L43" i="2"/>
  <c r="M43" i="2"/>
  <c r="O43" i="2"/>
  <c r="P43" i="2"/>
  <c r="Q43" i="2"/>
  <c r="S43" i="2"/>
  <c r="AE41" i="2"/>
  <c r="AF41" i="2"/>
  <c r="AE42" i="2"/>
  <c r="AF42" i="2"/>
  <c r="AD41" i="2"/>
  <c r="AD42" i="2"/>
  <c r="AC42" i="2"/>
  <c r="AB42" i="2"/>
  <c r="AC41" i="2"/>
  <c r="AB41" i="2"/>
  <c r="AF43" i="2"/>
  <c r="AE43" i="2"/>
  <c r="AD43" i="2"/>
  <c r="AC43" i="2"/>
  <c r="AB43" i="2"/>
  <c r="AF38" i="2"/>
  <c r="AF39" i="2"/>
  <c r="AF40" i="2"/>
  <c r="AE38" i="2"/>
  <c r="AE39" i="2"/>
  <c r="AE40" i="2"/>
  <c r="AD38" i="2"/>
  <c r="AD39" i="2"/>
  <c r="AD40" i="2"/>
  <c r="AC40" i="2"/>
  <c r="AC39" i="2"/>
  <c r="AC38" i="2"/>
  <c r="AB40" i="2"/>
  <c r="AB39" i="2"/>
  <c r="AB38" i="2"/>
  <c r="J20" i="2"/>
  <c r="J19" i="2"/>
  <c r="J18" i="2"/>
  <c r="J16" i="2"/>
  <c r="J15" i="2"/>
  <c r="J14" i="2"/>
  <c r="J13" i="2"/>
  <c r="J12" i="2"/>
  <c r="J11" i="2"/>
  <c r="J9" i="2"/>
  <c r="J8" i="2"/>
  <c r="E22" i="2"/>
  <c r="E10" i="2"/>
  <c r="E17" i="2" s="1"/>
  <c r="E21" i="2" s="1"/>
  <c r="C22" i="2"/>
  <c r="C10" i="2"/>
  <c r="C17" i="2" s="1"/>
  <c r="C21" i="2" s="1"/>
  <c r="H22" i="2"/>
  <c r="D22" i="2"/>
  <c r="D10" i="2"/>
  <c r="D17" i="2" s="1"/>
  <c r="D21" i="2" s="1"/>
  <c r="H10" i="2"/>
  <c r="H17" i="2" s="1"/>
  <c r="H21" i="2" s="1"/>
  <c r="G22" i="2"/>
  <c r="G10" i="2"/>
  <c r="G17" i="2" s="1"/>
  <c r="G21" i="2" s="1"/>
  <c r="N28" i="2"/>
  <c r="N20" i="2"/>
  <c r="N19" i="2"/>
  <c r="N18" i="2"/>
  <c r="N16" i="2"/>
  <c r="N15" i="2"/>
  <c r="N14" i="2"/>
  <c r="N13" i="2"/>
  <c r="N12" i="2"/>
  <c r="N11" i="2"/>
  <c r="N9" i="2"/>
  <c r="N8" i="2"/>
  <c r="K22" i="2"/>
  <c r="K10" i="2"/>
  <c r="K17" i="2" s="1"/>
  <c r="K21" i="2" s="1"/>
  <c r="I22" i="2"/>
  <c r="I10" i="2"/>
  <c r="I17" i="2" s="1"/>
  <c r="I21" i="2" s="1"/>
  <c r="R20" i="2"/>
  <c r="R18" i="2"/>
  <c r="R12" i="2"/>
  <c r="R13" i="2"/>
  <c r="R14" i="2"/>
  <c r="R15" i="2"/>
  <c r="R16" i="2"/>
  <c r="R11" i="2"/>
  <c r="R9" i="2"/>
  <c r="R8" i="2"/>
  <c r="L10" i="2"/>
  <c r="L17" i="2" s="1"/>
  <c r="L21" i="2" s="1"/>
  <c r="L23" i="2" s="1"/>
  <c r="L27" i="2" s="1"/>
  <c r="P22" i="2"/>
  <c r="P10" i="2"/>
  <c r="P17" i="2" s="1"/>
  <c r="P21" i="2" s="1"/>
  <c r="AE22" i="2"/>
  <c r="AD10" i="2"/>
  <c r="AD17" i="2" s="1"/>
  <c r="AD21" i="2" s="1"/>
  <c r="AD23" i="2" s="1"/>
  <c r="AD32" i="2" s="1"/>
  <c r="AE10" i="2"/>
  <c r="AE17" i="2" s="1"/>
  <c r="AE21" i="2" s="1"/>
  <c r="AF22" i="2"/>
  <c r="AF19" i="2"/>
  <c r="R19" i="2" s="1"/>
  <c r="AF10" i="2"/>
  <c r="M10" i="2"/>
  <c r="M17" i="2" s="1"/>
  <c r="M21" i="2" s="1"/>
  <c r="Q22" i="2"/>
  <c r="Q10" i="2"/>
  <c r="U30" i="2" s="1"/>
  <c r="O10" i="2"/>
  <c r="O17" i="2" s="1"/>
  <c r="O21" i="2" s="1"/>
  <c r="O23" i="2" s="1"/>
  <c r="O27" i="2" s="1"/>
  <c r="S22" i="2"/>
  <c r="S10" i="2"/>
  <c r="S17" i="2" s="1"/>
  <c r="S21" i="2" s="1"/>
  <c r="W23" i="2" l="1"/>
  <c r="W34" i="2"/>
  <c r="AF17" i="2"/>
  <c r="AF21" i="2" s="1"/>
  <c r="AF34" i="2" s="1"/>
  <c r="AG30" i="2"/>
  <c r="X34" i="2"/>
  <c r="X23" i="2"/>
  <c r="V22" i="2"/>
  <c r="W30" i="2"/>
  <c r="I13" i="3"/>
  <c r="I14" i="3"/>
  <c r="E9" i="3"/>
  <c r="U34" i="2"/>
  <c r="U23" i="2"/>
  <c r="AG65" i="2"/>
  <c r="L7" i="1"/>
  <c r="T93" i="2"/>
  <c r="R43" i="2"/>
  <c r="F22" i="2"/>
  <c r="F43" i="2"/>
  <c r="J39" i="2"/>
  <c r="T23" i="2"/>
  <c r="T32" i="2" s="1"/>
  <c r="T34" i="2"/>
  <c r="J40" i="2"/>
  <c r="F10" i="2"/>
  <c r="F17" i="2" s="1"/>
  <c r="F21" i="2" s="1"/>
  <c r="T30" i="2"/>
  <c r="F39" i="2"/>
  <c r="I15" i="3"/>
  <c r="I12" i="3"/>
  <c r="AA23" i="2"/>
  <c r="AA27" i="2" s="1"/>
  <c r="R31" i="2"/>
  <c r="R42" i="2"/>
  <c r="F42" i="2"/>
  <c r="AC34" i="2"/>
  <c r="AB34" i="2"/>
  <c r="J38" i="2"/>
  <c r="F38" i="2"/>
  <c r="AB30" i="2"/>
  <c r="J43" i="2"/>
  <c r="N43" i="2"/>
  <c r="N31" i="2"/>
  <c r="J31" i="2"/>
  <c r="J42" i="2"/>
  <c r="J41" i="2"/>
  <c r="F40" i="2"/>
  <c r="F41" i="2"/>
  <c r="I9" i="3"/>
  <c r="R38" i="2"/>
  <c r="R40" i="2"/>
  <c r="R39" i="2"/>
  <c r="R41" i="2"/>
  <c r="N38" i="2"/>
  <c r="N39" i="2"/>
  <c r="N40" i="2"/>
  <c r="N41" i="2"/>
  <c r="L32" i="2"/>
  <c r="AD30" i="2"/>
  <c r="AC30" i="2"/>
  <c r="AB23" i="2"/>
  <c r="AC23" i="2"/>
  <c r="O32" i="2"/>
  <c r="G23" i="2"/>
  <c r="P23" i="2"/>
  <c r="AD27" i="2"/>
  <c r="H34" i="2"/>
  <c r="L34" i="2"/>
  <c r="R22" i="2"/>
  <c r="P34" i="2"/>
  <c r="S23" i="2"/>
  <c r="R10" i="2"/>
  <c r="C23" i="2"/>
  <c r="C32" i="2" s="1"/>
  <c r="G34" i="2"/>
  <c r="K34" i="2"/>
  <c r="S34" i="2"/>
  <c r="J22" i="2"/>
  <c r="N10" i="2"/>
  <c r="N22" i="2"/>
  <c r="M23" i="2"/>
  <c r="M32" i="2" s="1"/>
  <c r="M34" i="2"/>
  <c r="S30" i="2"/>
  <c r="Q30" i="2"/>
  <c r="AE34" i="2"/>
  <c r="AE30" i="2"/>
  <c r="AF30" i="2"/>
  <c r="M30" i="2"/>
  <c r="K30" i="2"/>
  <c r="I34" i="2"/>
  <c r="P30" i="2"/>
  <c r="O34" i="2"/>
  <c r="J10" i="2"/>
  <c r="J17" i="2" s="1"/>
  <c r="J21" i="2" s="1"/>
  <c r="E23" i="2"/>
  <c r="E32" i="2" s="1"/>
  <c r="I30" i="2"/>
  <c r="G30" i="2"/>
  <c r="H23" i="2"/>
  <c r="D23" i="2"/>
  <c r="L30" i="2"/>
  <c r="H30" i="2"/>
  <c r="K23" i="2"/>
  <c r="K32" i="2" s="1"/>
  <c r="O30" i="2"/>
  <c r="I23" i="2"/>
  <c r="AD34" i="2"/>
  <c r="AE23" i="2"/>
  <c r="AE32" i="2" s="1"/>
  <c r="Q17" i="2"/>
  <c r="Q21" i="2" s="1"/>
  <c r="Q23" i="2" s="1"/>
  <c r="Q32" i="2" s="1"/>
  <c r="V23" i="2" l="1"/>
  <c r="V34" i="2"/>
  <c r="W32" i="2"/>
  <c r="W27" i="2"/>
  <c r="W33" i="2"/>
  <c r="X32" i="2"/>
  <c r="X27" i="2"/>
  <c r="X33" i="2"/>
  <c r="R17" i="2"/>
  <c r="R21" i="2" s="1"/>
  <c r="R34" i="2" s="1"/>
  <c r="V30" i="2"/>
  <c r="U27" i="2"/>
  <c r="U33" i="2"/>
  <c r="U32" i="2"/>
  <c r="T27" i="2"/>
  <c r="F23" i="2"/>
  <c r="F27" i="2" s="1"/>
  <c r="T33" i="2"/>
  <c r="AA32" i="2"/>
  <c r="AD33" i="2"/>
  <c r="AC27" i="2"/>
  <c r="AB27" i="2"/>
  <c r="AB33" i="2"/>
  <c r="AC32" i="2"/>
  <c r="AC33" i="2"/>
  <c r="AB32" i="2"/>
  <c r="P27" i="2"/>
  <c r="P32" i="2"/>
  <c r="D27" i="2"/>
  <c r="D32" i="2"/>
  <c r="S27" i="2"/>
  <c r="S32" i="2"/>
  <c r="G27" i="2"/>
  <c r="G32" i="2"/>
  <c r="H27" i="2"/>
  <c r="H32" i="2"/>
  <c r="AF23" i="2"/>
  <c r="I27" i="2"/>
  <c r="I32" i="2"/>
  <c r="J23" i="2"/>
  <c r="P33" i="2"/>
  <c r="G33" i="2"/>
  <c r="C27" i="2"/>
  <c r="Q33" i="2"/>
  <c r="R30" i="2"/>
  <c r="I33" i="2"/>
  <c r="J34" i="2"/>
  <c r="S33" i="2"/>
  <c r="N17" i="2"/>
  <c r="N21" i="2" s="1"/>
  <c r="N34" i="2" s="1"/>
  <c r="E27" i="2"/>
  <c r="AE27" i="2"/>
  <c r="AE33" i="2"/>
  <c r="M27" i="2"/>
  <c r="M33" i="2"/>
  <c r="O33" i="2"/>
  <c r="K33" i="2"/>
  <c r="N30" i="2"/>
  <c r="J30" i="2"/>
  <c r="L33" i="2"/>
  <c r="H33" i="2"/>
  <c r="K27" i="2"/>
  <c r="Q34" i="2"/>
  <c r="Q27" i="2"/>
  <c r="AF33" i="2" l="1"/>
  <c r="AG33" i="2"/>
  <c r="V32" i="2"/>
  <c r="V27" i="2"/>
  <c r="F32" i="2"/>
  <c r="J33" i="2"/>
  <c r="J32" i="2"/>
  <c r="AF27" i="2"/>
  <c r="R27" i="2" s="1"/>
  <c r="AF32" i="2"/>
  <c r="R23" i="2"/>
  <c r="N23" i="2"/>
  <c r="N32" i="2" s="1"/>
  <c r="R32" i="2" l="1"/>
  <c r="V33" i="2"/>
  <c r="R33" i="2"/>
  <c r="N27" i="2"/>
  <c r="N33" i="2"/>
  <c r="J27" i="2"/>
</calcChain>
</file>

<file path=xl/sharedStrings.xml><?xml version="1.0" encoding="utf-8"?>
<sst xmlns="http://schemas.openxmlformats.org/spreadsheetml/2006/main" count="170" uniqueCount="131">
  <si>
    <t>Price</t>
  </si>
  <si>
    <t>Shares</t>
  </si>
  <si>
    <t>MC</t>
  </si>
  <si>
    <t>Cash</t>
  </si>
  <si>
    <t>Debt</t>
  </si>
  <si>
    <t>Net Cash</t>
  </si>
  <si>
    <t>EV</t>
  </si>
  <si>
    <t>Main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</si>
  <si>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</si>
  <si>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</si>
  <si>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</si>
  <si>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</si>
  <si>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</si>
  <si>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</si>
  <si>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</si>
  <si>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</si>
  <si>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</si>
  <si>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</si>
  <si>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FY21</t>
  </si>
  <si>
    <t>FY22</t>
  </si>
  <si>
    <t>FY23</t>
  </si>
  <si>
    <t>FY24</t>
  </si>
  <si>
    <t>FY20</t>
  </si>
  <si>
    <t>FY19</t>
  </si>
  <si>
    <t>FY18</t>
  </si>
  <si>
    <t>Q319</t>
  </si>
  <si>
    <t>Q419</t>
  </si>
  <si>
    <t>Q120</t>
  </si>
  <si>
    <t>Q220</t>
  </si>
  <si>
    <t>Q320</t>
  </si>
  <si>
    <t>Q420</t>
  </si>
  <si>
    <t>Q119</t>
  </si>
  <si>
    <t>Q219</t>
  </si>
  <si>
    <t>Net Product Sales</t>
  </si>
  <si>
    <t>Net Service Sales</t>
  </si>
  <si>
    <t>Total Net Sales</t>
  </si>
  <si>
    <t>Fulfillment</t>
  </si>
  <si>
    <t>Tech</t>
  </si>
  <si>
    <t>S&amp;M</t>
  </si>
  <si>
    <t>G&amp;A</t>
  </si>
  <si>
    <t>Other</t>
  </si>
  <si>
    <t>Opinc</t>
  </si>
  <si>
    <t>Interest Inc</t>
  </si>
  <si>
    <t>Interest Exp</t>
  </si>
  <si>
    <t>Other inc</t>
  </si>
  <si>
    <t>Income Tax</t>
  </si>
  <si>
    <t>EBITDA</t>
  </si>
  <si>
    <t>Net Income</t>
  </si>
  <si>
    <t>EPS</t>
  </si>
  <si>
    <t>Revenue y/y</t>
  </si>
  <si>
    <t>Net Income y/y</t>
  </si>
  <si>
    <t>Tax Rate</t>
  </si>
  <si>
    <t>Management</t>
  </si>
  <si>
    <t>Employees</t>
  </si>
  <si>
    <t xml:space="preserve"> </t>
  </si>
  <si>
    <t>International</t>
  </si>
  <si>
    <t>AWS</t>
  </si>
  <si>
    <t>US %</t>
  </si>
  <si>
    <t>International %</t>
  </si>
  <si>
    <t>AWS %</t>
  </si>
  <si>
    <t>US</t>
  </si>
  <si>
    <t>NI US</t>
  </si>
  <si>
    <t>NI Int.</t>
  </si>
  <si>
    <t>NI AWS</t>
  </si>
  <si>
    <t>Net Margin</t>
  </si>
  <si>
    <t>US Margin</t>
  </si>
  <si>
    <t>Internation Margin</t>
  </si>
  <si>
    <t>AWS Margin</t>
  </si>
  <si>
    <t>FY17</t>
  </si>
  <si>
    <t>MS</t>
  </si>
  <si>
    <t>Inventories</t>
  </si>
  <si>
    <t>AR</t>
  </si>
  <si>
    <t>PP&amp;E</t>
  </si>
  <si>
    <t>Operating Leases</t>
  </si>
  <si>
    <t>Goodwill</t>
  </si>
  <si>
    <t>AP</t>
  </si>
  <si>
    <t>Accrued Exp.</t>
  </si>
  <si>
    <t>Unearned Rev</t>
  </si>
  <si>
    <t>Long-term Lease</t>
  </si>
  <si>
    <t>Long-Term Debt</t>
  </si>
  <si>
    <t>Other ltl</t>
  </si>
  <si>
    <t>S/E</t>
  </si>
  <si>
    <t>Net Sales</t>
  </si>
  <si>
    <t>Online Stores</t>
  </si>
  <si>
    <t>Physical Stores</t>
  </si>
  <si>
    <t>Third-Party Seller Services</t>
  </si>
  <si>
    <t>Subsciption Services</t>
  </si>
  <si>
    <t>Advertising Services</t>
  </si>
  <si>
    <t>AWS Growth y/y</t>
  </si>
  <si>
    <t>ads y/y</t>
  </si>
  <si>
    <t>aws y/y</t>
  </si>
  <si>
    <t>3rd party y/y</t>
  </si>
  <si>
    <t>Online y/y</t>
  </si>
  <si>
    <t>Net Inc</t>
  </si>
  <si>
    <t>Depreciation</t>
  </si>
  <si>
    <t>SBC</t>
  </si>
  <si>
    <t>Non Opex Exp</t>
  </si>
  <si>
    <t>Deff Income Tax</t>
  </si>
  <si>
    <t>Aex &amp; Other</t>
  </si>
  <si>
    <t>Property</t>
  </si>
  <si>
    <t>Proceeds</t>
  </si>
  <si>
    <t>Aquisitions</t>
  </si>
  <si>
    <t>Sales MS</t>
  </si>
  <si>
    <t>Purch MS</t>
  </si>
  <si>
    <t>Stock repurchase</t>
  </si>
  <si>
    <t>Repay STD</t>
  </si>
  <si>
    <t>Proceeds STD</t>
  </si>
  <si>
    <t>Proceeds LTD</t>
  </si>
  <si>
    <t>Repay LTD</t>
  </si>
  <si>
    <t>Finance Obl.</t>
  </si>
  <si>
    <t>FX</t>
  </si>
  <si>
    <t>Net Change CCC</t>
  </si>
  <si>
    <t>Cash EOP</t>
  </si>
  <si>
    <t>Finance Leases</t>
  </si>
  <si>
    <t>Current Assets</t>
  </si>
  <si>
    <t>Current Liabilities</t>
  </si>
  <si>
    <t>Total Assets</t>
  </si>
  <si>
    <t>Total Liabilities</t>
  </si>
  <si>
    <t>Q323</t>
  </si>
  <si>
    <t>Q423</t>
  </si>
  <si>
    <t>Q124</t>
  </si>
  <si>
    <t>Q224</t>
  </si>
  <si>
    <t>COGS</t>
  </si>
  <si>
    <t>AWS NI Dominance</t>
  </si>
  <si>
    <t>PE0</t>
  </si>
  <si>
    <t>PE1</t>
  </si>
  <si>
    <t>PE2</t>
  </si>
  <si>
    <t>EG1</t>
  </si>
  <si>
    <t>EG2</t>
  </si>
  <si>
    <t>PEG1</t>
  </si>
  <si>
    <t>PEG2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</si>
</sst>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2" fillId="0" borderId="0" xfId="1"/>
    <xf numFmtId="2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0" fillId="0" borderId="0" xfId="0" applyNumberFormat="1"/>
    <xf numFmtId="9" fontId="0" fillId="0" borderId="0" xfId="0" applyNumberFormat="1"/>
    <xf numFmtId="3" fontId="0" fillId="2" borderId="0" xfId="0" applyNumberFormat="1" applyFill="1"/>
    <xf numFmtId="14" fontId="0" fillId="0" borderId="0" xfId="0" applyNumberFormat="1"/>
    <xf numFmtId="3" fontId="4" fillId="0" borderId="0" xfId="0" applyNumberFormat="1" applyFont="1"/>
    <xf numFmtId="0" fontId="4" fillId="0" borderId="0" xfId="0" applyFont="1"/>
    <xf numFmtId="3" fontId="0" fillId="0" borderId="0" xfId="0" applyNumberFormat="1" applyFill="1"/>
    <xf numFmtId="167" fontId="0" fillId="0" borderId="0" xfId="0" applyNumberForma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5"/>
  <sheetViews>
    <sheetView tabSelected="1" workbookViewId="0">
      <selection activeCell="D31" sqref="D31"/>
    </sheetView>
  </sheetViews>
  <sheetFormatPr defaultColWidth="8.85546875" defaultRowHeight="15" x14ac:dyDescent="0.25"/>
  <cols>
    <col min="12" max="12" width="11.140625" bestFit="1" customWidth="1"/>
    <col min="13" max="13" width="10.140625" bestFit="1" customWidth="1"/>
  </cols>
  <sheetData>
    <row r="2" spans="2:19" x14ac:dyDescent="0.25">
      <c r="K2" t="s">
        <v>0</v>
      </c>
      <c r="L2">
        <v>142.03</v>
      </c>
      <c r="M2" s="9">
        <v>45119</v>
      </c>
    </row>
    <row r="3" spans="2:19" x14ac:dyDescent="0.25">
      <c r="K3" t="s">
        <v>1</v>
      </c>
      <c r="L3" s="1">
        <f>Model!T28</f>
        <v>10285</v>
      </c>
    </row>
    <row r="4" spans="2:19" x14ac:dyDescent="0.25">
      <c r="B4" s="4" t="s">
        <v>82</v>
      </c>
      <c r="K4" t="s">
        <v>2</v>
      </c>
      <c r="L4" s="1">
        <f>L2*L3</f>
        <v>1460778.55</v>
      </c>
    </row>
    <row r="5" spans="2:19" x14ac:dyDescent="0.25">
      <c r="B5" t="s">
        <v>83</v>
      </c>
      <c r="K5" t="s">
        <v>3</v>
      </c>
      <c r="L5" s="1">
        <f>Model!V47+Model!V48</f>
        <v>86780</v>
      </c>
    </row>
    <row r="6" spans="2:19" x14ac:dyDescent="0.25">
      <c r="B6" t="s">
        <v>84</v>
      </c>
      <c r="K6" t="s">
        <v>4</v>
      </c>
      <c r="L6" s="1">
        <f>Model!V62</f>
        <v>58314</v>
      </c>
    </row>
    <row r="7" spans="2:19" x14ac:dyDescent="0.25">
      <c r="B7" t="s">
        <v>85</v>
      </c>
      <c r="K7" t="s">
        <v>5</v>
      </c>
      <c r="L7" s="1">
        <f>L5-L6</f>
        <v>28466</v>
      </c>
    </row>
    <row r="8" spans="2:19" x14ac:dyDescent="0.25">
      <c r="B8" t="s">
        <v>86</v>
      </c>
      <c r="K8" t="s">
        <v>6</v>
      </c>
      <c r="L8" s="1">
        <f>L4-L5+L6</f>
        <v>1432312.55</v>
      </c>
    </row>
    <row r="9" spans="2:19" x14ac:dyDescent="0.25">
      <c r="B9" t="s">
        <v>87</v>
      </c>
      <c r="K9" t="s">
        <v>124</v>
      </c>
      <c r="L9" s="13">
        <f>L2/Model!AG27</f>
        <v>48.082173670204028</v>
      </c>
      <c r="S9" t="s">
        <v>52</v>
      </c>
    </row>
    <row r="10" spans="2:19" x14ac:dyDescent="0.25">
      <c r="B10" t="s">
        <v>56</v>
      </c>
      <c r="K10" t="s">
        <v>125</v>
      </c>
      <c r="L10" s="13"/>
    </row>
    <row r="11" spans="2:19" x14ac:dyDescent="0.25">
      <c r="B11" t="s">
        <v>40</v>
      </c>
      <c r="K11" t="s">
        <v>126</v>
      </c>
      <c r="L11" s="13"/>
    </row>
    <row r="12" spans="2:19" x14ac:dyDescent="0.25">
      <c r="K12" t="s">
        <v>127</v>
      </c>
      <c r="L12" s="14"/>
    </row>
    <row r="13" spans="2:19" x14ac:dyDescent="0.25">
      <c r="K13" t="s">
        <v>128</v>
      </c>
      <c r="L13" s="14"/>
    </row>
    <row r="14" spans="2:19" x14ac:dyDescent="0.25">
      <c r="K14" t="s">
        <v>129</v>
      </c>
      <c r="L14" s="13"/>
    </row>
    <row r="15" spans="2:19" x14ac:dyDescent="0.25">
      <c r="K15" t="s">
        <v>130</v>
      </c>
      <c r="L1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FE1B-0872-4079-929A-2D64CB797B54}">
  <dimension ref="A1:AH93"/>
  <sheetViews>
    <sheetView zoomScaleNormal="100" workbookViewId="0">
      <pane xSplit="2" ySplit="2" topLeftCell="N6" activePane="bottomRight" state="frozen"/>
      <selection pane="topRight" activeCell="C1" sqref="C1"/>
      <selection pane="bottomLeft" activeCell="A3" sqref="A3"/>
      <selection pane="bottomRight" activeCell="AF35" sqref="AF35"/>
    </sheetView>
  </sheetViews>
  <sheetFormatPr defaultColWidth="11.42578125" defaultRowHeight="15" x14ac:dyDescent="0.25"/>
  <cols>
    <col min="1" max="1" width="5.42578125" customWidth="1"/>
    <col min="2" max="2" width="18.5703125" customWidth="1"/>
  </cols>
  <sheetData>
    <row r="1" spans="1:34" x14ac:dyDescent="0.25">
      <c r="A1" s="2" t="s">
        <v>7</v>
      </c>
    </row>
    <row r="2" spans="1:34" x14ac:dyDescent="0.25">
      <c r="C2" s="4" t="s">
        <v>31</v>
      </c>
      <c r="D2" s="4" t="s">
        <v>32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118</v>
      </c>
      <c r="V2" s="4" t="s">
        <v>119</v>
      </c>
      <c r="W2" s="4" t="s">
        <v>120</v>
      </c>
      <c r="X2" s="4" t="s">
        <v>121</v>
      </c>
      <c r="Y2" s="4"/>
      <c r="Z2" s="4"/>
      <c r="AA2" s="4" t="s">
        <v>68</v>
      </c>
      <c r="AB2" s="4" t="s">
        <v>24</v>
      </c>
      <c r="AC2" s="4" t="s">
        <v>23</v>
      </c>
      <c r="AD2" s="4" t="s">
        <v>22</v>
      </c>
      <c r="AE2" s="4" t="s">
        <v>18</v>
      </c>
      <c r="AF2" s="4" t="s">
        <v>19</v>
      </c>
      <c r="AG2" s="4" t="s">
        <v>20</v>
      </c>
      <c r="AH2" s="4" t="s">
        <v>21</v>
      </c>
    </row>
    <row r="3" spans="1:34" x14ac:dyDescent="0.25">
      <c r="B3" t="s">
        <v>82</v>
      </c>
    </row>
    <row r="4" spans="1:34" x14ac:dyDescent="0.25">
      <c r="B4" t="s">
        <v>60</v>
      </c>
      <c r="C4" s="1">
        <v>35812</v>
      </c>
      <c r="D4" s="1">
        <v>38653</v>
      </c>
      <c r="E4" s="1">
        <v>42638</v>
      </c>
      <c r="F4" s="1">
        <f>AC4-E4-D4-C4</f>
        <v>53630</v>
      </c>
      <c r="G4" s="1">
        <v>46127</v>
      </c>
      <c r="H4" s="1">
        <v>55436</v>
      </c>
      <c r="I4" s="1">
        <v>59373</v>
      </c>
      <c r="J4" s="1">
        <f>AD4-I4-H4-G4</f>
        <v>75346</v>
      </c>
      <c r="K4" s="1">
        <v>64336</v>
      </c>
      <c r="L4" s="1">
        <v>67550</v>
      </c>
      <c r="M4" s="1">
        <v>65557</v>
      </c>
      <c r="N4" s="1">
        <f>AE4-M4-L4-K4</f>
        <v>82390</v>
      </c>
      <c r="O4" s="1">
        <v>69244</v>
      </c>
      <c r="P4" s="1">
        <v>74430</v>
      </c>
      <c r="Q4" s="1">
        <v>78843</v>
      </c>
      <c r="R4" s="1">
        <f>AF4-SUM(O4:Q4)</f>
        <v>93363</v>
      </c>
      <c r="S4" s="1">
        <v>76881</v>
      </c>
      <c r="T4" s="1">
        <v>82546</v>
      </c>
      <c r="U4" s="1">
        <v>87887</v>
      </c>
      <c r="V4" s="1">
        <f>AG4-U4-T4-S4</f>
        <v>105514</v>
      </c>
      <c r="AA4" s="1">
        <v>106110</v>
      </c>
      <c r="AB4" s="1">
        <v>141366</v>
      </c>
      <c r="AC4" s="1">
        <v>170733</v>
      </c>
      <c r="AD4" s="1">
        <v>236282</v>
      </c>
      <c r="AE4" s="1">
        <v>279833</v>
      </c>
      <c r="AF4" s="1">
        <v>315880</v>
      </c>
      <c r="AG4" s="1">
        <v>352828</v>
      </c>
    </row>
    <row r="5" spans="1:34" x14ac:dyDescent="0.25">
      <c r="B5" t="s">
        <v>55</v>
      </c>
      <c r="C5" s="1">
        <v>16192</v>
      </c>
      <c r="D5" s="1">
        <v>16370</v>
      </c>
      <c r="E5" s="1">
        <v>18348</v>
      </c>
      <c r="F5" s="1">
        <f>AC5-E5-D5-C5</f>
        <v>23813</v>
      </c>
      <c r="G5" s="1">
        <v>19106</v>
      </c>
      <c r="H5" s="1">
        <v>22668</v>
      </c>
      <c r="I5" s="1">
        <v>25171</v>
      </c>
      <c r="J5" s="1">
        <f>AD5-I5-H5-G5</f>
        <v>37467</v>
      </c>
      <c r="K5" s="1">
        <v>30649</v>
      </c>
      <c r="L5" s="1">
        <v>30721</v>
      </c>
      <c r="M5" s="1">
        <v>29145</v>
      </c>
      <c r="N5" s="1">
        <f t="shared" ref="N5:N6" si="0">AE5-M5-L5-K5</f>
        <v>37272</v>
      </c>
      <c r="O5" s="1">
        <v>28759</v>
      </c>
      <c r="P5" s="1">
        <v>27065</v>
      </c>
      <c r="Q5" s="1">
        <v>27720</v>
      </c>
      <c r="R5" s="1">
        <f>AF5-SUM(O5:Q5)</f>
        <v>34463</v>
      </c>
      <c r="S5" s="1">
        <v>29123</v>
      </c>
      <c r="T5" s="1">
        <v>29697</v>
      </c>
      <c r="U5" s="1">
        <v>32137</v>
      </c>
      <c r="V5" s="1">
        <f>AG5-U5-T5-S5</f>
        <v>40243</v>
      </c>
      <c r="AA5" s="1">
        <v>54297</v>
      </c>
      <c r="AB5" s="1">
        <v>65866</v>
      </c>
      <c r="AC5" s="1">
        <v>74723</v>
      </c>
      <c r="AD5" s="1">
        <v>104412</v>
      </c>
      <c r="AE5" s="1">
        <v>127787</v>
      </c>
      <c r="AF5" s="1">
        <v>118007</v>
      </c>
      <c r="AG5" s="1">
        <v>131200</v>
      </c>
    </row>
    <row r="6" spans="1:34" x14ac:dyDescent="0.25">
      <c r="B6" t="s">
        <v>56</v>
      </c>
      <c r="C6" s="1">
        <v>7696</v>
      </c>
      <c r="D6" s="1">
        <v>8381</v>
      </c>
      <c r="E6" s="1">
        <v>8995</v>
      </c>
      <c r="F6" s="1">
        <f>AC6-E6-D6-C6</f>
        <v>9954</v>
      </c>
      <c r="G6" s="1">
        <v>10219</v>
      </c>
      <c r="H6" s="1">
        <v>10808</v>
      </c>
      <c r="I6" s="1">
        <v>11601</v>
      </c>
      <c r="J6" s="1">
        <f>AD6-I6-H6-G6</f>
        <v>12742</v>
      </c>
      <c r="K6" s="1">
        <v>13503</v>
      </c>
      <c r="L6" s="1">
        <v>14809</v>
      </c>
      <c r="M6" s="1">
        <v>16110</v>
      </c>
      <c r="N6" s="1">
        <f t="shared" si="0"/>
        <v>17780</v>
      </c>
      <c r="O6" s="1">
        <v>18441</v>
      </c>
      <c r="P6" s="1">
        <v>19739</v>
      </c>
      <c r="Q6" s="1">
        <v>20538</v>
      </c>
      <c r="R6" s="1">
        <f>AF6-SUM(O6:Q6)</f>
        <v>21378</v>
      </c>
      <c r="S6" s="1">
        <v>21354</v>
      </c>
      <c r="T6" s="1">
        <v>22140</v>
      </c>
      <c r="U6" s="1">
        <v>23059</v>
      </c>
      <c r="V6" s="1">
        <f>AG6-U6-T6-S6</f>
        <v>24204</v>
      </c>
      <c r="AA6" s="1">
        <v>17459</v>
      </c>
      <c r="AB6" s="1">
        <v>25655</v>
      </c>
      <c r="AC6" s="1">
        <v>35026</v>
      </c>
      <c r="AD6" s="1">
        <v>45370</v>
      </c>
      <c r="AE6" s="1">
        <v>62202</v>
      </c>
      <c r="AF6" s="1">
        <v>80096</v>
      </c>
      <c r="AG6" s="1">
        <v>90757</v>
      </c>
    </row>
    <row r="7" spans="1:34" x14ac:dyDescent="0.25">
      <c r="B7" s="2"/>
    </row>
    <row r="8" spans="1:34" x14ac:dyDescent="0.25">
      <c r="B8" t="s">
        <v>33</v>
      </c>
      <c r="C8" s="1">
        <v>34283</v>
      </c>
      <c r="D8" s="1">
        <v>35856</v>
      </c>
      <c r="E8" s="1">
        <v>39726</v>
      </c>
      <c r="F8" s="1">
        <f>AC8-E8-D8-C8</f>
        <v>50543</v>
      </c>
      <c r="G8" s="1">
        <v>41841</v>
      </c>
      <c r="H8" s="1">
        <v>50244</v>
      </c>
      <c r="I8" s="1">
        <v>52774</v>
      </c>
      <c r="J8" s="1">
        <f>AD8-I8-H8-G8</f>
        <v>71056</v>
      </c>
      <c r="K8" s="1">
        <v>57491</v>
      </c>
      <c r="L8" s="1">
        <v>58004</v>
      </c>
      <c r="M8" s="1">
        <v>54876</v>
      </c>
      <c r="N8" s="1">
        <f>AE8-M8-L8-K8</f>
        <v>71416</v>
      </c>
      <c r="O8" s="1">
        <v>56455</v>
      </c>
      <c r="P8" s="1">
        <v>56575</v>
      </c>
      <c r="Q8" s="1">
        <v>59340</v>
      </c>
      <c r="R8" s="1">
        <f>AF8-Q8-P8-O8</f>
        <v>70531</v>
      </c>
      <c r="S8" s="1">
        <v>56981</v>
      </c>
      <c r="T8" s="1">
        <v>59032</v>
      </c>
      <c r="U8" s="1">
        <v>63171</v>
      </c>
      <c r="V8" s="1">
        <f>AG8-U8-T8-S8</f>
        <v>76703</v>
      </c>
      <c r="AA8" s="1">
        <v>118573</v>
      </c>
      <c r="AB8" s="1">
        <v>141915</v>
      </c>
      <c r="AC8" s="1">
        <v>160408</v>
      </c>
      <c r="AD8" s="1">
        <v>215915</v>
      </c>
      <c r="AE8" s="1">
        <v>241787</v>
      </c>
      <c r="AF8" s="1">
        <v>242901</v>
      </c>
      <c r="AG8" s="1">
        <v>255887</v>
      </c>
    </row>
    <row r="9" spans="1:34" x14ac:dyDescent="0.25">
      <c r="B9" t="s">
        <v>34</v>
      </c>
      <c r="C9" s="1">
        <v>25417</v>
      </c>
      <c r="D9" s="1">
        <v>27548</v>
      </c>
      <c r="E9" s="1">
        <v>30255</v>
      </c>
      <c r="F9" s="1">
        <f>AC9-E9-D9-C9</f>
        <v>36894</v>
      </c>
      <c r="G9" s="1">
        <v>33611</v>
      </c>
      <c r="H9" s="1">
        <v>38668</v>
      </c>
      <c r="I9" s="1">
        <v>43371</v>
      </c>
      <c r="J9" s="1">
        <f>AD9-I9-H9-G9</f>
        <v>54499</v>
      </c>
      <c r="K9" s="1">
        <v>51027</v>
      </c>
      <c r="L9" s="1">
        <v>55076</v>
      </c>
      <c r="M9" s="1">
        <v>55936</v>
      </c>
      <c r="N9" s="1">
        <f>AE9-M9-L9-K9</f>
        <v>65996</v>
      </c>
      <c r="O9" s="1">
        <v>59989</v>
      </c>
      <c r="P9" s="1">
        <v>64659</v>
      </c>
      <c r="Q9" s="1">
        <v>67761</v>
      </c>
      <c r="R9" s="1">
        <f>AF9-Q9-P9-O9</f>
        <v>78673</v>
      </c>
      <c r="S9" s="1">
        <v>70377</v>
      </c>
      <c r="T9" s="1">
        <v>75351</v>
      </c>
      <c r="U9" s="1">
        <v>79912</v>
      </c>
      <c r="V9" s="1">
        <f>AG9-U9-T9-S9</f>
        <v>93258</v>
      </c>
      <c r="AA9" s="1">
        <v>59293</v>
      </c>
      <c r="AB9" s="1">
        <v>90972</v>
      </c>
      <c r="AC9" s="1">
        <v>120114</v>
      </c>
      <c r="AD9" s="1">
        <v>170149</v>
      </c>
      <c r="AE9" s="1">
        <v>228035</v>
      </c>
      <c r="AF9" s="1">
        <v>271082</v>
      </c>
      <c r="AG9" s="1">
        <v>318898</v>
      </c>
    </row>
    <row r="10" spans="1:34" x14ac:dyDescent="0.25">
      <c r="B10" s="4" t="s">
        <v>35</v>
      </c>
      <c r="C10" s="5">
        <f>C8+C9</f>
        <v>59700</v>
      </c>
      <c r="D10" s="5">
        <f>D8+D9</f>
        <v>63404</v>
      </c>
      <c r="E10" s="5">
        <f>E8+E9</f>
        <v>69981</v>
      </c>
      <c r="F10" s="5">
        <f>F8+F9</f>
        <v>87437</v>
      </c>
      <c r="G10" s="5">
        <f t="shared" ref="G10:S10" si="1">G8+G9</f>
        <v>75452</v>
      </c>
      <c r="H10" s="5">
        <f t="shared" si="1"/>
        <v>88912</v>
      </c>
      <c r="I10" s="5">
        <f t="shared" si="1"/>
        <v>96145</v>
      </c>
      <c r="J10" s="5">
        <f t="shared" si="1"/>
        <v>125555</v>
      </c>
      <c r="K10" s="5">
        <f t="shared" si="1"/>
        <v>108518</v>
      </c>
      <c r="L10" s="5">
        <f t="shared" si="1"/>
        <v>113080</v>
      </c>
      <c r="M10" s="5">
        <f t="shared" si="1"/>
        <v>110812</v>
      </c>
      <c r="N10" s="5">
        <f t="shared" si="1"/>
        <v>137412</v>
      </c>
      <c r="O10" s="5">
        <f t="shared" si="1"/>
        <v>116444</v>
      </c>
      <c r="P10" s="5">
        <f t="shared" si="1"/>
        <v>121234</v>
      </c>
      <c r="Q10" s="5">
        <f t="shared" si="1"/>
        <v>127101</v>
      </c>
      <c r="R10" s="5">
        <f t="shared" si="1"/>
        <v>149204</v>
      </c>
      <c r="S10" s="5">
        <f t="shared" si="1"/>
        <v>127358</v>
      </c>
      <c r="T10" s="5">
        <f>T8+T9</f>
        <v>134383</v>
      </c>
      <c r="U10" s="5">
        <f t="shared" ref="U10:X10" si="2">U8+U9</f>
        <v>143083</v>
      </c>
      <c r="V10" s="5">
        <f t="shared" si="2"/>
        <v>169961</v>
      </c>
      <c r="W10" s="5">
        <f t="shared" si="2"/>
        <v>0</v>
      </c>
      <c r="X10" s="5">
        <f t="shared" si="2"/>
        <v>0</v>
      </c>
      <c r="AA10" s="5">
        <f t="shared" ref="AA10:AF10" si="3">AA8+AA9</f>
        <v>177866</v>
      </c>
      <c r="AB10" s="5">
        <f t="shared" si="3"/>
        <v>232887</v>
      </c>
      <c r="AC10" s="5">
        <f t="shared" si="3"/>
        <v>280522</v>
      </c>
      <c r="AD10" s="5">
        <f t="shared" si="3"/>
        <v>386064</v>
      </c>
      <c r="AE10" s="5">
        <f t="shared" si="3"/>
        <v>469822</v>
      </c>
      <c r="AF10" s="5">
        <f t="shared" si="3"/>
        <v>513983</v>
      </c>
      <c r="AG10" s="5">
        <f t="shared" ref="AG10" si="4">AG8+AG9</f>
        <v>574785</v>
      </c>
    </row>
    <row r="11" spans="1:34" x14ac:dyDescent="0.25">
      <c r="B11" t="s">
        <v>122</v>
      </c>
      <c r="C11" s="1">
        <v>33920</v>
      </c>
      <c r="D11" s="1">
        <v>36337</v>
      </c>
      <c r="E11" s="1">
        <v>41302</v>
      </c>
      <c r="F11" s="1">
        <f t="shared" ref="F11:F16" si="5">AC11-E11-D11-C11</f>
        <v>53977</v>
      </c>
      <c r="G11" s="1">
        <v>44257</v>
      </c>
      <c r="H11" s="1">
        <v>52660</v>
      </c>
      <c r="I11" s="1">
        <v>57106</v>
      </c>
      <c r="J11" s="1">
        <f t="shared" ref="J11:J16" si="6">AD11-I11-H11-G11</f>
        <v>79284</v>
      </c>
      <c r="K11" s="1">
        <v>62403</v>
      </c>
      <c r="L11" s="1">
        <v>64176</v>
      </c>
      <c r="M11" s="1">
        <v>62930</v>
      </c>
      <c r="N11" s="1">
        <f t="shared" ref="N11:N16" si="7">AE11-M11-L11-K11</f>
        <v>82835</v>
      </c>
      <c r="O11" s="1">
        <v>66499</v>
      </c>
      <c r="P11" s="1">
        <v>66424</v>
      </c>
      <c r="Q11" s="1">
        <v>70268</v>
      </c>
      <c r="R11" s="1">
        <f>AF11-SUM(O11:Q11)</f>
        <v>85640</v>
      </c>
      <c r="S11" s="1">
        <v>67791</v>
      </c>
      <c r="T11" s="1">
        <v>69373</v>
      </c>
      <c r="U11" s="1">
        <v>75022</v>
      </c>
      <c r="V11" s="1">
        <f t="shared" ref="V11:V16" si="8">AG11-U11-T11-S11</f>
        <v>92553</v>
      </c>
      <c r="AA11" s="1">
        <v>111934</v>
      </c>
      <c r="AB11" s="1">
        <v>139156</v>
      </c>
      <c r="AC11" s="1">
        <v>165536</v>
      </c>
      <c r="AD11" s="1">
        <v>233307</v>
      </c>
      <c r="AE11" s="1">
        <v>272344</v>
      </c>
      <c r="AF11" s="1">
        <v>288831</v>
      </c>
      <c r="AG11" s="1">
        <v>304739</v>
      </c>
    </row>
    <row r="12" spans="1:34" x14ac:dyDescent="0.25">
      <c r="B12" t="s">
        <v>36</v>
      </c>
      <c r="C12" s="1">
        <v>8601</v>
      </c>
      <c r="D12" s="1">
        <v>9271</v>
      </c>
      <c r="E12" s="1">
        <v>10167</v>
      </c>
      <c r="F12" s="1">
        <f t="shared" si="5"/>
        <v>12193</v>
      </c>
      <c r="G12" s="1">
        <v>11531</v>
      </c>
      <c r="H12" s="1">
        <v>13806</v>
      </c>
      <c r="I12" s="1">
        <v>14705</v>
      </c>
      <c r="J12" s="1">
        <f t="shared" si="6"/>
        <v>18475</v>
      </c>
      <c r="K12" s="1">
        <v>16530</v>
      </c>
      <c r="L12" s="1">
        <v>17638</v>
      </c>
      <c r="M12" s="1">
        <v>18498</v>
      </c>
      <c r="N12" s="1">
        <f t="shared" si="7"/>
        <v>22445</v>
      </c>
      <c r="O12" s="1">
        <v>20271</v>
      </c>
      <c r="P12" s="1">
        <v>20342</v>
      </c>
      <c r="Q12" s="1">
        <v>20583</v>
      </c>
      <c r="R12" s="1">
        <f t="shared" ref="R12:R16" si="9">AF12-SUM(O12:Q12)</f>
        <v>23103</v>
      </c>
      <c r="S12" s="1">
        <v>20905</v>
      </c>
      <c r="T12" s="1">
        <v>21305</v>
      </c>
      <c r="U12" s="1">
        <v>22314</v>
      </c>
      <c r="V12" s="1">
        <f t="shared" si="8"/>
        <v>26095</v>
      </c>
      <c r="AA12" s="1">
        <v>25249</v>
      </c>
      <c r="AB12" s="1">
        <v>34027</v>
      </c>
      <c r="AC12" s="1">
        <v>40232</v>
      </c>
      <c r="AD12" s="1">
        <v>58517</v>
      </c>
      <c r="AE12" s="1">
        <v>75111</v>
      </c>
      <c r="AF12" s="1">
        <v>84299</v>
      </c>
      <c r="AG12" s="1">
        <v>90619</v>
      </c>
    </row>
    <row r="13" spans="1:34" x14ac:dyDescent="0.25">
      <c r="B13" t="s">
        <v>37</v>
      </c>
      <c r="C13" s="1">
        <v>7927</v>
      </c>
      <c r="D13" s="1">
        <v>9065</v>
      </c>
      <c r="E13" s="1">
        <v>9200</v>
      </c>
      <c r="F13" s="1">
        <f t="shared" si="5"/>
        <v>9739</v>
      </c>
      <c r="G13" s="1">
        <v>9325</v>
      </c>
      <c r="H13" s="1">
        <v>10388</v>
      </c>
      <c r="I13" s="1">
        <v>10976</v>
      </c>
      <c r="J13" s="1">
        <f t="shared" si="6"/>
        <v>12051</v>
      </c>
      <c r="K13" s="1">
        <v>12488</v>
      </c>
      <c r="L13" s="1">
        <v>13871</v>
      </c>
      <c r="M13" s="1">
        <v>14380</v>
      </c>
      <c r="N13" s="1">
        <f t="shared" si="7"/>
        <v>15313</v>
      </c>
      <c r="O13" s="1">
        <v>14842</v>
      </c>
      <c r="P13" s="1">
        <v>18072</v>
      </c>
      <c r="Q13" s="1">
        <v>19485</v>
      </c>
      <c r="R13" s="1">
        <f t="shared" si="9"/>
        <v>20814</v>
      </c>
      <c r="S13" s="1">
        <v>20450</v>
      </c>
      <c r="T13" s="1">
        <v>21931</v>
      </c>
      <c r="U13" s="1">
        <v>21203</v>
      </c>
      <c r="V13" s="1">
        <f t="shared" si="8"/>
        <v>22038</v>
      </c>
      <c r="AA13" s="1">
        <v>22620</v>
      </c>
      <c r="AB13" s="1">
        <v>28837</v>
      </c>
      <c r="AC13" s="1">
        <v>35931</v>
      </c>
      <c r="AD13" s="1">
        <v>42740</v>
      </c>
      <c r="AE13" s="1">
        <v>56052</v>
      </c>
      <c r="AF13" s="1">
        <v>73213</v>
      </c>
      <c r="AG13" s="1">
        <v>85622</v>
      </c>
    </row>
    <row r="14" spans="1:34" x14ac:dyDescent="0.25">
      <c r="B14" t="s">
        <v>38</v>
      </c>
      <c r="C14" s="1">
        <v>3664</v>
      </c>
      <c r="D14" s="1">
        <v>4291</v>
      </c>
      <c r="E14" s="1">
        <v>4752</v>
      </c>
      <c r="F14" s="1">
        <f t="shared" si="5"/>
        <v>6171</v>
      </c>
      <c r="G14" s="1">
        <v>4828</v>
      </c>
      <c r="H14" s="1">
        <v>4345</v>
      </c>
      <c r="I14" s="1">
        <v>5434</v>
      </c>
      <c r="J14" s="1">
        <f t="shared" si="6"/>
        <v>7401</v>
      </c>
      <c r="K14" s="1">
        <v>6207</v>
      </c>
      <c r="L14" s="1">
        <v>7524</v>
      </c>
      <c r="M14" s="1">
        <v>8010</v>
      </c>
      <c r="N14" s="1">
        <f t="shared" si="7"/>
        <v>10810</v>
      </c>
      <c r="O14" s="1">
        <v>8320</v>
      </c>
      <c r="P14" s="1">
        <v>10086</v>
      </c>
      <c r="Q14" s="1">
        <v>11014</v>
      </c>
      <c r="R14" s="1">
        <f t="shared" si="9"/>
        <v>12818</v>
      </c>
      <c r="S14" s="1">
        <v>10172</v>
      </c>
      <c r="T14" s="1">
        <v>10745</v>
      </c>
      <c r="U14" s="1">
        <v>10551</v>
      </c>
      <c r="V14" s="1">
        <f t="shared" si="8"/>
        <v>12902</v>
      </c>
      <c r="AA14" s="1">
        <v>10069</v>
      </c>
      <c r="AB14" s="1">
        <v>13814</v>
      </c>
      <c r="AC14" s="1">
        <v>18878</v>
      </c>
      <c r="AD14" s="1">
        <v>22008</v>
      </c>
      <c r="AE14" s="1">
        <v>32551</v>
      </c>
      <c r="AF14" s="1">
        <v>42238</v>
      </c>
      <c r="AG14" s="1">
        <v>44370</v>
      </c>
    </row>
    <row r="15" spans="1:34" x14ac:dyDescent="0.25">
      <c r="B15" t="s">
        <v>39</v>
      </c>
      <c r="C15" s="1">
        <v>1173</v>
      </c>
      <c r="D15" s="1">
        <v>1270</v>
      </c>
      <c r="E15" s="1">
        <v>1348</v>
      </c>
      <c r="F15" s="1">
        <f t="shared" si="5"/>
        <v>1412</v>
      </c>
      <c r="G15" s="1">
        <v>1452</v>
      </c>
      <c r="H15" s="1">
        <v>1580</v>
      </c>
      <c r="I15" s="1">
        <v>1668</v>
      </c>
      <c r="J15" s="1">
        <f t="shared" si="6"/>
        <v>1968</v>
      </c>
      <c r="K15" s="1">
        <v>1987</v>
      </c>
      <c r="L15" s="1">
        <v>2158</v>
      </c>
      <c r="M15" s="1">
        <v>2153</v>
      </c>
      <c r="N15" s="1">
        <f t="shared" si="7"/>
        <v>2525</v>
      </c>
      <c r="O15" s="1">
        <v>2594</v>
      </c>
      <c r="P15" s="1">
        <v>2903</v>
      </c>
      <c r="Q15" s="1">
        <v>3061</v>
      </c>
      <c r="R15" s="1">
        <f t="shared" si="9"/>
        <v>3333</v>
      </c>
      <c r="S15" s="1">
        <v>3043</v>
      </c>
      <c r="T15" s="1">
        <v>3202</v>
      </c>
      <c r="U15" s="1">
        <v>2561</v>
      </c>
      <c r="V15" s="1">
        <f t="shared" si="8"/>
        <v>3010</v>
      </c>
      <c r="AA15" s="1">
        <v>3674</v>
      </c>
      <c r="AB15" s="1">
        <v>4336</v>
      </c>
      <c r="AC15" s="1">
        <v>5203</v>
      </c>
      <c r="AD15" s="1">
        <v>6668</v>
      </c>
      <c r="AE15" s="1">
        <v>8823</v>
      </c>
      <c r="AF15" s="1">
        <v>11891</v>
      </c>
      <c r="AG15" s="1">
        <v>11816</v>
      </c>
    </row>
    <row r="16" spans="1:34" x14ac:dyDescent="0.25">
      <c r="B16" t="s">
        <v>40</v>
      </c>
      <c r="C16" s="1">
        <v>-5</v>
      </c>
      <c r="D16" s="1">
        <v>86</v>
      </c>
      <c r="E16" s="1">
        <v>55</v>
      </c>
      <c r="F16" s="1">
        <f t="shared" si="5"/>
        <v>65</v>
      </c>
      <c r="G16" s="1">
        <v>70</v>
      </c>
      <c r="H16" s="1">
        <v>290</v>
      </c>
      <c r="I16" s="1">
        <v>62</v>
      </c>
      <c r="J16" s="1">
        <f t="shared" si="6"/>
        <v>-497</v>
      </c>
      <c r="K16" s="1">
        <v>38</v>
      </c>
      <c r="L16" s="1">
        <v>11</v>
      </c>
      <c r="M16" s="1">
        <v>-11</v>
      </c>
      <c r="N16" s="1">
        <f t="shared" si="7"/>
        <v>24</v>
      </c>
      <c r="O16" s="1">
        <v>249</v>
      </c>
      <c r="P16" s="1">
        <v>90</v>
      </c>
      <c r="Q16" s="1">
        <v>165</v>
      </c>
      <c r="R16" s="1">
        <f t="shared" si="9"/>
        <v>759</v>
      </c>
      <c r="S16" s="1">
        <v>223</v>
      </c>
      <c r="T16" s="1">
        <v>146</v>
      </c>
      <c r="U16" s="1">
        <v>244</v>
      </c>
      <c r="V16" s="1">
        <f t="shared" si="8"/>
        <v>154</v>
      </c>
      <c r="AA16" s="1">
        <v>214</v>
      </c>
      <c r="AB16" s="1">
        <v>296</v>
      </c>
      <c r="AC16" s="1">
        <v>201</v>
      </c>
      <c r="AD16" s="1">
        <v>-75</v>
      </c>
      <c r="AE16" s="1">
        <v>62</v>
      </c>
      <c r="AF16" s="1">
        <v>1263</v>
      </c>
      <c r="AG16" s="1">
        <v>767</v>
      </c>
    </row>
    <row r="17" spans="2:33" x14ac:dyDescent="0.25">
      <c r="B17" t="s">
        <v>41</v>
      </c>
      <c r="C17" s="5">
        <f>C10-SUM(C11:C16)</f>
        <v>4420</v>
      </c>
      <c r="D17" s="5">
        <f>D10-SUM(D11:D16)</f>
        <v>3084</v>
      </c>
      <c r="E17" s="5">
        <f>E10-SUM(E11:E16)</f>
        <v>3157</v>
      </c>
      <c r="F17" s="5">
        <f>F10-SUM(F11:F16)</f>
        <v>3880</v>
      </c>
      <c r="G17" s="5">
        <f t="shared" ref="G17:X17" si="10">G10-SUM(G11:G16)</f>
        <v>3989</v>
      </c>
      <c r="H17" s="5">
        <f t="shared" si="10"/>
        <v>5843</v>
      </c>
      <c r="I17" s="5">
        <f t="shared" si="10"/>
        <v>6194</v>
      </c>
      <c r="J17" s="5">
        <f t="shared" si="10"/>
        <v>6873</v>
      </c>
      <c r="K17" s="5">
        <f t="shared" si="10"/>
        <v>8865</v>
      </c>
      <c r="L17" s="5">
        <f t="shared" si="10"/>
        <v>7702</v>
      </c>
      <c r="M17" s="5">
        <f t="shared" si="10"/>
        <v>4852</v>
      </c>
      <c r="N17" s="5">
        <f t="shared" si="10"/>
        <v>3460</v>
      </c>
      <c r="O17" s="5">
        <f t="shared" si="10"/>
        <v>3669</v>
      </c>
      <c r="P17" s="5">
        <f t="shared" si="10"/>
        <v>3317</v>
      </c>
      <c r="Q17" s="5">
        <f t="shared" si="10"/>
        <v>2525</v>
      </c>
      <c r="R17" s="5">
        <f t="shared" si="10"/>
        <v>2737</v>
      </c>
      <c r="S17" s="5">
        <f t="shared" si="10"/>
        <v>4774</v>
      </c>
      <c r="T17" s="5">
        <f t="shared" si="10"/>
        <v>7681</v>
      </c>
      <c r="U17" s="5">
        <f>U10-SUM(U11:U16)</f>
        <v>11188</v>
      </c>
      <c r="V17" s="5">
        <f t="shared" si="10"/>
        <v>13209</v>
      </c>
      <c r="W17" s="5">
        <f t="shared" si="10"/>
        <v>0</v>
      </c>
      <c r="X17" s="5">
        <f t="shared" si="10"/>
        <v>0</v>
      </c>
      <c r="AA17" s="5">
        <f t="shared" ref="AA17:AF17" si="11">AA10-SUM(AA11:AA16)</f>
        <v>4106</v>
      </c>
      <c r="AB17" s="5">
        <f t="shared" si="11"/>
        <v>12421</v>
      </c>
      <c r="AC17" s="5">
        <f t="shared" si="11"/>
        <v>14541</v>
      </c>
      <c r="AD17" s="5">
        <f t="shared" si="11"/>
        <v>22899</v>
      </c>
      <c r="AE17" s="5">
        <f t="shared" si="11"/>
        <v>24879</v>
      </c>
      <c r="AF17" s="5">
        <f t="shared" si="11"/>
        <v>12248</v>
      </c>
      <c r="AG17" s="5">
        <f t="shared" ref="AG17" si="12">AG10-SUM(AG11:AG16)</f>
        <v>36852</v>
      </c>
    </row>
    <row r="18" spans="2:33" x14ac:dyDescent="0.25">
      <c r="B18" t="s">
        <v>42</v>
      </c>
      <c r="C18" s="1">
        <v>183</v>
      </c>
      <c r="D18" s="1">
        <v>215</v>
      </c>
      <c r="E18" s="1">
        <v>224</v>
      </c>
      <c r="F18" s="1">
        <f>AC18-E18-D18-C18</f>
        <v>210</v>
      </c>
      <c r="G18" s="1">
        <v>202</v>
      </c>
      <c r="H18" s="1">
        <v>135</v>
      </c>
      <c r="I18" s="1">
        <v>118</v>
      </c>
      <c r="J18" s="1">
        <f>AD18-I18-H18-G18</f>
        <v>100</v>
      </c>
      <c r="K18" s="1">
        <v>105</v>
      </c>
      <c r="L18" s="1">
        <v>106</v>
      </c>
      <c r="M18" s="1">
        <v>119</v>
      </c>
      <c r="N18" s="1">
        <f>AE18-M18-L18-K18</f>
        <v>118</v>
      </c>
      <c r="O18" s="1">
        <v>108</v>
      </c>
      <c r="P18" s="1">
        <v>159</v>
      </c>
      <c r="Q18" s="1">
        <v>277</v>
      </c>
      <c r="R18" s="1">
        <f>AF18-SUM(O18:Q18)</f>
        <v>445</v>
      </c>
      <c r="S18" s="1">
        <v>611</v>
      </c>
      <c r="T18" s="1">
        <v>661</v>
      </c>
      <c r="U18" s="1">
        <v>776</v>
      </c>
      <c r="V18" s="1">
        <f t="shared" ref="V18:V20" si="13">AG18-U18-T18-S18</f>
        <v>901</v>
      </c>
      <c r="AA18" s="1">
        <v>202</v>
      </c>
      <c r="AB18" s="1">
        <v>440</v>
      </c>
      <c r="AC18" s="1">
        <v>832</v>
      </c>
      <c r="AD18" s="1">
        <v>555</v>
      </c>
      <c r="AE18" s="1">
        <v>448</v>
      </c>
      <c r="AF18" s="1">
        <v>989</v>
      </c>
      <c r="AG18" s="1">
        <v>2949</v>
      </c>
    </row>
    <row r="19" spans="2:33" x14ac:dyDescent="0.25">
      <c r="B19" t="s">
        <v>43</v>
      </c>
      <c r="C19" s="1">
        <v>-366</v>
      </c>
      <c r="D19" s="1">
        <v>-383</v>
      </c>
      <c r="E19" s="1">
        <v>-396</v>
      </c>
      <c r="F19" s="1">
        <f>AC19-E19-D19-C19</f>
        <v>-455</v>
      </c>
      <c r="G19" s="1">
        <v>-402</v>
      </c>
      <c r="H19" s="1">
        <v>-403</v>
      </c>
      <c r="I19" s="1">
        <v>-428</v>
      </c>
      <c r="J19" s="1">
        <f>AD19-I19-H19-G19</f>
        <v>-414</v>
      </c>
      <c r="K19" s="1">
        <v>-399</v>
      </c>
      <c r="L19" s="1">
        <v>-435</v>
      </c>
      <c r="M19" s="1">
        <v>-493</v>
      </c>
      <c r="N19" s="1">
        <f>AE19-M19-L19-K19</f>
        <v>-482</v>
      </c>
      <c r="O19" s="1">
        <v>-472</v>
      </c>
      <c r="P19" s="1">
        <v>-584</v>
      </c>
      <c r="Q19" s="1">
        <v>-617</v>
      </c>
      <c r="R19" s="1">
        <f t="shared" ref="R19:R20" si="14">AF19-SUM(O19:Q19)</f>
        <v>-694</v>
      </c>
      <c r="S19" s="1">
        <v>-823</v>
      </c>
      <c r="T19" s="1">
        <v>-840</v>
      </c>
      <c r="U19" s="1">
        <v>-806</v>
      </c>
      <c r="V19" s="1">
        <f t="shared" si="13"/>
        <v>-713</v>
      </c>
      <c r="AA19" s="1">
        <v>-848</v>
      </c>
      <c r="AB19" s="1">
        <v>-1417</v>
      </c>
      <c r="AC19" s="1">
        <v>-1600</v>
      </c>
      <c r="AD19" s="1">
        <v>-1647</v>
      </c>
      <c r="AE19" s="1">
        <v>-1809</v>
      </c>
      <c r="AF19" s="1">
        <f>-2367</f>
        <v>-2367</v>
      </c>
      <c r="AG19" s="1">
        <v>-3182</v>
      </c>
    </row>
    <row r="20" spans="2:33" x14ac:dyDescent="0.25">
      <c r="B20" t="s">
        <v>44</v>
      </c>
      <c r="C20" s="1">
        <v>164</v>
      </c>
      <c r="D20" s="1">
        <v>-27</v>
      </c>
      <c r="E20" s="1">
        <v>-353</v>
      </c>
      <c r="F20" s="1">
        <f>AC20-E20-D20-C20</f>
        <v>419</v>
      </c>
      <c r="G20" s="1">
        <v>-406</v>
      </c>
      <c r="H20" s="1">
        <v>646</v>
      </c>
      <c r="I20" s="1">
        <v>925</v>
      </c>
      <c r="J20" s="1">
        <f>AD20-I20-H20-G20</f>
        <v>1206</v>
      </c>
      <c r="K20" s="1">
        <v>1697</v>
      </c>
      <c r="L20" s="1">
        <v>1261</v>
      </c>
      <c r="M20" s="1">
        <v>-163</v>
      </c>
      <c r="N20" s="1">
        <f>AE20-M20-L20-K20</f>
        <v>11838</v>
      </c>
      <c r="O20" s="1">
        <v>-8570</v>
      </c>
      <c r="P20" s="1">
        <v>-5545</v>
      </c>
      <c r="Q20" s="1">
        <v>759</v>
      </c>
      <c r="R20" s="1">
        <f t="shared" si="14"/>
        <v>-3450</v>
      </c>
      <c r="S20" s="1">
        <v>-443</v>
      </c>
      <c r="T20" s="1">
        <v>61</v>
      </c>
      <c r="U20" s="1">
        <v>1031</v>
      </c>
      <c r="V20" s="1">
        <f t="shared" si="13"/>
        <v>289</v>
      </c>
      <c r="AA20" s="1">
        <v>346</v>
      </c>
      <c r="AB20" s="1">
        <v>-183</v>
      </c>
      <c r="AC20" s="1">
        <v>203</v>
      </c>
      <c r="AD20" s="1">
        <v>2371</v>
      </c>
      <c r="AE20" s="1">
        <v>14633</v>
      </c>
      <c r="AF20" s="8">
        <v>-16806</v>
      </c>
      <c r="AG20" s="12">
        <v>938</v>
      </c>
    </row>
    <row r="21" spans="2:33" x14ac:dyDescent="0.25">
      <c r="B21" t="s">
        <v>46</v>
      </c>
      <c r="C21" s="5">
        <f>C17+C18+C19+C20</f>
        <v>4401</v>
      </c>
      <c r="D21" s="5">
        <f>D17+D18+D19+D20</f>
        <v>2889</v>
      </c>
      <c r="E21" s="5">
        <f>E17+E18+E19+E20</f>
        <v>2632</v>
      </c>
      <c r="F21" s="5">
        <f>F17+F18+F19+F20</f>
        <v>4054</v>
      </c>
      <c r="G21" s="5">
        <f t="shared" ref="G21:X21" si="15">G17+G18+G19+G20</f>
        <v>3383</v>
      </c>
      <c r="H21" s="5">
        <f t="shared" si="15"/>
        <v>6221</v>
      </c>
      <c r="I21" s="5">
        <f t="shared" si="15"/>
        <v>6809</v>
      </c>
      <c r="J21" s="5">
        <f t="shared" si="15"/>
        <v>7765</v>
      </c>
      <c r="K21" s="5">
        <f t="shared" si="15"/>
        <v>10268</v>
      </c>
      <c r="L21" s="5">
        <f t="shared" si="15"/>
        <v>8634</v>
      </c>
      <c r="M21" s="5">
        <f t="shared" si="15"/>
        <v>4315</v>
      </c>
      <c r="N21" s="5">
        <f t="shared" si="15"/>
        <v>14934</v>
      </c>
      <c r="O21" s="5">
        <f t="shared" si="15"/>
        <v>-5265</v>
      </c>
      <c r="P21" s="5">
        <f t="shared" si="15"/>
        <v>-2653</v>
      </c>
      <c r="Q21" s="5">
        <f t="shared" si="15"/>
        <v>2944</v>
      </c>
      <c r="R21" s="5">
        <f t="shared" si="15"/>
        <v>-962</v>
      </c>
      <c r="S21" s="5">
        <f t="shared" si="15"/>
        <v>4119</v>
      </c>
      <c r="T21" s="5">
        <f t="shared" si="15"/>
        <v>7563</v>
      </c>
      <c r="U21" s="5">
        <f t="shared" si="15"/>
        <v>12189</v>
      </c>
      <c r="V21" s="5">
        <f t="shared" si="15"/>
        <v>13686</v>
      </c>
      <c r="W21" s="5">
        <f t="shared" si="15"/>
        <v>0</v>
      </c>
      <c r="X21" s="5">
        <f t="shared" si="15"/>
        <v>0</v>
      </c>
      <c r="AA21" s="5">
        <f t="shared" ref="AA21:AF21" si="16">AA17+AA18+AA19+AA20</f>
        <v>3806</v>
      </c>
      <c r="AB21" s="5">
        <f t="shared" si="16"/>
        <v>11261</v>
      </c>
      <c r="AC21" s="5">
        <f t="shared" si="16"/>
        <v>13976</v>
      </c>
      <c r="AD21" s="5">
        <f t="shared" si="16"/>
        <v>24178</v>
      </c>
      <c r="AE21" s="5">
        <f t="shared" si="16"/>
        <v>38151</v>
      </c>
      <c r="AF21" s="5">
        <f t="shared" si="16"/>
        <v>-5936</v>
      </c>
      <c r="AG21" s="5">
        <f t="shared" ref="AG21" si="17">AG17+AG18+AG19+AG20</f>
        <v>37557</v>
      </c>
    </row>
    <row r="22" spans="2:33" x14ac:dyDescent="0.25">
      <c r="B22" t="s">
        <v>45</v>
      </c>
      <c r="C22" s="1">
        <f>-836-4</f>
        <v>-840</v>
      </c>
      <c r="D22" s="1">
        <f>-257-7</f>
        <v>-264</v>
      </c>
      <c r="E22" s="1">
        <f>-494-4</f>
        <v>-498</v>
      </c>
      <c r="F22" s="1">
        <f>AC22-E22-D22-C22</f>
        <v>-786</v>
      </c>
      <c r="G22" s="1">
        <f>-744-104</f>
        <v>-848</v>
      </c>
      <c r="H22" s="1">
        <f>-984+6</f>
        <v>-978</v>
      </c>
      <c r="I22" s="1">
        <f>-569+91</f>
        <v>-478</v>
      </c>
      <c r="J22" s="1">
        <f>W22-I22-H22-G22</f>
        <v>2304</v>
      </c>
      <c r="K22" s="1">
        <f>-2156-5</f>
        <v>-2161</v>
      </c>
      <c r="L22" s="1">
        <v>-868</v>
      </c>
      <c r="M22" s="1">
        <v>-1155</v>
      </c>
      <c r="N22" s="1">
        <f>AE22-M22-L22-K22</f>
        <v>-603</v>
      </c>
      <c r="O22" s="1">
        <v>1422</v>
      </c>
      <c r="P22" s="1">
        <f>637-12</f>
        <v>625</v>
      </c>
      <c r="Q22" s="1">
        <f>-69-3</f>
        <v>-72</v>
      </c>
      <c r="R22" s="1">
        <f>AF22-SUM(O22:Q22)</f>
        <v>1239</v>
      </c>
      <c r="S22" s="1">
        <f>-948+1</f>
        <v>-947</v>
      </c>
      <c r="T22" s="1">
        <f>-804-9</f>
        <v>-813</v>
      </c>
      <c r="U22" s="1">
        <f>-2306-4</f>
        <v>-2310</v>
      </c>
      <c r="V22" s="1">
        <f>AG22-U22-T22-S22</f>
        <v>-3050</v>
      </c>
      <c r="AA22" s="1">
        <f>-769-4</f>
        <v>-773</v>
      </c>
      <c r="AB22" s="1">
        <f>-1197+9</f>
        <v>-1188</v>
      </c>
      <c r="AC22" s="1">
        <f>-2374-14</f>
        <v>-2388</v>
      </c>
      <c r="AD22" s="1">
        <v>-2863</v>
      </c>
      <c r="AE22" s="1">
        <f>-4791+4</f>
        <v>-4787</v>
      </c>
      <c r="AF22" s="1">
        <f>3217-3</f>
        <v>3214</v>
      </c>
      <c r="AG22" s="1">
        <v>-7120</v>
      </c>
    </row>
    <row r="23" spans="2:33" x14ac:dyDescent="0.25">
      <c r="B23" s="4" t="s">
        <v>47</v>
      </c>
      <c r="C23" s="5">
        <f>C21+C22</f>
        <v>3561</v>
      </c>
      <c r="D23" s="5">
        <f>D21+D22</f>
        <v>2625</v>
      </c>
      <c r="E23" s="5">
        <f>E21+E22</f>
        <v>2134</v>
      </c>
      <c r="F23" s="5">
        <f>F21+F22</f>
        <v>3268</v>
      </c>
      <c r="G23" s="5">
        <f t="shared" ref="G23:X23" si="18">G21+G22</f>
        <v>2535</v>
      </c>
      <c r="H23" s="5">
        <f t="shared" si="18"/>
        <v>5243</v>
      </c>
      <c r="I23" s="5">
        <f t="shared" si="18"/>
        <v>6331</v>
      </c>
      <c r="J23" s="5">
        <f t="shared" si="18"/>
        <v>10069</v>
      </c>
      <c r="K23" s="5">
        <f t="shared" si="18"/>
        <v>8107</v>
      </c>
      <c r="L23" s="5">
        <f t="shared" si="18"/>
        <v>7766</v>
      </c>
      <c r="M23" s="5">
        <f t="shared" si="18"/>
        <v>3160</v>
      </c>
      <c r="N23" s="5">
        <f t="shared" si="18"/>
        <v>14331</v>
      </c>
      <c r="O23" s="5">
        <f t="shared" si="18"/>
        <v>-3843</v>
      </c>
      <c r="P23" s="5">
        <f t="shared" si="18"/>
        <v>-2028</v>
      </c>
      <c r="Q23" s="5">
        <f t="shared" si="18"/>
        <v>2872</v>
      </c>
      <c r="R23" s="5">
        <f t="shared" si="18"/>
        <v>277</v>
      </c>
      <c r="S23" s="5">
        <f t="shared" si="18"/>
        <v>3172</v>
      </c>
      <c r="T23" s="5">
        <f t="shared" si="18"/>
        <v>6750</v>
      </c>
      <c r="U23" s="5">
        <f t="shared" si="18"/>
        <v>9879</v>
      </c>
      <c r="V23" s="5">
        <f t="shared" si="18"/>
        <v>10636</v>
      </c>
      <c r="W23" s="5">
        <f t="shared" si="18"/>
        <v>0</v>
      </c>
      <c r="X23" s="5">
        <f t="shared" si="18"/>
        <v>0</v>
      </c>
      <c r="AA23" s="5">
        <f t="shared" ref="AA23:AF23" si="19">AA21+AA22</f>
        <v>3033</v>
      </c>
      <c r="AB23" s="5">
        <f t="shared" si="19"/>
        <v>10073</v>
      </c>
      <c r="AC23" s="5">
        <f t="shared" si="19"/>
        <v>11588</v>
      </c>
      <c r="AD23" s="5">
        <f t="shared" si="19"/>
        <v>21315</v>
      </c>
      <c r="AE23" s="5">
        <f t="shared" si="19"/>
        <v>33364</v>
      </c>
      <c r="AF23" s="5">
        <f t="shared" si="19"/>
        <v>-2722</v>
      </c>
      <c r="AG23" s="5">
        <f t="shared" ref="AG23" si="20">AG21+AG22</f>
        <v>30437</v>
      </c>
    </row>
    <row r="24" spans="2:33" x14ac:dyDescent="0.25">
      <c r="B24" s="11" t="s">
        <v>61</v>
      </c>
      <c r="C24" s="10">
        <v>2287</v>
      </c>
      <c r="D24" s="10">
        <v>1564</v>
      </c>
      <c r="E24" s="10">
        <v>1282</v>
      </c>
      <c r="F24" s="10">
        <f>AC24-E24-D24-C24</f>
        <v>1900</v>
      </c>
      <c r="G24" s="10">
        <v>1312</v>
      </c>
      <c r="H24" s="10">
        <v>2141</v>
      </c>
      <c r="I24" s="10">
        <v>2252</v>
      </c>
      <c r="J24" s="10">
        <f>AD24-I24-H24-G24</f>
        <v>2946</v>
      </c>
      <c r="K24" s="10">
        <v>3450</v>
      </c>
      <c r="L24" s="10">
        <v>3147</v>
      </c>
      <c r="M24" s="10">
        <v>880</v>
      </c>
      <c r="N24" s="10">
        <f>AE24-M24-L24-K24</f>
        <v>-206</v>
      </c>
      <c r="O24" s="10">
        <v>-1568</v>
      </c>
      <c r="P24" s="10">
        <v>-627</v>
      </c>
      <c r="Q24" s="10">
        <v>-412</v>
      </c>
      <c r="R24" s="10">
        <f>AF24-SUM(O24:Q24)</f>
        <v>-240</v>
      </c>
      <c r="S24" s="10">
        <v>898</v>
      </c>
      <c r="T24" s="11">
        <v>3211</v>
      </c>
      <c r="U24" s="10">
        <v>4307</v>
      </c>
      <c r="V24" s="1">
        <f>AG24-U24-T24-S24</f>
        <v>6461</v>
      </c>
      <c r="AA24">
        <v>2837</v>
      </c>
      <c r="AB24" s="1">
        <v>7267</v>
      </c>
      <c r="AC24" s="1">
        <v>7033</v>
      </c>
      <c r="AD24" s="1">
        <v>8651</v>
      </c>
      <c r="AE24" s="1">
        <v>7271</v>
      </c>
      <c r="AF24" s="1">
        <v>-2847</v>
      </c>
      <c r="AG24" s="1">
        <v>14877</v>
      </c>
    </row>
    <row r="25" spans="2:33" x14ac:dyDescent="0.25">
      <c r="B25" s="11" t="s">
        <v>62</v>
      </c>
      <c r="C25" s="10">
        <v>-90</v>
      </c>
      <c r="D25" s="10">
        <v>-601</v>
      </c>
      <c r="E25" s="10">
        <v>-386</v>
      </c>
      <c r="F25" s="10">
        <f>AC25-E25-D25-C25</f>
        <v>-616</v>
      </c>
      <c r="G25" s="10">
        <v>-398</v>
      </c>
      <c r="H25" s="10">
        <v>345</v>
      </c>
      <c r="I25" s="10">
        <v>407</v>
      </c>
      <c r="J25" s="10">
        <f>AD25-I25-H25-G25</f>
        <v>363</v>
      </c>
      <c r="K25" s="10">
        <v>1252</v>
      </c>
      <c r="L25" s="10">
        <v>362</v>
      </c>
      <c r="M25" s="10">
        <v>-911</v>
      </c>
      <c r="N25" s="10">
        <f t="shared" ref="N25:N26" si="21">AE25-M25-L25-K25</f>
        <v>-1627</v>
      </c>
      <c r="O25" s="10">
        <v>-1281</v>
      </c>
      <c r="P25" s="10">
        <v>-1771</v>
      </c>
      <c r="Q25" s="10">
        <v>-2466</v>
      </c>
      <c r="R25" s="10">
        <f>AF25-SUM(O25:Q25)</f>
        <v>-2228</v>
      </c>
      <c r="S25" s="10">
        <v>-1247</v>
      </c>
      <c r="T25" s="11">
        <v>-895</v>
      </c>
      <c r="U25" s="10">
        <v>-95</v>
      </c>
      <c r="V25" s="1">
        <f>AG25-U25-T25-S25</f>
        <v>-419</v>
      </c>
      <c r="AA25">
        <v>-3062</v>
      </c>
      <c r="AB25" s="1">
        <v>-2142</v>
      </c>
      <c r="AC25" s="1">
        <v>-1693</v>
      </c>
      <c r="AD25" s="1">
        <v>717</v>
      </c>
      <c r="AE25" s="1">
        <v>-924</v>
      </c>
      <c r="AF25" s="1">
        <v>-7746</v>
      </c>
      <c r="AG25" s="1">
        <v>-2656</v>
      </c>
    </row>
    <row r="26" spans="2:33" x14ac:dyDescent="0.25">
      <c r="B26" s="11" t="s">
        <v>63</v>
      </c>
      <c r="C26" s="10">
        <v>2223</v>
      </c>
      <c r="D26" s="10">
        <v>2121</v>
      </c>
      <c r="E26" s="10">
        <v>2261</v>
      </c>
      <c r="F26" s="10">
        <f>AC26-E26-D26-C26</f>
        <v>2596</v>
      </c>
      <c r="G26" s="10">
        <v>3075</v>
      </c>
      <c r="H26" s="10">
        <v>3357</v>
      </c>
      <c r="I26" s="10">
        <v>3535</v>
      </c>
      <c r="J26" s="10">
        <f>AD26-I26-H26-G26</f>
        <v>3564</v>
      </c>
      <c r="K26" s="10">
        <v>4163</v>
      </c>
      <c r="L26" s="10">
        <v>4193</v>
      </c>
      <c r="M26" s="10">
        <v>4883</v>
      </c>
      <c r="N26" s="10">
        <f t="shared" si="21"/>
        <v>5293</v>
      </c>
      <c r="O26" s="10">
        <v>6518</v>
      </c>
      <c r="P26" s="10">
        <v>5715</v>
      </c>
      <c r="Q26" s="10">
        <v>5403</v>
      </c>
      <c r="R26" s="10">
        <f>AF26-SUM(O26:Q26)</f>
        <v>5205</v>
      </c>
      <c r="S26" s="10">
        <v>5123</v>
      </c>
      <c r="T26" s="11">
        <v>5365</v>
      </c>
      <c r="U26" s="10">
        <v>6976</v>
      </c>
      <c r="V26" s="1">
        <f>AG26-U26-T26-S26</f>
        <v>7167</v>
      </c>
      <c r="AA26">
        <v>4331</v>
      </c>
      <c r="AB26" s="1">
        <v>7296</v>
      </c>
      <c r="AC26" s="1">
        <v>9201</v>
      </c>
      <c r="AD26" s="1">
        <v>13531</v>
      </c>
      <c r="AE26" s="1">
        <v>18532</v>
      </c>
      <c r="AF26" s="1">
        <v>22841</v>
      </c>
      <c r="AG26" s="1">
        <v>24631</v>
      </c>
    </row>
    <row r="27" spans="2:33" x14ac:dyDescent="0.25">
      <c r="B27" t="s">
        <v>48</v>
      </c>
      <c r="C27" s="3">
        <f>C23/C28</f>
        <v>7.2525458248472505</v>
      </c>
      <c r="D27" s="3">
        <f>D23/D28</f>
        <v>5.3245436105476678</v>
      </c>
      <c r="E27" s="3">
        <f>E23/E28</f>
        <v>4.3111111111111109</v>
      </c>
      <c r="F27" s="3">
        <f>F23/F28</f>
        <v>6.6020202020202019</v>
      </c>
      <c r="G27" s="3">
        <f t="shared" ref="G27:Q27" si="22">G23/G28</f>
        <v>5.0903614457831328</v>
      </c>
      <c r="H27" s="3">
        <f t="shared" si="22"/>
        <v>10.486000000000001</v>
      </c>
      <c r="I27" s="3">
        <f t="shared" si="22"/>
        <v>12.636726546906187</v>
      </c>
      <c r="J27" s="3">
        <f t="shared" si="22"/>
        <v>20.097804391217565</v>
      </c>
      <c r="K27" s="3">
        <f t="shared" si="22"/>
        <v>16.085317460317459</v>
      </c>
      <c r="L27" s="3">
        <f t="shared" si="22"/>
        <v>0.76868256953380187</v>
      </c>
      <c r="M27" s="3">
        <f t="shared" si="22"/>
        <v>0.31188314251875249</v>
      </c>
      <c r="N27" s="3">
        <f t="shared" si="22"/>
        <v>1.4144295302013423</v>
      </c>
      <c r="O27" s="3">
        <f t="shared" si="22"/>
        <v>-0.37783895388850652</v>
      </c>
      <c r="P27" s="3">
        <f t="shared" si="22"/>
        <v>-0.19931203931203931</v>
      </c>
      <c r="Q27" s="3">
        <f t="shared" si="22"/>
        <v>0.28181728976547932</v>
      </c>
      <c r="R27" s="3">
        <f>AF27-SUM(O27:Q27)</f>
        <v>2.8182854480311437E-2</v>
      </c>
      <c r="S27" s="3">
        <f>S23/S28</f>
        <v>0.30946341463414634</v>
      </c>
      <c r="T27" s="3">
        <f>T23/T28</f>
        <v>0.65629557608167233</v>
      </c>
      <c r="U27" s="3">
        <f t="shared" ref="U27:X27" si="23">U23/U28</f>
        <v>0.9570819608602984</v>
      </c>
      <c r="V27" s="3">
        <f t="shared" si="23"/>
        <v>1.03222049689441</v>
      </c>
      <c r="W27" s="3" t="e">
        <f t="shared" si="23"/>
        <v>#DIV/0!</v>
      </c>
      <c r="X27" s="3" t="e">
        <f t="shared" si="23"/>
        <v>#DIV/0!</v>
      </c>
      <c r="AA27" s="3">
        <f t="shared" ref="AA27:AF27" si="24">AA23/AA28</f>
        <v>6.3187499999999996</v>
      </c>
      <c r="AB27" s="3">
        <f t="shared" si="24"/>
        <v>20.683778234086244</v>
      </c>
      <c r="AC27" s="3">
        <f t="shared" si="24"/>
        <v>23.457489878542511</v>
      </c>
      <c r="AD27" s="3">
        <f t="shared" si="24"/>
        <v>42.544910179640716</v>
      </c>
      <c r="AE27" s="3">
        <f t="shared" si="24"/>
        <v>3.2978155579717305</v>
      </c>
      <c r="AF27" s="3">
        <f t="shared" si="24"/>
        <v>-0.2671508489547551</v>
      </c>
      <c r="AG27" s="3">
        <f t="shared" ref="AG27" si="25">AG23/AG28</f>
        <v>2.9539013975155282</v>
      </c>
    </row>
    <row r="28" spans="2:33" x14ac:dyDescent="0.25">
      <c r="B28" t="s">
        <v>1</v>
      </c>
      <c r="C28" s="1">
        <v>491</v>
      </c>
      <c r="D28" s="1">
        <v>493</v>
      </c>
      <c r="E28" s="1">
        <v>495</v>
      </c>
      <c r="F28" s="1">
        <v>495</v>
      </c>
      <c r="G28" s="1">
        <v>498</v>
      </c>
      <c r="H28" s="1">
        <v>500</v>
      </c>
      <c r="I28" s="1">
        <v>501</v>
      </c>
      <c r="J28" s="1">
        <v>501</v>
      </c>
      <c r="K28" s="1">
        <v>504</v>
      </c>
      <c r="L28" s="1">
        <v>10103</v>
      </c>
      <c r="M28" s="1">
        <v>10132</v>
      </c>
      <c r="N28" s="1">
        <f>M28</f>
        <v>10132</v>
      </c>
      <c r="O28" s="1">
        <v>10171</v>
      </c>
      <c r="P28" s="1">
        <v>10175</v>
      </c>
      <c r="Q28" s="1">
        <v>10191</v>
      </c>
      <c r="R28" s="1">
        <v>10189</v>
      </c>
      <c r="S28" s="1">
        <v>10250</v>
      </c>
      <c r="T28" s="1">
        <v>10285</v>
      </c>
      <c r="U28" s="1">
        <v>10322</v>
      </c>
      <c r="V28" s="1">
        <f>10304</f>
        <v>10304</v>
      </c>
      <c r="W28" s="1"/>
      <c r="X28" s="1"/>
      <c r="AA28" s="1">
        <v>480</v>
      </c>
      <c r="AB28" s="1">
        <v>487</v>
      </c>
      <c r="AC28" s="1">
        <v>494</v>
      </c>
      <c r="AD28" s="1">
        <v>501</v>
      </c>
      <c r="AE28" s="1">
        <v>10117</v>
      </c>
      <c r="AF28" s="1">
        <v>10189</v>
      </c>
      <c r="AG28" s="1">
        <v>10304</v>
      </c>
    </row>
    <row r="30" spans="2:33" x14ac:dyDescent="0.25">
      <c r="B30" t="s">
        <v>49</v>
      </c>
      <c r="G30" s="6">
        <f t="shared" ref="G30:H30" si="26">G10/C10-1</f>
        <v>0.26385259631490787</v>
      </c>
      <c r="H30" s="6">
        <f t="shared" si="26"/>
        <v>0.40230900258658764</v>
      </c>
      <c r="I30" s="6">
        <f t="shared" ref="I30" si="27">I10/E10-1</f>
        <v>0.37387290836084075</v>
      </c>
      <c r="J30" s="6">
        <f t="shared" ref="J30" si="28">J10/F10-1</f>
        <v>0.43594816839553041</v>
      </c>
      <c r="K30" s="6">
        <f t="shared" ref="K30" si="29">K10/G10-1</f>
        <v>0.43823888034777081</v>
      </c>
      <c r="L30" s="6">
        <f t="shared" ref="L30:M30" si="30">L10/H10-1</f>
        <v>0.27181932697498645</v>
      </c>
      <c r="M30" s="6">
        <f t="shared" si="30"/>
        <v>0.15255083467679031</v>
      </c>
      <c r="N30" s="6">
        <f t="shared" ref="N30:T30" si="31">N10/J10-1</f>
        <v>9.4436701047349692E-2</v>
      </c>
      <c r="O30" s="6">
        <f t="shared" si="31"/>
        <v>7.3038574245747334E-2</v>
      </c>
      <c r="P30" s="6">
        <f t="shared" si="31"/>
        <v>7.2108241952600016E-2</v>
      </c>
      <c r="Q30" s="6">
        <f t="shared" si="31"/>
        <v>0.14699671515720314</v>
      </c>
      <c r="R30" s="6">
        <f t="shared" si="31"/>
        <v>8.5814921549791867E-2</v>
      </c>
      <c r="S30" s="6">
        <f t="shared" si="31"/>
        <v>9.3727456975026602E-2</v>
      </c>
      <c r="T30" s="6">
        <f t="shared" si="31"/>
        <v>0.10845967302901816</v>
      </c>
      <c r="U30" s="6">
        <f t="shared" ref="U30" si="32">U10/Q10-1</f>
        <v>0.125742519728405</v>
      </c>
      <c r="V30" s="6">
        <f t="shared" ref="V30" si="33">V10/R10-1</f>
        <v>0.13911825420230017</v>
      </c>
      <c r="W30" s="6">
        <f t="shared" ref="W30" si="34">W10/S10-1</f>
        <v>-1</v>
      </c>
      <c r="X30" s="6">
        <f t="shared" ref="X30" si="35">X10/T10-1</f>
        <v>-1</v>
      </c>
      <c r="AA30" s="7"/>
      <c r="AB30" s="7">
        <f>AB10/AA10-1</f>
        <v>0.3093396152159491</v>
      </c>
      <c r="AC30" s="7">
        <f t="shared" ref="AC30:AD30" si="36">AC10/AB10-1</f>
        <v>0.20454125820676983</v>
      </c>
      <c r="AD30" s="7">
        <f t="shared" si="36"/>
        <v>0.37623430604373276</v>
      </c>
      <c r="AE30" s="7">
        <f>AE10/AD10-1</f>
        <v>0.21695366571345676</v>
      </c>
      <c r="AF30" s="7">
        <f>AF10/AE10-1</f>
        <v>9.399517263985091E-2</v>
      </c>
      <c r="AG30" s="7">
        <f>AG10/AF10-1</f>
        <v>0.1182957412988368</v>
      </c>
    </row>
    <row r="31" spans="2:33" x14ac:dyDescent="0.25">
      <c r="B31" t="s">
        <v>88</v>
      </c>
      <c r="G31" s="6">
        <f t="shared" ref="G31" si="37">G6/C6-1</f>
        <v>0.32783264033264037</v>
      </c>
      <c r="H31" s="6">
        <f t="shared" ref="H31" si="38">H6/D6-1</f>
        <v>0.28958358191146649</v>
      </c>
      <c r="I31" s="6">
        <f t="shared" ref="I31" si="39">I6/E6-1</f>
        <v>0.28971650917176217</v>
      </c>
      <c r="J31" s="6">
        <f t="shared" ref="J31" si="40">J6/F6-1</f>
        <v>0.28008840667068524</v>
      </c>
      <c r="K31" s="6">
        <f t="shared" ref="K31:N31" si="41">K6/G6-1</f>
        <v>0.32136216850963883</v>
      </c>
      <c r="L31" s="6">
        <f t="shared" si="41"/>
        <v>0.37018874907475952</v>
      </c>
      <c r="M31" s="6">
        <f t="shared" si="41"/>
        <v>0.3886733902249806</v>
      </c>
      <c r="N31" s="6">
        <f t="shared" si="41"/>
        <v>0.39538533982106427</v>
      </c>
      <c r="O31" s="6">
        <f>O6/K6-1</f>
        <v>0.36569651188624741</v>
      </c>
      <c r="P31" s="6">
        <f t="shared" ref="P31:R31" si="42">P6/L6-1</f>
        <v>0.33290566547369838</v>
      </c>
      <c r="Q31" s="6">
        <f t="shared" si="42"/>
        <v>0.27486033519553077</v>
      </c>
      <c r="R31" s="6">
        <f t="shared" si="42"/>
        <v>0.20236220472440936</v>
      </c>
      <c r="S31" s="6">
        <f>S6/O6-1</f>
        <v>0.157963234097934</v>
      </c>
      <c r="T31" s="6">
        <f>T6/P6-1</f>
        <v>0.12163736764780375</v>
      </c>
      <c r="U31" s="6">
        <f t="shared" ref="U31:X31" si="43">U6/Q6-1</f>
        <v>0.1227480767358069</v>
      </c>
      <c r="V31" s="6">
        <f t="shared" si="43"/>
        <v>0.13219197305641317</v>
      </c>
      <c r="W31" s="6">
        <f t="shared" si="43"/>
        <v>-1</v>
      </c>
      <c r="X31" s="6">
        <f t="shared" si="43"/>
        <v>-1</v>
      </c>
      <c r="AA31" s="7"/>
      <c r="AB31" s="7">
        <f>AB6/AA6-1</f>
        <v>0.46944269431238905</v>
      </c>
      <c r="AC31" s="7">
        <f t="shared" ref="AC31:AG31" si="44">AC6/AB6-1</f>
        <v>0.36526992788930035</v>
      </c>
      <c r="AD31" s="7">
        <f t="shared" si="44"/>
        <v>0.29532347399074976</v>
      </c>
      <c r="AE31" s="7">
        <f t="shared" si="44"/>
        <v>0.37099404893101173</v>
      </c>
      <c r="AF31" s="7">
        <f t="shared" si="44"/>
        <v>0.28767563743931057</v>
      </c>
      <c r="AG31" s="7">
        <f t="shared" si="44"/>
        <v>0.13310277666799841</v>
      </c>
    </row>
    <row r="32" spans="2:33" x14ac:dyDescent="0.25">
      <c r="B32" t="s">
        <v>64</v>
      </c>
      <c r="C32" s="7">
        <f t="shared" ref="C32:I32" si="45">C23/C10</f>
        <v>5.9648241206030149E-2</v>
      </c>
      <c r="D32" s="7">
        <f t="shared" si="45"/>
        <v>4.1401173427544007E-2</v>
      </c>
      <c r="E32" s="7">
        <f t="shared" si="45"/>
        <v>3.0493991226189964E-2</v>
      </c>
      <c r="F32" s="7">
        <f t="shared" si="45"/>
        <v>3.7375481775449755E-2</v>
      </c>
      <c r="G32" s="7">
        <f t="shared" si="45"/>
        <v>3.3597518952446587E-2</v>
      </c>
      <c r="H32" s="7">
        <f t="shared" si="45"/>
        <v>5.896841821126507E-2</v>
      </c>
      <c r="I32" s="7">
        <f t="shared" si="45"/>
        <v>6.5848458058141351E-2</v>
      </c>
      <c r="J32" s="7">
        <f t="shared" ref="J32:S32" si="46">J23/J10</f>
        <v>8.0195930070487031E-2</v>
      </c>
      <c r="K32" s="7">
        <f t="shared" si="46"/>
        <v>7.470650030409702E-2</v>
      </c>
      <c r="L32" s="7">
        <f t="shared" si="46"/>
        <v>6.8677042801556426E-2</v>
      </c>
      <c r="M32" s="7">
        <f t="shared" si="46"/>
        <v>2.8516767137133161E-2</v>
      </c>
      <c r="N32" s="7">
        <f t="shared" si="46"/>
        <v>0.10429220155444939</v>
      </c>
      <c r="O32" s="7">
        <f t="shared" si="46"/>
        <v>-3.3002988561025043E-2</v>
      </c>
      <c r="P32" s="7">
        <f t="shared" si="46"/>
        <v>-1.6727980599501788E-2</v>
      </c>
      <c r="Q32" s="7">
        <f t="shared" si="46"/>
        <v>2.2596203019645794E-2</v>
      </c>
      <c r="R32" s="7">
        <f t="shared" si="46"/>
        <v>1.8565185919948526E-3</v>
      </c>
      <c r="S32" s="7">
        <f t="shared" si="46"/>
        <v>2.4906170008951147E-2</v>
      </c>
      <c r="T32" s="7">
        <f>T23/T10</f>
        <v>5.0229567728060844E-2</v>
      </c>
      <c r="U32" s="7">
        <f t="shared" ref="U32:X32" si="47">U23/U10</f>
        <v>6.9043841686293975E-2</v>
      </c>
      <c r="V32" s="7">
        <f t="shared" si="47"/>
        <v>6.2579062255458603E-2</v>
      </c>
      <c r="W32" s="7" t="e">
        <f t="shared" si="47"/>
        <v>#DIV/0!</v>
      </c>
      <c r="X32" s="7" t="e">
        <f t="shared" si="47"/>
        <v>#DIV/0!</v>
      </c>
      <c r="Y32" s="7"/>
      <c r="Z32" s="7"/>
      <c r="AA32" s="7">
        <f t="shared" ref="AA32:AF32" si="48">AA23/AA10</f>
        <v>1.7052162864178651E-2</v>
      </c>
      <c r="AB32" s="7">
        <f t="shared" si="48"/>
        <v>4.3252736305590261E-2</v>
      </c>
      <c r="AC32" s="7">
        <f t="shared" si="48"/>
        <v>4.1308703060722513E-2</v>
      </c>
      <c r="AD32" s="7">
        <f t="shared" si="48"/>
        <v>5.5211053089643171E-2</v>
      </c>
      <c r="AE32" s="7">
        <f t="shared" si="48"/>
        <v>7.1014128755145567E-2</v>
      </c>
      <c r="AF32" s="7">
        <f t="shared" si="48"/>
        <v>-5.2958950004183018E-3</v>
      </c>
      <c r="AG32" s="7">
        <f t="shared" ref="AG32" si="49">AG23/AG10</f>
        <v>5.2953713127517246E-2</v>
      </c>
    </row>
    <row r="33" spans="2:33" x14ac:dyDescent="0.25">
      <c r="B33" t="s">
        <v>50</v>
      </c>
      <c r="G33" s="6">
        <f t="shared" ref="G33:J33" si="50">-(G23/C23-1)</f>
        <v>0.2881213142375737</v>
      </c>
      <c r="H33" s="6">
        <f t="shared" si="50"/>
        <v>-0.9973333333333334</v>
      </c>
      <c r="I33" s="6">
        <f t="shared" si="50"/>
        <v>-1.9667291471415185</v>
      </c>
      <c r="J33" s="6">
        <f t="shared" si="50"/>
        <v>-2.0810893512851898</v>
      </c>
      <c r="K33" s="6">
        <f>K23/G23-1</f>
        <v>2.1980276134122287</v>
      </c>
      <c r="L33" s="6">
        <f>-(L23/H23-1)</f>
        <v>-0.48121304596604997</v>
      </c>
      <c r="M33" s="6">
        <f t="shared" ref="M33" si="51">-(M23/I23-1)</f>
        <v>0.50086874111514768</v>
      </c>
      <c r="N33" s="6">
        <f t="shared" ref="N33" si="52">-(N23/J23-1)</f>
        <v>-0.42327937233091673</v>
      </c>
      <c r="O33" s="6">
        <f t="shared" ref="O33:P33" si="53">-(O23/K23-1)</f>
        <v>1.4740347847539164</v>
      </c>
      <c r="P33" s="6">
        <f t="shared" si="53"/>
        <v>1.2611382951326293</v>
      </c>
      <c r="Q33" s="6">
        <f>-(Q23/M23-1)</f>
        <v>9.1139240506329156E-2</v>
      </c>
      <c r="R33" s="6">
        <f>-(R23/N23-1)</f>
        <v>0.9806712720675459</v>
      </c>
      <c r="S33" s="6">
        <f>-(S23/O23-1)</f>
        <v>1.8253968253968254</v>
      </c>
      <c r="T33" s="6">
        <f>-(T23/P23-1)</f>
        <v>4.3284023668639051</v>
      </c>
      <c r="U33" s="6">
        <f t="shared" ref="U33:X33" si="54">-(U23/Q23-1)</f>
        <v>-2.4397632311977717</v>
      </c>
      <c r="V33" s="6">
        <f t="shared" si="54"/>
        <v>-37.397111913357399</v>
      </c>
      <c r="W33" s="6">
        <f t="shared" si="54"/>
        <v>1</v>
      </c>
      <c r="X33" s="6">
        <f t="shared" si="54"/>
        <v>1</v>
      </c>
      <c r="AB33" s="7">
        <f>AB23/AA23-1</f>
        <v>2.3211341905703922</v>
      </c>
      <c r="AC33" s="7">
        <f>AC23/AB23-1</f>
        <v>0.1504020649260398</v>
      </c>
      <c r="AD33" s="7">
        <f>AD23/AC23-1</f>
        <v>0.83940283051432507</v>
      </c>
      <c r="AE33" s="7">
        <f>AE23/AD23-1</f>
        <v>0.56528266479005396</v>
      </c>
      <c r="AF33" s="7">
        <f>AF23/AE23-1</f>
        <v>-1.0815849418534949</v>
      </c>
      <c r="AG33" s="7">
        <f>AG23/AF23-1</f>
        <v>-12.181851579720794</v>
      </c>
    </row>
    <row r="34" spans="2:33" x14ac:dyDescent="0.25">
      <c r="B34" t="s">
        <v>51</v>
      </c>
      <c r="G34" s="6">
        <f t="shared" ref="G34:K34" si="55">-G22/G21</f>
        <v>0.25066509015666566</v>
      </c>
      <c r="H34" s="6">
        <f t="shared" si="55"/>
        <v>0.1572094518566147</v>
      </c>
      <c r="I34" s="6">
        <f t="shared" si="55"/>
        <v>7.0201204288441774E-2</v>
      </c>
      <c r="J34" s="6">
        <f t="shared" si="55"/>
        <v>-0.29671603348358017</v>
      </c>
      <c r="K34" s="6">
        <f t="shared" si="55"/>
        <v>0.21045968056096612</v>
      </c>
      <c r="L34" s="6">
        <f>-L22/L21</f>
        <v>0.1005327773917072</v>
      </c>
      <c r="M34" s="6">
        <f>-M22/M21</f>
        <v>0.26767091541135574</v>
      </c>
      <c r="N34" s="6">
        <f>-N22/N21</f>
        <v>4.0377661711530732E-2</v>
      </c>
      <c r="O34" s="6">
        <f>-O22/O21</f>
        <v>0.27008547008547007</v>
      </c>
      <c r="P34" s="6">
        <f t="shared" ref="P34" si="56">-P22/P21</f>
        <v>0.23558235959291368</v>
      </c>
      <c r="Q34" s="6">
        <f>-Q22/Q21</f>
        <v>2.4456521739130436E-2</v>
      </c>
      <c r="R34" s="6">
        <f>-R22/R21</f>
        <v>1.287941787941788</v>
      </c>
      <c r="S34" s="6">
        <f>-S22/S21</f>
        <v>0.22991017237193492</v>
      </c>
      <c r="T34" s="6">
        <f>-T22/T21</f>
        <v>0.1074970249900833</v>
      </c>
      <c r="U34" s="6">
        <f t="shared" ref="U34:X34" si="57">-U22/U21</f>
        <v>0.18951513659857247</v>
      </c>
      <c r="V34" s="6">
        <f t="shared" si="57"/>
        <v>0.2228554727458717</v>
      </c>
      <c r="W34" s="6" t="e">
        <f t="shared" si="57"/>
        <v>#DIV/0!</v>
      </c>
      <c r="X34" s="6" t="e">
        <f t="shared" si="57"/>
        <v>#DIV/0!</v>
      </c>
      <c r="AB34" s="6">
        <f>-AB22/AB21</f>
        <v>0.10549684752686263</v>
      </c>
      <c r="AC34" s="6">
        <f>-AC22/AC21</f>
        <v>0.1708643388666285</v>
      </c>
      <c r="AD34" s="6">
        <f>-AD22/AD21</f>
        <v>0.1184134337000579</v>
      </c>
      <c r="AE34" s="6">
        <f>-AE22/AE21</f>
        <v>0.12547508584309716</v>
      </c>
      <c r="AF34" s="6">
        <f>-AF22/AF21</f>
        <v>0.5414420485175202</v>
      </c>
      <c r="AG34" s="6">
        <f>-AG22/AG21</f>
        <v>0.18957850733551668</v>
      </c>
    </row>
    <row r="35" spans="2:33" x14ac:dyDescent="0.25">
      <c r="B35" t="s">
        <v>123</v>
      </c>
      <c r="C35" s="6">
        <f t="shared" ref="C35:V35" si="58">C26/SUM(C24:C26)</f>
        <v>0.50294117647058822</v>
      </c>
      <c r="D35" s="6">
        <f t="shared" si="58"/>
        <v>0.6877431906614786</v>
      </c>
      <c r="E35" s="6">
        <f t="shared" si="58"/>
        <v>0.71618625277161863</v>
      </c>
      <c r="F35" s="6">
        <f t="shared" si="58"/>
        <v>0.66907216494845356</v>
      </c>
      <c r="G35" s="6">
        <f t="shared" si="58"/>
        <v>0.77086989220355984</v>
      </c>
      <c r="H35" s="6">
        <f t="shared" si="58"/>
        <v>0.57453362998459701</v>
      </c>
      <c r="I35" s="6">
        <f t="shared" si="58"/>
        <v>0.57071359380045206</v>
      </c>
      <c r="J35" s="6">
        <f t="shared" si="58"/>
        <v>0.51855085115670008</v>
      </c>
      <c r="K35" s="6">
        <f t="shared" si="58"/>
        <v>0.46959954878736604</v>
      </c>
      <c r="L35" s="6">
        <f t="shared" si="58"/>
        <v>0.54440405089587118</v>
      </c>
      <c r="M35" s="6">
        <f t="shared" si="58"/>
        <v>1.0063891178895301</v>
      </c>
      <c r="N35" s="6">
        <f t="shared" si="58"/>
        <v>1.5297687861271676</v>
      </c>
      <c r="O35" s="6">
        <f t="shared" si="58"/>
        <v>1.7765058599073318</v>
      </c>
      <c r="P35" s="6">
        <f t="shared" si="58"/>
        <v>1.7229424178474526</v>
      </c>
      <c r="Q35" s="6">
        <f t="shared" si="58"/>
        <v>2.1398019801980199</v>
      </c>
      <c r="R35" s="6">
        <f t="shared" si="58"/>
        <v>1.9017172086225795</v>
      </c>
      <c r="S35" s="6">
        <f t="shared" si="58"/>
        <v>1.073104315039799</v>
      </c>
      <c r="T35" s="6">
        <f t="shared" si="58"/>
        <v>0.69847676083843246</v>
      </c>
      <c r="U35" s="6">
        <f t="shared" si="58"/>
        <v>0.62352520557740432</v>
      </c>
      <c r="V35" s="6">
        <f t="shared" si="58"/>
        <v>0.54258460140813081</v>
      </c>
      <c r="W35" s="6"/>
      <c r="X35" s="6"/>
      <c r="AA35" s="6">
        <f>AA26/SUM(AA24:AA26)</f>
        <v>1.0547978567949343</v>
      </c>
      <c r="AB35" s="6">
        <f t="shared" ref="AA35:AF35" si="59">AB26/SUM(AB24:AB26)</f>
        <v>0.58739231945898074</v>
      </c>
      <c r="AC35" s="6">
        <f t="shared" si="59"/>
        <v>0.63276253352589229</v>
      </c>
      <c r="AD35" s="6">
        <f t="shared" si="59"/>
        <v>0.59089916590244118</v>
      </c>
      <c r="AE35" s="6">
        <f t="shared" si="59"/>
        <v>0.74488524458378558</v>
      </c>
      <c r="AF35" s="6">
        <f t="shared" si="59"/>
        <v>1.8648758981058131</v>
      </c>
      <c r="AG35" s="6">
        <f>AG26/SUM(AG24:AG26)</f>
        <v>0.668376207532834</v>
      </c>
    </row>
    <row r="36" spans="2:33" s="4" customFormat="1" x14ac:dyDescent="0.25">
      <c r="B36" s="4" t="s">
        <v>53</v>
      </c>
      <c r="C36" s="4" t="s">
        <v>54</v>
      </c>
    </row>
    <row r="38" spans="2:33" x14ac:dyDescent="0.25">
      <c r="B38" t="s">
        <v>57</v>
      </c>
      <c r="C38" s="7">
        <f t="shared" ref="C38:S38" si="60">C4/SUM(C$4:C$6)</f>
        <v>0.59986599664991624</v>
      </c>
      <c r="D38" s="7">
        <f t="shared" si="60"/>
        <v>0.60963030723613654</v>
      </c>
      <c r="E38" s="7">
        <f t="shared" si="60"/>
        <v>0.6092796616224404</v>
      </c>
      <c r="F38" s="7">
        <f t="shared" si="60"/>
        <v>0.61363662368273508</v>
      </c>
      <c r="G38" s="7">
        <f t="shared" si="60"/>
        <v>0.61134231034299957</v>
      </c>
      <c r="H38" s="7">
        <f t="shared" si="60"/>
        <v>0.62349289184811951</v>
      </c>
      <c r="I38" s="7">
        <f t="shared" si="60"/>
        <v>0.61753601331322483</v>
      </c>
      <c r="J38" s="7">
        <f>J4/SUM(J$4:J$6)</f>
        <v>0.60010354028115165</v>
      </c>
      <c r="K38" s="7">
        <f t="shared" si="60"/>
        <v>0.59302411326598337</v>
      </c>
      <c r="L38" s="7">
        <f t="shared" si="60"/>
        <v>0.59736469755925004</v>
      </c>
      <c r="M38" s="7">
        <f t="shared" si="60"/>
        <v>0.5916056022813414</v>
      </c>
      <c r="N38" s="7">
        <f t="shared" si="60"/>
        <v>0.59945286011553967</v>
      </c>
      <c r="O38" s="7">
        <f t="shared" si="60"/>
        <v>0.59465494143107411</v>
      </c>
      <c r="P38" s="7">
        <f t="shared" si="60"/>
        <v>0.61393668442846061</v>
      </c>
      <c r="Q38" s="7">
        <f t="shared" si="60"/>
        <v>0.62031770009677345</v>
      </c>
      <c r="R38" s="7">
        <f t="shared" si="60"/>
        <v>0.62574059676684268</v>
      </c>
      <c r="S38" s="7">
        <f t="shared" si="60"/>
        <v>0.60366054743321973</v>
      </c>
      <c r="T38" s="7">
        <f>T4/SUM(T$4:T$6)</f>
        <v>0.61425924410081634</v>
      </c>
      <c r="U38" s="7">
        <f t="shared" ref="U38:X38" si="61">U4/SUM(U$4:U$6)</f>
        <v>0.61423788989607431</v>
      </c>
      <c r="V38" s="7">
        <f t="shared" si="61"/>
        <v>0.62081301004348055</v>
      </c>
      <c r="W38" s="7" t="e">
        <f t="shared" si="61"/>
        <v>#DIV/0!</v>
      </c>
      <c r="X38" s="7" t="e">
        <f t="shared" si="61"/>
        <v>#DIV/0!</v>
      </c>
      <c r="Y38" s="7"/>
      <c r="Z38" s="7"/>
      <c r="AA38" s="7"/>
      <c r="AB38" s="7">
        <f>AB4/SUM(AB$4:AB$6)</f>
        <v>0.6070154194952917</v>
      </c>
      <c r="AC38" s="7">
        <f>AC4/SUM(AC$4:AC$6)</f>
        <v>0.60871285857916013</v>
      </c>
      <c r="AD38" s="7">
        <f>AD4/SUM(AD$4:AD$6)</f>
        <v>0.61202805752414102</v>
      </c>
      <c r="AE38" s="7">
        <f>AE4/SUM(AE$4:AE$6)</f>
        <v>0.59561493501794294</v>
      </c>
      <c r="AF38" s="7">
        <f>AF4/SUM(AF$4:AF$6)</f>
        <v>0.61457285552245888</v>
      </c>
      <c r="AG38" s="7">
        <f t="shared" ref="AG38" si="62">AG4/SUM(AG$4:AG$6)</f>
        <v>0.61384343711126765</v>
      </c>
    </row>
    <row r="39" spans="2:33" x14ac:dyDescent="0.25">
      <c r="B39" t="s">
        <v>58</v>
      </c>
      <c r="C39" s="7">
        <f t="shared" ref="C39:T39" si="63">C5/SUM(C$4:C$6)</f>
        <v>0.27122278056951421</v>
      </c>
      <c r="D39" s="7">
        <f t="shared" si="63"/>
        <v>0.25818560343196012</v>
      </c>
      <c r="E39" s="7">
        <f t="shared" si="63"/>
        <v>0.26218545033651991</v>
      </c>
      <c r="F39" s="7">
        <f t="shared" si="63"/>
        <v>0.2724693067267755</v>
      </c>
      <c r="G39" s="7">
        <f t="shared" si="63"/>
        <v>0.25322059057413987</v>
      </c>
      <c r="H39" s="7">
        <f t="shared" si="63"/>
        <v>0.25494871333453301</v>
      </c>
      <c r="I39" s="7">
        <f>I5/SUM(I$4:I$6)</f>
        <v>0.26180248582869625</v>
      </c>
      <c r="J39" s="7">
        <f t="shared" si="63"/>
        <v>0.2984110549161722</v>
      </c>
      <c r="K39" s="7">
        <f t="shared" si="63"/>
        <v>0.28251050807462574</v>
      </c>
      <c r="L39" s="7">
        <f t="shared" si="63"/>
        <v>0.27167492041032898</v>
      </c>
      <c r="M39" s="7">
        <f t="shared" si="63"/>
        <v>0.26301303107966645</v>
      </c>
      <c r="N39" s="7">
        <f t="shared" si="63"/>
        <v>0.27118348103199896</v>
      </c>
      <c r="O39" s="7">
        <f t="shared" si="63"/>
        <v>0.24697708769880802</v>
      </c>
      <c r="P39" s="7">
        <f t="shared" si="63"/>
        <v>0.223245954105284</v>
      </c>
      <c r="Q39" s="7">
        <f t="shared" si="63"/>
        <v>0.21809427148488211</v>
      </c>
      <c r="R39" s="7">
        <f t="shared" si="63"/>
        <v>0.23097906222353287</v>
      </c>
      <c r="S39" s="7">
        <f t="shared" si="63"/>
        <v>0.22867036228583992</v>
      </c>
      <c r="T39" s="7">
        <f t="shared" si="63"/>
        <v>0.22098777375114412</v>
      </c>
      <c r="U39" s="7">
        <f t="shared" ref="U39:X39" si="64">U5/SUM(U$4:U$6)</f>
        <v>0.22460390123215196</v>
      </c>
      <c r="V39" s="7">
        <f t="shared" si="64"/>
        <v>0.23677784903595531</v>
      </c>
      <c r="W39" s="7" t="e">
        <f t="shared" si="64"/>
        <v>#DIV/0!</v>
      </c>
      <c r="X39" s="7" t="e">
        <f t="shared" si="64"/>
        <v>#DIV/0!</v>
      </c>
      <c r="Y39" s="7"/>
      <c r="Z39" s="7"/>
      <c r="AA39" s="7"/>
      <c r="AB39" s="7">
        <f>AB5/SUM(AB$4:AB$6)</f>
        <v>0.28282385878129734</v>
      </c>
      <c r="AC39" s="7">
        <f>AC5/SUM(AC$4:AC$6)</f>
        <v>0.26640925264366339</v>
      </c>
      <c r="AD39" s="7">
        <f>AD5/SUM(AD$4:AD$6)</f>
        <v>0.27045256744995649</v>
      </c>
      <c r="AE39" s="7">
        <f>AE5/SUM(AE$4:AE$6)</f>
        <v>0.27199024311334929</v>
      </c>
      <c r="AF39" s="7">
        <f>AF5/SUM(AF$4:AF$6)</f>
        <v>0.22959319666214642</v>
      </c>
      <c r="AG39" s="7">
        <f t="shared" ref="AG39" si="65">AG5/SUM(AG$4:AG$6)</f>
        <v>0.22825926215889419</v>
      </c>
    </row>
    <row r="40" spans="2:33" x14ac:dyDescent="0.25">
      <c r="B40" t="s">
        <v>59</v>
      </c>
      <c r="C40" s="7">
        <f t="shared" ref="C40:T40" si="66">C6/SUM(C$4:C$6)</f>
        <v>0.12891122278056952</v>
      </c>
      <c r="D40" s="7">
        <f t="shared" si="66"/>
        <v>0.13218408933190334</v>
      </c>
      <c r="E40" s="7">
        <f t="shared" si="66"/>
        <v>0.12853488804103971</v>
      </c>
      <c r="F40" s="7">
        <f t="shared" si="66"/>
        <v>0.11389406959048938</v>
      </c>
      <c r="G40" s="7">
        <f t="shared" si="66"/>
        <v>0.13543709908286064</v>
      </c>
      <c r="H40" s="7">
        <f t="shared" si="66"/>
        <v>0.1215583948173475</v>
      </c>
      <c r="I40" s="7">
        <f t="shared" si="66"/>
        <v>0.12066150085807895</v>
      </c>
      <c r="J40" s="7">
        <f t="shared" si="66"/>
        <v>0.10148540480267612</v>
      </c>
      <c r="K40" s="7">
        <f t="shared" si="66"/>
        <v>0.1244653786593909</v>
      </c>
      <c r="L40" s="7">
        <f t="shared" si="66"/>
        <v>0.13096038203042093</v>
      </c>
      <c r="M40" s="7">
        <f t="shared" si="66"/>
        <v>0.14538136663899218</v>
      </c>
      <c r="N40" s="7">
        <f t="shared" si="66"/>
        <v>0.1293636588524614</v>
      </c>
      <c r="O40" s="7">
        <f t="shared" si="66"/>
        <v>0.15836797087011784</v>
      </c>
      <c r="P40" s="7">
        <f t="shared" si="66"/>
        <v>0.16281736146625533</v>
      </c>
      <c r="Q40" s="7">
        <f t="shared" si="66"/>
        <v>0.16158802841834446</v>
      </c>
      <c r="R40" s="7">
        <f t="shared" si="66"/>
        <v>0.14328034100962442</v>
      </c>
      <c r="S40" s="7">
        <f t="shared" si="66"/>
        <v>0.16766909028094035</v>
      </c>
      <c r="T40" s="7">
        <f t="shared" si="66"/>
        <v>0.16475298214803955</v>
      </c>
      <c r="U40" s="7">
        <f t="shared" ref="U40:X40" si="67">U6/SUM(U$4:U$6)</f>
        <v>0.16115820887177373</v>
      </c>
      <c r="V40" s="7">
        <f t="shared" si="67"/>
        <v>0.14240914092056414</v>
      </c>
      <c r="W40" s="7" t="e">
        <f t="shared" si="67"/>
        <v>#DIV/0!</v>
      </c>
      <c r="X40" s="7" t="e">
        <f t="shared" si="67"/>
        <v>#DIV/0!</v>
      </c>
      <c r="Y40" s="7"/>
      <c r="Z40" s="7"/>
      <c r="AA40" s="7"/>
      <c r="AB40" s="7">
        <f>AB6/SUM(AB$4:AB$6)</f>
        <v>0.11016072172341093</v>
      </c>
      <c r="AC40" s="7">
        <f>AC6/SUM(AC$4:AC$6)</f>
        <v>0.12487788877717643</v>
      </c>
      <c r="AD40" s="7">
        <f>AD6/SUM(AD$4:AD$6)</f>
        <v>0.11751937502590244</v>
      </c>
      <c r="AE40" s="7">
        <f>AE6/SUM(AE$4:AE$6)</f>
        <v>0.13239482186870771</v>
      </c>
      <c r="AF40" s="7">
        <f>AF6/SUM(AF$4:AF$6)</f>
        <v>0.15583394781539467</v>
      </c>
      <c r="AG40" s="7">
        <f t="shared" ref="AG40" si="68">AG6/SUM(AG$4:AG$6)</f>
        <v>0.15789730072983812</v>
      </c>
    </row>
    <row r="41" spans="2:33" x14ac:dyDescent="0.25">
      <c r="B41" t="s">
        <v>65</v>
      </c>
      <c r="C41" s="7">
        <f t="shared" ref="C41:T41" si="69">C24/C4</f>
        <v>6.3861275550094937E-2</v>
      </c>
      <c r="D41" s="7">
        <f t="shared" si="69"/>
        <v>4.0462577290249137E-2</v>
      </c>
      <c r="E41" s="7">
        <f t="shared" si="69"/>
        <v>3.0067076316900417E-2</v>
      </c>
      <c r="F41" s="7">
        <f t="shared" si="69"/>
        <v>3.5427932127540557E-2</v>
      </c>
      <c r="G41" s="7">
        <f t="shared" si="69"/>
        <v>2.8443211134476554E-2</v>
      </c>
      <c r="H41" s="7">
        <f t="shared" si="69"/>
        <v>3.8621112634389207E-2</v>
      </c>
      <c r="I41" s="7">
        <f t="shared" si="69"/>
        <v>3.7929698684587274E-2</v>
      </c>
      <c r="J41" s="7">
        <f t="shared" si="69"/>
        <v>3.9099620417805854E-2</v>
      </c>
      <c r="K41" s="7">
        <f t="shared" si="69"/>
        <v>5.3624720218851035E-2</v>
      </c>
      <c r="L41" s="7">
        <f t="shared" si="69"/>
        <v>4.6587712805329383E-2</v>
      </c>
      <c r="M41" s="7">
        <f t="shared" si="69"/>
        <v>1.3423433043000747E-2</v>
      </c>
      <c r="N41" s="7">
        <f t="shared" si="69"/>
        <v>-2.5003034348828742E-3</v>
      </c>
      <c r="O41" s="7">
        <f t="shared" si="69"/>
        <v>-2.2644561261625555E-2</v>
      </c>
      <c r="P41" s="7">
        <f t="shared" si="69"/>
        <v>-8.4240225715437322E-3</v>
      </c>
      <c r="Q41" s="7">
        <f t="shared" si="69"/>
        <v>-5.2255748766536023E-3</v>
      </c>
      <c r="R41" s="7">
        <f t="shared" si="69"/>
        <v>-2.5706114842068057E-3</v>
      </c>
      <c r="S41" s="7">
        <f t="shared" si="69"/>
        <v>1.1680389172877564E-2</v>
      </c>
      <c r="T41" s="7">
        <f t="shared" si="69"/>
        <v>3.8899522690378698E-2</v>
      </c>
      <c r="U41" s="7">
        <f t="shared" ref="U41:X41" si="70">U24/U4</f>
        <v>4.9006110118675117E-2</v>
      </c>
      <c r="V41" s="7">
        <f t="shared" si="70"/>
        <v>6.1233580377959326E-2</v>
      </c>
      <c r="W41" s="7" t="e">
        <f t="shared" si="70"/>
        <v>#DIV/0!</v>
      </c>
      <c r="X41" s="7" t="e">
        <f t="shared" si="70"/>
        <v>#DIV/0!</v>
      </c>
      <c r="Y41" s="7"/>
      <c r="Z41" s="7"/>
      <c r="AA41" s="7"/>
      <c r="AB41" s="7">
        <f>AB24/AB4</f>
        <v>5.1405571353790869E-2</v>
      </c>
      <c r="AC41" s="7">
        <f>AC24/AC4</f>
        <v>4.1192973824626757E-2</v>
      </c>
      <c r="AD41" s="7">
        <f>AD24/AD4</f>
        <v>3.6613030192735797E-2</v>
      </c>
      <c r="AE41" s="7">
        <f t="shared" ref="AE41:AF41" si="71">AE24/AE4</f>
        <v>2.5983354357777676E-2</v>
      </c>
      <c r="AF41" s="7">
        <f t="shared" si="71"/>
        <v>-9.0129162973280989E-3</v>
      </c>
      <c r="AG41" s="7">
        <f t="shared" ref="AG41" si="72">AG24/AG4</f>
        <v>4.2165020916707291E-2</v>
      </c>
    </row>
    <row r="42" spans="2:33" x14ac:dyDescent="0.25">
      <c r="B42" t="s">
        <v>66</v>
      </c>
      <c r="C42" s="7">
        <f t="shared" ref="C42:T42" si="73">C25/C5</f>
        <v>-5.558300395256917E-3</v>
      </c>
      <c r="D42" s="7">
        <f t="shared" si="73"/>
        <v>-3.6713500305436776E-2</v>
      </c>
      <c r="E42" s="7">
        <f t="shared" si="73"/>
        <v>-2.10377152823196E-2</v>
      </c>
      <c r="F42" s="7">
        <f t="shared" si="73"/>
        <v>-2.5868223239407045E-2</v>
      </c>
      <c r="G42" s="7">
        <f t="shared" si="73"/>
        <v>-2.0831152517533758E-2</v>
      </c>
      <c r="H42" s="7">
        <f t="shared" si="73"/>
        <v>1.5219692959237693E-2</v>
      </c>
      <c r="I42" s="7">
        <f t="shared" si="73"/>
        <v>1.6169401295141234E-2</v>
      </c>
      <c r="J42" s="7">
        <f t="shared" si="73"/>
        <v>9.6885259027944589E-3</v>
      </c>
      <c r="K42" s="7">
        <f t="shared" si="73"/>
        <v>4.084961988971908E-2</v>
      </c>
      <c r="L42" s="7">
        <f t="shared" si="73"/>
        <v>1.178347059015006E-2</v>
      </c>
      <c r="M42" s="7">
        <f t="shared" si="73"/>
        <v>-3.1257505575570423E-2</v>
      </c>
      <c r="N42" s="7">
        <f t="shared" si="73"/>
        <v>-4.3652071259927025E-2</v>
      </c>
      <c r="O42" s="7">
        <f t="shared" si="73"/>
        <v>-4.4542577975590247E-2</v>
      </c>
      <c r="P42" s="7">
        <f t="shared" si="73"/>
        <v>-6.5435063735451687E-2</v>
      </c>
      <c r="Q42" s="7">
        <f t="shared" si="73"/>
        <v>-8.8961038961038963E-2</v>
      </c>
      <c r="R42" s="7">
        <f t="shared" si="73"/>
        <v>-6.4649043902155937E-2</v>
      </c>
      <c r="S42" s="7">
        <f t="shared" si="73"/>
        <v>-4.2818390962469526E-2</v>
      </c>
      <c r="T42" s="7">
        <f t="shared" si="73"/>
        <v>-3.0137724349260868E-2</v>
      </c>
      <c r="U42" s="7">
        <f t="shared" ref="U42:X42" si="74">U25/U5</f>
        <v>-2.9560942216137163E-3</v>
      </c>
      <c r="V42" s="7">
        <f t="shared" si="74"/>
        <v>-1.0411748627090425E-2</v>
      </c>
      <c r="W42" s="7" t="e">
        <f t="shared" si="74"/>
        <v>#DIV/0!</v>
      </c>
      <c r="X42" s="7" t="e">
        <f t="shared" si="74"/>
        <v>#DIV/0!</v>
      </c>
      <c r="Y42" s="7"/>
      <c r="Z42" s="7"/>
      <c r="AA42" s="7"/>
      <c r="AB42" s="7">
        <f>AB25/AB5</f>
        <v>-3.2520572070567515E-2</v>
      </c>
      <c r="AC42" s="7">
        <f>AC25/AC5</f>
        <v>-2.2657013235549965E-2</v>
      </c>
      <c r="AD42" s="7">
        <f>AD25/AD5</f>
        <v>6.8670267785312031E-3</v>
      </c>
      <c r="AE42" s="7">
        <f t="shared" ref="AE42:AF42" si="75">AE25/AE5</f>
        <v>-7.2307824739605746E-3</v>
      </c>
      <c r="AF42" s="7">
        <f t="shared" si="75"/>
        <v>-6.5640173887989692E-2</v>
      </c>
      <c r="AG42" s="7">
        <f t="shared" ref="AG42" si="76">AG25/AG5</f>
        <v>-2.0243902439024391E-2</v>
      </c>
    </row>
    <row r="43" spans="2:33" x14ac:dyDescent="0.25">
      <c r="B43" t="s">
        <v>67</v>
      </c>
      <c r="C43" s="7">
        <f t="shared" ref="C43:S43" si="77">C26/C6</f>
        <v>0.28885135135135137</v>
      </c>
      <c r="D43" s="7">
        <f t="shared" si="77"/>
        <v>0.25307242572485383</v>
      </c>
      <c r="E43" s="7">
        <f t="shared" si="77"/>
        <v>0.25136186770428015</v>
      </c>
      <c r="F43" s="7">
        <f t="shared" si="77"/>
        <v>0.26079967852119751</v>
      </c>
      <c r="G43" s="7">
        <f t="shared" si="77"/>
        <v>0.30091006947842253</v>
      </c>
      <c r="H43" s="7">
        <f t="shared" si="77"/>
        <v>0.31060325684678014</v>
      </c>
      <c r="I43" s="7">
        <f t="shared" si="77"/>
        <v>0.30471511076631325</v>
      </c>
      <c r="J43" s="7">
        <f t="shared" si="77"/>
        <v>0.27970491288651705</v>
      </c>
      <c r="K43" s="7">
        <f t="shared" si="77"/>
        <v>0.30830185884618233</v>
      </c>
      <c r="L43" s="7">
        <f t="shared" si="77"/>
        <v>0.28313863191302585</v>
      </c>
      <c r="M43" s="7">
        <f t="shared" si="77"/>
        <v>0.3031036623215394</v>
      </c>
      <c r="N43" s="7">
        <f t="shared" si="77"/>
        <v>0.29769403824521934</v>
      </c>
      <c r="O43" s="7">
        <f t="shared" si="77"/>
        <v>0.35345154818068436</v>
      </c>
      <c r="P43" s="7">
        <f t="shared" si="77"/>
        <v>0.28952834490095747</v>
      </c>
      <c r="Q43" s="7">
        <f t="shared" si="77"/>
        <v>0.26307332749050538</v>
      </c>
      <c r="R43" s="7">
        <f t="shared" si="77"/>
        <v>0.24347460005613247</v>
      </c>
      <c r="S43" s="7">
        <f t="shared" si="77"/>
        <v>0.23990821391776718</v>
      </c>
      <c r="T43" s="7">
        <f>T26/T6</f>
        <v>0.2423215898825655</v>
      </c>
      <c r="U43" s="7">
        <f t="shared" ref="U43:X43" si="78">U26/U6</f>
        <v>0.30252829697731903</v>
      </c>
      <c r="V43" s="7">
        <f t="shared" si="78"/>
        <v>0.29610808130887456</v>
      </c>
      <c r="W43" s="7" t="e">
        <f t="shared" si="78"/>
        <v>#DIV/0!</v>
      </c>
      <c r="X43" s="7" t="e">
        <f t="shared" si="78"/>
        <v>#DIV/0!</v>
      </c>
      <c r="Y43" s="7"/>
      <c r="Z43" s="7"/>
      <c r="AA43" s="7"/>
      <c r="AB43" s="7">
        <f>AB26/AB6</f>
        <v>0.28438900799064509</v>
      </c>
      <c r="AC43" s="7">
        <f>AC26/AC6</f>
        <v>0.26269057271740992</v>
      </c>
      <c r="AD43" s="7">
        <f>AD26/AD6</f>
        <v>0.29823672029975756</v>
      </c>
      <c r="AE43" s="7">
        <f>AE26/AE6</f>
        <v>0.29793254236198191</v>
      </c>
      <c r="AF43" s="7">
        <f>AF26/AF6</f>
        <v>0.28517029564522572</v>
      </c>
      <c r="AG43" s="7">
        <f>AG26/AG6</f>
        <v>0.27139504390845887</v>
      </c>
    </row>
    <row r="46" spans="2:33" s="4" customFormat="1" x14ac:dyDescent="0.25">
      <c r="B46" s="4" t="s">
        <v>5</v>
      </c>
      <c r="J46" s="5">
        <f>J47+J48-J62</f>
        <v>52580</v>
      </c>
      <c r="N46" s="5">
        <f>N47+N48-N62</f>
        <v>47305</v>
      </c>
      <c r="R46" s="5">
        <f>R47+R48-R62</f>
        <v>2876</v>
      </c>
      <c r="S46" s="5">
        <f>S47+S48-S62</f>
        <v>0</v>
      </c>
      <c r="T46" s="5">
        <f>T47+T48-T62</f>
        <v>878</v>
      </c>
      <c r="U46" s="5">
        <f t="shared" ref="U46:X46" si="79">U47+U48-U62</f>
        <v>3071</v>
      </c>
      <c r="V46" s="5">
        <f t="shared" si="79"/>
        <v>28466</v>
      </c>
      <c r="W46" s="5">
        <f t="shared" si="79"/>
        <v>0</v>
      </c>
      <c r="X46" s="5">
        <f t="shared" si="79"/>
        <v>0</v>
      </c>
      <c r="AB46" s="5">
        <f>AB47+AB48-AB62</f>
        <v>17755</v>
      </c>
      <c r="AC46" s="5">
        <f>AC47+AC48-AC62</f>
        <v>31607</v>
      </c>
      <c r="AD46" s="5">
        <f>AD47+AD48-AD62</f>
        <v>52580</v>
      </c>
      <c r="AE46" s="5">
        <f>AE47+AE48-AE62</f>
        <v>47305</v>
      </c>
      <c r="AF46" s="5">
        <f>AF47+AF48-AF62</f>
        <v>2876</v>
      </c>
      <c r="AG46" s="5">
        <f>AG47+AG48-AG62</f>
        <v>28466</v>
      </c>
    </row>
    <row r="47" spans="2:33" x14ac:dyDescent="0.25">
      <c r="B47" t="s">
        <v>3</v>
      </c>
      <c r="J47" s="1">
        <v>42122</v>
      </c>
      <c r="N47" s="1">
        <v>36220</v>
      </c>
      <c r="R47" s="1">
        <v>53888</v>
      </c>
      <c r="S47" s="1"/>
      <c r="T47" s="1">
        <v>49529</v>
      </c>
      <c r="U47" s="1">
        <v>49605</v>
      </c>
      <c r="V47" s="1">
        <v>73387</v>
      </c>
      <c r="W47" s="1"/>
      <c r="X47" s="1"/>
      <c r="AB47" s="1">
        <v>31750</v>
      </c>
      <c r="AC47" s="1">
        <v>36092</v>
      </c>
      <c r="AD47" s="1">
        <v>42122</v>
      </c>
      <c r="AE47" s="1">
        <v>36220</v>
      </c>
      <c r="AF47" s="1">
        <v>53888</v>
      </c>
      <c r="AG47" s="1">
        <f>V47</f>
        <v>73387</v>
      </c>
    </row>
    <row r="48" spans="2:33" x14ac:dyDescent="0.25">
      <c r="B48" t="s">
        <v>69</v>
      </c>
      <c r="J48" s="1">
        <v>42274</v>
      </c>
      <c r="N48" s="1">
        <v>59829</v>
      </c>
      <c r="R48" s="1">
        <v>16138</v>
      </c>
      <c r="S48" s="1"/>
      <c r="T48" s="1">
        <v>14441</v>
      </c>
      <c r="U48" s="1">
        <v>14564</v>
      </c>
      <c r="V48" s="1">
        <v>13393</v>
      </c>
      <c r="W48" s="1"/>
      <c r="X48" s="1"/>
      <c r="AB48" s="1">
        <v>9500</v>
      </c>
      <c r="AC48" s="1">
        <v>18929</v>
      </c>
      <c r="AD48" s="1">
        <v>42274</v>
      </c>
      <c r="AE48" s="1">
        <v>59829</v>
      </c>
      <c r="AF48" s="1">
        <v>16138</v>
      </c>
      <c r="AG48" s="1">
        <f t="shared" ref="AG48:AG50" si="80">V48</f>
        <v>13393</v>
      </c>
    </row>
    <row r="49" spans="2:33" x14ac:dyDescent="0.25">
      <c r="B49" t="s">
        <v>70</v>
      </c>
      <c r="J49" s="1">
        <v>23795</v>
      </c>
      <c r="N49" s="1">
        <v>32640</v>
      </c>
      <c r="R49" s="1">
        <v>34405</v>
      </c>
      <c r="S49" s="1"/>
      <c r="T49" s="1">
        <v>36587</v>
      </c>
      <c r="U49" s="1">
        <v>35406</v>
      </c>
      <c r="V49" s="1">
        <v>33318</v>
      </c>
      <c r="W49" s="1"/>
      <c r="X49" s="1"/>
      <c r="AB49" s="1">
        <v>17174</v>
      </c>
      <c r="AC49" s="1">
        <v>20497</v>
      </c>
      <c r="AD49" s="1">
        <v>23795</v>
      </c>
      <c r="AE49" s="1">
        <v>32640</v>
      </c>
      <c r="AF49" s="1">
        <v>34405</v>
      </c>
      <c r="AG49" s="1">
        <f t="shared" si="80"/>
        <v>33318</v>
      </c>
    </row>
    <row r="50" spans="2:33" x14ac:dyDescent="0.25">
      <c r="B50" t="s">
        <v>71</v>
      </c>
      <c r="J50" s="1">
        <v>24542</v>
      </c>
      <c r="N50" s="1">
        <v>32891</v>
      </c>
      <c r="R50" s="1">
        <v>42360</v>
      </c>
      <c r="S50" s="1"/>
      <c r="T50" s="1">
        <v>39925</v>
      </c>
      <c r="U50" s="1">
        <v>43420</v>
      </c>
      <c r="V50" s="1">
        <v>52253</v>
      </c>
      <c r="W50" s="1"/>
      <c r="X50" s="1"/>
      <c r="AB50" s="1">
        <v>16677</v>
      </c>
      <c r="AC50" s="1">
        <v>20816</v>
      </c>
      <c r="AD50" s="1">
        <v>24542</v>
      </c>
      <c r="AE50" s="1">
        <v>32891</v>
      </c>
      <c r="AF50" s="1">
        <v>42360</v>
      </c>
      <c r="AG50" s="1">
        <f t="shared" si="80"/>
        <v>52253</v>
      </c>
    </row>
    <row r="51" spans="2:33" s="4" customFormat="1" x14ac:dyDescent="0.25">
      <c r="B51" s="4" t="s">
        <v>114</v>
      </c>
      <c r="C51" s="5">
        <f t="shared" ref="C51:S51" si="81">SUM(C47:C50)</f>
        <v>0</v>
      </c>
      <c r="D51" s="5">
        <f t="shared" si="81"/>
        <v>0</v>
      </c>
      <c r="E51" s="5">
        <f t="shared" si="81"/>
        <v>0</v>
      </c>
      <c r="F51" s="5">
        <f t="shared" si="81"/>
        <v>0</v>
      </c>
      <c r="G51" s="5">
        <f t="shared" si="81"/>
        <v>0</v>
      </c>
      <c r="H51" s="5">
        <f t="shared" si="81"/>
        <v>0</v>
      </c>
      <c r="I51" s="5">
        <f t="shared" si="81"/>
        <v>0</v>
      </c>
      <c r="J51" s="5">
        <f t="shared" si="81"/>
        <v>132733</v>
      </c>
      <c r="K51" s="5">
        <f t="shared" si="81"/>
        <v>0</v>
      </c>
      <c r="L51" s="5">
        <f t="shared" si="81"/>
        <v>0</v>
      </c>
      <c r="M51" s="5">
        <f t="shared" si="81"/>
        <v>0</v>
      </c>
      <c r="N51" s="5">
        <f t="shared" si="81"/>
        <v>161580</v>
      </c>
      <c r="O51" s="5">
        <f t="shared" si="81"/>
        <v>0</v>
      </c>
      <c r="P51" s="5">
        <f t="shared" si="81"/>
        <v>0</v>
      </c>
      <c r="Q51" s="5">
        <f t="shared" si="81"/>
        <v>0</v>
      </c>
      <c r="R51" s="5">
        <f t="shared" si="81"/>
        <v>146791</v>
      </c>
      <c r="S51" s="5">
        <f t="shared" si="81"/>
        <v>0</v>
      </c>
      <c r="T51" s="5">
        <f>SUM(T47:T50)</f>
        <v>140482</v>
      </c>
      <c r="U51" s="5">
        <f t="shared" ref="U51:X51" si="82">SUM(U47:U50)</f>
        <v>142995</v>
      </c>
      <c r="V51" s="5">
        <f t="shared" si="82"/>
        <v>172351</v>
      </c>
      <c r="W51" s="5">
        <f t="shared" si="82"/>
        <v>0</v>
      </c>
      <c r="X51" s="5">
        <f t="shared" si="82"/>
        <v>0</v>
      </c>
      <c r="AB51" s="5">
        <f t="shared" ref="AB51:AG51" si="83">SUM(AB47:AB50)</f>
        <v>75101</v>
      </c>
      <c r="AC51" s="5">
        <f t="shared" si="83"/>
        <v>96334</v>
      </c>
      <c r="AD51" s="5">
        <f t="shared" si="83"/>
        <v>132733</v>
      </c>
      <c r="AE51" s="5">
        <f t="shared" si="83"/>
        <v>161580</v>
      </c>
      <c r="AF51" s="5">
        <f t="shared" si="83"/>
        <v>146791</v>
      </c>
      <c r="AG51" s="5">
        <f t="shared" si="83"/>
        <v>172351</v>
      </c>
    </row>
    <row r="52" spans="2:33" x14ac:dyDescent="0.25">
      <c r="B52" t="s">
        <v>72</v>
      </c>
      <c r="J52" s="1">
        <v>113114</v>
      </c>
      <c r="N52" s="1">
        <v>160281</v>
      </c>
      <c r="R52" s="1">
        <v>186715</v>
      </c>
      <c r="S52" s="1"/>
      <c r="T52" s="1">
        <v>193784</v>
      </c>
      <c r="U52" s="1">
        <v>196468</v>
      </c>
      <c r="V52" s="1">
        <v>204177</v>
      </c>
      <c r="W52" s="1"/>
      <c r="X52" s="1"/>
      <c r="AB52" s="1">
        <v>61797</v>
      </c>
      <c r="AC52" s="1">
        <v>72705</v>
      </c>
      <c r="AD52" s="1">
        <v>113114</v>
      </c>
      <c r="AE52" s="1">
        <v>160281</v>
      </c>
      <c r="AF52" s="1">
        <v>186715</v>
      </c>
      <c r="AG52" s="1">
        <f t="shared" ref="AG52:AG55" si="84">V52</f>
        <v>204177</v>
      </c>
    </row>
    <row r="53" spans="2:33" x14ac:dyDescent="0.25">
      <c r="B53" t="s">
        <v>73</v>
      </c>
      <c r="J53" s="1">
        <v>37553</v>
      </c>
      <c r="N53" s="1">
        <v>56082</v>
      </c>
      <c r="R53" s="1">
        <v>66123</v>
      </c>
      <c r="S53" s="1"/>
      <c r="T53" s="1">
        <v>70332</v>
      </c>
      <c r="U53" s="1">
        <v>70758</v>
      </c>
      <c r="V53" s="1">
        <v>72513</v>
      </c>
      <c r="W53" s="1"/>
      <c r="X53" s="1"/>
      <c r="AB53" s="1">
        <v>0</v>
      </c>
      <c r="AC53" s="1">
        <v>25141</v>
      </c>
      <c r="AD53" s="1">
        <v>37553</v>
      </c>
      <c r="AE53" s="1">
        <v>56082</v>
      </c>
      <c r="AF53" s="1">
        <v>66123</v>
      </c>
      <c r="AG53" s="1">
        <f t="shared" si="84"/>
        <v>72513</v>
      </c>
    </row>
    <row r="54" spans="2:33" x14ac:dyDescent="0.25">
      <c r="B54" t="s">
        <v>74</v>
      </c>
      <c r="J54" s="1">
        <v>15017</v>
      </c>
      <c r="N54" s="1">
        <v>15371</v>
      </c>
      <c r="R54" s="1">
        <v>20288</v>
      </c>
      <c r="S54" s="1"/>
      <c r="T54" s="1">
        <v>22785</v>
      </c>
      <c r="U54" s="1">
        <v>22749</v>
      </c>
      <c r="V54" s="1">
        <v>22789</v>
      </c>
      <c r="W54" s="1"/>
      <c r="X54" s="1"/>
      <c r="AB54" s="1">
        <v>14548</v>
      </c>
      <c r="AC54" s="1">
        <v>14754</v>
      </c>
      <c r="AD54" s="1">
        <v>15017</v>
      </c>
      <c r="AE54" s="1">
        <v>15371</v>
      </c>
      <c r="AF54" s="1">
        <v>20288</v>
      </c>
      <c r="AG54" s="1">
        <f t="shared" si="84"/>
        <v>22789</v>
      </c>
    </row>
    <row r="55" spans="2:33" x14ac:dyDescent="0.25">
      <c r="B55" t="s">
        <v>40</v>
      </c>
      <c r="J55" s="1">
        <v>22778</v>
      </c>
      <c r="N55" s="1">
        <v>27235</v>
      </c>
      <c r="R55" s="1">
        <v>42758</v>
      </c>
      <c r="S55" s="1"/>
      <c r="T55" s="1">
        <v>50224</v>
      </c>
      <c r="U55" s="1">
        <v>53913</v>
      </c>
      <c r="V55" s="1">
        <v>56024</v>
      </c>
      <c r="W55" s="1"/>
      <c r="X55" s="1"/>
      <c r="AB55" s="1">
        <v>11202</v>
      </c>
      <c r="AC55" s="1">
        <v>16314</v>
      </c>
      <c r="AD55" s="1">
        <v>22778</v>
      </c>
      <c r="AE55" s="1">
        <v>27235</v>
      </c>
      <c r="AF55" s="1">
        <v>42758</v>
      </c>
      <c r="AG55" s="1">
        <f t="shared" si="84"/>
        <v>56024</v>
      </c>
    </row>
    <row r="56" spans="2:33" s="4" customFormat="1" x14ac:dyDescent="0.25">
      <c r="B56" s="4" t="s">
        <v>116</v>
      </c>
      <c r="C56" s="5">
        <f t="shared" ref="C56:S56" si="85">SUM(C51:C55)</f>
        <v>0</v>
      </c>
      <c r="D56" s="5">
        <f t="shared" si="85"/>
        <v>0</v>
      </c>
      <c r="E56" s="5">
        <f t="shared" si="85"/>
        <v>0</v>
      </c>
      <c r="F56" s="5">
        <f t="shared" si="85"/>
        <v>0</v>
      </c>
      <c r="G56" s="5">
        <f t="shared" si="85"/>
        <v>0</v>
      </c>
      <c r="H56" s="5">
        <f t="shared" si="85"/>
        <v>0</v>
      </c>
      <c r="I56" s="5">
        <f t="shared" si="85"/>
        <v>0</v>
      </c>
      <c r="J56" s="5">
        <f t="shared" si="85"/>
        <v>321195</v>
      </c>
      <c r="K56" s="5">
        <f t="shared" si="85"/>
        <v>0</v>
      </c>
      <c r="L56" s="5">
        <f t="shared" si="85"/>
        <v>0</v>
      </c>
      <c r="M56" s="5">
        <f t="shared" si="85"/>
        <v>0</v>
      </c>
      <c r="N56" s="5">
        <f t="shared" si="85"/>
        <v>420549</v>
      </c>
      <c r="O56" s="5">
        <f t="shared" si="85"/>
        <v>0</v>
      </c>
      <c r="P56" s="5">
        <f t="shared" si="85"/>
        <v>0</v>
      </c>
      <c r="Q56" s="5">
        <f t="shared" si="85"/>
        <v>0</v>
      </c>
      <c r="R56" s="5">
        <f t="shared" si="85"/>
        <v>462675</v>
      </c>
      <c r="S56" s="5">
        <f t="shared" si="85"/>
        <v>0</v>
      </c>
      <c r="T56" s="5">
        <f>SUM(T51:T55)</f>
        <v>477607</v>
      </c>
      <c r="U56" s="5">
        <f t="shared" ref="U56:X56" si="86">SUM(U51:U55)</f>
        <v>486883</v>
      </c>
      <c r="V56" s="5">
        <f t="shared" si="86"/>
        <v>527854</v>
      </c>
      <c r="W56" s="5">
        <f t="shared" si="86"/>
        <v>0</v>
      </c>
      <c r="X56" s="5">
        <f t="shared" si="86"/>
        <v>0</v>
      </c>
      <c r="AB56" s="5">
        <f>SUM(AB51:AB55)</f>
        <v>162648</v>
      </c>
      <c r="AC56" s="5">
        <f>SUM(AC51:AC55)</f>
        <v>225248</v>
      </c>
      <c r="AD56" s="5">
        <f t="shared" ref="AD56:AG56" si="87">SUM(AD51:AD55)</f>
        <v>321195</v>
      </c>
      <c r="AE56" s="5">
        <f t="shared" si="87"/>
        <v>420549</v>
      </c>
      <c r="AF56" s="5">
        <f t="shared" si="87"/>
        <v>462675</v>
      </c>
      <c r="AG56" s="5">
        <f t="shared" si="87"/>
        <v>527854</v>
      </c>
    </row>
    <row r="57" spans="2:33" x14ac:dyDescent="0.25">
      <c r="B57" t="s">
        <v>75</v>
      </c>
      <c r="J57" s="1">
        <v>72539</v>
      </c>
      <c r="N57" s="1">
        <v>78664</v>
      </c>
      <c r="R57" s="1">
        <v>79600</v>
      </c>
      <c r="S57" s="1"/>
      <c r="T57" s="1">
        <v>69481</v>
      </c>
      <c r="U57" s="1">
        <v>72004</v>
      </c>
      <c r="V57" s="1">
        <v>84981</v>
      </c>
      <c r="W57" s="1"/>
      <c r="X57" s="1"/>
      <c r="AB57" s="1">
        <v>38192</v>
      </c>
      <c r="AC57" s="1">
        <v>47183</v>
      </c>
      <c r="AD57" s="1">
        <v>72539</v>
      </c>
      <c r="AE57" s="1">
        <v>78664</v>
      </c>
      <c r="AF57" s="1">
        <v>79600</v>
      </c>
      <c r="AG57" s="1">
        <f t="shared" ref="AG57:AG59" si="88">V57</f>
        <v>84981</v>
      </c>
    </row>
    <row r="58" spans="2:33" x14ac:dyDescent="0.25">
      <c r="B58" t="s">
        <v>76</v>
      </c>
      <c r="J58" s="1">
        <v>44138</v>
      </c>
      <c r="N58" s="1">
        <v>51775</v>
      </c>
      <c r="R58" s="1">
        <v>62566</v>
      </c>
      <c r="S58" s="1"/>
      <c r="T58" s="1">
        <v>64235</v>
      </c>
      <c r="U58" s="1">
        <v>58812</v>
      </c>
      <c r="V58" s="1">
        <v>64709</v>
      </c>
      <c r="W58" s="1"/>
      <c r="X58" s="1"/>
      <c r="AB58" s="1">
        <v>23663</v>
      </c>
      <c r="AC58" s="1">
        <v>32439</v>
      </c>
      <c r="AD58" s="1">
        <v>44138</v>
      </c>
      <c r="AE58" s="1">
        <v>51775</v>
      </c>
      <c r="AF58" s="1">
        <v>62566</v>
      </c>
      <c r="AG58" s="1">
        <f t="shared" si="88"/>
        <v>64709</v>
      </c>
    </row>
    <row r="59" spans="2:33" x14ac:dyDescent="0.25">
      <c r="B59" t="s">
        <v>77</v>
      </c>
      <c r="J59" s="1">
        <v>9708</v>
      </c>
      <c r="N59" s="1">
        <v>11827</v>
      </c>
      <c r="R59" s="1">
        <v>13227</v>
      </c>
      <c r="S59" s="1"/>
      <c r="T59" s="1">
        <v>14522</v>
      </c>
      <c r="U59" s="1">
        <v>14398</v>
      </c>
      <c r="V59" s="1">
        <v>15227</v>
      </c>
      <c r="W59" s="1"/>
      <c r="X59" s="1"/>
      <c r="AB59" s="1">
        <v>6536</v>
      </c>
      <c r="AC59" s="1">
        <v>8190</v>
      </c>
      <c r="AD59" s="1">
        <v>9708</v>
      </c>
      <c r="AE59" s="1">
        <v>11827</v>
      </c>
      <c r="AF59" s="1">
        <v>13227</v>
      </c>
      <c r="AG59" s="1">
        <f t="shared" si="88"/>
        <v>15227</v>
      </c>
    </row>
    <row r="60" spans="2:33" s="4" customFormat="1" x14ac:dyDescent="0.25">
      <c r="B60" s="4" t="s">
        <v>115</v>
      </c>
      <c r="C60" s="5">
        <f t="shared" ref="C60:S60" si="89">SUM(C57:C59)</f>
        <v>0</v>
      </c>
      <c r="D60" s="5">
        <f t="shared" si="89"/>
        <v>0</v>
      </c>
      <c r="E60" s="5">
        <f t="shared" si="89"/>
        <v>0</v>
      </c>
      <c r="F60" s="5">
        <f t="shared" si="89"/>
        <v>0</v>
      </c>
      <c r="G60" s="5">
        <f t="shared" si="89"/>
        <v>0</v>
      </c>
      <c r="H60" s="5">
        <f t="shared" si="89"/>
        <v>0</v>
      </c>
      <c r="I60" s="5">
        <f t="shared" si="89"/>
        <v>0</v>
      </c>
      <c r="J60" s="5">
        <f t="shared" si="89"/>
        <v>126385</v>
      </c>
      <c r="K60" s="5">
        <f t="shared" si="89"/>
        <v>0</v>
      </c>
      <c r="L60" s="5">
        <f t="shared" si="89"/>
        <v>0</v>
      </c>
      <c r="M60" s="5">
        <f t="shared" si="89"/>
        <v>0</v>
      </c>
      <c r="N60" s="5">
        <f t="shared" si="89"/>
        <v>142266</v>
      </c>
      <c r="O60" s="5">
        <f t="shared" si="89"/>
        <v>0</v>
      </c>
      <c r="P60" s="5">
        <f t="shared" si="89"/>
        <v>0</v>
      </c>
      <c r="Q60" s="5">
        <f t="shared" si="89"/>
        <v>0</v>
      </c>
      <c r="R60" s="5">
        <f t="shared" si="89"/>
        <v>155393</v>
      </c>
      <c r="S60" s="5">
        <f t="shared" si="89"/>
        <v>0</v>
      </c>
      <c r="T60" s="5">
        <f>SUM(T57:T59)</f>
        <v>148238</v>
      </c>
      <c r="U60" s="5">
        <f t="shared" ref="U60:X60" si="90">SUM(U57:U59)</f>
        <v>145214</v>
      </c>
      <c r="V60" s="5">
        <f t="shared" si="90"/>
        <v>164917</v>
      </c>
      <c r="W60" s="5">
        <f t="shared" si="90"/>
        <v>0</v>
      </c>
      <c r="X60" s="5">
        <f t="shared" si="90"/>
        <v>0</v>
      </c>
      <c r="AB60" s="5">
        <f t="shared" ref="AB60:AG60" si="91">SUM(AB57:AB59)</f>
        <v>68391</v>
      </c>
      <c r="AC60" s="5">
        <f t="shared" si="91"/>
        <v>87812</v>
      </c>
      <c r="AD60" s="5">
        <f t="shared" si="91"/>
        <v>126385</v>
      </c>
      <c r="AE60" s="5">
        <f t="shared" si="91"/>
        <v>142266</v>
      </c>
      <c r="AF60" s="5">
        <f t="shared" si="91"/>
        <v>155393</v>
      </c>
      <c r="AG60" s="5">
        <f t="shared" si="91"/>
        <v>164917</v>
      </c>
    </row>
    <row r="61" spans="2:33" x14ac:dyDescent="0.25">
      <c r="B61" t="s">
        <v>78</v>
      </c>
      <c r="J61" s="1">
        <v>52573</v>
      </c>
      <c r="N61" s="1">
        <v>67651</v>
      </c>
      <c r="R61" s="1">
        <v>72968</v>
      </c>
      <c r="S61" s="1"/>
      <c r="T61" s="1">
        <v>75822</v>
      </c>
      <c r="U61" s="1">
        <v>75891</v>
      </c>
      <c r="V61" s="1">
        <v>77297</v>
      </c>
      <c r="W61" s="1"/>
      <c r="X61" s="1"/>
      <c r="AB61" s="1">
        <v>9650</v>
      </c>
      <c r="AC61" s="1">
        <v>39791</v>
      </c>
      <c r="AD61" s="1">
        <v>52573</v>
      </c>
      <c r="AE61" s="1">
        <v>67651</v>
      </c>
      <c r="AF61" s="1">
        <v>72968</v>
      </c>
      <c r="AG61" s="1">
        <f t="shared" ref="AG61:AG63" si="92">V61</f>
        <v>77297</v>
      </c>
    </row>
    <row r="62" spans="2:33" x14ac:dyDescent="0.25">
      <c r="B62" t="s">
        <v>79</v>
      </c>
      <c r="J62" s="1">
        <v>31816</v>
      </c>
      <c r="N62" s="1">
        <v>48744</v>
      </c>
      <c r="R62" s="1">
        <v>67150</v>
      </c>
      <c r="S62" s="1"/>
      <c r="T62" s="1">
        <v>63092</v>
      </c>
      <c r="U62" s="1">
        <v>61098</v>
      </c>
      <c r="V62" s="1">
        <v>58314</v>
      </c>
      <c r="W62" s="1"/>
      <c r="X62" s="1"/>
      <c r="AB62" s="1">
        <v>23495</v>
      </c>
      <c r="AC62" s="1">
        <v>23414</v>
      </c>
      <c r="AD62" s="1">
        <v>31816</v>
      </c>
      <c r="AE62" s="1">
        <v>48744</v>
      </c>
      <c r="AF62" s="1">
        <v>67150</v>
      </c>
      <c r="AG62" s="1">
        <f t="shared" si="92"/>
        <v>58314</v>
      </c>
    </row>
    <row r="63" spans="2:33" x14ac:dyDescent="0.25">
      <c r="B63" t="s">
        <v>80</v>
      </c>
      <c r="J63" s="1">
        <v>17017</v>
      </c>
      <c r="N63" s="1">
        <v>23643</v>
      </c>
      <c r="R63" s="1">
        <v>21121</v>
      </c>
      <c r="S63" s="1"/>
      <c r="T63" s="1">
        <v>21853</v>
      </c>
      <c r="U63" s="1">
        <v>21707</v>
      </c>
      <c r="V63" s="1">
        <v>25451</v>
      </c>
      <c r="W63" s="1"/>
      <c r="X63" s="1"/>
      <c r="AB63" s="1">
        <v>17563</v>
      </c>
      <c r="AC63" s="1">
        <v>12171</v>
      </c>
      <c r="AD63" s="1">
        <v>17017</v>
      </c>
      <c r="AE63" s="1">
        <v>23643</v>
      </c>
      <c r="AF63" s="1">
        <v>21121</v>
      </c>
      <c r="AG63" s="1">
        <f t="shared" si="92"/>
        <v>25451</v>
      </c>
    </row>
    <row r="64" spans="2:33" s="4" customFormat="1" x14ac:dyDescent="0.25">
      <c r="B64" s="4" t="s">
        <v>117</v>
      </c>
      <c r="C64" s="5">
        <f t="shared" ref="C64:I64" si="93">SUM(C60:C63)</f>
        <v>0</v>
      </c>
      <c r="D64" s="5">
        <f t="shared" si="93"/>
        <v>0</v>
      </c>
      <c r="E64" s="5">
        <f t="shared" si="93"/>
        <v>0</v>
      </c>
      <c r="F64" s="5">
        <f t="shared" si="93"/>
        <v>0</v>
      </c>
      <c r="G64" s="5">
        <f t="shared" si="93"/>
        <v>0</v>
      </c>
      <c r="H64" s="5">
        <f t="shared" si="93"/>
        <v>0</v>
      </c>
      <c r="I64" s="5">
        <f t="shared" si="93"/>
        <v>0</v>
      </c>
      <c r="J64" s="5">
        <f>SUM(J60:J63)</f>
        <v>227791</v>
      </c>
      <c r="K64" s="5">
        <f t="shared" ref="K64:T64" si="94">SUM(K60:K63)</f>
        <v>0</v>
      </c>
      <c r="L64" s="5">
        <f t="shared" si="94"/>
        <v>0</v>
      </c>
      <c r="M64" s="5">
        <f t="shared" si="94"/>
        <v>0</v>
      </c>
      <c r="N64" s="5">
        <f t="shared" si="94"/>
        <v>282304</v>
      </c>
      <c r="O64" s="5">
        <f t="shared" si="94"/>
        <v>0</v>
      </c>
      <c r="P64" s="5">
        <f t="shared" si="94"/>
        <v>0</v>
      </c>
      <c r="Q64" s="5">
        <f t="shared" si="94"/>
        <v>0</v>
      </c>
      <c r="R64" s="5">
        <f t="shared" si="94"/>
        <v>316632</v>
      </c>
      <c r="S64" s="5">
        <f t="shared" si="94"/>
        <v>0</v>
      </c>
      <c r="T64" s="5">
        <f t="shared" si="94"/>
        <v>309005</v>
      </c>
      <c r="U64" s="5">
        <f t="shared" ref="U64" si="95">SUM(U60:U63)</f>
        <v>303910</v>
      </c>
      <c r="V64" s="5">
        <f t="shared" ref="V64" si="96">SUM(V60:V63)</f>
        <v>325979</v>
      </c>
      <c r="W64" s="5">
        <f t="shared" ref="W64" si="97">SUM(W60:W63)</f>
        <v>0</v>
      </c>
      <c r="X64" s="5">
        <f t="shared" ref="X64" si="98">SUM(X60:X63)</f>
        <v>0</v>
      </c>
      <c r="AB64" s="5">
        <f t="shared" ref="AB64" si="99">SUM(AB60:AB63)</f>
        <v>119099</v>
      </c>
      <c r="AC64" s="5">
        <f t="shared" ref="AC64" si="100">SUM(AC60:AC63)</f>
        <v>163188</v>
      </c>
      <c r="AD64" s="5">
        <f t="shared" ref="AD64" si="101">SUM(AD60:AD63)</f>
        <v>227791</v>
      </c>
      <c r="AE64" s="5">
        <f t="shared" ref="AE64" si="102">SUM(AE60:AE63)</f>
        <v>282304</v>
      </c>
      <c r="AF64" s="5">
        <f t="shared" ref="AF64:AG64" si="103">SUM(AF60:AF63)</f>
        <v>316632</v>
      </c>
      <c r="AG64" s="5">
        <f t="shared" si="103"/>
        <v>325979</v>
      </c>
    </row>
    <row r="65" spans="2:33" x14ac:dyDescent="0.25">
      <c r="B65" t="s">
        <v>81</v>
      </c>
      <c r="J65" s="1">
        <v>93404</v>
      </c>
      <c r="N65" s="1">
        <v>138245</v>
      </c>
      <c r="R65" s="1">
        <v>146043</v>
      </c>
      <c r="S65" s="1"/>
      <c r="T65" s="1">
        <v>168602</v>
      </c>
      <c r="U65" s="1">
        <f>U56-U64</f>
        <v>182973</v>
      </c>
      <c r="V65" s="1">
        <f>V56-V64</f>
        <v>201875</v>
      </c>
      <c r="W65" s="1"/>
      <c r="X65" s="1"/>
      <c r="AB65" s="1">
        <v>43549</v>
      </c>
      <c r="AC65" s="1">
        <v>62060</v>
      </c>
      <c r="AD65" s="1">
        <v>93404</v>
      </c>
      <c r="AE65" s="1">
        <v>138245</v>
      </c>
      <c r="AF65" s="1">
        <v>146043</v>
      </c>
      <c r="AG65" s="1">
        <f>AG56-AG64</f>
        <v>201875</v>
      </c>
    </row>
    <row r="66" spans="2:33" x14ac:dyDescent="0.25">
      <c r="AF66" s="7"/>
    </row>
    <row r="67" spans="2:33" x14ac:dyDescent="0.25">
      <c r="AF67" s="7"/>
    </row>
    <row r="68" spans="2:33" s="4" customFormat="1" x14ac:dyDescent="0.25">
      <c r="B68" s="4" t="s">
        <v>3</v>
      </c>
      <c r="P68" s="5">
        <v>36599</v>
      </c>
      <c r="Q68" s="5">
        <f>P93</f>
        <v>37700</v>
      </c>
      <c r="R68" s="5">
        <f>Q93</f>
        <v>0</v>
      </c>
      <c r="S68" s="5">
        <f>R93</f>
        <v>0</v>
      </c>
      <c r="T68" s="5">
        <f>S93</f>
        <v>49734</v>
      </c>
    </row>
    <row r="69" spans="2:33" x14ac:dyDescent="0.25">
      <c r="B69" t="s">
        <v>93</v>
      </c>
      <c r="P69" s="1">
        <v>-2028</v>
      </c>
      <c r="T69" s="1">
        <v>6750</v>
      </c>
    </row>
    <row r="70" spans="2:33" x14ac:dyDescent="0.25">
      <c r="B70" t="s">
        <v>94</v>
      </c>
      <c r="P70" s="1">
        <v>9716</v>
      </c>
      <c r="T70" s="1">
        <v>11589</v>
      </c>
    </row>
    <row r="71" spans="2:33" x14ac:dyDescent="0.25">
      <c r="B71" t="s">
        <v>95</v>
      </c>
      <c r="P71" s="1">
        <v>5209</v>
      </c>
      <c r="T71" s="1">
        <v>7127</v>
      </c>
    </row>
    <row r="72" spans="2:33" x14ac:dyDescent="0.25">
      <c r="B72" t="s">
        <v>96</v>
      </c>
      <c r="P72" s="1">
        <v>6104</v>
      </c>
      <c r="T72" s="1">
        <v>47</v>
      </c>
    </row>
    <row r="73" spans="2:33" x14ac:dyDescent="0.25">
      <c r="B73" t="s">
        <v>97</v>
      </c>
      <c r="P73" s="1">
        <v>-1955</v>
      </c>
      <c r="T73" s="1">
        <v>-2744</v>
      </c>
    </row>
    <row r="74" spans="2:33" x14ac:dyDescent="0.25">
      <c r="B74" t="s">
        <v>70</v>
      </c>
      <c r="P74" s="1">
        <v>-3890</v>
      </c>
      <c r="T74" s="1">
        <v>-2373</v>
      </c>
    </row>
    <row r="75" spans="2:33" x14ac:dyDescent="0.25">
      <c r="B75" t="s">
        <v>71</v>
      </c>
      <c r="P75" s="1">
        <v>-6799</v>
      </c>
      <c r="T75" s="1">
        <v>-5167</v>
      </c>
    </row>
    <row r="76" spans="2:33" x14ac:dyDescent="0.25">
      <c r="B76" t="s">
        <v>75</v>
      </c>
      <c r="P76" s="1">
        <v>3699</v>
      </c>
      <c r="T76" s="1">
        <v>3029</v>
      </c>
    </row>
    <row r="77" spans="2:33" x14ac:dyDescent="0.25">
      <c r="B77" t="s">
        <v>98</v>
      </c>
      <c r="P77" s="1">
        <v>-1412</v>
      </c>
      <c r="T77" s="1">
        <v>-1938</v>
      </c>
    </row>
    <row r="78" spans="2:33" x14ac:dyDescent="0.25">
      <c r="B78" t="s">
        <v>77</v>
      </c>
      <c r="P78" s="1">
        <v>321</v>
      </c>
      <c r="T78" s="1">
        <v>156</v>
      </c>
    </row>
    <row r="79" spans="2:33" x14ac:dyDescent="0.25">
      <c r="B79" t="s">
        <v>99</v>
      </c>
      <c r="P79" s="1">
        <v>-15724</v>
      </c>
      <c r="T79" s="1">
        <v>-11455</v>
      </c>
    </row>
    <row r="80" spans="2:33" x14ac:dyDescent="0.25">
      <c r="B80" t="s">
        <v>100</v>
      </c>
      <c r="P80" s="1">
        <v>1626</v>
      </c>
      <c r="T80" s="1">
        <v>1043</v>
      </c>
    </row>
    <row r="81" spans="2:20" x14ac:dyDescent="0.25">
      <c r="B81" t="s">
        <v>101</v>
      </c>
      <c r="P81" s="1">
        <v>-259</v>
      </c>
      <c r="T81" s="1">
        <v>-316</v>
      </c>
    </row>
    <row r="82" spans="2:20" x14ac:dyDescent="0.25">
      <c r="B82" t="s">
        <v>102</v>
      </c>
      <c r="P82" s="1">
        <v>2608</v>
      </c>
      <c r="T82" s="1">
        <v>1551</v>
      </c>
    </row>
    <row r="83" spans="2:20" x14ac:dyDescent="0.25">
      <c r="B83" t="s">
        <v>103</v>
      </c>
      <c r="P83" s="1">
        <v>-329</v>
      </c>
      <c r="T83" s="1">
        <v>-496</v>
      </c>
    </row>
    <row r="84" spans="2:20" x14ac:dyDescent="0.25">
      <c r="B84" t="s">
        <v>104</v>
      </c>
      <c r="P84" s="1">
        <v>-3334</v>
      </c>
      <c r="T84" s="1">
        <v>0</v>
      </c>
    </row>
    <row r="85" spans="2:20" x14ac:dyDescent="0.25">
      <c r="B85" t="s">
        <v>106</v>
      </c>
      <c r="P85" s="1">
        <v>4865</v>
      </c>
      <c r="T85" s="1">
        <v>4399</v>
      </c>
    </row>
    <row r="86" spans="2:20" x14ac:dyDescent="0.25">
      <c r="B86" t="s">
        <v>105</v>
      </c>
      <c r="P86" s="1">
        <v>-7610</v>
      </c>
      <c r="T86" s="1">
        <v>-7641</v>
      </c>
    </row>
    <row r="87" spans="2:20" x14ac:dyDescent="0.25">
      <c r="B87" t="s">
        <v>107</v>
      </c>
      <c r="P87" s="1">
        <v>12824</v>
      </c>
      <c r="T87" s="1">
        <v>0</v>
      </c>
    </row>
    <row r="88" spans="2:20" x14ac:dyDescent="0.25">
      <c r="B88" t="s">
        <v>108</v>
      </c>
      <c r="P88" s="1">
        <v>-1</v>
      </c>
      <c r="T88" s="1">
        <v>-2000</v>
      </c>
    </row>
    <row r="89" spans="2:20" x14ac:dyDescent="0.25">
      <c r="B89" t="s">
        <v>113</v>
      </c>
      <c r="P89" s="1">
        <v>-2059</v>
      </c>
      <c r="T89" s="1">
        <v>-77</v>
      </c>
    </row>
    <row r="90" spans="2:20" x14ac:dyDescent="0.25">
      <c r="B90" t="s">
        <v>109</v>
      </c>
      <c r="P90" s="1">
        <v>-59</v>
      </c>
      <c r="T90" s="1">
        <v>-1220</v>
      </c>
    </row>
    <row r="91" spans="2:20" x14ac:dyDescent="0.25">
      <c r="B91" t="s">
        <v>110</v>
      </c>
      <c r="P91" s="1">
        <v>-412</v>
      </c>
      <c r="T91" s="1">
        <v>69</v>
      </c>
    </row>
    <row r="92" spans="2:20" x14ac:dyDescent="0.25">
      <c r="B92" t="s">
        <v>111</v>
      </c>
      <c r="P92" s="10">
        <f>SUM(P69:P91)</f>
        <v>1101</v>
      </c>
      <c r="T92" s="10">
        <f>SUM(T69:T91)</f>
        <v>333</v>
      </c>
    </row>
    <row r="93" spans="2:20" s="4" customFormat="1" x14ac:dyDescent="0.25">
      <c r="B93" s="4" t="s">
        <v>112</v>
      </c>
      <c r="P93" s="5">
        <f>P68+P92</f>
        <v>37700</v>
      </c>
      <c r="S93" s="5">
        <v>49734</v>
      </c>
      <c r="T93" s="5">
        <f>T68+T92</f>
        <v>50067</v>
      </c>
    </row>
  </sheetData>
  <phoneticPr fontId="3" type="noConversion"/>
  <hyperlinks>
    <hyperlink ref="A1" location="Main!A1" display="Main" xr:uid="{91B03804-6AC4-4060-8306-A64176EF9A3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FBC5-94D3-4631-B6C6-3844514F6EB8}">
  <dimension ref="A1:V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7.5703125" customWidth="1"/>
  </cols>
  <sheetData>
    <row r="1" spans="1:22" x14ac:dyDescent="0.25">
      <c r="A1" s="2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118</v>
      </c>
      <c r="M1" s="4" t="s">
        <v>119</v>
      </c>
      <c r="N1" s="4"/>
      <c r="O1" s="4"/>
      <c r="P1" s="4" t="s">
        <v>68</v>
      </c>
      <c r="Q1" s="4" t="s">
        <v>24</v>
      </c>
      <c r="R1" s="4" t="s">
        <v>23</v>
      </c>
      <c r="S1" s="4" t="s">
        <v>22</v>
      </c>
      <c r="T1" s="4" t="s">
        <v>18</v>
      </c>
      <c r="U1" s="4" t="s">
        <v>19</v>
      </c>
      <c r="V1" s="4" t="s">
        <v>20</v>
      </c>
    </row>
    <row r="2" spans="1:22" x14ac:dyDescent="0.25">
      <c r="A2" t="s">
        <v>83</v>
      </c>
      <c r="B2" s="1">
        <v>52901</v>
      </c>
      <c r="C2" s="1">
        <v>53157</v>
      </c>
      <c r="D2" s="1">
        <v>49942</v>
      </c>
      <c r="E2" s="1">
        <f>T2-D2-C2-B2</f>
        <v>66075</v>
      </c>
      <c r="F2" s="1">
        <v>51129</v>
      </c>
      <c r="G2" s="1">
        <v>50855</v>
      </c>
      <c r="H2" s="1">
        <v>53489</v>
      </c>
      <c r="I2" s="1">
        <f>U2-H2-G2-F2</f>
        <v>64531</v>
      </c>
      <c r="J2" s="1">
        <v>51096</v>
      </c>
      <c r="K2" s="1">
        <v>52966</v>
      </c>
      <c r="L2" s="1">
        <v>57267</v>
      </c>
      <c r="M2" s="1">
        <f>V2-L2-K2-J2</f>
        <v>70543</v>
      </c>
      <c r="P2" s="1">
        <v>108354</v>
      </c>
      <c r="Q2" s="1">
        <v>122987</v>
      </c>
      <c r="R2" s="1">
        <v>141247</v>
      </c>
      <c r="S2" s="1">
        <v>197346</v>
      </c>
      <c r="T2" s="1">
        <v>222075</v>
      </c>
      <c r="U2" s="1">
        <v>220004</v>
      </c>
      <c r="V2" s="1">
        <v>231872</v>
      </c>
    </row>
    <row r="3" spans="1:22" x14ac:dyDescent="0.25">
      <c r="A3" t="s">
        <v>84</v>
      </c>
      <c r="B3" s="1">
        <v>3920</v>
      </c>
      <c r="C3" s="1">
        <v>4198</v>
      </c>
      <c r="D3" s="1">
        <v>4269</v>
      </c>
      <c r="E3" s="1">
        <f>T3-D3-C3-B3</f>
        <v>4688</v>
      </c>
      <c r="F3" s="1">
        <v>4591</v>
      </c>
      <c r="G3" s="1">
        <v>4721</v>
      </c>
      <c r="H3" s="1">
        <v>4694</v>
      </c>
      <c r="I3" s="1">
        <f>U3-H3-G3-F3</f>
        <v>4957</v>
      </c>
      <c r="J3" s="1">
        <v>4895</v>
      </c>
      <c r="K3" s="1">
        <v>5024</v>
      </c>
      <c r="L3" s="1">
        <v>4959</v>
      </c>
      <c r="M3" s="1">
        <f t="shared" ref="M3:M8" si="0">V3-L3-K3-J3</f>
        <v>5152</v>
      </c>
      <c r="P3" s="1">
        <v>5798</v>
      </c>
      <c r="Q3" s="1">
        <v>17224</v>
      </c>
      <c r="R3" s="1">
        <v>17192</v>
      </c>
      <c r="S3" s="1">
        <v>16227</v>
      </c>
      <c r="T3" s="1">
        <v>17075</v>
      </c>
      <c r="U3" s="1">
        <v>18963</v>
      </c>
      <c r="V3" s="1">
        <v>20030</v>
      </c>
    </row>
    <row r="4" spans="1:22" x14ac:dyDescent="0.25">
      <c r="A4" t="s">
        <v>85</v>
      </c>
      <c r="B4" s="1">
        <v>23709</v>
      </c>
      <c r="C4" s="1">
        <v>25085</v>
      </c>
      <c r="D4" s="1">
        <v>24252</v>
      </c>
      <c r="E4" s="1">
        <f>T4-D4-C4-B4</f>
        <v>30320</v>
      </c>
      <c r="F4" s="1">
        <v>25335</v>
      </c>
      <c r="G4" s="1">
        <v>27376</v>
      </c>
      <c r="H4" s="1">
        <v>28666</v>
      </c>
      <c r="I4" s="1">
        <f>U4-H4-G4-F4</f>
        <v>36339</v>
      </c>
      <c r="J4" s="1">
        <v>29820</v>
      </c>
      <c r="K4" s="1">
        <v>32332</v>
      </c>
      <c r="L4" s="1">
        <v>34342</v>
      </c>
      <c r="M4" s="1">
        <f t="shared" si="0"/>
        <v>43559</v>
      </c>
      <c r="P4" s="1">
        <v>31881</v>
      </c>
      <c r="Q4" s="1">
        <v>42745</v>
      </c>
      <c r="R4" s="1">
        <v>53762</v>
      </c>
      <c r="S4" s="1">
        <v>80461</v>
      </c>
      <c r="T4" s="1">
        <v>103366</v>
      </c>
      <c r="U4" s="1">
        <v>117716</v>
      </c>
      <c r="V4" s="1">
        <v>140053</v>
      </c>
    </row>
    <row r="5" spans="1:22" x14ac:dyDescent="0.25">
      <c r="A5" t="s">
        <v>86</v>
      </c>
      <c r="B5" s="1">
        <v>7580</v>
      </c>
      <c r="C5" s="1">
        <v>7917</v>
      </c>
      <c r="D5" s="1">
        <v>8148</v>
      </c>
      <c r="E5" s="1">
        <f>T5-D5-C5-B5</f>
        <v>8123</v>
      </c>
      <c r="F5" s="1">
        <v>8410</v>
      </c>
      <c r="G5" s="1">
        <v>8716</v>
      </c>
      <c r="H5" s="1">
        <v>8903</v>
      </c>
      <c r="I5" s="1">
        <f>U5-H5-G5-F5</f>
        <v>9189</v>
      </c>
      <c r="J5" s="1">
        <v>9657</v>
      </c>
      <c r="K5" s="1">
        <v>9894</v>
      </c>
      <c r="L5" s="1">
        <v>10170</v>
      </c>
      <c r="M5" s="1">
        <f t="shared" si="0"/>
        <v>17185</v>
      </c>
      <c r="P5" s="1">
        <v>9721</v>
      </c>
      <c r="Q5" s="1">
        <v>14168</v>
      </c>
      <c r="R5" s="1">
        <v>19210</v>
      </c>
      <c r="S5" s="1">
        <v>25207</v>
      </c>
      <c r="T5" s="1">
        <v>31768</v>
      </c>
      <c r="U5" s="1">
        <v>35218</v>
      </c>
      <c r="V5" s="1">
        <v>46906</v>
      </c>
    </row>
    <row r="6" spans="1:22" x14ac:dyDescent="0.25">
      <c r="A6" t="s">
        <v>87</v>
      </c>
      <c r="B6" s="1">
        <v>6381</v>
      </c>
      <c r="C6" s="1">
        <v>7451</v>
      </c>
      <c r="D6" s="1">
        <v>7512</v>
      </c>
      <c r="E6" s="1">
        <f>T6-D6-C6-B6</f>
        <v>9816</v>
      </c>
      <c r="F6" s="1">
        <v>7877</v>
      </c>
      <c r="G6" s="1">
        <v>8757</v>
      </c>
      <c r="H6" s="1">
        <v>9548</v>
      </c>
      <c r="I6" s="1">
        <f>U6-H6-G6-F6</f>
        <v>11557</v>
      </c>
      <c r="J6" s="1">
        <v>9509</v>
      </c>
      <c r="K6" s="1">
        <v>10683</v>
      </c>
      <c r="L6" s="1">
        <v>12060</v>
      </c>
      <c r="M6" s="1">
        <f t="shared" si="0"/>
        <v>7957</v>
      </c>
      <c r="P6" s="1">
        <v>0</v>
      </c>
      <c r="Q6" s="1"/>
      <c r="R6" s="1">
        <v>0</v>
      </c>
      <c r="S6" s="1">
        <v>19773</v>
      </c>
      <c r="T6" s="1">
        <v>31160</v>
      </c>
      <c r="U6" s="1">
        <v>37739</v>
      </c>
      <c r="V6" s="1">
        <v>40209</v>
      </c>
    </row>
    <row r="7" spans="1:22" x14ac:dyDescent="0.25">
      <c r="A7" t="s">
        <v>56</v>
      </c>
      <c r="B7" s="1">
        <v>13503</v>
      </c>
      <c r="C7" s="1">
        <v>14809</v>
      </c>
      <c r="D7" s="1">
        <v>16110</v>
      </c>
      <c r="E7" s="1">
        <f>T7-D7-C7-B7</f>
        <v>17780</v>
      </c>
      <c r="F7" s="1">
        <v>18441</v>
      </c>
      <c r="G7" s="1">
        <v>19739</v>
      </c>
      <c r="H7" s="1">
        <v>20538</v>
      </c>
      <c r="I7" s="1">
        <f>U7-H7-G7-F7</f>
        <v>21378</v>
      </c>
      <c r="J7" s="1">
        <v>21354</v>
      </c>
      <c r="K7" s="1">
        <v>22140</v>
      </c>
      <c r="L7" s="1">
        <v>23059</v>
      </c>
      <c r="M7" s="1">
        <f t="shared" si="0"/>
        <v>24204</v>
      </c>
      <c r="P7" s="1">
        <v>17459</v>
      </c>
      <c r="Q7" s="1">
        <v>25655</v>
      </c>
      <c r="R7" s="1">
        <v>35026</v>
      </c>
      <c r="S7" s="1">
        <v>45370</v>
      </c>
      <c r="T7" s="1">
        <v>62202</v>
      </c>
      <c r="U7" s="1">
        <v>80096</v>
      </c>
      <c r="V7" s="1">
        <v>90757</v>
      </c>
    </row>
    <row r="8" spans="1:22" x14ac:dyDescent="0.25">
      <c r="A8" t="s">
        <v>40</v>
      </c>
      <c r="B8" s="1">
        <v>524</v>
      </c>
      <c r="C8" s="1">
        <v>463</v>
      </c>
      <c r="D8" s="1">
        <v>479</v>
      </c>
      <c r="E8" s="1">
        <f>T8-D8-C8-B8</f>
        <v>710</v>
      </c>
      <c r="F8" s="1">
        <v>661</v>
      </c>
      <c r="G8" s="1">
        <v>1070</v>
      </c>
      <c r="H8" s="1">
        <v>1263</v>
      </c>
      <c r="I8" s="1">
        <f>U8-H8-G8-F8</f>
        <v>1253</v>
      </c>
      <c r="J8" s="1">
        <v>1027</v>
      </c>
      <c r="K8" s="1">
        <v>1344</v>
      </c>
      <c r="L8" s="1">
        <v>1226</v>
      </c>
      <c r="M8" s="1">
        <f t="shared" si="0"/>
        <v>1361</v>
      </c>
      <c r="P8" s="1">
        <v>4653</v>
      </c>
      <c r="Q8" s="1">
        <v>10108</v>
      </c>
      <c r="R8" s="1">
        <v>14085</v>
      </c>
      <c r="S8" s="1">
        <v>1680</v>
      </c>
      <c r="T8" s="1">
        <v>2176</v>
      </c>
      <c r="U8" s="1">
        <v>4247</v>
      </c>
      <c r="V8" s="1">
        <v>4958</v>
      </c>
    </row>
    <row r="9" spans="1:22" x14ac:dyDescent="0.25">
      <c r="B9" s="1">
        <f>SUM(B2:B8)</f>
        <v>108518</v>
      </c>
      <c r="C9" s="1">
        <f>SUM(C2:C8)</f>
        <v>113080</v>
      </c>
      <c r="D9" s="1">
        <f>SUM(D2:D8)</f>
        <v>110712</v>
      </c>
      <c r="E9" s="1">
        <f>T9-D9-C9-B9</f>
        <v>137512</v>
      </c>
      <c r="F9" s="1">
        <f t="shared" ref="F9:M9" si="1">SUM(F2:F8)</f>
        <v>116444</v>
      </c>
      <c r="G9" s="1">
        <f t="shared" si="1"/>
        <v>121234</v>
      </c>
      <c r="H9" s="1">
        <f t="shared" si="1"/>
        <v>127101</v>
      </c>
      <c r="I9" s="1">
        <f t="shared" si="1"/>
        <v>149204</v>
      </c>
      <c r="J9" s="1">
        <f t="shared" si="1"/>
        <v>127358</v>
      </c>
      <c r="K9" s="1">
        <f t="shared" si="1"/>
        <v>134383</v>
      </c>
      <c r="L9" s="1">
        <f t="shared" si="1"/>
        <v>143083</v>
      </c>
      <c r="M9" s="1">
        <f t="shared" si="1"/>
        <v>169961</v>
      </c>
      <c r="P9" s="1">
        <f t="shared" ref="P9:V9" si="2">SUM(P2:P8)</f>
        <v>177866</v>
      </c>
      <c r="Q9" s="1">
        <f t="shared" si="2"/>
        <v>232887</v>
      </c>
      <c r="R9" s="1">
        <f t="shared" si="2"/>
        <v>280522</v>
      </c>
      <c r="S9" s="1">
        <f t="shared" si="2"/>
        <v>386064</v>
      </c>
      <c r="T9" s="1">
        <f t="shared" si="2"/>
        <v>469822</v>
      </c>
      <c r="U9" s="1">
        <f t="shared" si="2"/>
        <v>513983</v>
      </c>
      <c r="V9" s="1">
        <f t="shared" si="2"/>
        <v>574785</v>
      </c>
    </row>
    <row r="12" spans="1:22" x14ac:dyDescent="0.25">
      <c r="A12" t="s">
        <v>92</v>
      </c>
      <c r="F12" s="7">
        <f>F2/B2-1</f>
        <v>-3.3496531256497986E-2</v>
      </c>
      <c r="G12" s="7">
        <f t="shared" ref="G12:K12" si="3">G2/C2-1</f>
        <v>-4.3305679402524611E-2</v>
      </c>
      <c r="H12" s="7">
        <f t="shared" si="3"/>
        <v>7.102238596772259E-2</v>
      </c>
      <c r="I12" s="7">
        <f t="shared" si="3"/>
        <v>-2.3367385546727237E-2</v>
      </c>
      <c r="J12" s="7">
        <f t="shared" si="3"/>
        <v>-6.4542627471686487E-4</v>
      </c>
      <c r="K12" s="7">
        <f t="shared" si="3"/>
        <v>4.1510175990561393E-2</v>
      </c>
      <c r="L12" s="7">
        <f t="shared" ref="L12" si="4">L2/H2-1</f>
        <v>7.0631344762474457E-2</v>
      </c>
      <c r="M12" s="7">
        <f t="shared" ref="M12" si="5">M2/I2-1</f>
        <v>9.3164525576854507E-2</v>
      </c>
      <c r="P12" s="7"/>
      <c r="Q12" s="7">
        <f t="shared" ref="Q12:S12" si="6">Q2/P2-1</f>
        <v>0.13504808313490968</v>
      </c>
      <c r="R12" s="7">
        <f t="shared" si="6"/>
        <v>0.14847097660728359</v>
      </c>
      <c r="S12" s="7">
        <f t="shared" si="6"/>
        <v>0.39716949740525465</v>
      </c>
      <c r="T12" s="7">
        <f>T2/S2-1</f>
        <v>0.12530783497005249</v>
      </c>
      <c r="U12" s="7">
        <f>U2/T2-1</f>
        <v>-9.3256782618484912E-3</v>
      </c>
      <c r="V12" s="7">
        <f>V2/U2-1</f>
        <v>5.3944473736841081E-2</v>
      </c>
    </row>
    <row r="13" spans="1:22" x14ac:dyDescent="0.25">
      <c r="A13" t="s">
        <v>89</v>
      </c>
      <c r="F13" s="7">
        <f t="shared" ref="F13:K13" si="7">F6/B6-1</f>
        <v>0.23444601159692846</v>
      </c>
      <c r="G13" s="7">
        <f t="shared" si="7"/>
        <v>0.17527848610924712</v>
      </c>
      <c r="H13" s="7">
        <f t="shared" si="7"/>
        <v>0.27103301384451539</v>
      </c>
      <c r="I13" s="7">
        <f t="shared" si="7"/>
        <v>0.17736348818255898</v>
      </c>
      <c r="J13" s="7">
        <f t="shared" si="7"/>
        <v>0.20718547670432907</v>
      </c>
      <c r="K13" s="7">
        <f t="shared" si="7"/>
        <v>0.21993833504624871</v>
      </c>
      <c r="L13" s="7">
        <f t="shared" ref="L13:L14" si="8">L6/H6-1</f>
        <v>0.26309174696271476</v>
      </c>
      <c r="M13" s="7">
        <f>M6/I6-1</f>
        <v>-0.31149952409794934</v>
      </c>
      <c r="P13" s="7"/>
      <c r="Q13" s="7"/>
      <c r="R13" s="7"/>
      <c r="S13" s="7"/>
      <c r="T13" s="7">
        <f>T6/S6-1</f>
        <v>0.57588630961412024</v>
      </c>
      <c r="U13" s="7">
        <f>U6/T6-1</f>
        <v>0.21113607188703476</v>
      </c>
      <c r="V13" s="7">
        <f>V6/U6-1</f>
        <v>6.5449534963830436E-2</v>
      </c>
    </row>
    <row r="14" spans="1:22" x14ac:dyDescent="0.25">
      <c r="A14" t="s">
        <v>90</v>
      </c>
      <c r="F14" s="7">
        <f>F7/B7-1</f>
        <v>0.36569651188624741</v>
      </c>
      <c r="G14" s="7">
        <f t="shared" ref="G14:K14" si="9">G7/C7-1</f>
        <v>0.33290566547369838</v>
      </c>
      <c r="H14" s="7">
        <f t="shared" si="9"/>
        <v>0.27486033519553077</v>
      </c>
      <c r="I14" s="7">
        <f t="shared" si="9"/>
        <v>0.20236220472440936</v>
      </c>
      <c r="J14" s="7">
        <f t="shared" si="9"/>
        <v>0.157963234097934</v>
      </c>
      <c r="K14" s="7">
        <f t="shared" si="9"/>
        <v>0.12163736764780375</v>
      </c>
      <c r="L14" s="7">
        <f t="shared" si="8"/>
        <v>0.1227480767358069</v>
      </c>
      <c r="M14" s="7">
        <f t="shared" ref="M13:M14" si="10">M7/I7-1</f>
        <v>0.13219197305641317</v>
      </c>
      <c r="P14" s="7"/>
      <c r="Q14" s="7">
        <f t="shared" ref="Q14:S14" si="11">Q7/P7-1</f>
        <v>0.46944269431238905</v>
      </c>
      <c r="R14" s="7">
        <f t="shared" si="11"/>
        <v>0.36526992788930035</v>
      </c>
      <c r="S14" s="7">
        <f t="shared" si="11"/>
        <v>0.29532347399074976</v>
      </c>
      <c r="T14" s="7">
        <f>T7/S7-1</f>
        <v>0.37099404893101173</v>
      </c>
      <c r="U14" s="7">
        <f>U7/T7-1</f>
        <v>0.28767563743931057</v>
      </c>
      <c r="V14" s="7">
        <f>V7/U7-1</f>
        <v>0.13310277666799841</v>
      </c>
    </row>
    <row r="15" spans="1:22" x14ac:dyDescent="0.25">
      <c r="A15" t="s">
        <v>91</v>
      </c>
      <c r="F15" s="7">
        <f>F4/B4-1</f>
        <v>6.8581551309629285E-2</v>
      </c>
      <c r="G15" s="7">
        <f t="shared" ref="G15:K15" si="12">G4/C4-1</f>
        <v>9.1329479768786026E-2</v>
      </c>
      <c r="H15" s="7">
        <f t="shared" si="12"/>
        <v>0.18200560778492503</v>
      </c>
      <c r="I15" s="7">
        <f t="shared" si="12"/>
        <v>0.19851583113456472</v>
      </c>
      <c r="J15" s="7">
        <f t="shared" si="12"/>
        <v>0.177027827116637</v>
      </c>
      <c r="K15" s="7">
        <f t="shared" si="12"/>
        <v>0.18103448275862077</v>
      </c>
      <c r="L15" s="7">
        <f t="shared" ref="L15" si="13">L4/H4-1</f>
        <v>0.19800460475825021</v>
      </c>
      <c r="M15" s="7">
        <f t="shared" ref="M15" si="14">M4/I4-1</f>
        <v>0.19868460882247718</v>
      </c>
      <c r="P15" s="7"/>
      <c r="Q15" s="7">
        <f t="shared" ref="Q15:S15" si="15">Q4/P4-1</f>
        <v>0.34076722812960702</v>
      </c>
      <c r="R15" s="7">
        <f t="shared" si="15"/>
        <v>0.25773774710492448</v>
      </c>
      <c r="S15" s="7">
        <f t="shared" si="15"/>
        <v>0.49661470927420859</v>
      </c>
      <c r="T15" s="7">
        <f>T4/S4-1</f>
        <v>0.28467207715539211</v>
      </c>
      <c r="U15" s="7">
        <f>U4/T4-1</f>
        <v>0.13882708047133496</v>
      </c>
      <c r="V15" s="7">
        <f>V4/U4-1</f>
        <v>0.18975330456352579</v>
      </c>
    </row>
  </sheetData>
  <phoneticPr fontId="3" type="noConversion"/>
  <hyperlinks>
    <hyperlink ref="A1" location="Main!A1" display="Main" xr:uid="{0F37BD00-8BC5-4A2E-BAAF-684A29059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Net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2024-03-27T23:16:26Z</dcterms:modified>
</cp:coreProperties>
</file>